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drawings/drawing4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75" windowWidth="19065" windowHeight="11010" tabRatio="815"/>
  </bookViews>
  <sheets>
    <sheet name="CONTROL" sheetId="1" r:id="rId1"/>
    <sheet name="RAP-SOLID FUEL PRICES" sheetId="2" r:id="rId2"/>
    <sheet name="RAP-LIGHT OIL" sheetId="3" r:id="rId3"/>
    <sheet name="RAP-HEAVY OIL&amp;WTI" sheetId="4" r:id="rId4"/>
    <sheet name="RAP-NATURAL GAS PRICES" sheetId="5" r:id="rId5"/>
    <sheet name="RAP TEMPLATE-GAS AVAILABILITY" sheetId="6" r:id="rId6"/>
  </sheets>
  <externalReferences>
    <externalReference r:id="rId7"/>
    <externalReference r:id="rId8"/>
    <externalReference r:id="rId9"/>
    <externalReference r:id="rId10"/>
  </externalReferences>
  <definedNames>
    <definedName name="__123Graph_A" hidden="1">'[1]FPL MOST LIKELY GAS BACKUP 1'!#REF!</definedName>
    <definedName name="__123Graph_B" hidden="1">'[1]FPL MOST LIKELY GAS BACKUP 1'!#REF!</definedName>
    <definedName name="__123Graph_X" hidden="1">'[1]FPL MOST LIKELY GAS BACKUP 1'!#REF!</definedName>
    <definedName name="_1">#REF!</definedName>
    <definedName name="_1A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394GAS">#REF!</definedName>
    <definedName name="_9394OIL">#REF!</definedName>
    <definedName name="_C1">#REF!</definedName>
    <definedName name="_GIP1">#REF!</definedName>
    <definedName name="_SYP1">#REF!</definedName>
    <definedName name="C_">#REF!</definedName>
    <definedName name="CC1_">#REF!</definedName>
    <definedName name="COMPET">#REF!</definedName>
    <definedName name="CopyXC">#REF!</definedName>
    <definedName name="DatabaseNameCopy">#REF!</definedName>
    <definedName name="DatabaseNameDG">#REF!</definedName>
    <definedName name="DateColumn">[2]_Setup_!#REF!</definedName>
    <definedName name="DestColRowXC">#REF!</definedName>
    <definedName name="DestDBname">#REF!</definedName>
    <definedName name="DestHdrRowColXC">#REF!</definedName>
    <definedName name="DestLayoutXC">#REF!</definedName>
    <definedName name="DestRowColXC">#REF!</definedName>
    <definedName name="DestStudyName">#REF!</definedName>
    <definedName name="DestStudyNameCopy">#REF!</definedName>
    <definedName name="DestUserName">#REF!</definedName>
    <definedName name="DestWorksheetXC">#REF!</definedName>
    <definedName name="EffectiveDate">[2]_Setup_!#REF!</definedName>
    <definedName name="FIRM">#REF!</definedName>
    <definedName name="FIRM1">#REF!</definedName>
    <definedName name="GAS">#REF!</definedName>
    <definedName name="GASAVAIL">#REF!</definedName>
    <definedName name="GIP">#REF!</definedName>
    <definedName name="HeaderXC">#REF!</definedName>
    <definedName name="I5_">#REF!</definedName>
    <definedName name="I6_">#REF!</definedName>
    <definedName name="I7_">#REF!</definedName>
    <definedName name="ImportListDG">#REF!</definedName>
    <definedName name="INDEXDATA">'[3]Index-Data'!$A$2:$CG$68</definedName>
    <definedName name="INFLAT">#REF!</definedName>
    <definedName name="LayoutXC">#REF!</definedName>
    <definedName name="Messages">[4]_UnregulatedCurves_!#REF!</definedName>
    <definedName name="MessagesDG">#REF!</definedName>
    <definedName name="MessagesDW">[4]_UnregulatedCurves_!#REF!</definedName>
    <definedName name="MONTH">#REF!</definedName>
    <definedName name="MONTH1">#REF!</definedName>
    <definedName name="MONTHID">'[3]Misc-Data'!$A$2:$F$85</definedName>
    <definedName name="MONTHS2">#REF!</definedName>
    <definedName name="MONTHS3">#REF!</definedName>
    <definedName name="MONTHS4">#REF!</definedName>
    <definedName name="MONTHS5">#REF!</definedName>
    <definedName name="MONTHS6">#REF!</definedName>
    <definedName name="MONTHS7">#REF!</definedName>
    <definedName name="OIPBBL">#REF!</definedName>
    <definedName name="OIPBBL1">#REF!</definedName>
    <definedName name="PasswordCopy">#REF!</definedName>
    <definedName name="PasswordDG">#REF!</definedName>
    <definedName name="PHASEII">#REF!</definedName>
    <definedName name="PHASEII1">#REF!</definedName>
    <definedName name="PHASEIII">#REF!</definedName>
    <definedName name="PHASEIII1">#REF!</definedName>
    <definedName name="pipedes">'[3]Misc-Data'!$D$2:$F$69</definedName>
    <definedName name="_xlnm.Print_Area" localSheetId="5">'RAP TEMPLATE-GAS AVAILABILITY'!$A$12:$T$651</definedName>
    <definedName name="_xlnm.Print_Area" localSheetId="3">'RAP-HEAVY OIL&amp;WTI'!$A$12:$J$651</definedName>
    <definedName name="_xlnm.Print_Area" localSheetId="2">'RAP-LIGHT OIL'!$A$12:$L$650</definedName>
    <definedName name="_xlnm.Print_Area" localSheetId="4">'RAP-NATURAL GAS PRICES'!$A$13:$AC$651</definedName>
    <definedName name="_xlnm.Print_Area" localSheetId="1">'RAP-SOLID FUEL PRICES'!$A$14:$O$652</definedName>
    <definedName name="_xlnm.Print_Titles" localSheetId="5">'RAP TEMPLATE-GAS AVAILABILITY'!$1:$11</definedName>
    <definedName name="_xlnm.Print_Titles" localSheetId="3">'RAP-HEAVY OIL&amp;WTI'!$1:$11</definedName>
    <definedName name="_xlnm.Print_Titles" localSheetId="2">'RAP-LIGHT OIL'!$1:$11</definedName>
    <definedName name="_xlnm.Print_Titles" localSheetId="4">'RAP-NATURAL GAS PRICES'!$1:$12</definedName>
    <definedName name="_xlnm.Print_Titles" localSheetId="1">'RAP-SOLID FUEL PRICES'!$1:$13</definedName>
    <definedName name="RESULTS">#REF!</definedName>
    <definedName name="RESULTS1">#REF!</definedName>
    <definedName name="RESULTS2">#REF!</definedName>
    <definedName name="RESULTS3">#REF!</definedName>
    <definedName name="RESULTS4">#REF!</definedName>
    <definedName name="RESULTSA">#REF!</definedName>
    <definedName name="RowStart">[2]_Setup_!#REF!</definedName>
    <definedName name="SelectListCopy">#REF!</definedName>
    <definedName name="SFOR">#REF!</definedName>
    <definedName name="SFOR1">#REF!</definedName>
    <definedName name="SourceDBname">#REF!</definedName>
    <definedName name="SourceStudyName">#REF!</definedName>
    <definedName name="SourceStudyNameCopy">#REF!</definedName>
    <definedName name="SourceUserName">#REF!</definedName>
    <definedName name="SrcColRowXC">#REF!</definedName>
    <definedName name="SrcFileXC">#REF!</definedName>
    <definedName name="SrcStartRowColXC">#REF!</definedName>
    <definedName name="SrcWorksheetXC">#REF!</definedName>
    <definedName name="StatusCopy">#REF!</definedName>
    <definedName name="StatusDG">#REF!</definedName>
    <definedName name="StatusXC">#REF!</definedName>
    <definedName name="StudyNameDG">#REF!</definedName>
    <definedName name="SYP">#REF!</definedName>
    <definedName name="SYSGAS">#REF!</definedName>
    <definedName name="TITLES">#REF!</definedName>
    <definedName name="TOBBL">#REF!</definedName>
    <definedName name="TotalRowColXC">#REF!</definedName>
    <definedName name="TransferListDG">#REF!</definedName>
    <definedName name="TTG">#REF!</definedName>
    <definedName name="UserNameCopy">#REF!</definedName>
    <definedName name="UserNameDG">#REF!</definedName>
    <definedName name="VOLUMES">#REF!</definedName>
    <definedName name="VOLUMES1">#REF!</definedName>
    <definedName name="YEAR">#REF!</definedName>
    <definedName name="YEARS">#REF!</definedName>
  </definedNames>
  <calcPr calcId="145621" calcMode="manual"/>
</workbook>
</file>

<file path=xl/calcChain.xml><?xml version="1.0" encoding="utf-8"?>
<calcChain xmlns="http://schemas.openxmlformats.org/spreadsheetml/2006/main">
  <c r="C13" i="6" l="1"/>
  <c r="D13" i="6"/>
  <c r="E13" i="6"/>
  <c r="F13" i="6"/>
  <c r="L13" i="6"/>
  <c r="N13" i="6"/>
  <c r="Q13" i="6"/>
  <c r="R13" i="6"/>
  <c r="S13" i="6"/>
  <c r="T13" i="6"/>
  <c r="C14" i="6"/>
  <c r="D14" i="6"/>
  <c r="E14" i="6"/>
  <c r="F14" i="6"/>
  <c r="L14" i="6"/>
  <c r="N14" i="6"/>
  <c r="Q14" i="6"/>
  <c r="R14" i="6"/>
  <c r="S14" i="6"/>
  <c r="T14" i="6"/>
  <c r="C15" i="6"/>
  <c r="D15" i="6"/>
  <c r="E15" i="6"/>
  <c r="F15" i="6"/>
  <c r="L15" i="6"/>
  <c r="N15" i="6"/>
  <c r="P15" i="6"/>
  <c r="S15" i="6" s="1"/>
  <c r="R15" i="6"/>
  <c r="Q15" i="6" s="1"/>
  <c r="T15" i="6"/>
  <c r="C16" i="6"/>
  <c r="D16" i="6"/>
  <c r="L16" i="6" s="1"/>
  <c r="E16" i="6"/>
  <c r="F16" i="6"/>
  <c r="N16" i="6"/>
  <c r="P16" i="6"/>
  <c r="Q16" i="6"/>
  <c r="R16" i="6"/>
  <c r="S16" i="6"/>
  <c r="T16" i="6"/>
  <c r="C17" i="6"/>
  <c r="D17" i="6"/>
  <c r="E17" i="6"/>
  <c r="F17" i="6"/>
  <c r="L17" i="6"/>
  <c r="N17" i="6"/>
  <c r="P17" i="6"/>
  <c r="R17" i="6"/>
  <c r="Q17" i="6" s="1"/>
  <c r="T17" i="6"/>
  <c r="C18" i="6"/>
  <c r="D18" i="6"/>
  <c r="L18" i="6" s="1"/>
  <c r="E18" i="6"/>
  <c r="F18" i="6"/>
  <c r="N18" i="6"/>
  <c r="P18" i="6"/>
  <c r="Q18" i="6"/>
  <c r="R18" i="6"/>
  <c r="S18" i="6"/>
  <c r="T18" i="6"/>
  <c r="C19" i="6"/>
  <c r="D19" i="6"/>
  <c r="E19" i="6"/>
  <c r="F19" i="6"/>
  <c r="L19" i="6"/>
  <c r="N19" i="6"/>
  <c r="P19" i="6"/>
  <c r="S19" i="6" s="1"/>
  <c r="R19" i="6"/>
  <c r="Q19" i="6" s="1"/>
  <c r="T19" i="6"/>
  <c r="C20" i="6"/>
  <c r="D20" i="6"/>
  <c r="L20" i="6" s="1"/>
  <c r="E20" i="6"/>
  <c r="F20" i="6"/>
  <c r="N20" i="6"/>
  <c r="P20" i="6"/>
  <c r="Q20" i="6"/>
  <c r="R20" i="6"/>
  <c r="S20" i="6"/>
  <c r="T20" i="6"/>
  <c r="C21" i="6"/>
  <c r="D21" i="6"/>
  <c r="E21" i="6"/>
  <c r="F21" i="6"/>
  <c r="L21" i="6"/>
  <c r="N21" i="6"/>
  <c r="P21" i="6"/>
  <c r="R21" i="6"/>
  <c r="Q21" i="6" s="1"/>
  <c r="T21" i="6"/>
  <c r="C22" i="6"/>
  <c r="D22" i="6"/>
  <c r="L22" i="6" s="1"/>
  <c r="E22" i="6"/>
  <c r="F22" i="6"/>
  <c r="N22" i="6"/>
  <c r="R22" i="6"/>
  <c r="Q22" i="6" s="1"/>
  <c r="S22" i="6" s="1"/>
  <c r="T22" i="6"/>
  <c r="C23" i="6"/>
  <c r="D23" i="6"/>
  <c r="L23" i="6" s="1"/>
  <c r="E23" i="6"/>
  <c r="F23" i="6"/>
  <c r="N23" i="6"/>
  <c r="R23" i="6"/>
  <c r="Q23" i="6" s="1"/>
  <c r="S23" i="6" s="1"/>
  <c r="T23" i="6"/>
  <c r="C24" i="6"/>
  <c r="D24" i="6"/>
  <c r="L24" i="6" s="1"/>
  <c r="E24" i="6"/>
  <c r="F24" i="6"/>
  <c r="N24" i="6"/>
  <c r="R24" i="6"/>
  <c r="Q24" i="6" s="1"/>
  <c r="S24" i="6" s="1"/>
  <c r="T24" i="6"/>
  <c r="C25" i="6"/>
  <c r="D25" i="6"/>
  <c r="L25" i="6" s="1"/>
  <c r="E25" i="6"/>
  <c r="F25" i="6"/>
  <c r="N25" i="6"/>
  <c r="R25" i="6"/>
  <c r="Q25" i="6" s="1"/>
  <c r="S25" i="6" s="1"/>
  <c r="T25" i="6"/>
  <c r="C26" i="6"/>
  <c r="D26" i="6"/>
  <c r="L26" i="6" s="1"/>
  <c r="E26" i="6"/>
  <c r="F26" i="6"/>
  <c r="N26" i="6"/>
  <c r="R26" i="6"/>
  <c r="Q26" i="6" s="1"/>
  <c r="S26" i="6" s="1"/>
  <c r="T26" i="6"/>
  <c r="C27" i="6"/>
  <c r="D27" i="6"/>
  <c r="L27" i="6" s="1"/>
  <c r="E27" i="6"/>
  <c r="F27" i="6"/>
  <c r="N27" i="6"/>
  <c r="P27" i="6"/>
  <c r="Q27" i="6"/>
  <c r="R27" i="6"/>
  <c r="S27" i="6"/>
  <c r="T27" i="6"/>
  <c r="C28" i="6"/>
  <c r="D28" i="6"/>
  <c r="E28" i="6"/>
  <c r="F28" i="6"/>
  <c r="L28" i="6"/>
  <c r="N28" i="6"/>
  <c r="P28" i="6"/>
  <c r="R28" i="6"/>
  <c r="Q28" i="6" s="1"/>
  <c r="T28" i="6"/>
  <c r="C29" i="6"/>
  <c r="D29" i="6"/>
  <c r="L29" i="6" s="1"/>
  <c r="E29" i="6"/>
  <c r="F29" i="6"/>
  <c r="N29" i="6"/>
  <c r="P29" i="6"/>
  <c r="Q29" i="6"/>
  <c r="R29" i="6"/>
  <c r="S29" i="6"/>
  <c r="T29" i="6"/>
  <c r="C30" i="6"/>
  <c r="D30" i="6"/>
  <c r="E30" i="6"/>
  <c r="F30" i="6"/>
  <c r="L30" i="6"/>
  <c r="N30" i="6"/>
  <c r="P30" i="6"/>
  <c r="S30" i="6" s="1"/>
  <c r="R30" i="6"/>
  <c r="Q30" i="6" s="1"/>
  <c r="T30" i="6"/>
  <c r="C31" i="6"/>
  <c r="D31" i="6"/>
  <c r="L31" i="6" s="1"/>
  <c r="E31" i="6"/>
  <c r="F31" i="6"/>
  <c r="N31" i="6"/>
  <c r="P31" i="6"/>
  <c r="Q31" i="6"/>
  <c r="R31" i="6"/>
  <c r="S31" i="6"/>
  <c r="T31" i="6"/>
  <c r="C32" i="6"/>
  <c r="D32" i="6"/>
  <c r="E32" i="6"/>
  <c r="F32" i="6"/>
  <c r="L32" i="6"/>
  <c r="N32" i="6"/>
  <c r="P32" i="6"/>
  <c r="R32" i="6"/>
  <c r="Q32" i="6" s="1"/>
  <c r="T32" i="6"/>
  <c r="C33" i="6"/>
  <c r="D33" i="6"/>
  <c r="L33" i="6" s="1"/>
  <c r="E33" i="6"/>
  <c r="F33" i="6"/>
  <c r="N33" i="6"/>
  <c r="P33" i="6"/>
  <c r="Q33" i="6"/>
  <c r="R33" i="6"/>
  <c r="S33" i="6"/>
  <c r="T33" i="6"/>
  <c r="C34" i="6"/>
  <c r="D34" i="6"/>
  <c r="E34" i="6"/>
  <c r="F34" i="6"/>
  <c r="L34" i="6"/>
  <c r="N34" i="6"/>
  <c r="Q34" i="6"/>
  <c r="R34" i="6"/>
  <c r="S34" i="6"/>
  <c r="T34" i="6"/>
  <c r="C35" i="6"/>
  <c r="D35" i="6"/>
  <c r="E35" i="6"/>
  <c r="F35" i="6"/>
  <c r="L35" i="6"/>
  <c r="N35" i="6"/>
  <c r="Q35" i="6"/>
  <c r="R35" i="6"/>
  <c r="S35" i="6"/>
  <c r="T35" i="6"/>
  <c r="C36" i="6"/>
  <c r="D36" i="6"/>
  <c r="E36" i="6"/>
  <c r="F36" i="6"/>
  <c r="L36" i="6"/>
  <c r="N36" i="6"/>
  <c r="Q36" i="6"/>
  <c r="R36" i="6"/>
  <c r="S36" i="6"/>
  <c r="T36" i="6"/>
  <c r="C37" i="6"/>
  <c r="D37" i="6"/>
  <c r="E37" i="6"/>
  <c r="F37" i="6"/>
  <c r="L37" i="6"/>
  <c r="N37" i="6"/>
  <c r="Q37" i="6"/>
  <c r="R37" i="6"/>
  <c r="S37" i="6"/>
  <c r="T37" i="6"/>
  <c r="C38" i="6"/>
  <c r="D38" i="6"/>
  <c r="E38" i="6"/>
  <c r="F38" i="6"/>
  <c r="L38" i="6"/>
  <c r="N38" i="6"/>
  <c r="Q38" i="6"/>
  <c r="R38" i="6"/>
  <c r="S38" i="6"/>
  <c r="T38" i="6"/>
  <c r="C39" i="6"/>
  <c r="L39" i="6" s="1"/>
  <c r="D39" i="6"/>
  <c r="E39" i="6"/>
  <c r="F39" i="6"/>
  <c r="H39" i="6"/>
  <c r="N39" i="6"/>
  <c r="P39" i="6"/>
  <c r="Q39" i="6"/>
  <c r="R39" i="6"/>
  <c r="S39" i="6"/>
  <c r="T39" i="6"/>
  <c r="C40" i="6"/>
  <c r="L40" i="6" s="1"/>
  <c r="D40" i="6"/>
  <c r="E40" i="6"/>
  <c r="F40" i="6"/>
  <c r="H40" i="6"/>
  <c r="N40" i="6"/>
  <c r="P40" i="6"/>
  <c r="Q40" i="6"/>
  <c r="R40" i="6"/>
  <c r="S40" i="6"/>
  <c r="T40" i="6"/>
  <c r="C41" i="6"/>
  <c r="L41" i="6" s="1"/>
  <c r="D41" i="6"/>
  <c r="E41" i="6"/>
  <c r="F41" i="6"/>
  <c r="H41" i="6"/>
  <c r="N41" i="6"/>
  <c r="P41" i="6"/>
  <c r="Q41" i="6"/>
  <c r="R41" i="6"/>
  <c r="S41" i="6"/>
  <c r="T41" i="6"/>
  <c r="C42" i="6"/>
  <c r="L42" i="6" s="1"/>
  <c r="D42" i="6"/>
  <c r="E42" i="6"/>
  <c r="F42" i="6"/>
  <c r="H42" i="6"/>
  <c r="N42" i="6"/>
  <c r="P42" i="6"/>
  <c r="Q42" i="6"/>
  <c r="R42" i="6"/>
  <c r="S42" i="6"/>
  <c r="T42" i="6"/>
  <c r="C43" i="6"/>
  <c r="L43" i="6" s="1"/>
  <c r="D43" i="6"/>
  <c r="E43" i="6"/>
  <c r="F43" i="6"/>
  <c r="H43" i="6"/>
  <c r="N43" i="6"/>
  <c r="P43" i="6"/>
  <c r="Q43" i="6"/>
  <c r="R43" i="6"/>
  <c r="S43" i="6"/>
  <c r="T43" i="6"/>
  <c r="C44" i="6"/>
  <c r="L44" i="6" s="1"/>
  <c r="D44" i="6"/>
  <c r="E44" i="6"/>
  <c r="F44" i="6"/>
  <c r="H44" i="6"/>
  <c r="N44" i="6"/>
  <c r="P44" i="6"/>
  <c r="Q44" i="6"/>
  <c r="R44" i="6"/>
  <c r="S44" i="6"/>
  <c r="T44" i="6"/>
  <c r="C45" i="6"/>
  <c r="L45" i="6" s="1"/>
  <c r="D45" i="6"/>
  <c r="E45" i="6"/>
  <c r="F45" i="6"/>
  <c r="H45" i="6"/>
  <c r="N45" i="6"/>
  <c r="P45" i="6"/>
  <c r="Q45" i="6"/>
  <c r="R45" i="6"/>
  <c r="S45" i="6"/>
  <c r="T45" i="6"/>
  <c r="C46" i="6"/>
  <c r="D46" i="6"/>
  <c r="E46" i="6"/>
  <c r="F46" i="6"/>
  <c r="L46" i="6"/>
  <c r="N46" i="6"/>
  <c r="Q46" i="6"/>
  <c r="R46" i="6"/>
  <c r="S46" i="6"/>
  <c r="T46" i="6"/>
  <c r="C47" i="6"/>
  <c r="D47" i="6"/>
  <c r="E47" i="6"/>
  <c r="F47" i="6"/>
  <c r="L47" i="6"/>
  <c r="N47" i="6"/>
  <c r="Q47" i="6"/>
  <c r="R47" i="6"/>
  <c r="S47" i="6"/>
  <c r="T47" i="6"/>
  <c r="C48" i="6"/>
  <c r="D48" i="6"/>
  <c r="E48" i="6"/>
  <c r="F48" i="6"/>
  <c r="L48" i="6"/>
  <c r="N48" i="6"/>
  <c r="Q48" i="6"/>
  <c r="R48" i="6"/>
  <c r="S48" i="6"/>
  <c r="T48" i="6"/>
  <c r="C49" i="6"/>
  <c r="D49" i="6"/>
  <c r="E49" i="6"/>
  <c r="F49" i="6"/>
  <c r="L49" i="6"/>
  <c r="N49" i="6"/>
  <c r="Q49" i="6"/>
  <c r="R49" i="6"/>
  <c r="S49" i="6"/>
  <c r="T49" i="6"/>
  <c r="C50" i="6"/>
  <c r="D50" i="6"/>
  <c r="E50" i="6"/>
  <c r="F50" i="6"/>
  <c r="L50" i="6"/>
  <c r="N50" i="6"/>
  <c r="Q50" i="6"/>
  <c r="R50" i="6"/>
  <c r="S50" i="6"/>
  <c r="T50" i="6"/>
  <c r="C51" i="6"/>
  <c r="L51" i="6" s="1"/>
  <c r="D51" i="6"/>
  <c r="E51" i="6"/>
  <c r="F51" i="6"/>
  <c r="H51" i="6"/>
  <c r="N51" i="6"/>
  <c r="R51" i="6"/>
  <c r="Q51" i="6" s="1"/>
  <c r="S51" i="6" s="1"/>
  <c r="T51" i="6"/>
  <c r="C52" i="6"/>
  <c r="D52" i="6"/>
  <c r="L52" i="6" s="1"/>
  <c r="E52" i="6"/>
  <c r="F52" i="6"/>
  <c r="H52" i="6"/>
  <c r="I52" i="6"/>
  <c r="N52" i="6"/>
  <c r="R52" i="6"/>
  <c r="Q52" i="6" s="1"/>
  <c r="S52" i="6" s="1"/>
  <c r="T52" i="6"/>
  <c r="C53" i="6"/>
  <c r="D53" i="6"/>
  <c r="L53" i="6" s="1"/>
  <c r="E53" i="6"/>
  <c r="F53" i="6"/>
  <c r="H53" i="6"/>
  <c r="I53" i="6"/>
  <c r="N53" i="6"/>
  <c r="R53" i="6"/>
  <c r="Q53" i="6" s="1"/>
  <c r="S53" i="6" s="1"/>
  <c r="T53" i="6"/>
  <c r="C54" i="6"/>
  <c r="D54" i="6"/>
  <c r="L54" i="6" s="1"/>
  <c r="E54" i="6"/>
  <c r="F54" i="6"/>
  <c r="H54" i="6"/>
  <c r="I54" i="6"/>
  <c r="N54" i="6"/>
  <c r="R54" i="6"/>
  <c r="Q54" i="6" s="1"/>
  <c r="S54" i="6" s="1"/>
  <c r="T54" i="6"/>
  <c r="C55" i="6"/>
  <c r="D55" i="6"/>
  <c r="E55" i="6"/>
  <c r="F55" i="6"/>
  <c r="H55" i="6"/>
  <c r="I55" i="6"/>
  <c r="L55" i="6" s="1"/>
  <c r="N55" i="6"/>
  <c r="R55" i="6"/>
  <c r="Q55" i="6" s="1"/>
  <c r="S55" i="6" s="1"/>
  <c r="T55" i="6"/>
  <c r="C56" i="6"/>
  <c r="D56" i="6"/>
  <c r="E56" i="6"/>
  <c r="F56" i="6"/>
  <c r="H56" i="6"/>
  <c r="I56" i="6"/>
  <c r="L56" i="6"/>
  <c r="N56" i="6"/>
  <c r="Q56" i="6"/>
  <c r="R56" i="6"/>
  <c r="S56" i="6"/>
  <c r="T56" i="6"/>
  <c r="C57" i="6"/>
  <c r="D57" i="6"/>
  <c r="E57" i="6"/>
  <c r="F57" i="6"/>
  <c r="H57" i="6"/>
  <c r="I57" i="6"/>
  <c r="L57" i="6"/>
  <c r="N57" i="6"/>
  <c r="Q57" i="6"/>
  <c r="R57" i="6"/>
  <c r="S57" i="6"/>
  <c r="T57" i="6"/>
  <c r="C58" i="6"/>
  <c r="L58" i="6" s="1"/>
  <c r="D58" i="6"/>
  <c r="E58" i="6"/>
  <c r="F58" i="6"/>
  <c r="I58" i="6"/>
  <c r="N58" i="6"/>
  <c r="R58" i="6"/>
  <c r="Q58" i="6" s="1"/>
  <c r="S58" i="6" s="1"/>
  <c r="T58" i="6"/>
  <c r="C59" i="6"/>
  <c r="D59" i="6"/>
  <c r="E59" i="6"/>
  <c r="F59" i="6"/>
  <c r="I59" i="6"/>
  <c r="L59" i="6"/>
  <c r="N59" i="6"/>
  <c r="Q59" i="6"/>
  <c r="R59" i="6"/>
  <c r="S59" i="6"/>
  <c r="T59" i="6"/>
  <c r="C60" i="6"/>
  <c r="L60" i="6" s="1"/>
  <c r="D60" i="6"/>
  <c r="E60" i="6"/>
  <c r="F60" i="6"/>
  <c r="I60" i="6"/>
  <c r="N60" i="6"/>
  <c r="R60" i="6"/>
  <c r="Q60" i="6" s="1"/>
  <c r="S60" i="6" s="1"/>
  <c r="T60" i="6"/>
  <c r="C61" i="6"/>
  <c r="D61" i="6"/>
  <c r="E61" i="6"/>
  <c r="F61" i="6"/>
  <c r="I61" i="6"/>
  <c r="L61" i="6"/>
  <c r="N61" i="6"/>
  <c r="Q61" i="6"/>
  <c r="R61" i="6"/>
  <c r="S61" i="6"/>
  <c r="T61" i="6"/>
  <c r="C62" i="6"/>
  <c r="L62" i="6" s="1"/>
  <c r="D62" i="6"/>
  <c r="E62" i="6"/>
  <c r="F62" i="6"/>
  <c r="I62" i="6"/>
  <c r="N62" i="6"/>
  <c r="R62" i="6"/>
  <c r="Q62" i="6" s="1"/>
  <c r="S62" i="6" s="1"/>
  <c r="T62" i="6"/>
  <c r="C63" i="6"/>
  <c r="D63" i="6"/>
  <c r="L63" i="6" s="1"/>
  <c r="E63" i="6"/>
  <c r="F63" i="6"/>
  <c r="H63" i="6"/>
  <c r="I63" i="6"/>
  <c r="N63" i="6"/>
  <c r="R63" i="6"/>
  <c r="Q63" i="6" s="1"/>
  <c r="S63" i="6" s="1"/>
  <c r="T63" i="6"/>
  <c r="C64" i="6"/>
  <c r="D64" i="6"/>
  <c r="E64" i="6"/>
  <c r="F64" i="6"/>
  <c r="H64" i="6"/>
  <c r="I64" i="6"/>
  <c r="L64" i="6"/>
  <c r="N64" i="6"/>
  <c r="R64" i="6"/>
  <c r="Q64" i="6" s="1"/>
  <c r="S64" i="6" s="1"/>
  <c r="T64" i="6"/>
  <c r="C65" i="6"/>
  <c r="D65" i="6"/>
  <c r="E65" i="6"/>
  <c r="F65" i="6"/>
  <c r="H65" i="6"/>
  <c r="I65" i="6"/>
  <c r="L65" i="6"/>
  <c r="N65" i="6"/>
  <c r="Q65" i="6"/>
  <c r="R65" i="6"/>
  <c r="S65" i="6"/>
  <c r="T65" i="6"/>
  <c r="C66" i="6"/>
  <c r="D66" i="6"/>
  <c r="E66" i="6"/>
  <c r="F66" i="6"/>
  <c r="H66" i="6"/>
  <c r="I66" i="6"/>
  <c r="L66" i="6"/>
  <c r="N66" i="6"/>
  <c r="Q66" i="6"/>
  <c r="R66" i="6"/>
  <c r="S66" i="6"/>
  <c r="T66" i="6"/>
  <c r="C67" i="6"/>
  <c r="D67" i="6"/>
  <c r="E67" i="6"/>
  <c r="F67" i="6"/>
  <c r="H67" i="6"/>
  <c r="I67" i="6"/>
  <c r="L67" i="6"/>
  <c r="N67" i="6"/>
  <c r="Q67" i="6"/>
  <c r="R67" i="6"/>
  <c r="S67" i="6"/>
  <c r="T67" i="6"/>
  <c r="C68" i="6"/>
  <c r="D68" i="6"/>
  <c r="E68" i="6"/>
  <c r="F68" i="6"/>
  <c r="H68" i="6"/>
  <c r="I68" i="6"/>
  <c r="L68" i="6"/>
  <c r="N68" i="6"/>
  <c r="Q68" i="6"/>
  <c r="R68" i="6"/>
  <c r="S68" i="6"/>
  <c r="T68" i="6"/>
  <c r="C69" i="6"/>
  <c r="D69" i="6"/>
  <c r="E69" i="6"/>
  <c r="F69" i="6"/>
  <c r="H69" i="6"/>
  <c r="I69" i="6"/>
  <c r="L69" i="6"/>
  <c r="N69" i="6"/>
  <c r="Q69" i="6"/>
  <c r="R69" i="6"/>
  <c r="S69" i="6"/>
  <c r="T69" i="6"/>
  <c r="C70" i="6"/>
  <c r="L70" i="6" s="1"/>
  <c r="D70" i="6"/>
  <c r="E70" i="6"/>
  <c r="F70" i="6"/>
  <c r="I70" i="6"/>
  <c r="N70" i="6"/>
  <c r="R70" i="6"/>
  <c r="Q70" i="6" s="1"/>
  <c r="S70" i="6" s="1"/>
  <c r="T70" i="6"/>
  <c r="C71" i="6"/>
  <c r="D71" i="6"/>
  <c r="E71" i="6"/>
  <c r="F71" i="6"/>
  <c r="I71" i="6"/>
  <c r="L71" i="6"/>
  <c r="N71" i="6"/>
  <c r="Q71" i="6"/>
  <c r="R71" i="6"/>
  <c r="S71" i="6"/>
  <c r="T71" i="6"/>
  <c r="C72" i="6"/>
  <c r="L72" i="6" s="1"/>
  <c r="D72" i="6"/>
  <c r="E72" i="6"/>
  <c r="F72" i="6"/>
  <c r="I72" i="6"/>
  <c r="N72" i="6"/>
  <c r="R72" i="6"/>
  <c r="Q72" i="6" s="1"/>
  <c r="S72" i="6" s="1"/>
  <c r="T72" i="6"/>
  <c r="C73" i="6"/>
  <c r="D73" i="6"/>
  <c r="E73" i="6"/>
  <c r="F73" i="6"/>
  <c r="I73" i="6"/>
  <c r="L73" i="6"/>
  <c r="N73" i="6"/>
  <c r="Q73" i="6"/>
  <c r="R73" i="6"/>
  <c r="S73" i="6"/>
  <c r="T73" i="6"/>
  <c r="C74" i="6"/>
  <c r="L74" i="6" s="1"/>
  <c r="D74" i="6"/>
  <c r="E74" i="6"/>
  <c r="F74" i="6"/>
  <c r="I74" i="6"/>
  <c r="N74" i="6"/>
  <c r="R74" i="6"/>
  <c r="Q74" i="6" s="1"/>
  <c r="S74" i="6" s="1"/>
  <c r="T74" i="6"/>
  <c r="C75" i="6"/>
  <c r="D75" i="6"/>
  <c r="E75" i="6"/>
  <c r="F75" i="6"/>
  <c r="H75" i="6"/>
  <c r="I75" i="6"/>
  <c r="L75" i="6" s="1"/>
  <c r="N75" i="6"/>
  <c r="Q75" i="6"/>
  <c r="R75" i="6"/>
  <c r="S75" i="6"/>
  <c r="T75" i="6"/>
  <c r="C76" i="6"/>
  <c r="D76" i="6"/>
  <c r="E76" i="6"/>
  <c r="F76" i="6"/>
  <c r="H76" i="6"/>
  <c r="I76" i="6"/>
  <c r="L76" i="6"/>
  <c r="N76" i="6"/>
  <c r="Q76" i="6"/>
  <c r="R76" i="6"/>
  <c r="S76" i="6"/>
  <c r="T76" i="6"/>
  <c r="C77" i="6"/>
  <c r="D77" i="6"/>
  <c r="E77" i="6"/>
  <c r="F77" i="6"/>
  <c r="H77" i="6"/>
  <c r="I77" i="6"/>
  <c r="L77" i="6"/>
  <c r="N77" i="6"/>
  <c r="Q77" i="6"/>
  <c r="R77" i="6"/>
  <c r="S77" i="6"/>
  <c r="T77" i="6"/>
  <c r="C78" i="6"/>
  <c r="D78" i="6"/>
  <c r="E78" i="6"/>
  <c r="F78" i="6"/>
  <c r="H78" i="6"/>
  <c r="I78" i="6"/>
  <c r="L78" i="6"/>
  <c r="N78" i="6"/>
  <c r="Q78" i="6"/>
  <c r="R78" i="6"/>
  <c r="S78" i="6"/>
  <c r="T78" i="6"/>
  <c r="C79" i="6"/>
  <c r="D79" i="6"/>
  <c r="E79" i="6"/>
  <c r="F79" i="6"/>
  <c r="H79" i="6"/>
  <c r="I79" i="6"/>
  <c r="L79" i="6"/>
  <c r="N79" i="6"/>
  <c r="Q79" i="6"/>
  <c r="R79" i="6"/>
  <c r="S79" i="6"/>
  <c r="T79" i="6"/>
  <c r="C80" i="6"/>
  <c r="D80" i="6"/>
  <c r="E80" i="6"/>
  <c r="F80" i="6"/>
  <c r="H80" i="6"/>
  <c r="I80" i="6"/>
  <c r="L80" i="6"/>
  <c r="N80" i="6"/>
  <c r="Q80" i="6"/>
  <c r="R80" i="6"/>
  <c r="S80" i="6"/>
  <c r="T80" i="6"/>
  <c r="C81" i="6"/>
  <c r="D81" i="6"/>
  <c r="E81" i="6"/>
  <c r="F81" i="6"/>
  <c r="H81" i="6"/>
  <c r="I81" i="6"/>
  <c r="L81" i="6"/>
  <c r="N81" i="6"/>
  <c r="Q81" i="6"/>
  <c r="R81" i="6"/>
  <c r="S81" i="6"/>
  <c r="T81" i="6"/>
  <c r="C82" i="6"/>
  <c r="L82" i="6" s="1"/>
  <c r="D82" i="6"/>
  <c r="E82" i="6"/>
  <c r="F82" i="6"/>
  <c r="I82" i="6"/>
  <c r="N82" i="6"/>
  <c r="R82" i="6"/>
  <c r="Q82" i="6" s="1"/>
  <c r="S82" i="6" s="1"/>
  <c r="T82" i="6"/>
  <c r="C83" i="6"/>
  <c r="D83" i="6"/>
  <c r="E83" i="6"/>
  <c r="F83" i="6"/>
  <c r="I83" i="6"/>
  <c r="L83" i="6"/>
  <c r="N83" i="6"/>
  <c r="Q83" i="6"/>
  <c r="R83" i="6"/>
  <c r="S83" i="6"/>
  <c r="T83" i="6"/>
  <c r="C84" i="6"/>
  <c r="L84" i="6" s="1"/>
  <c r="D84" i="6"/>
  <c r="E84" i="6"/>
  <c r="F84" i="6"/>
  <c r="I84" i="6"/>
  <c r="N84" i="6"/>
  <c r="R84" i="6"/>
  <c r="Q84" i="6" s="1"/>
  <c r="S84" i="6" s="1"/>
  <c r="T84" i="6"/>
  <c r="C85" i="6"/>
  <c r="D85" i="6"/>
  <c r="E85" i="6"/>
  <c r="F85" i="6"/>
  <c r="I85" i="6"/>
  <c r="L85" i="6"/>
  <c r="N85" i="6"/>
  <c r="Q85" i="6"/>
  <c r="R85" i="6"/>
  <c r="S85" i="6"/>
  <c r="T85" i="6"/>
  <c r="C86" i="6"/>
  <c r="L86" i="6" s="1"/>
  <c r="D86" i="6"/>
  <c r="E86" i="6"/>
  <c r="F86" i="6"/>
  <c r="I86" i="6"/>
  <c r="N86" i="6"/>
  <c r="R86" i="6"/>
  <c r="Q86" i="6" s="1"/>
  <c r="S86" i="6" s="1"/>
  <c r="T86" i="6"/>
  <c r="C87" i="6"/>
  <c r="D87" i="6"/>
  <c r="L87" i="6" s="1"/>
  <c r="E87" i="6"/>
  <c r="F87" i="6"/>
  <c r="H87" i="6"/>
  <c r="I87" i="6"/>
  <c r="N87" i="6"/>
  <c r="R87" i="6"/>
  <c r="Q87" i="6" s="1"/>
  <c r="S87" i="6" s="1"/>
  <c r="T87" i="6"/>
  <c r="C88" i="6"/>
  <c r="D88" i="6"/>
  <c r="L88" i="6" s="1"/>
  <c r="E88" i="6"/>
  <c r="F88" i="6"/>
  <c r="H88" i="6"/>
  <c r="I88" i="6"/>
  <c r="N88" i="6"/>
  <c r="R88" i="6"/>
  <c r="Q88" i="6" s="1"/>
  <c r="S88" i="6" s="1"/>
  <c r="T88" i="6"/>
  <c r="C89" i="6"/>
  <c r="D89" i="6"/>
  <c r="L89" i="6" s="1"/>
  <c r="E89" i="6"/>
  <c r="F89" i="6"/>
  <c r="H89" i="6"/>
  <c r="I89" i="6"/>
  <c r="N89" i="6"/>
  <c r="R89" i="6"/>
  <c r="Q89" i="6" s="1"/>
  <c r="S89" i="6" s="1"/>
  <c r="T89" i="6"/>
  <c r="C90" i="6"/>
  <c r="D90" i="6"/>
  <c r="L90" i="6" s="1"/>
  <c r="E90" i="6"/>
  <c r="F90" i="6"/>
  <c r="H90" i="6"/>
  <c r="I90" i="6"/>
  <c r="N90" i="6"/>
  <c r="R90" i="6"/>
  <c r="Q90" i="6" s="1"/>
  <c r="S90" i="6" s="1"/>
  <c r="T90" i="6"/>
  <c r="C91" i="6"/>
  <c r="D91" i="6"/>
  <c r="L91" i="6" s="1"/>
  <c r="E91" i="6"/>
  <c r="F91" i="6"/>
  <c r="H91" i="6"/>
  <c r="I91" i="6"/>
  <c r="N91" i="6"/>
  <c r="R91" i="6"/>
  <c r="Q91" i="6" s="1"/>
  <c r="S91" i="6" s="1"/>
  <c r="T91" i="6"/>
  <c r="C92" i="6"/>
  <c r="D92" i="6"/>
  <c r="L92" i="6" s="1"/>
  <c r="E92" i="6"/>
  <c r="F92" i="6"/>
  <c r="H92" i="6"/>
  <c r="I92" i="6"/>
  <c r="N92" i="6"/>
  <c r="R92" i="6"/>
  <c r="Q92" i="6" s="1"/>
  <c r="S92" i="6" s="1"/>
  <c r="T92" i="6"/>
  <c r="C93" i="6"/>
  <c r="D93" i="6"/>
  <c r="L93" i="6" s="1"/>
  <c r="E93" i="6"/>
  <c r="F93" i="6"/>
  <c r="H93" i="6"/>
  <c r="I93" i="6"/>
  <c r="N93" i="6"/>
  <c r="R93" i="6"/>
  <c r="Q93" i="6" s="1"/>
  <c r="S93" i="6" s="1"/>
  <c r="T93" i="6"/>
  <c r="C94" i="6"/>
  <c r="D94" i="6"/>
  <c r="E94" i="6"/>
  <c r="F94" i="6"/>
  <c r="I94" i="6"/>
  <c r="L94" i="6"/>
  <c r="N94" i="6"/>
  <c r="Q94" i="6"/>
  <c r="R94" i="6"/>
  <c r="S94" i="6"/>
  <c r="T94" i="6"/>
  <c r="C95" i="6"/>
  <c r="D95" i="6"/>
  <c r="E95" i="6"/>
  <c r="F95" i="6"/>
  <c r="I95" i="6"/>
  <c r="L95" i="6"/>
  <c r="N95" i="6"/>
  <c r="Q95" i="6"/>
  <c r="R95" i="6"/>
  <c r="S95" i="6"/>
  <c r="T95" i="6"/>
  <c r="C96" i="6"/>
  <c r="D96" i="6"/>
  <c r="E96" i="6"/>
  <c r="F96" i="6"/>
  <c r="I96" i="6"/>
  <c r="L96" i="6" s="1"/>
  <c r="N96" i="6"/>
  <c r="Q96" i="6"/>
  <c r="R96" i="6"/>
  <c r="S96" i="6"/>
  <c r="T96" i="6"/>
  <c r="C97" i="6"/>
  <c r="L97" i="6" s="1"/>
  <c r="D97" i="6"/>
  <c r="E97" i="6"/>
  <c r="F97" i="6"/>
  <c r="I97" i="6"/>
  <c r="N97" i="6"/>
  <c r="R97" i="6"/>
  <c r="Q97" i="6" s="1"/>
  <c r="S97" i="6" s="1"/>
  <c r="T97" i="6"/>
  <c r="C98" i="6"/>
  <c r="D98" i="6"/>
  <c r="E98" i="6"/>
  <c r="F98" i="6"/>
  <c r="I98" i="6"/>
  <c r="L98" i="6"/>
  <c r="N98" i="6"/>
  <c r="Q98" i="6"/>
  <c r="R98" i="6"/>
  <c r="S98" i="6"/>
  <c r="T98" i="6"/>
  <c r="C99" i="6"/>
  <c r="D99" i="6"/>
  <c r="E99" i="6"/>
  <c r="F99" i="6"/>
  <c r="H99" i="6"/>
  <c r="I99" i="6"/>
  <c r="L99" i="6"/>
  <c r="N99" i="6"/>
  <c r="Q99" i="6"/>
  <c r="R99" i="6"/>
  <c r="S99" i="6"/>
  <c r="T99" i="6"/>
  <c r="C100" i="6"/>
  <c r="D100" i="6"/>
  <c r="E100" i="6"/>
  <c r="F100" i="6"/>
  <c r="H100" i="6"/>
  <c r="I100" i="6"/>
  <c r="L100" i="6"/>
  <c r="N100" i="6"/>
  <c r="Q100" i="6"/>
  <c r="R100" i="6"/>
  <c r="S100" i="6"/>
  <c r="T100" i="6"/>
  <c r="C101" i="6"/>
  <c r="D101" i="6"/>
  <c r="E101" i="6"/>
  <c r="F101" i="6"/>
  <c r="H101" i="6"/>
  <c r="I101" i="6"/>
  <c r="L101" i="6"/>
  <c r="N101" i="6"/>
  <c r="Q101" i="6"/>
  <c r="R101" i="6"/>
  <c r="S101" i="6"/>
  <c r="T101" i="6"/>
  <c r="C102" i="6"/>
  <c r="D102" i="6"/>
  <c r="E102" i="6"/>
  <c r="F102" i="6"/>
  <c r="H102" i="6"/>
  <c r="I102" i="6"/>
  <c r="L102" i="6"/>
  <c r="N102" i="6"/>
  <c r="Q102" i="6"/>
  <c r="R102" i="6"/>
  <c r="S102" i="6"/>
  <c r="T102" i="6"/>
  <c r="C103" i="6"/>
  <c r="D103" i="6"/>
  <c r="E103" i="6"/>
  <c r="F103" i="6"/>
  <c r="H103" i="6"/>
  <c r="I103" i="6"/>
  <c r="L103" i="6"/>
  <c r="N103" i="6"/>
  <c r="Q103" i="6"/>
  <c r="R103" i="6"/>
  <c r="S103" i="6"/>
  <c r="T103" i="6"/>
  <c r="C104" i="6"/>
  <c r="D104" i="6"/>
  <c r="E104" i="6"/>
  <c r="F104" i="6"/>
  <c r="H104" i="6"/>
  <c r="I104" i="6"/>
  <c r="L104" i="6"/>
  <c r="N104" i="6"/>
  <c r="Q104" i="6"/>
  <c r="R104" i="6"/>
  <c r="S104" i="6"/>
  <c r="T104" i="6"/>
  <c r="C105" i="6"/>
  <c r="D105" i="6"/>
  <c r="E105" i="6"/>
  <c r="F105" i="6"/>
  <c r="H105" i="6"/>
  <c r="I105" i="6"/>
  <c r="L105" i="6"/>
  <c r="N105" i="6"/>
  <c r="Q105" i="6"/>
  <c r="R105" i="6"/>
  <c r="S105" i="6"/>
  <c r="T105" i="6"/>
  <c r="C106" i="6"/>
  <c r="L106" i="6" s="1"/>
  <c r="D106" i="6"/>
  <c r="E106" i="6"/>
  <c r="F106" i="6"/>
  <c r="I106" i="6"/>
  <c r="N106" i="6"/>
  <c r="R106" i="6"/>
  <c r="Q106" i="6" s="1"/>
  <c r="S106" i="6" s="1"/>
  <c r="T106" i="6"/>
  <c r="C107" i="6"/>
  <c r="D107" i="6"/>
  <c r="E107" i="6"/>
  <c r="F107" i="6"/>
  <c r="I107" i="6"/>
  <c r="L107" i="6"/>
  <c r="N107" i="6"/>
  <c r="Q107" i="6"/>
  <c r="R107" i="6"/>
  <c r="S107" i="6"/>
  <c r="T107" i="6"/>
  <c r="C108" i="6"/>
  <c r="L108" i="6" s="1"/>
  <c r="D108" i="6"/>
  <c r="E108" i="6"/>
  <c r="F108" i="6"/>
  <c r="I108" i="6"/>
  <c r="N108" i="6"/>
  <c r="R108" i="6"/>
  <c r="Q108" i="6" s="1"/>
  <c r="S108" i="6" s="1"/>
  <c r="T108" i="6"/>
  <c r="C109" i="6"/>
  <c r="D109" i="6"/>
  <c r="E109" i="6"/>
  <c r="F109" i="6"/>
  <c r="I109" i="6"/>
  <c r="L109" i="6"/>
  <c r="N109" i="6"/>
  <c r="Q109" i="6"/>
  <c r="R109" i="6"/>
  <c r="S109" i="6"/>
  <c r="T109" i="6"/>
  <c r="C110" i="6"/>
  <c r="L110" i="6" s="1"/>
  <c r="D110" i="6"/>
  <c r="E110" i="6"/>
  <c r="F110" i="6"/>
  <c r="I110" i="6"/>
  <c r="N110" i="6"/>
  <c r="R110" i="6"/>
  <c r="Q110" i="6" s="1"/>
  <c r="S110" i="6" s="1"/>
  <c r="T110" i="6"/>
  <c r="C111" i="6"/>
  <c r="D111" i="6"/>
  <c r="L111" i="6" s="1"/>
  <c r="E111" i="6"/>
  <c r="F111" i="6"/>
  <c r="H111" i="6"/>
  <c r="I111" i="6"/>
  <c r="N111" i="6"/>
  <c r="R111" i="6"/>
  <c r="Q111" i="6" s="1"/>
  <c r="S111" i="6" s="1"/>
  <c r="T111" i="6"/>
  <c r="C112" i="6"/>
  <c r="D112" i="6"/>
  <c r="L112" i="6" s="1"/>
  <c r="E112" i="6"/>
  <c r="F112" i="6"/>
  <c r="H112" i="6"/>
  <c r="I112" i="6"/>
  <c r="N112" i="6"/>
  <c r="R112" i="6"/>
  <c r="Q112" i="6" s="1"/>
  <c r="S112" i="6" s="1"/>
  <c r="T112" i="6"/>
  <c r="C113" i="6"/>
  <c r="D113" i="6"/>
  <c r="L113" i="6" s="1"/>
  <c r="E113" i="6"/>
  <c r="F113" i="6"/>
  <c r="H113" i="6"/>
  <c r="I113" i="6"/>
  <c r="N113" i="6"/>
  <c r="R113" i="6"/>
  <c r="Q113" i="6" s="1"/>
  <c r="S113" i="6" s="1"/>
  <c r="T113" i="6"/>
  <c r="C114" i="6"/>
  <c r="D114" i="6"/>
  <c r="L114" i="6" s="1"/>
  <c r="E114" i="6"/>
  <c r="F114" i="6"/>
  <c r="H114" i="6"/>
  <c r="I114" i="6"/>
  <c r="N114" i="6"/>
  <c r="R114" i="6"/>
  <c r="Q114" i="6" s="1"/>
  <c r="S114" i="6" s="1"/>
  <c r="T114" i="6"/>
  <c r="C115" i="6"/>
  <c r="D115" i="6"/>
  <c r="L115" i="6" s="1"/>
  <c r="E115" i="6"/>
  <c r="F115" i="6"/>
  <c r="H115" i="6"/>
  <c r="I115" i="6"/>
  <c r="N115" i="6"/>
  <c r="R115" i="6"/>
  <c r="Q115" i="6" s="1"/>
  <c r="S115" i="6" s="1"/>
  <c r="T115" i="6"/>
  <c r="C116" i="6"/>
  <c r="D116" i="6"/>
  <c r="L116" i="6" s="1"/>
  <c r="E116" i="6"/>
  <c r="F116" i="6"/>
  <c r="H116" i="6"/>
  <c r="I116" i="6"/>
  <c r="N116" i="6"/>
  <c r="R116" i="6"/>
  <c r="Q116" i="6" s="1"/>
  <c r="S116" i="6" s="1"/>
  <c r="T116" i="6"/>
  <c r="C117" i="6"/>
  <c r="D117" i="6"/>
  <c r="E117" i="6"/>
  <c r="F117" i="6"/>
  <c r="L117" i="6" s="1"/>
  <c r="H117" i="6"/>
  <c r="I117" i="6"/>
  <c r="N117" i="6"/>
  <c r="R117" i="6"/>
  <c r="Q117" i="6" s="1"/>
  <c r="S117" i="6" s="1"/>
  <c r="T117" i="6"/>
  <c r="C118" i="6"/>
  <c r="D118" i="6"/>
  <c r="E118" i="6"/>
  <c r="F118" i="6"/>
  <c r="I118" i="6"/>
  <c r="L118" i="6"/>
  <c r="N118" i="6"/>
  <c r="Q118" i="6"/>
  <c r="R118" i="6"/>
  <c r="S118" i="6"/>
  <c r="T118" i="6"/>
  <c r="C119" i="6"/>
  <c r="L119" i="6" s="1"/>
  <c r="D119" i="6"/>
  <c r="E119" i="6"/>
  <c r="F119" i="6"/>
  <c r="I119" i="6"/>
  <c r="N119" i="6"/>
  <c r="R119" i="6"/>
  <c r="Q119" i="6" s="1"/>
  <c r="S119" i="6" s="1"/>
  <c r="T119" i="6"/>
  <c r="C120" i="6"/>
  <c r="D120" i="6"/>
  <c r="E120" i="6"/>
  <c r="F120" i="6"/>
  <c r="I120" i="6"/>
  <c r="L120" i="6"/>
  <c r="N120" i="6"/>
  <c r="Q120" i="6"/>
  <c r="R120" i="6"/>
  <c r="S120" i="6"/>
  <c r="T120" i="6"/>
  <c r="C121" i="6"/>
  <c r="L121" i="6" s="1"/>
  <c r="D121" i="6"/>
  <c r="E121" i="6"/>
  <c r="F121" i="6"/>
  <c r="I121" i="6"/>
  <c r="N121" i="6"/>
  <c r="R121" i="6"/>
  <c r="Q121" i="6" s="1"/>
  <c r="S121" i="6" s="1"/>
  <c r="T121" i="6"/>
  <c r="C122" i="6"/>
  <c r="D122" i="6"/>
  <c r="E122" i="6"/>
  <c r="F122" i="6"/>
  <c r="I122" i="6"/>
  <c r="L122" i="6"/>
  <c r="N122" i="6"/>
  <c r="Q122" i="6"/>
  <c r="R122" i="6"/>
  <c r="S122" i="6"/>
  <c r="T122" i="6"/>
  <c r="C123" i="6"/>
  <c r="D123" i="6"/>
  <c r="E123" i="6"/>
  <c r="F123" i="6"/>
  <c r="H123" i="6"/>
  <c r="I123" i="6"/>
  <c r="L123" i="6"/>
  <c r="N123" i="6"/>
  <c r="Q123" i="6"/>
  <c r="R123" i="6"/>
  <c r="S123" i="6"/>
  <c r="T123" i="6"/>
  <c r="C124" i="6"/>
  <c r="D124" i="6"/>
  <c r="E124" i="6"/>
  <c r="F124" i="6"/>
  <c r="H124" i="6"/>
  <c r="I124" i="6"/>
  <c r="L124" i="6"/>
  <c r="N124" i="6"/>
  <c r="Q124" i="6"/>
  <c r="R124" i="6"/>
  <c r="S124" i="6"/>
  <c r="T124" i="6"/>
  <c r="C125" i="6"/>
  <c r="D125" i="6"/>
  <c r="E125" i="6"/>
  <c r="F125" i="6"/>
  <c r="H125" i="6"/>
  <c r="I125" i="6"/>
  <c r="L125" i="6"/>
  <c r="N125" i="6"/>
  <c r="Q125" i="6"/>
  <c r="R125" i="6"/>
  <c r="S125" i="6"/>
  <c r="T125" i="6"/>
  <c r="C126" i="6"/>
  <c r="D126" i="6"/>
  <c r="E126" i="6"/>
  <c r="F126" i="6"/>
  <c r="H126" i="6"/>
  <c r="I126" i="6"/>
  <c r="L126" i="6"/>
  <c r="N126" i="6"/>
  <c r="Q126" i="6"/>
  <c r="R126" i="6"/>
  <c r="S126" i="6"/>
  <c r="T126" i="6"/>
  <c r="C127" i="6"/>
  <c r="D127" i="6"/>
  <c r="E127" i="6"/>
  <c r="F127" i="6"/>
  <c r="H127" i="6"/>
  <c r="I127" i="6"/>
  <c r="L127" i="6"/>
  <c r="N127" i="6"/>
  <c r="Q127" i="6"/>
  <c r="R127" i="6"/>
  <c r="S127" i="6"/>
  <c r="T127" i="6"/>
  <c r="C128" i="6"/>
  <c r="D128" i="6"/>
  <c r="E128" i="6"/>
  <c r="F128" i="6"/>
  <c r="H128" i="6"/>
  <c r="I128" i="6"/>
  <c r="L128" i="6"/>
  <c r="N128" i="6"/>
  <c r="Q128" i="6"/>
  <c r="R128" i="6"/>
  <c r="S128" i="6"/>
  <c r="T128" i="6"/>
  <c r="C129" i="6"/>
  <c r="D129" i="6"/>
  <c r="E129" i="6"/>
  <c r="F129" i="6"/>
  <c r="H129" i="6"/>
  <c r="I129" i="6"/>
  <c r="L129" i="6"/>
  <c r="N129" i="6"/>
  <c r="Q129" i="6"/>
  <c r="R129" i="6"/>
  <c r="S129" i="6"/>
  <c r="T129" i="6"/>
  <c r="C130" i="6"/>
  <c r="D130" i="6"/>
  <c r="E130" i="6"/>
  <c r="F130" i="6"/>
  <c r="I130" i="6"/>
  <c r="N130" i="6"/>
  <c r="R130" i="6"/>
  <c r="Q130" i="6" s="1"/>
  <c r="S130" i="6"/>
  <c r="T130" i="6"/>
  <c r="C131" i="6"/>
  <c r="D131" i="6"/>
  <c r="E131" i="6"/>
  <c r="F131" i="6"/>
  <c r="I131" i="6"/>
  <c r="L131" i="6" s="1"/>
  <c r="N131" i="6"/>
  <c r="R131" i="6"/>
  <c r="Q131" i="6" s="1"/>
  <c r="S131" i="6" s="1"/>
  <c r="T131" i="6"/>
  <c r="C132" i="6"/>
  <c r="D132" i="6"/>
  <c r="E132" i="6"/>
  <c r="F132" i="6"/>
  <c r="I132" i="6"/>
  <c r="L132" i="6" s="1"/>
  <c r="N132" i="6"/>
  <c r="Q132" i="6"/>
  <c r="R132" i="6"/>
  <c r="S132" i="6"/>
  <c r="T132" i="6"/>
  <c r="C133" i="6"/>
  <c r="D133" i="6"/>
  <c r="E133" i="6"/>
  <c r="F133" i="6"/>
  <c r="I133" i="6"/>
  <c r="L133" i="6" s="1"/>
  <c r="N133" i="6"/>
  <c r="R133" i="6"/>
  <c r="Q133" i="6" s="1"/>
  <c r="S133" i="6" s="1"/>
  <c r="T133" i="6"/>
  <c r="C134" i="6"/>
  <c r="D134" i="6"/>
  <c r="E134" i="6"/>
  <c r="F134" i="6"/>
  <c r="I134" i="6"/>
  <c r="L134" i="6"/>
  <c r="N134" i="6"/>
  <c r="Q134" i="6"/>
  <c r="R134" i="6"/>
  <c r="S134" i="6"/>
  <c r="T134" i="6"/>
  <c r="C135" i="6"/>
  <c r="D135" i="6"/>
  <c r="E135" i="6"/>
  <c r="F135" i="6"/>
  <c r="H135" i="6"/>
  <c r="I135" i="6"/>
  <c r="L135" i="6"/>
  <c r="N135" i="6"/>
  <c r="Q135" i="6"/>
  <c r="R135" i="6"/>
  <c r="S135" i="6"/>
  <c r="T135" i="6"/>
  <c r="C136" i="6"/>
  <c r="D136" i="6"/>
  <c r="E136" i="6"/>
  <c r="F136" i="6"/>
  <c r="H136" i="6"/>
  <c r="I136" i="6"/>
  <c r="L136" i="6"/>
  <c r="N136" i="6"/>
  <c r="Q136" i="6"/>
  <c r="R136" i="6"/>
  <c r="S136" i="6"/>
  <c r="T136" i="6"/>
  <c r="C137" i="6"/>
  <c r="D137" i="6"/>
  <c r="E137" i="6"/>
  <c r="F137" i="6"/>
  <c r="H137" i="6"/>
  <c r="I137" i="6"/>
  <c r="L137" i="6"/>
  <c r="N137" i="6"/>
  <c r="Q137" i="6"/>
  <c r="R137" i="6"/>
  <c r="S137" i="6"/>
  <c r="T137" i="6"/>
  <c r="C138" i="6"/>
  <c r="D138" i="6"/>
  <c r="E138" i="6"/>
  <c r="F138" i="6"/>
  <c r="H138" i="6"/>
  <c r="I138" i="6"/>
  <c r="L138" i="6"/>
  <c r="N138" i="6"/>
  <c r="Q138" i="6"/>
  <c r="R138" i="6"/>
  <c r="S138" i="6"/>
  <c r="T138" i="6"/>
  <c r="C139" i="6"/>
  <c r="D139" i="6"/>
  <c r="E139" i="6"/>
  <c r="F139" i="6"/>
  <c r="H139" i="6"/>
  <c r="I139" i="6"/>
  <c r="L139" i="6"/>
  <c r="N139" i="6"/>
  <c r="Q139" i="6"/>
  <c r="R139" i="6"/>
  <c r="S139" i="6"/>
  <c r="T139" i="6"/>
  <c r="C140" i="6"/>
  <c r="D140" i="6"/>
  <c r="E140" i="6"/>
  <c r="F140" i="6"/>
  <c r="H140" i="6"/>
  <c r="I140" i="6"/>
  <c r="L140" i="6"/>
  <c r="N140" i="6"/>
  <c r="Q140" i="6"/>
  <c r="R140" i="6"/>
  <c r="S140" i="6"/>
  <c r="T140" i="6"/>
  <c r="C141" i="6"/>
  <c r="D141" i="6"/>
  <c r="E141" i="6"/>
  <c r="F141" i="6"/>
  <c r="H141" i="6"/>
  <c r="I141" i="6"/>
  <c r="L141" i="6"/>
  <c r="N141" i="6"/>
  <c r="Q141" i="6"/>
  <c r="R141" i="6"/>
  <c r="S141" i="6"/>
  <c r="T141" i="6"/>
  <c r="C142" i="6"/>
  <c r="L142" i="6" s="1"/>
  <c r="D142" i="6"/>
  <c r="E142" i="6"/>
  <c r="F142" i="6"/>
  <c r="I142" i="6"/>
  <c r="N142" i="6"/>
  <c r="R142" i="6"/>
  <c r="Q142" i="6" s="1"/>
  <c r="S142" i="6" s="1"/>
  <c r="T142" i="6"/>
  <c r="C143" i="6"/>
  <c r="D143" i="6"/>
  <c r="E143" i="6"/>
  <c r="F143" i="6"/>
  <c r="I143" i="6"/>
  <c r="L143" i="6"/>
  <c r="N143" i="6"/>
  <c r="Q143" i="6"/>
  <c r="R143" i="6"/>
  <c r="S143" i="6"/>
  <c r="T143" i="6"/>
  <c r="C144" i="6"/>
  <c r="L144" i="6" s="1"/>
  <c r="D144" i="6"/>
  <c r="E144" i="6"/>
  <c r="F144" i="6"/>
  <c r="I144" i="6"/>
  <c r="N144" i="6"/>
  <c r="R144" i="6"/>
  <c r="Q144" i="6" s="1"/>
  <c r="S144" i="6" s="1"/>
  <c r="T144" i="6"/>
  <c r="C145" i="6"/>
  <c r="D145" i="6"/>
  <c r="E145" i="6"/>
  <c r="F145" i="6"/>
  <c r="I145" i="6"/>
  <c r="L145" i="6"/>
  <c r="N145" i="6"/>
  <c r="Q145" i="6"/>
  <c r="R145" i="6"/>
  <c r="S145" i="6"/>
  <c r="T145" i="6"/>
  <c r="C146" i="6"/>
  <c r="L146" i="6" s="1"/>
  <c r="D146" i="6"/>
  <c r="E146" i="6"/>
  <c r="F146" i="6"/>
  <c r="I146" i="6"/>
  <c r="N146" i="6"/>
  <c r="R146" i="6"/>
  <c r="Q146" i="6" s="1"/>
  <c r="S146" i="6" s="1"/>
  <c r="T146" i="6"/>
  <c r="C147" i="6"/>
  <c r="D147" i="6"/>
  <c r="L147" i="6" s="1"/>
  <c r="E147" i="6"/>
  <c r="F147" i="6"/>
  <c r="H147" i="6"/>
  <c r="I147" i="6"/>
  <c r="N147" i="6"/>
  <c r="R147" i="6"/>
  <c r="Q147" i="6" s="1"/>
  <c r="S147" i="6" s="1"/>
  <c r="T147" i="6"/>
  <c r="C148" i="6"/>
  <c r="D148" i="6"/>
  <c r="L148" i="6" s="1"/>
  <c r="E148" i="6"/>
  <c r="F148" i="6"/>
  <c r="H148" i="6"/>
  <c r="I148" i="6"/>
  <c r="N148" i="6"/>
  <c r="R148" i="6"/>
  <c r="Q148" i="6" s="1"/>
  <c r="S148" i="6" s="1"/>
  <c r="T148" i="6"/>
  <c r="C149" i="6"/>
  <c r="D149" i="6"/>
  <c r="L149" i="6" s="1"/>
  <c r="E149" i="6"/>
  <c r="F149" i="6"/>
  <c r="H149" i="6"/>
  <c r="I149" i="6"/>
  <c r="N149" i="6"/>
  <c r="R149" i="6"/>
  <c r="Q149" i="6" s="1"/>
  <c r="S149" i="6" s="1"/>
  <c r="T149" i="6"/>
  <c r="C150" i="6"/>
  <c r="D150" i="6"/>
  <c r="E150" i="6"/>
  <c r="F150" i="6"/>
  <c r="L150" i="6" s="1"/>
  <c r="H150" i="6"/>
  <c r="I150" i="6"/>
  <c r="N150" i="6"/>
  <c r="R150" i="6"/>
  <c r="Q150" i="6" s="1"/>
  <c r="S150" i="6" s="1"/>
  <c r="T150" i="6"/>
  <c r="C151" i="6"/>
  <c r="D151" i="6"/>
  <c r="E151" i="6"/>
  <c r="F151" i="6"/>
  <c r="H151" i="6"/>
  <c r="I151" i="6"/>
  <c r="L151" i="6"/>
  <c r="N151" i="6"/>
  <c r="Q151" i="6"/>
  <c r="R151" i="6"/>
  <c r="S151" i="6"/>
  <c r="T151" i="6"/>
  <c r="C152" i="6"/>
  <c r="D152" i="6"/>
  <c r="E152" i="6"/>
  <c r="F152" i="6"/>
  <c r="H152" i="6"/>
  <c r="I152" i="6"/>
  <c r="L152" i="6"/>
  <c r="N152" i="6"/>
  <c r="Q152" i="6"/>
  <c r="R152" i="6"/>
  <c r="S152" i="6"/>
  <c r="T152" i="6"/>
  <c r="C153" i="6"/>
  <c r="D153" i="6"/>
  <c r="E153" i="6"/>
  <c r="F153" i="6"/>
  <c r="H153" i="6"/>
  <c r="I153" i="6"/>
  <c r="L153" i="6"/>
  <c r="N153" i="6"/>
  <c r="Q153" i="6"/>
  <c r="R153" i="6"/>
  <c r="S153" i="6"/>
  <c r="T153" i="6"/>
  <c r="C154" i="6"/>
  <c r="L154" i="6" s="1"/>
  <c r="D154" i="6"/>
  <c r="E154" i="6"/>
  <c r="F154" i="6"/>
  <c r="I154" i="6"/>
  <c r="N154" i="6"/>
  <c r="R154" i="6"/>
  <c r="Q154" i="6" s="1"/>
  <c r="S154" i="6" s="1"/>
  <c r="T154" i="6"/>
  <c r="C155" i="6"/>
  <c r="D155" i="6"/>
  <c r="E155" i="6"/>
  <c r="F155" i="6"/>
  <c r="I155" i="6"/>
  <c r="L155" i="6"/>
  <c r="N155" i="6"/>
  <c r="Q155" i="6"/>
  <c r="R155" i="6"/>
  <c r="S155" i="6"/>
  <c r="T155" i="6"/>
  <c r="C156" i="6"/>
  <c r="L156" i="6" s="1"/>
  <c r="D156" i="6"/>
  <c r="E156" i="6"/>
  <c r="F156" i="6"/>
  <c r="I156" i="6"/>
  <c r="N156" i="6"/>
  <c r="R156" i="6"/>
  <c r="Q156" i="6" s="1"/>
  <c r="S156" i="6" s="1"/>
  <c r="T156" i="6"/>
  <c r="C157" i="6"/>
  <c r="D157" i="6"/>
  <c r="E157" i="6"/>
  <c r="F157" i="6"/>
  <c r="I157" i="6"/>
  <c r="L157" i="6"/>
  <c r="N157" i="6"/>
  <c r="Q157" i="6"/>
  <c r="R157" i="6"/>
  <c r="S157" i="6"/>
  <c r="T157" i="6"/>
  <c r="C158" i="6"/>
  <c r="L158" i="6" s="1"/>
  <c r="D158" i="6"/>
  <c r="E158" i="6"/>
  <c r="F158" i="6"/>
  <c r="I158" i="6"/>
  <c r="N158" i="6"/>
  <c r="R158" i="6"/>
  <c r="Q158" i="6" s="1"/>
  <c r="S158" i="6" s="1"/>
  <c r="T158" i="6"/>
  <c r="C159" i="6"/>
  <c r="D159" i="6"/>
  <c r="L159" i="6" s="1"/>
  <c r="E159" i="6"/>
  <c r="F159" i="6"/>
  <c r="H159" i="6"/>
  <c r="I159" i="6"/>
  <c r="N159" i="6"/>
  <c r="R159" i="6"/>
  <c r="Q159" i="6" s="1"/>
  <c r="S159" i="6" s="1"/>
  <c r="T159" i="6"/>
  <c r="C160" i="6"/>
  <c r="D160" i="6"/>
  <c r="L160" i="6" s="1"/>
  <c r="E160" i="6"/>
  <c r="F160" i="6"/>
  <c r="H160" i="6"/>
  <c r="I160" i="6"/>
  <c r="N160" i="6"/>
  <c r="R160" i="6"/>
  <c r="Q160" i="6" s="1"/>
  <c r="S160" i="6" s="1"/>
  <c r="T160" i="6"/>
  <c r="C161" i="6"/>
  <c r="D161" i="6"/>
  <c r="L161" i="6" s="1"/>
  <c r="E161" i="6"/>
  <c r="F161" i="6"/>
  <c r="H161" i="6"/>
  <c r="I161" i="6"/>
  <c r="N161" i="6"/>
  <c r="R161" i="6"/>
  <c r="Q161" i="6" s="1"/>
  <c r="S161" i="6" s="1"/>
  <c r="T161" i="6"/>
  <c r="C162" i="6"/>
  <c r="D162" i="6"/>
  <c r="L162" i="6" s="1"/>
  <c r="E162" i="6"/>
  <c r="F162" i="6"/>
  <c r="H162" i="6"/>
  <c r="I162" i="6"/>
  <c r="N162" i="6"/>
  <c r="R162" i="6"/>
  <c r="Q162" i="6" s="1"/>
  <c r="S162" i="6" s="1"/>
  <c r="T162" i="6"/>
  <c r="C163" i="6"/>
  <c r="D163" i="6"/>
  <c r="L163" i="6" s="1"/>
  <c r="E163" i="6"/>
  <c r="F163" i="6"/>
  <c r="H163" i="6"/>
  <c r="I163" i="6"/>
  <c r="N163" i="6"/>
  <c r="R163" i="6"/>
  <c r="Q163" i="6" s="1"/>
  <c r="S163" i="6" s="1"/>
  <c r="T163" i="6"/>
  <c r="C164" i="6"/>
  <c r="D164" i="6"/>
  <c r="L164" i="6" s="1"/>
  <c r="E164" i="6"/>
  <c r="F164" i="6"/>
  <c r="H164" i="6"/>
  <c r="I164" i="6"/>
  <c r="N164" i="6"/>
  <c r="R164" i="6"/>
  <c r="Q164" i="6" s="1"/>
  <c r="S164" i="6" s="1"/>
  <c r="T164" i="6"/>
  <c r="C165" i="6"/>
  <c r="D165" i="6"/>
  <c r="E165" i="6"/>
  <c r="F165" i="6"/>
  <c r="L165" i="6" s="1"/>
  <c r="H165" i="6"/>
  <c r="I165" i="6"/>
  <c r="N165" i="6"/>
  <c r="R165" i="6"/>
  <c r="Q165" i="6" s="1"/>
  <c r="S165" i="6" s="1"/>
  <c r="T165" i="6"/>
  <c r="C166" i="6"/>
  <c r="D166" i="6"/>
  <c r="E166" i="6"/>
  <c r="F166" i="6"/>
  <c r="I166" i="6"/>
  <c r="L166" i="6"/>
  <c r="N166" i="6"/>
  <c r="Q166" i="6"/>
  <c r="R166" i="6"/>
  <c r="S166" i="6"/>
  <c r="T166" i="6"/>
  <c r="C167" i="6"/>
  <c r="L167" i="6" s="1"/>
  <c r="D167" i="6"/>
  <c r="E167" i="6"/>
  <c r="F167" i="6"/>
  <c r="I167" i="6"/>
  <c r="N167" i="6"/>
  <c r="R167" i="6"/>
  <c r="Q167" i="6" s="1"/>
  <c r="S167" i="6" s="1"/>
  <c r="T167" i="6"/>
  <c r="C168" i="6"/>
  <c r="D168" i="6"/>
  <c r="E168" i="6"/>
  <c r="F168" i="6"/>
  <c r="I168" i="6"/>
  <c r="L168" i="6"/>
  <c r="N168" i="6"/>
  <c r="Q168" i="6"/>
  <c r="R168" i="6"/>
  <c r="S168" i="6"/>
  <c r="T168" i="6"/>
  <c r="C169" i="6"/>
  <c r="L169" i="6" s="1"/>
  <c r="D169" i="6"/>
  <c r="E169" i="6"/>
  <c r="F169" i="6"/>
  <c r="I169" i="6"/>
  <c r="N169" i="6"/>
  <c r="R169" i="6"/>
  <c r="Q169" i="6" s="1"/>
  <c r="S169" i="6" s="1"/>
  <c r="T169" i="6"/>
  <c r="C170" i="6"/>
  <c r="D170" i="6"/>
  <c r="E170" i="6"/>
  <c r="F170" i="6"/>
  <c r="I170" i="6"/>
  <c r="L170" i="6"/>
  <c r="N170" i="6"/>
  <c r="Q170" i="6"/>
  <c r="R170" i="6"/>
  <c r="S170" i="6"/>
  <c r="T170" i="6"/>
  <c r="C171" i="6"/>
  <c r="D171" i="6"/>
  <c r="E171" i="6"/>
  <c r="F171" i="6"/>
  <c r="H171" i="6"/>
  <c r="I171" i="6"/>
  <c r="L171" i="6"/>
  <c r="N171" i="6"/>
  <c r="Q171" i="6"/>
  <c r="R171" i="6"/>
  <c r="S171" i="6"/>
  <c r="T171" i="6"/>
  <c r="C172" i="6"/>
  <c r="D172" i="6"/>
  <c r="E172" i="6"/>
  <c r="F172" i="6"/>
  <c r="H172" i="6"/>
  <c r="I172" i="6"/>
  <c r="L172" i="6"/>
  <c r="N172" i="6"/>
  <c r="Q172" i="6"/>
  <c r="R172" i="6"/>
  <c r="S172" i="6"/>
  <c r="T172" i="6"/>
  <c r="C173" i="6"/>
  <c r="D173" i="6"/>
  <c r="E173" i="6"/>
  <c r="F173" i="6"/>
  <c r="H173" i="6"/>
  <c r="I173" i="6"/>
  <c r="L173" i="6"/>
  <c r="N173" i="6"/>
  <c r="Q173" i="6"/>
  <c r="R173" i="6"/>
  <c r="S173" i="6"/>
  <c r="T173" i="6"/>
  <c r="C174" i="6"/>
  <c r="D174" i="6"/>
  <c r="E174" i="6"/>
  <c r="F174" i="6"/>
  <c r="H174" i="6"/>
  <c r="I174" i="6"/>
  <c r="L174" i="6"/>
  <c r="N174" i="6"/>
  <c r="Q174" i="6"/>
  <c r="R174" i="6"/>
  <c r="S174" i="6"/>
  <c r="T174" i="6"/>
  <c r="C175" i="6"/>
  <c r="D175" i="6"/>
  <c r="E175" i="6"/>
  <c r="F175" i="6"/>
  <c r="H175" i="6"/>
  <c r="I175" i="6"/>
  <c r="L175" i="6"/>
  <c r="N175" i="6"/>
  <c r="Q175" i="6"/>
  <c r="R175" i="6"/>
  <c r="S175" i="6"/>
  <c r="T175" i="6"/>
  <c r="C176" i="6"/>
  <c r="D176" i="6"/>
  <c r="E176" i="6"/>
  <c r="F176" i="6"/>
  <c r="H176" i="6"/>
  <c r="I176" i="6"/>
  <c r="L176" i="6"/>
  <c r="N176" i="6"/>
  <c r="Q176" i="6"/>
  <c r="R176" i="6"/>
  <c r="S176" i="6"/>
  <c r="T176" i="6"/>
  <c r="C177" i="6"/>
  <c r="D177" i="6"/>
  <c r="E177" i="6"/>
  <c r="F177" i="6"/>
  <c r="H177" i="6"/>
  <c r="I177" i="6"/>
  <c r="L177" i="6"/>
  <c r="N177" i="6"/>
  <c r="Q177" i="6"/>
  <c r="R177" i="6"/>
  <c r="S177" i="6"/>
  <c r="T177" i="6"/>
  <c r="C178" i="6"/>
  <c r="L178" i="6" s="1"/>
  <c r="D178" i="6"/>
  <c r="E178" i="6"/>
  <c r="F178" i="6"/>
  <c r="I178" i="6"/>
  <c r="N178" i="6"/>
  <c r="R178" i="6"/>
  <c r="Q178" i="6" s="1"/>
  <c r="S178" i="6" s="1"/>
  <c r="T178" i="6"/>
  <c r="C179" i="6"/>
  <c r="D179" i="6"/>
  <c r="E179" i="6"/>
  <c r="F179" i="6"/>
  <c r="I179" i="6"/>
  <c r="L179" i="6"/>
  <c r="N179" i="6"/>
  <c r="Q179" i="6"/>
  <c r="R179" i="6"/>
  <c r="S179" i="6"/>
  <c r="T179" i="6"/>
  <c r="C180" i="6"/>
  <c r="L180" i="6" s="1"/>
  <c r="D180" i="6"/>
  <c r="E180" i="6"/>
  <c r="F180" i="6"/>
  <c r="I180" i="6"/>
  <c r="N180" i="6"/>
  <c r="R180" i="6"/>
  <c r="Q180" i="6" s="1"/>
  <c r="S180" i="6" s="1"/>
  <c r="T180" i="6"/>
  <c r="C181" i="6"/>
  <c r="D181" i="6"/>
  <c r="E181" i="6"/>
  <c r="F181" i="6"/>
  <c r="I181" i="6"/>
  <c r="L181" i="6"/>
  <c r="N181" i="6"/>
  <c r="Q181" i="6"/>
  <c r="R181" i="6"/>
  <c r="S181" i="6"/>
  <c r="T181" i="6"/>
  <c r="C182" i="6"/>
  <c r="L182" i="6" s="1"/>
  <c r="D182" i="6"/>
  <c r="E182" i="6"/>
  <c r="F182" i="6"/>
  <c r="I182" i="6"/>
  <c r="N182" i="6"/>
  <c r="R182" i="6"/>
  <c r="Q182" i="6" s="1"/>
  <c r="S182" i="6" s="1"/>
  <c r="T182" i="6"/>
  <c r="C183" i="6"/>
  <c r="D183" i="6"/>
  <c r="L183" i="6" s="1"/>
  <c r="E183" i="6"/>
  <c r="F183" i="6"/>
  <c r="H183" i="6"/>
  <c r="I183" i="6"/>
  <c r="N183" i="6"/>
  <c r="R183" i="6"/>
  <c r="Q183" i="6" s="1"/>
  <c r="S183" i="6" s="1"/>
  <c r="T183" i="6"/>
  <c r="C184" i="6"/>
  <c r="D184" i="6"/>
  <c r="L184" i="6" s="1"/>
  <c r="E184" i="6"/>
  <c r="F184" i="6"/>
  <c r="H184" i="6"/>
  <c r="I184" i="6"/>
  <c r="N184" i="6"/>
  <c r="R184" i="6"/>
  <c r="Q184" i="6" s="1"/>
  <c r="S184" i="6" s="1"/>
  <c r="T184" i="6"/>
  <c r="C185" i="6"/>
  <c r="D185" i="6"/>
  <c r="L185" i="6" s="1"/>
  <c r="E185" i="6"/>
  <c r="F185" i="6"/>
  <c r="H185" i="6"/>
  <c r="I185" i="6"/>
  <c r="N185" i="6"/>
  <c r="R185" i="6"/>
  <c r="Q185" i="6" s="1"/>
  <c r="S185" i="6" s="1"/>
  <c r="T185" i="6"/>
  <c r="C186" i="6"/>
  <c r="D186" i="6"/>
  <c r="L186" i="6" s="1"/>
  <c r="E186" i="6"/>
  <c r="F186" i="6"/>
  <c r="H186" i="6"/>
  <c r="I186" i="6"/>
  <c r="N186" i="6"/>
  <c r="R186" i="6"/>
  <c r="Q186" i="6" s="1"/>
  <c r="S186" i="6" s="1"/>
  <c r="T186" i="6"/>
  <c r="C187" i="6"/>
  <c r="D187" i="6"/>
  <c r="L187" i="6" s="1"/>
  <c r="E187" i="6"/>
  <c r="F187" i="6"/>
  <c r="H187" i="6"/>
  <c r="I187" i="6"/>
  <c r="N187" i="6"/>
  <c r="R187" i="6"/>
  <c r="Q187" i="6" s="1"/>
  <c r="S187" i="6" s="1"/>
  <c r="T187" i="6"/>
  <c r="C188" i="6"/>
  <c r="D188" i="6"/>
  <c r="L188" i="6" s="1"/>
  <c r="E188" i="6"/>
  <c r="F188" i="6"/>
  <c r="H188" i="6"/>
  <c r="I188" i="6"/>
  <c r="N188" i="6"/>
  <c r="R188" i="6"/>
  <c r="Q188" i="6" s="1"/>
  <c r="S188" i="6" s="1"/>
  <c r="T188" i="6"/>
  <c r="C189" i="6"/>
  <c r="D189" i="6"/>
  <c r="L189" i="6" s="1"/>
  <c r="E189" i="6"/>
  <c r="F189" i="6"/>
  <c r="H189" i="6"/>
  <c r="I189" i="6"/>
  <c r="N189" i="6"/>
  <c r="R189" i="6"/>
  <c r="Q189" i="6" s="1"/>
  <c r="S189" i="6" s="1"/>
  <c r="T189" i="6"/>
  <c r="C190" i="6"/>
  <c r="D190" i="6"/>
  <c r="E190" i="6"/>
  <c r="F190" i="6"/>
  <c r="I190" i="6"/>
  <c r="L190" i="6"/>
  <c r="N190" i="6"/>
  <c r="Q190" i="6"/>
  <c r="R190" i="6"/>
  <c r="S190" i="6"/>
  <c r="T190" i="6"/>
  <c r="C191" i="6"/>
  <c r="L191" i="6" s="1"/>
  <c r="D191" i="6"/>
  <c r="E191" i="6"/>
  <c r="F191" i="6"/>
  <c r="I191" i="6"/>
  <c r="N191" i="6"/>
  <c r="R191" i="6"/>
  <c r="Q191" i="6" s="1"/>
  <c r="S191" i="6" s="1"/>
  <c r="T191" i="6"/>
  <c r="C192" i="6"/>
  <c r="D192" i="6"/>
  <c r="E192" i="6"/>
  <c r="F192" i="6"/>
  <c r="I192" i="6"/>
  <c r="L192" i="6"/>
  <c r="N192" i="6"/>
  <c r="Q192" i="6"/>
  <c r="R192" i="6"/>
  <c r="S192" i="6"/>
  <c r="T192" i="6"/>
  <c r="C193" i="6"/>
  <c r="L193" i="6" s="1"/>
  <c r="D193" i="6"/>
  <c r="E193" i="6"/>
  <c r="F193" i="6"/>
  <c r="I193" i="6"/>
  <c r="N193" i="6"/>
  <c r="R193" i="6"/>
  <c r="Q193" i="6" s="1"/>
  <c r="S193" i="6" s="1"/>
  <c r="T193" i="6"/>
  <c r="C194" i="6"/>
  <c r="D194" i="6"/>
  <c r="E194" i="6"/>
  <c r="F194" i="6"/>
  <c r="I194" i="6"/>
  <c r="L194" i="6"/>
  <c r="N194" i="6"/>
  <c r="Q194" i="6"/>
  <c r="R194" i="6"/>
  <c r="S194" i="6"/>
  <c r="T194" i="6"/>
  <c r="C195" i="6"/>
  <c r="D195" i="6"/>
  <c r="E195" i="6"/>
  <c r="F195" i="6"/>
  <c r="H195" i="6"/>
  <c r="I195" i="6"/>
  <c r="L195" i="6"/>
  <c r="N195" i="6"/>
  <c r="Q195" i="6"/>
  <c r="R195" i="6"/>
  <c r="S195" i="6"/>
  <c r="T195" i="6"/>
  <c r="C196" i="6"/>
  <c r="D196" i="6"/>
  <c r="E196" i="6"/>
  <c r="F196" i="6"/>
  <c r="H196" i="6"/>
  <c r="I196" i="6"/>
  <c r="L196" i="6"/>
  <c r="N196" i="6"/>
  <c r="Q196" i="6"/>
  <c r="R196" i="6"/>
  <c r="S196" i="6"/>
  <c r="T196" i="6"/>
  <c r="C197" i="6"/>
  <c r="D197" i="6"/>
  <c r="E197" i="6"/>
  <c r="F197" i="6"/>
  <c r="H197" i="6"/>
  <c r="I197" i="6"/>
  <c r="L197" i="6"/>
  <c r="N197" i="6"/>
  <c r="Q197" i="6"/>
  <c r="R197" i="6"/>
  <c r="S197" i="6"/>
  <c r="T197" i="6"/>
  <c r="C198" i="6"/>
  <c r="D198" i="6"/>
  <c r="E198" i="6"/>
  <c r="F198" i="6"/>
  <c r="H198" i="6"/>
  <c r="I198" i="6"/>
  <c r="L198" i="6"/>
  <c r="N198" i="6"/>
  <c r="Q198" i="6"/>
  <c r="R198" i="6"/>
  <c r="S198" i="6"/>
  <c r="T198" i="6"/>
  <c r="C199" i="6"/>
  <c r="D199" i="6"/>
  <c r="E199" i="6"/>
  <c r="F199" i="6"/>
  <c r="H199" i="6"/>
  <c r="I199" i="6"/>
  <c r="L199" i="6"/>
  <c r="N199" i="6"/>
  <c r="Q199" i="6"/>
  <c r="R199" i="6"/>
  <c r="S199" i="6"/>
  <c r="T199" i="6"/>
  <c r="C200" i="6"/>
  <c r="D200" i="6"/>
  <c r="E200" i="6"/>
  <c r="F200" i="6"/>
  <c r="H200" i="6"/>
  <c r="I200" i="6"/>
  <c r="L200" i="6"/>
  <c r="N200" i="6"/>
  <c r="Q200" i="6"/>
  <c r="R200" i="6"/>
  <c r="S200" i="6"/>
  <c r="T200" i="6"/>
  <c r="C201" i="6"/>
  <c r="D201" i="6"/>
  <c r="E201" i="6"/>
  <c r="F201" i="6"/>
  <c r="H201" i="6"/>
  <c r="I201" i="6"/>
  <c r="L201" i="6"/>
  <c r="N201" i="6"/>
  <c r="Q201" i="6"/>
  <c r="R201" i="6"/>
  <c r="S201" i="6"/>
  <c r="T201" i="6"/>
  <c r="C202" i="6"/>
  <c r="L202" i="6" s="1"/>
  <c r="D202" i="6"/>
  <c r="E202" i="6"/>
  <c r="F202" i="6"/>
  <c r="I202" i="6"/>
  <c r="N202" i="6"/>
  <c r="R202" i="6"/>
  <c r="Q202" i="6" s="1"/>
  <c r="S202" i="6" s="1"/>
  <c r="T202" i="6"/>
  <c r="C203" i="6"/>
  <c r="D203" i="6"/>
  <c r="E203" i="6"/>
  <c r="F203" i="6"/>
  <c r="I203" i="6"/>
  <c r="L203" i="6"/>
  <c r="N203" i="6"/>
  <c r="Q203" i="6"/>
  <c r="R203" i="6"/>
  <c r="S203" i="6"/>
  <c r="T203" i="6"/>
  <c r="C204" i="6"/>
  <c r="L204" i="6" s="1"/>
  <c r="D204" i="6"/>
  <c r="E204" i="6"/>
  <c r="F204" i="6"/>
  <c r="I204" i="6"/>
  <c r="N204" i="6"/>
  <c r="R204" i="6"/>
  <c r="Q204" i="6" s="1"/>
  <c r="S204" i="6" s="1"/>
  <c r="T204" i="6"/>
  <c r="C205" i="6"/>
  <c r="D205" i="6"/>
  <c r="E205" i="6"/>
  <c r="F205" i="6"/>
  <c r="I205" i="6"/>
  <c r="L205" i="6"/>
  <c r="N205" i="6"/>
  <c r="Q205" i="6"/>
  <c r="R205" i="6"/>
  <c r="S205" i="6"/>
  <c r="T205" i="6"/>
  <c r="C206" i="6"/>
  <c r="L206" i="6" s="1"/>
  <c r="D206" i="6"/>
  <c r="E206" i="6"/>
  <c r="F206" i="6"/>
  <c r="I206" i="6"/>
  <c r="N206" i="6"/>
  <c r="R206" i="6"/>
  <c r="Q206" i="6" s="1"/>
  <c r="S206" i="6" s="1"/>
  <c r="T206" i="6"/>
  <c r="C207" i="6"/>
  <c r="D207" i="6"/>
  <c r="L207" i="6" s="1"/>
  <c r="E207" i="6"/>
  <c r="F207" i="6"/>
  <c r="H207" i="6"/>
  <c r="I207" i="6"/>
  <c r="N207" i="6"/>
  <c r="R207" i="6"/>
  <c r="Q207" i="6" s="1"/>
  <c r="S207" i="6" s="1"/>
  <c r="T207" i="6"/>
  <c r="C208" i="6"/>
  <c r="D208" i="6"/>
  <c r="L208" i="6" s="1"/>
  <c r="E208" i="6"/>
  <c r="F208" i="6"/>
  <c r="H208" i="6"/>
  <c r="I208" i="6"/>
  <c r="N208" i="6"/>
  <c r="R208" i="6"/>
  <c r="Q208" i="6" s="1"/>
  <c r="S208" i="6" s="1"/>
  <c r="T208" i="6"/>
  <c r="C209" i="6"/>
  <c r="D209" i="6"/>
  <c r="L209" i="6" s="1"/>
  <c r="E209" i="6"/>
  <c r="F209" i="6"/>
  <c r="H209" i="6"/>
  <c r="I209" i="6"/>
  <c r="N209" i="6"/>
  <c r="R209" i="6"/>
  <c r="Q209" i="6" s="1"/>
  <c r="S209" i="6" s="1"/>
  <c r="T209" i="6"/>
  <c r="C210" i="6"/>
  <c r="D210" i="6"/>
  <c r="L210" i="6" s="1"/>
  <c r="E210" i="6"/>
  <c r="F210" i="6"/>
  <c r="H210" i="6"/>
  <c r="I210" i="6"/>
  <c r="N210" i="6"/>
  <c r="R210" i="6"/>
  <c r="Q210" i="6" s="1"/>
  <c r="S210" i="6" s="1"/>
  <c r="T210" i="6"/>
  <c r="C211" i="6"/>
  <c r="D211" i="6"/>
  <c r="L211" i="6" s="1"/>
  <c r="E211" i="6"/>
  <c r="F211" i="6"/>
  <c r="H211" i="6"/>
  <c r="I211" i="6"/>
  <c r="N211" i="6"/>
  <c r="R211" i="6"/>
  <c r="Q211" i="6" s="1"/>
  <c r="S211" i="6" s="1"/>
  <c r="T211" i="6"/>
  <c r="C212" i="6"/>
  <c r="D212" i="6"/>
  <c r="L212" i="6" s="1"/>
  <c r="E212" i="6"/>
  <c r="F212" i="6"/>
  <c r="H212" i="6"/>
  <c r="I212" i="6"/>
  <c r="N212" i="6"/>
  <c r="R212" i="6"/>
  <c r="Q212" i="6" s="1"/>
  <c r="S212" i="6" s="1"/>
  <c r="T212" i="6"/>
  <c r="C213" i="6"/>
  <c r="D213" i="6"/>
  <c r="L213" i="6" s="1"/>
  <c r="E213" i="6"/>
  <c r="F213" i="6"/>
  <c r="H213" i="6"/>
  <c r="I213" i="6"/>
  <c r="N213" i="6"/>
  <c r="R213" i="6"/>
  <c r="Q213" i="6" s="1"/>
  <c r="S213" i="6" s="1"/>
  <c r="T213" i="6"/>
  <c r="C214" i="6"/>
  <c r="D214" i="6"/>
  <c r="E214" i="6"/>
  <c r="F214" i="6"/>
  <c r="I214" i="6"/>
  <c r="L214" i="6"/>
  <c r="N214" i="6"/>
  <c r="Q214" i="6"/>
  <c r="R214" i="6"/>
  <c r="S214" i="6"/>
  <c r="T214" i="6"/>
  <c r="C215" i="6"/>
  <c r="L215" i="6" s="1"/>
  <c r="D215" i="6"/>
  <c r="E215" i="6"/>
  <c r="F215" i="6"/>
  <c r="I215" i="6"/>
  <c r="N215" i="6"/>
  <c r="R215" i="6"/>
  <c r="Q215" i="6" s="1"/>
  <c r="S215" i="6" s="1"/>
  <c r="T215" i="6"/>
  <c r="C216" i="6"/>
  <c r="D216" i="6"/>
  <c r="E216" i="6"/>
  <c r="F216" i="6"/>
  <c r="I216" i="6"/>
  <c r="L216" i="6"/>
  <c r="N216" i="6"/>
  <c r="Q216" i="6"/>
  <c r="R216" i="6"/>
  <c r="S216" i="6"/>
  <c r="T216" i="6"/>
  <c r="C217" i="6"/>
  <c r="L217" i="6" s="1"/>
  <c r="D217" i="6"/>
  <c r="E217" i="6"/>
  <c r="F217" i="6"/>
  <c r="I217" i="6"/>
  <c r="N217" i="6"/>
  <c r="R217" i="6"/>
  <c r="Q217" i="6" s="1"/>
  <c r="S217" i="6" s="1"/>
  <c r="T217" i="6"/>
  <c r="C218" i="6"/>
  <c r="D218" i="6"/>
  <c r="E218" i="6"/>
  <c r="F218" i="6"/>
  <c r="I218" i="6"/>
  <c r="L218" i="6"/>
  <c r="N218" i="6"/>
  <c r="Q218" i="6"/>
  <c r="R218" i="6"/>
  <c r="S218" i="6"/>
  <c r="T218" i="6"/>
  <c r="C219" i="6"/>
  <c r="D219" i="6"/>
  <c r="E219" i="6"/>
  <c r="F219" i="6"/>
  <c r="H219" i="6"/>
  <c r="I219" i="6"/>
  <c r="L219" i="6"/>
  <c r="N219" i="6"/>
  <c r="Q219" i="6"/>
  <c r="R219" i="6"/>
  <c r="S219" i="6"/>
  <c r="T219" i="6"/>
  <c r="C220" i="6"/>
  <c r="D220" i="6"/>
  <c r="E220" i="6"/>
  <c r="F220" i="6"/>
  <c r="H220" i="6"/>
  <c r="I220" i="6"/>
  <c r="L220" i="6"/>
  <c r="N220" i="6"/>
  <c r="Q220" i="6"/>
  <c r="R220" i="6"/>
  <c r="S220" i="6"/>
  <c r="T220" i="6"/>
  <c r="C221" i="6"/>
  <c r="D221" i="6"/>
  <c r="E221" i="6"/>
  <c r="F221" i="6"/>
  <c r="H221" i="6"/>
  <c r="I221" i="6"/>
  <c r="L221" i="6"/>
  <c r="N221" i="6"/>
  <c r="Q221" i="6"/>
  <c r="R221" i="6"/>
  <c r="S221" i="6"/>
  <c r="T221" i="6"/>
  <c r="C222" i="6"/>
  <c r="D222" i="6"/>
  <c r="E222" i="6"/>
  <c r="F222" i="6"/>
  <c r="H222" i="6"/>
  <c r="I222" i="6"/>
  <c r="L222" i="6"/>
  <c r="N222" i="6"/>
  <c r="Q222" i="6"/>
  <c r="R222" i="6"/>
  <c r="S222" i="6"/>
  <c r="T222" i="6"/>
  <c r="C223" i="6"/>
  <c r="D223" i="6"/>
  <c r="E223" i="6"/>
  <c r="F223" i="6"/>
  <c r="H223" i="6"/>
  <c r="I223" i="6"/>
  <c r="L223" i="6"/>
  <c r="N223" i="6"/>
  <c r="Q223" i="6"/>
  <c r="R223" i="6"/>
  <c r="S223" i="6"/>
  <c r="T223" i="6"/>
  <c r="C224" i="6"/>
  <c r="D224" i="6"/>
  <c r="E224" i="6"/>
  <c r="F224" i="6"/>
  <c r="H224" i="6"/>
  <c r="I224" i="6"/>
  <c r="L224" i="6"/>
  <c r="N224" i="6"/>
  <c r="Q224" i="6"/>
  <c r="R224" i="6"/>
  <c r="S224" i="6"/>
  <c r="T224" i="6"/>
  <c r="C225" i="6"/>
  <c r="D225" i="6"/>
  <c r="E225" i="6"/>
  <c r="F225" i="6"/>
  <c r="H225" i="6"/>
  <c r="I225" i="6"/>
  <c r="L225" i="6"/>
  <c r="N225" i="6"/>
  <c r="Q225" i="6"/>
  <c r="R225" i="6"/>
  <c r="S225" i="6"/>
  <c r="T225" i="6"/>
  <c r="C226" i="6"/>
  <c r="L226" i="6" s="1"/>
  <c r="D226" i="6"/>
  <c r="E226" i="6"/>
  <c r="F226" i="6"/>
  <c r="I226" i="6"/>
  <c r="N226" i="6"/>
  <c r="R226" i="6"/>
  <c r="Q226" i="6" s="1"/>
  <c r="S226" i="6" s="1"/>
  <c r="T226" i="6"/>
  <c r="C227" i="6"/>
  <c r="D227" i="6"/>
  <c r="E227" i="6"/>
  <c r="F227" i="6"/>
  <c r="I227" i="6"/>
  <c r="L227" i="6"/>
  <c r="N227" i="6"/>
  <c r="Q227" i="6"/>
  <c r="R227" i="6"/>
  <c r="S227" i="6"/>
  <c r="T227" i="6"/>
  <c r="C228" i="6"/>
  <c r="L228" i="6" s="1"/>
  <c r="D228" i="6"/>
  <c r="E228" i="6"/>
  <c r="F228" i="6"/>
  <c r="I228" i="6"/>
  <c r="N228" i="6"/>
  <c r="R228" i="6"/>
  <c r="Q228" i="6" s="1"/>
  <c r="S228" i="6" s="1"/>
  <c r="T228" i="6"/>
  <c r="C229" i="6"/>
  <c r="D229" i="6"/>
  <c r="E229" i="6"/>
  <c r="F229" i="6"/>
  <c r="I229" i="6"/>
  <c r="L229" i="6"/>
  <c r="N229" i="6"/>
  <c r="Q229" i="6"/>
  <c r="R229" i="6"/>
  <c r="S229" i="6"/>
  <c r="T229" i="6"/>
  <c r="C230" i="6"/>
  <c r="L230" i="6" s="1"/>
  <c r="D230" i="6"/>
  <c r="E230" i="6"/>
  <c r="F230" i="6"/>
  <c r="I230" i="6"/>
  <c r="N230" i="6"/>
  <c r="R230" i="6"/>
  <c r="Q230" i="6" s="1"/>
  <c r="S230" i="6" s="1"/>
  <c r="T230" i="6"/>
  <c r="C231" i="6"/>
  <c r="D231" i="6"/>
  <c r="L231" i="6" s="1"/>
  <c r="E231" i="6"/>
  <c r="F231" i="6"/>
  <c r="H231" i="6"/>
  <c r="I231" i="6"/>
  <c r="N231" i="6"/>
  <c r="R231" i="6"/>
  <c r="Q231" i="6" s="1"/>
  <c r="S231" i="6" s="1"/>
  <c r="T231" i="6"/>
  <c r="C232" i="6"/>
  <c r="D232" i="6"/>
  <c r="L232" i="6" s="1"/>
  <c r="E232" i="6"/>
  <c r="F232" i="6"/>
  <c r="H232" i="6"/>
  <c r="I232" i="6"/>
  <c r="N232" i="6"/>
  <c r="R232" i="6"/>
  <c r="Q232" i="6" s="1"/>
  <c r="S232" i="6" s="1"/>
  <c r="T232" i="6"/>
  <c r="C233" i="6"/>
  <c r="D233" i="6"/>
  <c r="L233" i="6" s="1"/>
  <c r="E233" i="6"/>
  <c r="F233" i="6"/>
  <c r="H233" i="6"/>
  <c r="I233" i="6"/>
  <c r="N233" i="6"/>
  <c r="R233" i="6"/>
  <c r="Q233" i="6" s="1"/>
  <c r="S233" i="6" s="1"/>
  <c r="T233" i="6"/>
  <c r="C234" i="6"/>
  <c r="D234" i="6"/>
  <c r="L234" i="6" s="1"/>
  <c r="E234" i="6"/>
  <c r="F234" i="6"/>
  <c r="H234" i="6"/>
  <c r="I234" i="6"/>
  <c r="N234" i="6"/>
  <c r="R234" i="6"/>
  <c r="Q234" i="6" s="1"/>
  <c r="S234" i="6" s="1"/>
  <c r="T234" i="6"/>
  <c r="C235" i="6"/>
  <c r="D235" i="6"/>
  <c r="L235" i="6" s="1"/>
  <c r="E235" i="6"/>
  <c r="F235" i="6"/>
  <c r="H235" i="6"/>
  <c r="I235" i="6"/>
  <c r="N235" i="6"/>
  <c r="R235" i="6"/>
  <c r="Q235" i="6" s="1"/>
  <c r="S235" i="6" s="1"/>
  <c r="T235" i="6"/>
  <c r="C236" i="6"/>
  <c r="D236" i="6"/>
  <c r="L236" i="6" s="1"/>
  <c r="E236" i="6"/>
  <c r="F236" i="6"/>
  <c r="H236" i="6"/>
  <c r="I236" i="6"/>
  <c r="N236" i="6"/>
  <c r="R236" i="6"/>
  <c r="Q236" i="6" s="1"/>
  <c r="S236" i="6" s="1"/>
  <c r="T236" i="6"/>
  <c r="C237" i="6"/>
  <c r="D237" i="6"/>
  <c r="L237" i="6" s="1"/>
  <c r="E237" i="6"/>
  <c r="F237" i="6"/>
  <c r="H237" i="6"/>
  <c r="I237" i="6"/>
  <c r="N237" i="6"/>
  <c r="R237" i="6"/>
  <c r="Q237" i="6" s="1"/>
  <c r="S237" i="6" s="1"/>
  <c r="T237" i="6"/>
  <c r="C238" i="6"/>
  <c r="D238" i="6"/>
  <c r="E238" i="6"/>
  <c r="F238" i="6"/>
  <c r="I238" i="6"/>
  <c r="L238" i="6"/>
  <c r="N238" i="6"/>
  <c r="Q238" i="6"/>
  <c r="R238" i="6"/>
  <c r="S238" i="6"/>
  <c r="T238" i="6"/>
  <c r="C239" i="6"/>
  <c r="L239" i="6" s="1"/>
  <c r="D239" i="6"/>
  <c r="E239" i="6"/>
  <c r="F239" i="6"/>
  <c r="I239" i="6"/>
  <c r="N239" i="6"/>
  <c r="R239" i="6"/>
  <c r="Q239" i="6" s="1"/>
  <c r="S239" i="6" s="1"/>
  <c r="T239" i="6"/>
  <c r="C240" i="6"/>
  <c r="D240" i="6"/>
  <c r="E240" i="6"/>
  <c r="F240" i="6"/>
  <c r="I240" i="6"/>
  <c r="L240" i="6"/>
  <c r="N240" i="6"/>
  <c r="Q240" i="6"/>
  <c r="R240" i="6"/>
  <c r="S240" i="6"/>
  <c r="T240" i="6"/>
  <c r="C241" i="6"/>
  <c r="L241" i="6" s="1"/>
  <c r="D241" i="6"/>
  <c r="E241" i="6"/>
  <c r="F241" i="6"/>
  <c r="I241" i="6"/>
  <c r="N241" i="6"/>
  <c r="R241" i="6"/>
  <c r="Q241" i="6" s="1"/>
  <c r="S241" i="6" s="1"/>
  <c r="T241" i="6"/>
  <c r="C242" i="6"/>
  <c r="D242" i="6"/>
  <c r="E242" i="6"/>
  <c r="F242" i="6"/>
  <c r="I242" i="6"/>
  <c r="L242" i="6"/>
  <c r="N242" i="6"/>
  <c r="Q242" i="6"/>
  <c r="R242" i="6"/>
  <c r="S242" i="6"/>
  <c r="T242" i="6"/>
  <c r="C243" i="6"/>
  <c r="D243" i="6"/>
  <c r="E243" i="6"/>
  <c r="F243" i="6"/>
  <c r="H243" i="6"/>
  <c r="I243" i="6"/>
  <c r="L243" i="6"/>
  <c r="N243" i="6"/>
  <c r="Q243" i="6"/>
  <c r="R243" i="6"/>
  <c r="S243" i="6"/>
  <c r="T243" i="6"/>
  <c r="C244" i="6"/>
  <c r="D244" i="6"/>
  <c r="E244" i="6"/>
  <c r="F244" i="6"/>
  <c r="H244" i="6"/>
  <c r="I244" i="6"/>
  <c r="L244" i="6"/>
  <c r="N244" i="6"/>
  <c r="Q244" i="6"/>
  <c r="R244" i="6"/>
  <c r="S244" i="6"/>
  <c r="T244" i="6"/>
  <c r="C245" i="6"/>
  <c r="D245" i="6"/>
  <c r="E245" i="6"/>
  <c r="F245" i="6"/>
  <c r="H245" i="6"/>
  <c r="I245" i="6"/>
  <c r="L245" i="6"/>
  <c r="N245" i="6"/>
  <c r="Q245" i="6"/>
  <c r="R245" i="6"/>
  <c r="S245" i="6"/>
  <c r="T245" i="6"/>
  <c r="C246" i="6"/>
  <c r="D246" i="6"/>
  <c r="E246" i="6"/>
  <c r="F246" i="6"/>
  <c r="H246" i="6"/>
  <c r="I246" i="6"/>
  <c r="L246" i="6"/>
  <c r="N246" i="6"/>
  <c r="Q246" i="6"/>
  <c r="R246" i="6"/>
  <c r="S246" i="6"/>
  <c r="T246" i="6"/>
  <c r="C247" i="6"/>
  <c r="D247" i="6"/>
  <c r="E247" i="6"/>
  <c r="F247" i="6"/>
  <c r="H247" i="6"/>
  <c r="I247" i="6"/>
  <c r="L247" i="6"/>
  <c r="N247" i="6"/>
  <c r="Q247" i="6"/>
  <c r="R247" i="6"/>
  <c r="S247" i="6"/>
  <c r="T247" i="6"/>
  <c r="C248" i="6"/>
  <c r="D248" i="6"/>
  <c r="E248" i="6"/>
  <c r="F248" i="6"/>
  <c r="H248" i="6"/>
  <c r="I248" i="6"/>
  <c r="L248" i="6"/>
  <c r="N248" i="6"/>
  <c r="Q248" i="6"/>
  <c r="R248" i="6"/>
  <c r="S248" i="6"/>
  <c r="T248" i="6"/>
  <c r="C249" i="6"/>
  <c r="D249" i="6"/>
  <c r="E249" i="6"/>
  <c r="F249" i="6"/>
  <c r="H249" i="6"/>
  <c r="I249" i="6"/>
  <c r="L249" i="6"/>
  <c r="N249" i="6"/>
  <c r="Q249" i="6"/>
  <c r="R249" i="6"/>
  <c r="S249" i="6"/>
  <c r="T249" i="6"/>
  <c r="C250" i="6"/>
  <c r="L250" i="6" s="1"/>
  <c r="D250" i="6"/>
  <c r="E250" i="6"/>
  <c r="F250" i="6"/>
  <c r="I250" i="6"/>
  <c r="N250" i="6"/>
  <c r="R250" i="6"/>
  <c r="Q250" i="6" s="1"/>
  <c r="S250" i="6" s="1"/>
  <c r="T250" i="6"/>
  <c r="C251" i="6"/>
  <c r="D251" i="6"/>
  <c r="E251" i="6"/>
  <c r="F251" i="6"/>
  <c r="I251" i="6"/>
  <c r="L251" i="6"/>
  <c r="N251" i="6"/>
  <c r="Q251" i="6"/>
  <c r="R251" i="6"/>
  <c r="S251" i="6"/>
  <c r="T251" i="6"/>
  <c r="C252" i="6"/>
  <c r="L252" i="6" s="1"/>
  <c r="D252" i="6"/>
  <c r="E252" i="6"/>
  <c r="F252" i="6"/>
  <c r="I252" i="6"/>
  <c r="N252" i="6"/>
  <c r="R252" i="6"/>
  <c r="Q252" i="6" s="1"/>
  <c r="S252" i="6" s="1"/>
  <c r="T252" i="6"/>
  <c r="C253" i="6"/>
  <c r="D253" i="6"/>
  <c r="E253" i="6"/>
  <c r="F253" i="6"/>
  <c r="I253" i="6"/>
  <c r="L253" i="6"/>
  <c r="N253" i="6"/>
  <c r="Q253" i="6"/>
  <c r="R253" i="6"/>
  <c r="S253" i="6"/>
  <c r="T253" i="6"/>
  <c r="C254" i="6"/>
  <c r="D254" i="6"/>
  <c r="E254" i="6"/>
  <c r="F254" i="6"/>
  <c r="I254" i="6"/>
  <c r="N254" i="6"/>
  <c r="R254" i="6"/>
  <c r="Q254" i="6" s="1"/>
  <c r="S254" i="6" s="1"/>
  <c r="T254" i="6"/>
  <c r="C255" i="6"/>
  <c r="D255" i="6"/>
  <c r="E255" i="6"/>
  <c r="F255" i="6"/>
  <c r="H255" i="6"/>
  <c r="I255" i="6"/>
  <c r="N255" i="6"/>
  <c r="R255" i="6"/>
  <c r="Q255" i="6" s="1"/>
  <c r="S255" i="6" s="1"/>
  <c r="T255" i="6"/>
  <c r="C256" i="6"/>
  <c r="D256" i="6"/>
  <c r="E256" i="6"/>
  <c r="F256" i="6"/>
  <c r="H256" i="6"/>
  <c r="I256" i="6"/>
  <c r="N256" i="6"/>
  <c r="R256" i="6"/>
  <c r="Q256" i="6" s="1"/>
  <c r="S256" i="6" s="1"/>
  <c r="T256" i="6"/>
  <c r="C257" i="6"/>
  <c r="D257" i="6"/>
  <c r="E257" i="6"/>
  <c r="F257" i="6"/>
  <c r="H257" i="6"/>
  <c r="I257" i="6"/>
  <c r="N257" i="6"/>
  <c r="R257" i="6"/>
  <c r="Q257" i="6" s="1"/>
  <c r="S257" i="6" s="1"/>
  <c r="T257" i="6"/>
  <c r="C258" i="6"/>
  <c r="D258" i="6"/>
  <c r="E258" i="6"/>
  <c r="F258" i="6"/>
  <c r="H258" i="6"/>
  <c r="I258" i="6"/>
  <c r="N258" i="6"/>
  <c r="R258" i="6"/>
  <c r="Q258" i="6" s="1"/>
  <c r="S258" i="6" s="1"/>
  <c r="T258" i="6"/>
  <c r="C259" i="6"/>
  <c r="D259" i="6"/>
  <c r="E259" i="6"/>
  <c r="F259" i="6"/>
  <c r="H259" i="6"/>
  <c r="I259" i="6"/>
  <c r="N259" i="6"/>
  <c r="R259" i="6"/>
  <c r="Q259" i="6" s="1"/>
  <c r="S259" i="6" s="1"/>
  <c r="T259" i="6"/>
  <c r="C260" i="6"/>
  <c r="D260" i="6"/>
  <c r="E260" i="6"/>
  <c r="F260" i="6"/>
  <c r="H260" i="6"/>
  <c r="I260" i="6"/>
  <c r="N260" i="6"/>
  <c r="R260" i="6"/>
  <c r="Q260" i="6" s="1"/>
  <c r="S260" i="6" s="1"/>
  <c r="T260" i="6"/>
  <c r="C261" i="6"/>
  <c r="D261" i="6"/>
  <c r="L261" i="6" s="1"/>
  <c r="E261" i="6"/>
  <c r="F261" i="6"/>
  <c r="H261" i="6"/>
  <c r="I261" i="6"/>
  <c r="N261" i="6"/>
  <c r="R261" i="6"/>
  <c r="Q261" i="6" s="1"/>
  <c r="S261" i="6" s="1"/>
  <c r="T261" i="6"/>
  <c r="C262" i="6"/>
  <c r="D262" i="6"/>
  <c r="E262" i="6"/>
  <c r="F262" i="6"/>
  <c r="I262" i="6"/>
  <c r="L262" i="6"/>
  <c r="N262" i="6"/>
  <c r="Q262" i="6"/>
  <c r="R262" i="6"/>
  <c r="S262" i="6"/>
  <c r="T262" i="6"/>
  <c r="C263" i="6"/>
  <c r="L263" i="6" s="1"/>
  <c r="D263" i="6"/>
  <c r="E263" i="6"/>
  <c r="F263" i="6"/>
  <c r="I263" i="6"/>
  <c r="N263" i="6"/>
  <c r="R263" i="6"/>
  <c r="Q263" i="6" s="1"/>
  <c r="S263" i="6" s="1"/>
  <c r="T263" i="6"/>
  <c r="C264" i="6"/>
  <c r="D264" i="6"/>
  <c r="E264" i="6"/>
  <c r="F264" i="6"/>
  <c r="I264" i="6"/>
  <c r="L264" i="6"/>
  <c r="N264" i="6"/>
  <c r="Q264" i="6"/>
  <c r="R264" i="6"/>
  <c r="S264" i="6"/>
  <c r="T264" i="6"/>
  <c r="C265" i="6"/>
  <c r="L265" i="6" s="1"/>
  <c r="D265" i="6"/>
  <c r="E265" i="6"/>
  <c r="F265" i="6"/>
  <c r="I265" i="6"/>
  <c r="N265" i="6"/>
  <c r="R265" i="6"/>
  <c r="Q265" i="6" s="1"/>
  <c r="S265" i="6" s="1"/>
  <c r="T265" i="6"/>
  <c r="C266" i="6"/>
  <c r="D266" i="6"/>
  <c r="E266" i="6"/>
  <c r="F266" i="6"/>
  <c r="I266" i="6"/>
  <c r="L266" i="6"/>
  <c r="N266" i="6"/>
  <c r="Q266" i="6"/>
  <c r="R266" i="6"/>
  <c r="S266" i="6"/>
  <c r="T266" i="6"/>
  <c r="C267" i="6"/>
  <c r="D267" i="6"/>
  <c r="E267" i="6"/>
  <c r="F267" i="6"/>
  <c r="H267" i="6"/>
  <c r="I267" i="6"/>
  <c r="L267" i="6"/>
  <c r="N267" i="6"/>
  <c r="Q267" i="6"/>
  <c r="R267" i="6"/>
  <c r="S267" i="6"/>
  <c r="T267" i="6"/>
  <c r="C268" i="6"/>
  <c r="D268" i="6"/>
  <c r="E268" i="6"/>
  <c r="F268" i="6"/>
  <c r="H268" i="6"/>
  <c r="I268" i="6"/>
  <c r="L268" i="6"/>
  <c r="N268" i="6"/>
  <c r="Q268" i="6"/>
  <c r="R268" i="6"/>
  <c r="S268" i="6"/>
  <c r="T268" i="6"/>
  <c r="C269" i="6"/>
  <c r="D269" i="6"/>
  <c r="E269" i="6"/>
  <c r="F269" i="6"/>
  <c r="H269" i="6"/>
  <c r="I269" i="6"/>
  <c r="L269" i="6"/>
  <c r="N269" i="6"/>
  <c r="Q269" i="6"/>
  <c r="R269" i="6"/>
  <c r="S269" i="6"/>
  <c r="T269" i="6"/>
  <c r="C270" i="6"/>
  <c r="D270" i="6"/>
  <c r="E270" i="6"/>
  <c r="F270" i="6"/>
  <c r="H270" i="6"/>
  <c r="I270" i="6"/>
  <c r="L270" i="6"/>
  <c r="N270" i="6"/>
  <c r="Q270" i="6"/>
  <c r="R270" i="6"/>
  <c r="S270" i="6"/>
  <c r="T270" i="6"/>
  <c r="C271" i="6"/>
  <c r="D271" i="6"/>
  <c r="E271" i="6"/>
  <c r="F271" i="6"/>
  <c r="H271" i="6"/>
  <c r="I271" i="6"/>
  <c r="L271" i="6"/>
  <c r="N271" i="6"/>
  <c r="Q271" i="6"/>
  <c r="R271" i="6"/>
  <c r="S271" i="6"/>
  <c r="T271" i="6"/>
  <c r="C272" i="6"/>
  <c r="D272" i="6"/>
  <c r="E272" i="6"/>
  <c r="F272" i="6"/>
  <c r="H272" i="6"/>
  <c r="I272" i="6"/>
  <c r="L272" i="6"/>
  <c r="N272" i="6"/>
  <c r="Q272" i="6"/>
  <c r="R272" i="6"/>
  <c r="S272" i="6"/>
  <c r="T272" i="6"/>
  <c r="C273" i="6"/>
  <c r="D273" i="6"/>
  <c r="E273" i="6"/>
  <c r="F273" i="6"/>
  <c r="H273" i="6"/>
  <c r="I273" i="6"/>
  <c r="L273" i="6"/>
  <c r="N273" i="6"/>
  <c r="Q273" i="6"/>
  <c r="R273" i="6"/>
  <c r="S273" i="6"/>
  <c r="T273" i="6"/>
  <c r="C274" i="6"/>
  <c r="L274" i="6" s="1"/>
  <c r="D274" i="6"/>
  <c r="E274" i="6"/>
  <c r="F274" i="6"/>
  <c r="I274" i="6"/>
  <c r="N274" i="6"/>
  <c r="R274" i="6"/>
  <c r="Q274" i="6" s="1"/>
  <c r="S274" i="6" s="1"/>
  <c r="T274" i="6"/>
  <c r="C275" i="6"/>
  <c r="D275" i="6"/>
  <c r="E275" i="6"/>
  <c r="F275" i="6"/>
  <c r="I275" i="6"/>
  <c r="L275" i="6"/>
  <c r="N275" i="6"/>
  <c r="Q275" i="6"/>
  <c r="R275" i="6"/>
  <c r="S275" i="6"/>
  <c r="T275" i="6"/>
  <c r="C276" i="6"/>
  <c r="L276" i="6" s="1"/>
  <c r="D276" i="6"/>
  <c r="E276" i="6"/>
  <c r="F276" i="6"/>
  <c r="I276" i="6"/>
  <c r="N276" i="6"/>
  <c r="R276" i="6"/>
  <c r="Q276" i="6" s="1"/>
  <c r="S276" i="6" s="1"/>
  <c r="T276" i="6"/>
  <c r="C277" i="6"/>
  <c r="D277" i="6"/>
  <c r="E277" i="6"/>
  <c r="F277" i="6"/>
  <c r="I277" i="6"/>
  <c r="L277" i="6"/>
  <c r="N277" i="6"/>
  <c r="Q277" i="6"/>
  <c r="R277" i="6"/>
  <c r="S277" i="6"/>
  <c r="T277" i="6"/>
  <c r="C278" i="6"/>
  <c r="L278" i="6" s="1"/>
  <c r="D278" i="6"/>
  <c r="E278" i="6"/>
  <c r="F278" i="6"/>
  <c r="I278" i="6"/>
  <c r="N278" i="6"/>
  <c r="R278" i="6"/>
  <c r="Q278" i="6" s="1"/>
  <c r="S278" i="6" s="1"/>
  <c r="T278" i="6"/>
  <c r="C279" i="6"/>
  <c r="D279" i="6"/>
  <c r="L279" i="6" s="1"/>
  <c r="E279" i="6"/>
  <c r="F279" i="6"/>
  <c r="H279" i="6"/>
  <c r="I279" i="6"/>
  <c r="N279" i="6"/>
  <c r="R279" i="6"/>
  <c r="Q279" i="6" s="1"/>
  <c r="S279" i="6" s="1"/>
  <c r="T279" i="6"/>
  <c r="C280" i="6"/>
  <c r="D280" i="6"/>
  <c r="L280" i="6" s="1"/>
  <c r="E280" i="6"/>
  <c r="F280" i="6"/>
  <c r="H280" i="6"/>
  <c r="I280" i="6"/>
  <c r="N280" i="6"/>
  <c r="R280" i="6"/>
  <c r="Q280" i="6" s="1"/>
  <c r="S280" i="6" s="1"/>
  <c r="T280" i="6"/>
  <c r="C281" i="6"/>
  <c r="D281" i="6"/>
  <c r="L281" i="6" s="1"/>
  <c r="E281" i="6"/>
  <c r="F281" i="6"/>
  <c r="H281" i="6"/>
  <c r="I281" i="6"/>
  <c r="N281" i="6"/>
  <c r="R281" i="6"/>
  <c r="Q281" i="6" s="1"/>
  <c r="S281" i="6" s="1"/>
  <c r="T281" i="6"/>
  <c r="C282" i="6"/>
  <c r="D282" i="6"/>
  <c r="L282" i="6" s="1"/>
  <c r="E282" i="6"/>
  <c r="F282" i="6"/>
  <c r="H282" i="6"/>
  <c r="I282" i="6"/>
  <c r="N282" i="6"/>
  <c r="R282" i="6"/>
  <c r="Q282" i="6" s="1"/>
  <c r="S282" i="6" s="1"/>
  <c r="T282" i="6"/>
  <c r="C283" i="6"/>
  <c r="D283" i="6"/>
  <c r="L283" i="6" s="1"/>
  <c r="E283" i="6"/>
  <c r="F283" i="6"/>
  <c r="H283" i="6"/>
  <c r="I283" i="6"/>
  <c r="N283" i="6"/>
  <c r="R283" i="6"/>
  <c r="Q283" i="6" s="1"/>
  <c r="S283" i="6" s="1"/>
  <c r="T283" i="6"/>
  <c r="C284" i="6"/>
  <c r="D284" i="6"/>
  <c r="L284" i="6" s="1"/>
  <c r="E284" i="6"/>
  <c r="F284" i="6"/>
  <c r="H284" i="6"/>
  <c r="I284" i="6"/>
  <c r="N284" i="6"/>
  <c r="R284" i="6"/>
  <c r="Q284" i="6" s="1"/>
  <c r="S284" i="6" s="1"/>
  <c r="T284" i="6"/>
  <c r="C285" i="6"/>
  <c r="D285" i="6"/>
  <c r="L285" i="6" s="1"/>
  <c r="E285" i="6"/>
  <c r="F285" i="6"/>
  <c r="H285" i="6"/>
  <c r="I285" i="6"/>
  <c r="N285" i="6"/>
  <c r="R285" i="6"/>
  <c r="Q285" i="6" s="1"/>
  <c r="S285" i="6" s="1"/>
  <c r="T285" i="6"/>
  <c r="C286" i="6"/>
  <c r="D286" i="6"/>
  <c r="E286" i="6"/>
  <c r="F286" i="6"/>
  <c r="I286" i="6"/>
  <c r="L286" i="6"/>
  <c r="N286" i="6"/>
  <c r="Q286" i="6"/>
  <c r="R286" i="6"/>
  <c r="S286" i="6"/>
  <c r="T286" i="6"/>
  <c r="C287" i="6"/>
  <c r="L287" i="6" s="1"/>
  <c r="D287" i="6"/>
  <c r="E287" i="6"/>
  <c r="F287" i="6"/>
  <c r="I287" i="6"/>
  <c r="N287" i="6"/>
  <c r="R287" i="6"/>
  <c r="Q287" i="6" s="1"/>
  <c r="S287" i="6" s="1"/>
  <c r="T287" i="6"/>
  <c r="C288" i="6"/>
  <c r="D288" i="6"/>
  <c r="E288" i="6"/>
  <c r="F288" i="6"/>
  <c r="I288" i="6"/>
  <c r="L288" i="6"/>
  <c r="N288" i="6"/>
  <c r="Q288" i="6"/>
  <c r="R288" i="6"/>
  <c r="S288" i="6"/>
  <c r="T288" i="6"/>
  <c r="C289" i="6"/>
  <c r="L289" i="6" s="1"/>
  <c r="D289" i="6"/>
  <c r="E289" i="6"/>
  <c r="F289" i="6"/>
  <c r="I289" i="6"/>
  <c r="N289" i="6"/>
  <c r="R289" i="6"/>
  <c r="Q289" i="6" s="1"/>
  <c r="S289" i="6" s="1"/>
  <c r="T289" i="6"/>
  <c r="C290" i="6"/>
  <c r="D290" i="6"/>
  <c r="E290" i="6"/>
  <c r="F290" i="6"/>
  <c r="I290" i="6"/>
  <c r="L290" i="6"/>
  <c r="N290" i="6"/>
  <c r="Q290" i="6"/>
  <c r="R290" i="6"/>
  <c r="S290" i="6"/>
  <c r="T290" i="6"/>
  <c r="C291" i="6"/>
  <c r="D291" i="6"/>
  <c r="E291" i="6"/>
  <c r="F291" i="6"/>
  <c r="H291" i="6"/>
  <c r="I291" i="6"/>
  <c r="L291" i="6"/>
  <c r="N291" i="6"/>
  <c r="Q291" i="6"/>
  <c r="R291" i="6"/>
  <c r="S291" i="6"/>
  <c r="T291" i="6"/>
  <c r="C292" i="6"/>
  <c r="D292" i="6"/>
  <c r="E292" i="6"/>
  <c r="F292" i="6"/>
  <c r="H292" i="6"/>
  <c r="I292" i="6"/>
  <c r="L292" i="6"/>
  <c r="N292" i="6"/>
  <c r="Q292" i="6"/>
  <c r="R292" i="6"/>
  <c r="S292" i="6"/>
  <c r="T292" i="6"/>
  <c r="C293" i="6"/>
  <c r="D293" i="6"/>
  <c r="E293" i="6"/>
  <c r="F293" i="6"/>
  <c r="H293" i="6"/>
  <c r="I293" i="6"/>
  <c r="L293" i="6"/>
  <c r="N293" i="6"/>
  <c r="Q293" i="6"/>
  <c r="R293" i="6"/>
  <c r="S293" i="6"/>
  <c r="T293" i="6"/>
  <c r="C294" i="6"/>
  <c r="D294" i="6"/>
  <c r="E294" i="6"/>
  <c r="F294" i="6"/>
  <c r="H294" i="6"/>
  <c r="I294" i="6"/>
  <c r="L294" i="6"/>
  <c r="N294" i="6"/>
  <c r="Q294" i="6"/>
  <c r="R294" i="6"/>
  <c r="S294" i="6"/>
  <c r="T294" i="6"/>
  <c r="C295" i="6"/>
  <c r="D295" i="6"/>
  <c r="E295" i="6"/>
  <c r="F295" i="6"/>
  <c r="H295" i="6"/>
  <c r="I295" i="6"/>
  <c r="L295" i="6"/>
  <c r="N295" i="6"/>
  <c r="Q295" i="6"/>
  <c r="R295" i="6"/>
  <c r="S295" i="6"/>
  <c r="T295" i="6"/>
  <c r="C296" i="6"/>
  <c r="D296" i="6"/>
  <c r="E296" i="6"/>
  <c r="F296" i="6"/>
  <c r="H296" i="6"/>
  <c r="I296" i="6"/>
  <c r="L296" i="6"/>
  <c r="N296" i="6"/>
  <c r="Q296" i="6"/>
  <c r="R296" i="6"/>
  <c r="S296" i="6"/>
  <c r="T296" i="6"/>
  <c r="C297" i="6"/>
  <c r="D297" i="6"/>
  <c r="E297" i="6"/>
  <c r="F297" i="6"/>
  <c r="H297" i="6"/>
  <c r="I297" i="6"/>
  <c r="L297" i="6"/>
  <c r="N297" i="6"/>
  <c r="Q297" i="6"/>
  <c r="R297" i="6"/>
  <c r="S297" i="6"/>
  <c r="T297" i="6"/>
  <c r="C298" i="6"/>
  <c r="L298" i="6" s="1"/>
  <c r="D298" i="6"/>
  <c r="E298" i="6"/>
  <c r="F298" i="6"/>
  <c r="I298" i="6"/>
  <c r="N298" i="6"/>
  <c r="R298" i="6"/>
  <c r="Q298" i="6" s="1"/>
  <c r="S298" i="6" s="1"/>
  <c r="T298" i="6"/>
  <c r="C299" i="6"/>
  <c r="D299" i="6"/>
  <c r="E299" i="6"/>
  <c r="F299" i="6"/>
  <c r="I299" i="6"/>
  <c r="L299" i="6"/>
  <c r="N299" i="6"/>
  <c r="Q299" i="6"/>
  <c r="R299" i="6"/>
  <c r="S299" i="6"/>
  <c r="T299" i="6"/>
  <c r="C300" i="6"/>
  <c r="L300" i="6" s="1"/>
  <c r="D300" i="6"/>
  <c r="E300" i="6"/>
  <c r="F300" i="6"/>
  <c r="I300" i="6"/>
  <c r="N300" i="6"/>
  <c r="R300" i="6"/>
  <c r="Q300" i="6" s="1"/>
  <c r="S300" i="6" s="1"/>
  <c r="T300" i="6"/>
  <c r="C301" i="6"/>
  <c r="D301" i="6"/>
  <c r="E301" i="6"/>
  <c r="F301" i="6"/>
  <c r="I301" i="6"/>
  <c r="L301" i="6"/>
  <c r="N301" i="6"/>
  <c r="Q301" i="6"/>
  <c r="R301" i="6"/>
  <c r="S301" i="6"/>
  <c r="T301" i="6"/>
  <c r="C302" i="6"/>
  <c r="D302" i="6"/>
  <c r="E302" i="6"/>
  <c r="F302" i="6"/>
  <c r="I302" i="6"/>
  <c r="N302" i="6"/>
  <c r="R302" i="6"/>
  <c r="Q302" i="6" s="1"/>
  <c r="S302" i="6" s="1"/>
  <c r="T302" i="6"/>
  <c r="C303" i="6"/>
  <c r="D303" i="6"/>
  <c r="E303" i="6"/>
  <c r="F303" i="6"/>
  <c r="H303" i="6"/>
  <c r="I303" i="6"/>
  <c r="N303" i="6"/>
  <c r="R303" i="6"/>
  <c r="Q303" i="6" s="1"/>
  <c r="S303" i="6" s="1"/>
  <c r="T303" i="6"/>
  <c r="C304" i="6"/>
  <c r="D304" i="6"/>
  <c r="E304" i="6"/>
  <c r="F304" i="6"/>
  <c r="H304" i="6"/>
  <c r="I304" i="6"/>
  <c r="N304" i="6"/>
  <c r="R304" i="6"/>
  <c r="Q304" i="6" s="1"/>
  <c r="S304" i="6" s="1"/>
  <c r="T304" i="6"/>
  <c r="C305" i="6"/>
  <c r="D305" i="6"/>
  <c r="E305" i="6"/>
  <c r="F305" i="6"/>
  <c r="H305" i="6"/>
  <c r="I305" i="6"/>
  <c r="N305" i="6"/>
  <c r="R305" i="6"/>
  <c r="Q305" i="6" s="1"/>
  <c r="S305" i="6" s="1"/>
  <c r="T305" i="6"/>
  <c r="C306" i="6"/>
  <c r="D306" i="6"/>
  <c r="E306" i="6"/>
  <c r="F306" i="6"/>
  <c r="H306" i="6"/>
  <c r="I306" i="6"/>
  <c r="N306" i="6"/>
  <c r="R306" i="6"/>
  <c r="Q306" i="6" s="1"/>
  <c r="S306" i="6" s="1"/>
  <c r="T306" i="6"/>
  <c r="C307" i="6"/>
  <c r="D307" i="6"/>
  <c r="E307" i="6"/>
  <c r="F307" i="6"/>
  <c r="H307" i="6"/>
  <c r="I307" i="6"/>
  <c r="N307" i="6"/>
  <c r="R307" i="6"/>
  <c r="Q307" i="6" s="1"/>
  <c r="S307" i="6" s="1"/>
  <c r="T307" i="6"/>
  <c r="C308" i="6"/>
  <c r="D308" i="6"/>
  <c r="E308" i="6"/>
  <c r="F308" i="6"/>
  <c r="H308" i="6"/>
  <c r="I308" i="6"/>
  <c r="N308" i="6"/>
  <c r="R308" i="6"/>
  <c r="Q308" i="6" s="1"/>
  <c r="S308" i="6" s="1"/>
  <c r="T308" i="6"/>
  <c r="C309" i="6"/>
  <c r="D309" i="6"/>
  <c r="E309" i="6"/>
  <c r="F309" i="6"/>
  <c r="H309" i="6"/>
  <c r="I309" i="6"/>
  <c r="N309" i="6"/>
  <c r="R309" i="6"/>
  <c r="Q309" i="6" s="1"/>
  <c r="S309" i="6" s="1"/>
  <c r="T309" i="6"/>
  <c r="C310" i="6"/>
  <c r="D310" i="6"/>
  <c r="E310" i="6"/>
  <c r="F310" i="6"/>
  <c r="I310" i="6"/>
  <c r="L310" i="6"/>
  <c r="N310" i="6"/>
  <c r="Q310" i="6"/>
  <c r="R310" i="6"/>
  <c r="S310" i="6"/>
  <c r="T310" i="6"/>
  <c r="C311" i="6"/>
  <c r="D311" i="6"/>
  <c r="E311" i="6"/>
  <c r="F311" i="6"/>
  <c r="I311" i="6"/>
  <c r="N311" i="6"/>
  <c r="R311" i="6"/>
  <c r="Q311" i="6" s="1"/>
  <c r="S311" i="6" s="1"/>
  <c r="T311" i="6"/>
  <c r="C312" i="6"/>
  <c r="D312" i="6"/>
  <c r="E312" i="6"/>
  <c r="F312" i="6"/>
  <c r="I312" i="6"/>
  <c r="L312" i="6"/>
  <c r="N312" i="6"/>
  <c r="Q312" i="6"/>
  <c r="R312" i="6"/>
  <c r="S312" i="6"/>
  <c r="T312" i="6"/>
  <c r="C313" i="6"/>
  <c r="D313" i="6"/>
  <c r="E313" i="6"/>
  <c r="F313" i="6"/>
  <c r="I313" i="6"/>
  <c r="N313" i="6"/>
  <c r="Q313" i="6"/>
  <c r="R313" i="6"/>
  <c r="S313" i="6"/>
  <c r="T313" i="6"/>
  <c r="C314" i="6"/>
  <c r="L314" i="6" s="1"/>
  <c r="D314" i="6"/>
  <c r="E314" i="6"/>
  <c r="F314" i="6"/>
  <c r="I314" i="6"/>
  <c r="N314" i="6"/>
  <c r="R314" i="6"/>
  <c r="Q314" i="6" s="1"/>
  <c r="T314" i="6"/>
  <c r="C315" i="6"/>
  <c r="D315" i="6"/>
  <c r="L315" i="6" s="1"/>
  <c r="E315" i="6"/>
  <c r="F315" i="6"/>
  <c r="H315" i="6"/>
  <c r="I315" i="6"/>
  <c r="N315" i="6"/>
  <c r="R315" i="6"/>
  <c r="Q315" i="6" s="1"/>
  <c r="S315" i="6" s="1"/>
  <c r="T315" i="6"/>
  <c r="C316" i="6"/>
  <c r="D316" i="6"/>
  <c r="L316" i="6" s="1"/>
  <c r="E316" i="6"/>
  <c r="F316" i="6"/>
  <c r="H316" i="6"/>
  <c r="I316" i="6"/>
  <c r="N316" i="6"/>
  <c r="R316" i="6"/>
  <c r="Q316" i="6" s="1"/>
  <c r="S316" i="6" s="1"/>
  <c r="T316" i="6"/>
  <c r="C317" i="6"/>
  <c r="D317" i="6"/>
  <c r="L317" i="6" s="1"/>
  <c r="E317" i="6"/>
  <c r="F317" i="6"/>
  <c r="H317" i="6"/>
  <c r="I317" i="6"/>
  <c r="N317" i="6"/>
  <c r="R317" i="6"/>
  <c r="Q317" i="6" s="1"/>
  <c r="S317" i="6" s="1"/>
  <c r="T317" i="6"/>
  <c r="C318" i="6"/>
  <c r="D318" i="6"/>
  <c r="L318" i="6" s="1"/>
  <c r="E318" i="6"/>
  <c r="F318" i="6"/>
  <c r="H318" i="6"/>
  <c r="I318" i="6"/>
  <c r="N318" i="6"/>
  <c r="R318" i="6"/>
  <c r="Q318" i="6" s="1"/>
  <c r="S318" i="6" s="1"/>
  <c r="T318" i="6"/>
  <c r="C319" i="6"/>
  <c r="D319" i="6"/>
  <c r="L319" i="6" s="1"/>
  <c r="E319" i="6"/>
  <c r="F319" i="6"/>
  <c r="H319" i="6"/>
  <c r="I319" i="6"/>
  <c r="N319" i="6"/>
  <c r="R319" i="6"/>
  <c r="Q319" i="6" s="1"/>
  <c r="S319" i="6" s="1"/>
  <c r="T319" i="6"/>
  <c r="C320" i="6"/>
  <c r="D320" i="6"/>
  <c r="L320" i="6" s="1"/>
  <c r="E320" i="6"/>
  <c r="F320" i="6"/>
  <c r="H320" i="6"/>
  <c r="I320" i="6"/>
  <c r="N320" i="6"/>
  <c r="R320" i="6"/>
  <c r="Q320" i="6" s="1"/>
  <c r="S320" i="6" s="1"/>
  <c r="T320" i="6"/>
  <c r="C321" i="6"/>
  <c r="D321" i="6"/>
  <c r="L321" i="6" s="1"/>
  <c r="E321" i="6"/>
  <c r="F321" i="6"/>
  <c r="H321" i="6"/>
  <c r="I321" i="6"/>
  <c r="N321" i="6"/>
  <c r="R321" i="6"/>
  <c r="Q321" i="6" s="1"/>
  <c r="S321" i="6" s="1"/>
  <c r="T321" i="6"/>
  <c r="C322" i="6"/>
  <c r="D322" i="6"/>
  <c r="E322" i="6"/>
  <c r="F322" i="6"/>
  <c r="I322" i="6"/>
  <c r="L322" i="6"/>
  <c r="N322" i="6"/>
  <c r="Q322" i="6"/>
  <c r="R322" i="6"/>
  <c r="S322" i="6"/>
  <c r="T322" i="6"/>
  <c r="C323" i="6"/>
  <c r="L323" i="6" s="1"/>
  <c r="D323" i="6"/>
  <c r="E323" i="6"/>
  <c r="F323" i="6"/>
  <c r="I323" i="6"/>
  <c r="N323" i="6"/>
  <c r="R323" i="6"/>
  <c r="Q323" i="6" s="1"/>
  <c r="S323" i="6" s="1"/>
  <c r="T323" i="6"/>
  <c r="C324" i="6"/>
  <c r="D324" i="6"/>
  <c r="E324" i="6"/>
  <c r="F324" i="6"/>
  <c r="I324" i="6"/>
  <c r="L324" i="6"/>
  <c r="N324" i="6"/>
  <c r="Q324" i="6"/>
  <c r="R324" i="6"/>
  <c r="S324" i="6"/>
  <c r="T324" i="6"/>
  <c r="C325" i="6"/>
  <c r="L325" i="6" s="1"/>
  <c r="D325" i="6"/>
  <c r="E325" i="6"/>
  <c r="F325" i="6"/>
  <c r="I325" i="6"/>
  <c r="N325" i="6"/>
  <c r="R325" i="6"/>
  <c r="Q325" i="6" s="1"/>
  <c r="T325" i="6"/>
  <c r="C326" i="6"/>
  <c r="D326" i="6"/>
  <c r="E326" i="6"/>
  <c r="F326" i="6"/>
  <c r="I326" i="6"/>
  <c r="L326" i="6"/>
  <c r="N326" i="6"/>
  <c r="Q326" i="6"/>
  <c r="R326" i="6"/>
  <c r="S326" i="6"/>
  <c r="T326" i="6"/>
  <c r="C327" i="6"/>
  <c r="D327" i="6"/>
  <c r="E327" i="6"/>
  <c r="F327" i="6"/>
  <c r="H327" i="6"/>
  <c r="I327" i="6"/>
  <c r="L327" i="6"/>
  <c r="N327" i="6"/>
  <c r="Q327" i="6"/>
  <c r="R327" i="6"/>
  <c r="S327" i="6"/>
  <c r="T327" i="6"/>
  <c r="C328" i="6"/>
  <c r="D328" i="6"/>
  <c r="E328" i="6"/>
  <c r="F328" i="6"/>
  <c r="H328" i="6"/>
  <c r="I328" i="6"/>
  <c r="L328" i="6"/>
  <c r="N328" i="6"/>
  <c r="Q328" i="6"/>
  <c r="R328" i="6"/>
  <c r="S328" i="6"/>
  <c r="T328" i="6"/>
  <c r="C329" i="6"/>
  <c r="D329" i="6"/>
  <c r="E329" i="6"/>
  <c r="F329" i="6"/>
  <c r="H329" i="6"/>
  <c r="I329" i="6"/>
  <c r="L329" i="6"/>
  <c r="N329" i="6"/>
  <c r="Q329" i="6"/>
  <c r="R329" i="6"/>
  <c r="S329" i="6"/>
  <c r="T329" i="6"/>
  <c r="C330" i="6"/>
  <c r="D330" i="6"/>
  <c r="E330" i="6"/>
  <c r="F330" i="6"/>
  <c r="H330" i="6"/>
  <c r="I330" i="6"/>
  <c r="L330" i="6"/>
  <c r="N330" i="6"/>
  <c r="Q330" i="6"/>
  <c r="R330" i="6"/>
  <c r="S330" i="6"/>
  <c r="T330" i="6"/>
  <c r="C331" i="6"/>
  <c r="D331" i="6"/>
  <c r="E331" i="6"/>
  <c r="F331" i="6"/>
  <c r="H331" i="6"/>
  <c r="I331" i="6"/>
  <c r="L331" i="6"/>
  <c r="N331" i="6"/>
  <c r="Q331" i="6"/>
  <c r="R331" i="6"/>
  <c r="S331" i="6"/>
  <c r="T331" i="6"/>
  <c r="C332" i="6"/>
  <c r="D332" i="6"/>
  <c r="E332" i="6"/>
  <c r="F332" i="6"/>
  <c r="H332" i="6"/>
  <c r="I332" i="6"/>
  <c r="L332" i="6"/>
  <c r="N332" i="6"/>
  <c r="Q332" i="6"/>
  <c r="R332" i="6"/>
  <c r="S332" i="6"/>
  <c r="T332" i="6"/>
  <c r="C333" i="6"/>
  <c r="D333" i="6"/>
  <c r="E333" i="6"/>
  <c r="F333" i="6"/>
  <c r="H333" i="6"/>
  <c r="I333" i="6"/>
  <c r="L333" i="6"/>
  <c r="N333" i="6"/>
  <c r="Q333" i="6"/>
  <c r="R333" i="6"/>
  <c r="S333" i="6"/>
  <c r="T333" i="6"/>
  <c r="C334" i="6"/>
  <c r="L334" i="6" s="1"/>
  <c r="D334" i="6"/>
  <c r="E334" i="6"/>
  <c r="F334" i="6"/>
  <c r="I334" i="6"/>
  <c r="N334" i="6"/>
  <c r="R334" i="6"/>
  <c r="Q334" i="6" s="1"/>
  <c r="S334" i="6" s="1"/>
  <c r="T334" i="6"/>
  <c r="C335" i="6"/>
  <c r="D335" i="6"/>
  <c r="E335" i="6"/>
  <c r="F335" i="6"/>
  <c r="I335" i="6"/>
  <c r="L335" i="6"/>
  <c r="N335" i="6"/>
  <c r="Q335" i="6"/>
  <c r="R335" i="6"/>
  <c r="S335" i="6"/>
  <c r="T335" i="6"/>
  <c r="C336" i="6"/>
  <c r="L336" i="6" s="1"/>
  <c r="D336" i="6"/>
  <c r="E336" i="6"/>
  <c r="F336" i="6"/>
  <c r="I336" i="6"/>
  <c r="N336" i="6"/>
  <c r="R336" i="6"/>
  <c r="Q336" i="6" s="1"/>
  <c r="T336" i="6"/>
  <c r="C337" i="6"/>
  <c r="D337" i="6"/>
  <c r="E337" i="6"/>
  <c r="F337" i="6"/>
  <c r="I337" i="6"/>
  <c r="L337" i="6"/>
  <c r="N337" i="6"/>
  <c r="Q337" i="6"/>
  <c r="R337" i="6"/>
  <c r="S337" i="6"/>
  <c r="T337" i="6"/>
  <c r="C338" i="6"/>
  <c r="L338" i="6" s="1"/>
  <c r="D338" i="6"/>
  <c r="E338" i="6"/>
  <c r="F338" i="6"/>
  <c r="I338" i="6"/>
  <c r="N338" i="6"/>
  <c r="R338" i="6"/>
  <c r="Q338" i="6" s="1"/>
  <c r="S338" i="6" s="1"/>
  <c r="T338" i="6"/>
  <c r="C339" i="6"/>
  <c r="D339" i="6"/>
  <c r="L339" i="6" s="1"/>
  <c r="E339" i="6"/>
  <c r="F339" i="6"/>
  <c r="H339" i="6"/>
  <c r="I339" i="6"/>
  <c r="N339" i="6"/>
  <c r="R339" i="6"/>
  <c r="Q339" i="6" s="1"/>
  <c r="S339" i="6" s="1"/>
  <c r="T339" i="6"/>
  <c r="C340" i="6"/>
  <c r="D340" i="6"/>
  <c r="L340" i="6" s="1"/>
  <c r="E340" i="6"/>
  <c r="F340" i="6"/>
  <c r="H340" i="6"/>
  <c r="I340" i="6"/>
  <c r="N340" i="6"/>
  <c r="R340" i="6"/>
  <c r="Q340" i="6" s="1"/>
  <c r="S340" i="6" s="1"/>
  <c r="T340" i="6"/>
  <c r="C341" i="6"/>
  <c r="D341" i="6"/>
  <c r="L341" i="6" s="1"/>
  <c r="E341" i="6"/>
  <c r="F341" i="6"/>
  <c r="H341" i="6"/>
  <c r="I341" i="6"/>
  <c r="N341" i="6"/>
  <c r="R341" i="6"/>
  <c r="Q341" i="6" s="1"/>
  <c r="S341" i="6" s="1"/>
  <c r="T341" i="6"/>
  <c r="C342" i="6"/>
  <c r="D342" i="6"/>
  <c r="L342" i="6" s="1"/>
  <c r="E342" i="6"/>
  <c r="F342" i="6"/>
  <c r="H342" i="6"/>
  <c r="I342" i="6"/>
  <c r="N342" i="6"/>
  <c r="R342" i="6"/>
  <c r="Q342" i="6" s="1"/>
  <c r="S342" i="6" s="1"/>
  <c r="T342" i="6"/>
  <c r="C343" i="6"/>
  <c r="D343" i="6"/>
  <c r="L343" i="6" s="1"/>
  <c r="E343" i="6"/>
  <c r="F343" i="6"/>
  <c r="H343" i="6"/>
  <c r="I343" i="6"/>
  <c r="N343" i="6"/>
  <c r="R343" i="6"/>
  <c r="Q343" i="6" s="1"/>
  <c r="S343" i="6" s="1"/>
  <c r="T343" i="6"/>
  <c r="C344" i="6"/>
  <c r="D344" i="6"/>
  <c r="L344" i="6" s="1"/>
  <c r="E344" i="6"/>
  <c r="F344" i="6"/>
  <c r="H344" i="6"/>
  <c r="I344" i="6"/>
  <c r="N344" i="6"/>
  <c r="R344" i="6"/>
  <c r="Q344" i="6" s="1"/>
  <c r="S344" i="6" s="1"/>
  <c r="T344" i="6"/>
  <c r="C345" i="6"/>
  <c r="D345" i="6"/>
  <c r="L345" i="6" s="1"/>
  <c r="E345" i="6"/>
  <c r="F345" i="6"/>
  <c r="H345" i="6"/>
  <c r="I345" i="6"/>
  <c r="N345" i="6"/>
  <c r="R345" i="6"/>
  <c r="Q345" i="6" s="1"/>
  <c r="S345" i="6" s="1"/>
  <c r="T345" i="6"/>
  <c r="C346" i="6"/>
  <c r="D346" i="6"/>
  <c r="E346" i="6"/>
  <c r="F346" i="6"/>
  <c r="I346" i="6"/>
  <c r="L346" i="6"/>
  <c r="N346" i="6"/>
  <c r="Q346" i="6"/>
  <c r="R346" i="6"/>
  <c r="S346" i="6"/>
  <c r="T346" i="6"/>
  <c r="C347" i="6"/>
  <c r="L347" i="6" s="1"/>
  <c r="D347" i="6"/>
  <c r="E347" i="6"/>
  <c r="F347" i="6"/>
  <c r="I347" i="6"/>
  <c r="N347" i="6"/>
  <c r="R347" i="6"/>
  <c r="Q347" i="6" s="1"/>
  <c r="S347" i="6" s="1"/>
  <c r="T347" i="6"/>
  <c r="C348" i="6"/>
  <c r="D348" i="6"/>
  <c r="E348" i="6"/>
  <c r="F348" i="6"/>
  <c r="I348" i="6"/>
  <c r="L348" i="6"/>
  <c r="N348" i="6"/>
  <c r="Q348" i="6"/>
  <c r="R348" i="6"/>
  <c r="S348" i="6"/>
  <c r="T348" i="6"/>
  <c r="C349" i="6"/>
  <c r="L349" i="6" s="1"/>
  <c r="D349" i="6"/>
  <c r="E349" i="6"/>
  <c r="F349" i="6"/>
  <c r="I349" i="6"/>
  <c r="N349" i="6"/>
  <c r="R349" i="6"/>
  <c r="Q349" i="6" s="1"/>
  <c r="T349" i="6"/>
  <c r="C350" i="6"/>
  <c r="D350" i="6"/>
  <c r="E350" i="6"/>
  <c r="F350" i="6"/>
  <c r="I350" i="6"/>
  <c r="L350" i="6"/>
  <c r="N350" i="6"/>
  <c r="Q350" i="6"/>
  <c r="R350" i="6"/>
  <c r="S350" i="6"/>
  <c r="T350" i="6"/>
  <c r="C351" i="6"/>
  <c r="D351" i="6"/>
  <c r="E351" i="6"/>
  <c r="F351" i="6"/>
  <c r="H351" i="6"/>
  <c r="I351" i="6"/>
  <c r="L351" i="6"/>
  <c r="N351" i="6"/>
  <c r="Q351" i="6"/>
  <c r="R351" i="6"/>
  <c r="S351" i="6"/>
  <c r="T351" i="6"/>
  <c r="C352" i="6"/>
  <c r="D352" i="6"/>
  <c r="E352" i="6"/>
  <c r="F352" i="6"/>
  <c r="H352" i="6"/>
  <c r="I352" i="6"/>
  <c r="L352" i="6"/>
  <c r="N352" i="6"/>
  <c r="Q352" i="6"/>
  <c r="R352" i="6"/>
  <c r="S352" i="6"/>
  <c r="T352" i="6"/>
  <c r="C353" i="6"/>
  <c r="D353" i="6"/>
  <c r="E353" i="6"/>
  <c r="F353" i="6"/>
  <c r="H353" i="6"/>
  <c r="I353" i="6"/>
  <c r="L353" i="6"/>
  <c r="N353" i="6"/>
  <c r="Q353" i="6"/>
  <c r="R353" i="6"/>
  <c r="S353" i="6"/>
  <c r="T353" i="6"/>
  <c r="C354" i="6"/>
  <c r="D354" i="6"/>
  <c r="E354" i="6"/>
  <c r="F354" i="6"/>
  <c r="H354" i="6"/>
  <c r="I354" i="6"/>
  <c r="L354" i="6"/>
  <c r="N354" i="6"/>
  <c r="Q354" i="6"/>
  <c r="R354" i="6"/>
  <c r="S354" i="6"/>
  <c r="T354" i="6"/>
  <c r="C355" i="6"/>
  <c r="D355" i="6"/>
  <c r="E355" i="6"/>
  <c r="F355" i="6"/>
  <c r="H355" i="6"/>
  <c r="I355" i="6"/>
  <c r="L355" i="6"/>
  <c r="N355" i="6"/>
  <c r="Q355" i="6"/>
  <c r="R355" i="6"/>
  <c r="S355" i="6"/>
  <c r="T355" i="6"/>
  <c r="C356" i="6"/>
  <c r="D356" i="6"/>
  <c r="E356" i="6"/>
  <c r="F356" i="6"/>
  <c r="H356" i="6"/>
  <c r="I356" i="6"/>
  <c r="L356" i="6"/>
  <c r="N356" i="6"/>
  <c r="Q356" i="6"/>
  <c r="R356" i="6"/>
  <c r="S356" i="6"/>
  <c r="T356" i="6"/>
  <c r="C357" i="6"/>
  <c r="D357" i="6"/>
  <c r="E357" i="6"/>
  <c r="F357" i="6"/>
  <c r="H357" i="6"/>
  <c r="I357" i="6"/>
  <c r="L357" i="6"/>
  <c r="N357" i="6"/>
  <c r="Q357" i="6"/>
  <c r="R357" i="6"/>
  <c r="S357" i="6"/>
  <c r="T357" i="6"/>
  <c r="C358" i="6"/>
  <c r="L358" i="6" s="1"/>
  <c r="D358" i="6"/>
  <c r="E358" i="6"/>
  <c r="F358" i="6"/>
  <c r="I358" i="6"/>
  <c r="N358" i="6"/>
  <c r="R358" i="6"/>
  <c r="Q358" i="6" s="1"/>
  <c r="S358" i="6" s="1"/>
  <c r="T358" i="6"/>
  <c r="C359" i="6"/>
  <c r="D359" i="6"/>
  <c r="E359" i="6"/>
  <c r="F359" i="6"/>
  <c r="I359" i="6"/>
  <c r="L359" i="6"/>
  <c r="N359" i="6"/>
  <c r="Q359" i="6"/>
  <c r="R359" i="6"/>
  <c r="S359" i="6"/>
  <c r="T359" i="6"/>
  <c r="C360" i="6"/>
  <c r="L360" i="6" s="1"/>
  <c r="D360" i="6"/>
  <c r="E360" i="6"/>
  <c r="F360" i="6"/>
  <c r="I360" i="6"/>
  <c r="N360" i="6"/>
  <c r="R360" i="6"/>
  <c r="Q360" i="6" s="1"/>
  <c r="T360" i="6"/>
  <c r="C361" i="6"/>
  <c r="D361" i="6"/>
  <c r="E361" i="6"/>
  <c r="F361" i="6"/>
  <c r="I361" i="6"/>
  <c r="L361" i="6"/>
  <c r="N361" i="6"/>
  <c r="Q361" i="6"/>
  <c r="R361" i="6"/>
  <c r="S361" i="6"/>
  <c r="T361" i="6"/>
  <c r="C362" i="6"/>
  <c r="L362" i="6" s="1"/>
  <c r="D362" i="6"/>
  <c r="E362" i="6"/>
  <c r="F362" i="6"/>
  <c r="I362" i="6"/>
  <c r="N362" i="6"/>
  <c r="R362" i="6"/>
  <c r="Q362" i="6" s="1"/>
  <c r="S362" i="6" s="1"/>
  <c r="T362" i="6"/>
  <c r="C363" i="6"/>
  <c r="D363" i="6"/>
  <c r="L363" i="6" s="1"/>
  <c r="E363" i="6"/>
  <c r="F363" i="6"/>
  <c r="H363" i="6"/>
  <c r="I363" i="6"/>
  <c r="N363" i="6"/>
  <c r="R363" i="6"/>
  <c r="Q363" i="6" s="1"/>
  <c r="S363" i="6" s="1"/>
  <c r="T363" i="6"/>
  <c r="C364" i="6"/>
  <c r="D364" i="6"/>
  <c r="L364" i="6" s="1"/>
  <c r="E364" i="6"/>
  <c r="F364" i="6"/>
  <c r="H364" i="6"/>
  <c r="I364" i="6"/>
  <c r="N364" i="6"/>
  <c r="R364" i="6"/>
  <c r="Q364" i="6" s="1"/>
  <c r="S364" i="6" s="1"/>
  <c r="T364" i="6"/>
  <c r="C365" i="6"/>
  <c r="D365" i="6"/>
  <c r="L365" i="6" s="1"/>
  <c r="E365" i="6"/>
  <c r="F365" i="6"/>
  <c r="H365" i="6"/>
  <c r="I365" i="6"/>
  <c r="N365" i="6"/>
  <c r="R365" i="6"/>
  <c r="Q365" i="6" s="1"/>
  <c r="S365" i="6" s="1"/>
  <c r="T365" i="6"/>
  <c r="C366" i="6"/>
  <c r="D366" i="6"/>
  <c r="L366" i="6" s="1"/>
  <c r="E366" i="6"/>
  <c r="F366" i="6"/>
  <c r="H366" i="6"/>
  <c r="I366" i="6"/>
  <c r="N366" i="6"/>
  <c r="R366" i="6"/>
  <c r="Q366" i="6" s="1"/>
  <c r="S366" i="6" s="1"/>
  <c r="T366" i="6"/>
  <c r="C367" i="6"/>
  <c r="D367" i="6"/>
  <c r="L367" i="6" s="1"/>
  <c r="E367" i="6"/>
  <c r="F367" i="6"/>
  <c r="H367" i="6"/>
  <c r="I367" i="6"/>
  <c r="N367" i="6"/>
  <c r="R367" i="6"/>
  <c r="Q367" i="6" s="1"/>
  <c r="S367" i="6" s="1"/>
  <c r="T367" i="6"/>
  <c r="C368" i="6"/>
  <c r="D368" i="6"/>
  <c r="L368" i="6" s="1"/>
  <c r="E368" i="6"/>
  <c r="F368" i="6"/>
  <c r="H368" i="6"/>
  <c r="I368" i="6"/>
  <c r="N368" i="6"/>
  <c r="R368" i="6"/>
  <c r="Q368" i="6" s="1"/>
  <c r="S368" i="6" s="1"/>
  <c r="T368" i="6"/>
  <c r="C369" i="6"/>
  <c r="D369" i="6"/>
  <c r="L369" i="6" s="1"/>
  <c r="E369" i="6"/>
  <c r="F369" i="6"/>
  <c r="H369" i="6"/>
  <c r="I369" i="6"/>
  <c r="N369" i="6"/>
  <c r="R369" i="6"/>
  <c r="Q369" i="6" s="1"/>
  <c r="S369" i="6" s="1"/>
  <c r="T369" i="6"/>
  <c r="C370" i="6"/>
  <c r="D370" i="6"/>
  <c r="E370" i="6"/>
  <c r="F370" i="6"/>
  <c r="I370" i="6"/>
  <c r="L370" i="6"/>
  <c r="N370" i="6"/>
  <c r="Q370" i="6"/>
  <c r="R370" i="6"/>
  <c r="S370" i="6"/>
  <c r="T370" i="6"/>
  <c r="C371" i="6"/>
  <c r="L371" i="6" s="1"/>
  <c r="D371" i="6"/>
  <c r="E371" i="6"/>
  <c r="F371" i="6"/>
  <c r="I371" i="6"/>
  <c r="N371" i="6"/>
  <c r="R371" i="6"/>
  <c r="Q371" i="6" s="1"/>
  <c r="S371" i="6" s="1"/>
  <c r="T371" i="6"/>
  <c r="C372" i="6"/>
  <c r="D372" i="6"/>
  <c r="E372" i="6"/>
  <c r="F372" i="6"/>
  <c r="I372" i="6"/>
  <c r="L372" i="6"/>
  <c r="N372" i="6"/>
  <c r="Q372" i="6"/>
  <c r="R372" i="6"/>
  <c r="S372" i="6"/>
  <c r="T372" i="6"/>
  <c r="C373" i="6"/>
  <c r="L373" i="6" s="1"/>
  <c r="D373" i="6"/>
  <c r="E373" i="6"/>
  <c r="F373" i="6"/>
  <c r="I373" i="6"/>
  <c r="N373" i="6"/>
  <c r="R373" i="6"/>
  <c r="Q373" i="6" s="1"/>
  <c r="T373" i="6"/>
  <c r="C374" i="6"/>
  <c r="D374" i="6"/>
  <c r="E374" i="6"/>
  <c r="F374" i="6"/>
  <c r="I374" i="6"/>
  <c r="L374" i="6"/>
  <c r="N374" i="6"/>
  <c r="Q374" i="6"/>
  <c r="R374" i="6"/>
  <c r="S374" i="6"/>
  <c r="T374" i="6"/>
  <c r="C375" i="6"/>
  <c r="D375" i="6"/>
  <c r="E375" i="6"/>
  <c r="F375" i="6"/>
  <c r="H375" i="6"/>
  <c r="I375" i="6"/>
  <c r="L375" i="6"/>
  <c r="N375" i="6"/>
  <c r="Q375" i="6"/>
  <c r="R375" i="6"/>
  <c r="S375" i="6"/>
  <c r="T375" i="6"/>
  <c r="C376" i="6"/>
  <c r="D376" i="6"/>
  <c r="E376" i="6"/>
  <c r="F376" i="6"/>
  <c r="H376" i="6"/>
  <c r="I376" i="6"/>
  <c r="L376" i="6"/>
  <c r="N376" i="6"/>
  <c r="Q376" i="6"/>
  <c r="R376" i="6"/>
  <c r="S376" i="6"/>
  <c r="T376" i="6"/>
  <c r="C377" i="6"/>
  <c r="D377" i="6"/>
  <c r="E377" i="6"/>
  <c r="F377" i="6"/>
  <c r="H377" i="6"/>
  <c r="I377" i="6"/>
  <c r="L377" i="6"/>
  <c r="N377" i="6"/>
  <c r="Q377" i="6"/>
  <c r="R377" i="6"/>
  <c r="S377" i="6"/>
  <c r="T377" i="6"/>
  <c r="C378" i="6"/>
  <c r="D378" i="6"/>
  <c r="E378" i="6"/>
  <c r="F378" i="6"/>
  <c r="H378" i="6"/>
  <c r="I378" i="6"/>
  <c r="L378" i="6"/>
  <c r="N378" i="6"/>
  <c r="Q378" i="6"/>
  <c r="R378" i="6"/>
  <c r="S378" i="6"/>
  <c r="T378" i="6"/>
  <c r="C379" i="6"/>
  <c r="D379" i="6"/>
  <c r="E379" i="6"/>
  <c r="F379" i="6"/>
  <c r="H379" i="6"/>
  <c r="I379" i="6"/>
  <c r="L379" i="6"/>
  <c r="N379" i="6"/>
  <c r="Q379" i="6"/>
  <c r="R379" i="6"/>
  <c r="S379" i="6"/>
  <c r="T379" i="6"/>
  <c r="C380" i="6"/>
  <c r="D380" i="6"/>
  <c r="E380" i="6"/>
  <c r="F380" i="6"/>
  <c r="H380" i="6"/>
  <c r="I380" i="6"/>
  <c r="L380" i="6"/>
  <c r="N380" i="6"/>
  <c r="Q380" i="6"/>
  <c r="R380" i="6"/>
  <c r="S380" i="6"/>
  <c r="T380" i="6"/>
  <c r="C381" i="6"/>
  <c r="D381" i="6"/>
  <c r="E381" i="6"/>
  <c r="F381" i="6"/>
  <c r="H381" i="6"/>
  <c r="I381" i="6"/>
  <c r="L381" i="6"/>
  <c r="N381" i="6"/>
  <c r="Q381" i="6"/>
  <c r="R381" i="6"/>
  <c r="S381" i="6"/>
  <c r="T381" i="6"/>
  <c r="C382" i="6"/>
  <c r="L382" i="6" s="1"/>
  <c r="D382" i="6"/>
  <c r="E382" i="6"/>
  <c r="F382" i="6"/>
  <c r="I382" i="6"/>
  <c r="N382" i="6"/>
  <c r="R382" i="6"/>
  <c r="Q382" i="6" s="1"/>
  <c r="S382" i="6" s="1"/>
  <c r="T382" i="6"/>
  <c r="C383" i="6"/>
  <c r="D383" i="6"/>
  <c r="E383" i="6"/>
  <c r="F383" i="6"/>
  <c r="I383" i="6"/>
  <c r="L383" i="6"/>
  <c r="N383" i="6"/>
  <c r="Q383" i="6"/>
  <c r="R383" i="6"/>
  <c r="S383" i="6"/>
  <c r="T383" i="6"/>
  <c r="C384" i="6"/>
  <c r="L384" i="6" s="1"/>
  <c r="D384" i="6"/>
  <c r="E384" i="6"/>
  <c r="F384" i="6"/>
  <c r="I384" i="6"/>
  <c r="N384" i="6"/>
  <c r="R384" i="6"/>
  <c r="Q384" i="6" s="1"/>
  <c r="T384" i="6"/>
  <c r="C385" i="6"/>
  <c r="D385" i="6"/>
  <c r="E385" i="6"/>
  <c r="F385" i="6"/>
  <c r="I385" i="6"/>
  <c r="L385" i="6"/>
  <c r="N385" i="6"/>
  <c r="Q385" i="6"/>
  <c r="R385" i="6"/>
  <c r="S385" i="6"/>
  <c r="T385" i="6"/>
  <c r="C386" i="6"/>
  <c r="L386" i="6" s="1"/>
  <c r="D386" i="6"/>
  <c r="E386" i="6"/>
  <c r="F386" i="6"/>
  <c r="I386" i="6"/>
  <c r="N386" i="6"/>
  <c r="R386" i="6"/>
  <c r="Q386" i="6" s="1"/>
  <c r="S386" i="6" s="1"/>
  <c r="T386" i="6"/>
  <c r="C387" i="6"/>
  <c r="D387" i="6"/>
  <c r="L387" i="6" s="1"/>
  <c r="E387" i="6"/>
  <c r="F387" i="6"/>
  <c r="H387" i="6"/>
  <c r="I387" i="6"/>
  <c r="N387" i="6"/>
  <c r="R387" i="6"/>
  <c r="Q387" i="6" s="1"/>
  <c r="S387" i="6" s="1"/>
  <c r="T387" i="6"/>
  <c r="C388" i="6"/>
  <c r="D388" i="6"/>
  <c r="L388" i="6" s="1"/>
  <c r="E388" i="6"/>
  <c r="F388" i="6"/>
  <c r="H388" i="6"/>
  <c r="I388" i="6"/>
  <c r="N388" i="6"/>
  <c r="R388" i="6"/>
  <c r="Q388" i="6" s="1"/>
  <c r="S388" i="6" s="1"/>
  <c r="T388" i="6"/>
  <c r="C389" i="6"/>
  <c r="D389" i="6"/>
  <c r="L389" i="6" s="1"/>
  <c r="E389" i="6"/>
  <c r="F389" i="6"/>
  <c r="H389" i="6"/>
  <c r="I389" i="6"/>
  <c r="N389" i="6"/>
  <c r="R389" i="6"/>
  <c r="Q389" i="6" s="1"/>
  <c r="S389" i="6" s="1"/>
  <c r="T389" i="6"/>
  <c r="C390" i="6"/>
  <c r="D390" i="6"/>
  <c r="L390" i="6" s="1"/>
  <c r="E390" i="6"/>
  <c r="F390" i="6"/>
  <c r="H390" i="6"/>
  <c r="I390" i="6"/>
  <c r="N390" i="6"/>
  <c r="R390" i="6"/>
  <c r="Q390" i="6" s="1"/>
  <c r="S390" i="6" s="1"/>
  <c r="T390" i="6"/>
  <c r="C391" i="6"/>
  <c r="D391" i="6"/>
  <c r="L391" i="6" s="1"/>
  <c r="E391" i="6"/>
  <c r="F391" i="6"/>
  <c r="H391" i="6"/>
  <c r="I391" i="6"/>
  <c r="N391" i="6"/>
  <c r="R391" i="6"/>
  <c r="Q391" i="6" s="1"/>
  <c r="S391" i="6" s="1"/>
  <c r="T391" i="6"/>
  <c r="C392" i="6"/>
  <c r="D392" i="6"/>
  <c r="E392" i="6"/>
  <c r="F392" i="6"/>
  <c r="L392" i="6" s="1"/>
  <c r="H392" i="6"/>
  <c r="I392" i="6"/>
  <c r="N392" i="6"/>
  <c r="R392" i="6"/>
  <c r="Q392" i="6" s="1"/>
  <c r="S392" i="6" s="1"/>
  <c r="T392" i="6"/>
  <c r="C393" i="6"/>
  <c r="D393" i="6"/>
  <c r="E393" i="6"/>
  <c r="F393" i="6"/>
  <c r="H393" i="6"/>
  <c r="I393" i="6"/>
  <c r="L393" i="6"/>
  <c r="N393" i="6"/>
  <c r="Q393" i="6"/>
  <c r="R393" i="6"/>
  <c r="S393" i="6"/>
  <c r="T393" i="6"/>
  <c r="C394" i="6"/>
  <c r="L394" i="6" s="1"/>
  <c r="D394" i="6"/>
  <c r="E394" i="6"/>
  <c r="F394" i="6"/>
  <c r="I394" i="6"/>
  <c r="N394" i="6"/>
  <c r="R394" i="6"/>
  <c r="Q394" i="6" s="1"/>
  <c r="S394" i="6" s="1"/>
  <c r="T394" i="6"/>
  <c r="C395" i="6"/>
  <c r="D395" i="6"/>
  <c r="E395" i="6"/>
  <c r="F395" i="6"/>
  <c r="I395" i="6"/>
  <c r="L395" i="6"/>
  <c r="N395" i="6"/>
  <c r="Q395" i="6"/>
  <c r="R395" i="6"/>
  <c r="S395" i="6"/>
  <c r="T395" i="6"/>
  <c r="C396" i="6"/>
  <c r="L396" i="6" s="1"/>
  <c r="D396" i="6"/>
  <c r="E396" i="6"/>
  <c r="F396" i="6"/>
  <c r="I396" i="6"/>
  <c r="N396" i="6"/>
  <c r="R396" i="6"/>
  <c r="Q396" i="6" s="1"/>
  <c r="T396" i="6"/>
  <c r="C397" i="6"/>
  <c r="D397" i="6"/>
  <c r="E397" i="6"/>
  <c r="F397" i="6"/>
  <c r="I397" i="6"/>
  <c r="L397" i="6"/>
  <c r="N397" i="6"/>
  <c r="Q397" i="6"/>
  <c r="R397" i="6"/>
  <c r="S397" i="6"/>
  <c r="T397" i="6"/>
  <c r="C398" i="6"/>
  <c r="L398" i="6" s="1"/>
  <c r="D398" i="6"/>
  <c r="E398" i="6"/>
  <c r="F398" i="6"/>
  <c r="I398" i="6"/>
  <c r="N398" i="6"/>
  <c r="R398" i="6"/>
  <c r="Q398" i="6" s="1"/>
  <c r="S398" i="6" s="1"/>
  <c r="T398" i="6"/>
  <c r="C399" i="6"/>
  <c r="D399" i="6"/>
  <c r="L399" i="6" s="1"/>
  <c r="E399" i="6"/>
  <c r="F399" i="6"/>
  <c r="H399" i="6"/>
  <c r="I399" i="6"/>
  <c r="N399" i="6"/>
  <c r="R399" i="6"/>
  <c r="Q399" i="6" s="1"/>
  <c r="S399" i="6" s="1"/>
  <c r="T399" i="6"/>
  <c r="C400" i="6"/>
  <c r="D400" i="6"/>
  <c r="L400" i="6" s="1"/>
  <c r="E400" i="6"/>
  <c r="F400" i="6"/>
  <c r="H400" i="6"/>
  <c r="I400" i="6"/>
  <c r="N400" i="6"/>
  <c r="R400" i="6"/>
  <c r="Q400" i="6" s="1"/>
  <c r="S400" i="6" s="1"/>
  <c r="T400" i="6"/>
  <c r="C401" i="6"/>
  <c r="D401" i="6"/>
  <c r="L401" i="6" s="1"/>
  <c r="E401" i="6"/>
  <c r="F401" i="6"/>
  <c r="H401" i="6"/>
  <c r="I401" i="6"/>
  <c r="N401" i="6"/>
  <c r="R401" i="6"/>
  <c r="Q401" i="6" s="1"/>
  <c r="S401" i="6" s="1"/>
  <c r="T401" i="6"/>
  <c r="C402" i="6"/>
  <c r="D402" i="6"/>
  <c r="E402" i="6"/>
  <c r="F402" i="6"/>
  <c r="L402" i="6" s="1"/>
  <c r="H402" i="6"/>
  <c r="I402" i="6"/>
  <c r="N402" i="6"/>
  <c r="R402" i="6"/>
  <c r="Q402" i="6" s="1"/>
  <c r="S402" i="6" s="1"/>
  <c r="T402" i="6"/>
  <c r="C403" i="6"/>
  <c r="D403" i="6"/>
  <c r="E403" i="6"/>
  <c r="F403" i="6"/>
  <c r="H403" i="6"/>
  <c r="I403" i="6"/>
  <c r="L403" i="6"/>
  <c r="N403" i="6"/>
  <c r="Q403" i="6"/>
  <c r="R403" i="6"/>
  <c r="S403" i="6"/>
  <c r="T403" i="6"/>
  <c r="C404" i="6"/>
  <c r="D404" i="6"/>
  <c r="E404" i="6"/>
  <c r="F404" i="6"/>
  <c r="H404" i="6"/>
  <c r="I404" i="6"/>
  <c r="L404" i="6"/>
  <c r="N404" i="6"/>
  <c r="Q404" i="6"/>
  <c r="R404" i="6"/>
  <c r="S404" i="6"/>
  <c r="T404" i="6"/>
  <c r="C405" i="6"/>
  <c r="D405" i="6"/>
  <c r="E405" i="6"/>
  <c r="F405" i="6"/>
  <c r="H405" i="6"/>
  <c r="I405" i="6"/>
  <c r="L405" i="6"/>
  <c r="N405" i="6"/>
  <c r="Q405" i="6"/>
  <c r="R405" i="6"/>
  <c r="S405" i="6"/>
  <c r="T405" i="6"/>
  <c r="C406" i="6"/>
  <c r="L406" i="6" s="1"/>
  <c r="D406" i="6"/>
  <c r="E406" i="6"/>
  <c r="F406" i="6"/>
  <c r="I406" i="6"/>
  <c r="N406" i="6"/>
  <c r="R406" i="6"/>
  <c r="Q406" i="6" s="1"/>
  <c r="S406" i="6" s="1"/>
  <c r="T406" i="6"/>
  <c r="C407" i="6"/>
  <c r="D407" i="6"/>
  <c r="E407" i="6"/>
  <c r="F407" i="6"/>
  <c r="I407" i="6"/>
  <c r="L407" i="6"/>
  <c r="N407" i="6"/>
  <c r="Q407" i="6"/>
  <c r="R407" i="6"/>
  <c r="S407" i="6"/>
  <c r="T407" i="6"/>
  <c r="C408" i="6"/>
  <c r="L408" i="6" s="1"/>
  <c r="D408" i="6"/>
  <c r="E408" i="6"/>
  <c r="F408" i="6"/>
  <c r="I408" i="6"/>
  <c r="N408" i="6"/>
  <c r="R408" i="6"/>
  <c r="Q408" i="6" s="1"/>
  <c r="T408" i="6"/>
  <c r="C409" i="6"/>
  <c r="D409" i="6"/>
  <c r="E409" i="6"/>
  <c r="F409" i="6"/>
  <c r="I409" i="6"/>
  <c r="L409" i="6"/>
  <c r="N409" i="6"/>
  <c r="Q409" i="6"/>
  <c r="R409" i="6"/>
  <c r="S409" i="6"/>
  <c r="T409" i="6"/>
  <c r="C410" i="6"/>
  <c r="L410" i="6" s="1"/>
  <c r="D410" i="6"/>
  <c r="E410" i="6"/>
  <c r="F410" i="6"/>
  <c r="I410" i="6"/>
  <c r="N410" i="6"/>
  <c r="R410" i="6"/>
  <c r="Q410" i="6" s="1"/>
  <c r="S410" i="6" s="1"/>
  <c r="T410" i="6"/>
  <c r="C411" i="6"/>
  <c r="D411" i="6"/>
  <c r="E411" i="6"/>
  <c r="F411" i="6"/>
  <c r="L411" i="6" s="1"/>
  <c r="H411" i="6"/>
  <c r="I411" i="6"/>
  <c r="N411" i="6"/>
  <c r="R411" i="6"/>
  <c r="Q411" i="6" s="1"/>
  <c r="S411" i="6" s="1"/>
  <c r="T411" i="6"/>
  <c r="C412" i="6"/>
  <c r="D412" i="6"/>
  <c r="E412" i="6"/>
  <c r="F412" i="6"/>
  <c r="H412" i="6"/>
  <c r="I412" i="6"/>
  <c r="L412" i="6"/>
  <c r="N412" i="6"/>
  <c r="Q412" i="6"/>
  <c r="R412" i="6"/>
  <c r="S412" i="6"/>
  <c r="T412" i="6"/>
  <c r="C413" i="6"/>
  <c r="D413" i="6"/>
  <c r="E413" i="6"/>
  <c r="F413" i="6"/>
  <c r="H413" i="6"/>
  <c r="I413" i="6"/>
  <c r="L413" i="6"/>
  <c r="N413" i="6"/>
  <c r="Q413" i="6"/>
  <c r="R413" i="6"/>
  <c r="S413" i="6"/>
  <c r="T413" i="6"/>
  <c r="C414" i="6"/>
  <c r="D414" i="6"/>
  <c r="E414" i="6"/>
  <c r="F414" i="6"/>
  <c r="H414" i="6"/>
  <c r="I414" i="6"/>
  <c r="L414" i="6"/>
  <c r="N414" i="6"/>
  <c r="Q414" i="6"/>
  <c r="R414" i="6"/>
  <c r="S414" i="6"/>
  <c r="T414" i="6"/>
  <c r="C415" i="6"/>
  <c r="D415" i="6"/>
  <c r="E415" i="6"/>
  <c r="F415" i="6"/>
  <c r="H415" i="6"/>
  <c r="I415" i="6"/>
  <c r="L415" i="6"/>
  <c r="N415" i="6"/>
  <c r="Q415" i="6"/>
  <c r="R415" i="6"/>
  <c r="S415" i="6"/>
  <c r="T415" i="6"/>
  <c r="C416" i="6"/>
  <c r="D416" i="6"/>
  <c r="E416" i="6"/>
  <c r="F416" i="6"/>
  <c r="H416" i="6"/>
  <c r="I416" i="6"/>
  <c r="L416" i="6"/>
  <c r="N416" i="6"/>
  <c r="Q416" i="6"/>
  <c r="R416" i="6"/>
  <c r="S416" i="6"/>
  <c r="T416" i="6"/>
  <c r="C417" i="6"/>
  <c r="D417" i="6"/>
  <c r="E417" i="6"/>
  <c r="F417" i="6"/>
  <c r="H417" i="6"/>
  <c r="I417" i="6"/>
  <c r="L417" i="6"/>
  <c r="N417" i="6"/>
  <c r="Q417" i="6"/>
  <c r="R417" i="6"/>
  <c r="S417" i="6"/>
  <c r="T417" i="6"/>
  <c r="C418" i="6"/>
  <c r="L418" i="6" s="1"/>
  <c r="D418" i="6"/>
  <c r="E418" i="6"/>
  <c r="F418" i="6"/>
  <c r="I418" i="6"/>
  <c r="N418" i="6"/>
  <c r="R418" i="6"/>
  <c r="Q418" i="6" s="1"/>
  <c r="S418" i="6" s="1"/>
  <c r="T418" i="6"/>
  <c r="C419" i="6"/>
  <c r="D419" i="6"/>
  <c r="E419" i="6"/>
  <c r="F419" i="6"/>
  <c r="I419" i="6"/>
  <c r="L419" i="6"/>
  <c r="N419" i="6"/>
  <c r="Q419" i="6"/>
  <c r="R419" i="6"/>
  <c r="S419" i="6"/>
  <c r="T419" i="6"/>
  <c r="C420" i="6"/>
  <c r="L420" i="6" s="1"/>
  <c r="D420" i="6"/>
  <c r="E420" i="6"/>
  <c r="F420" i="6"/>
  <c r="I420" i="6"/>
  <c r="N420" i="6"/>
  <c r="R420" i="6"/>
  <c r="Q420" i="6" s="1"/>
  <c r="T420" i="6"/>
  <c r="C421" i="6"/>
  <c r="D421" i="6"/>
  <c r="E421" i="6"/>
  <c r="F421" i="6"/>
  <c r="I421" i="6"/>
  <c r="L421" i="6"/>
  <c r="N421" i="6"/>
  <c r="Q421" i="6"/>
  <c r="R421" i="6"/>
  <c r="S421" i="6"/>
  <c r="T421" i="6"/>
  <c r="C422" i="6"/>
  <c r="L422" i="6" s="1"/>
  <c r="D422" i="6"/>
  <c r="E422" i="6"/>
  <c r="F422" i="6"/>
  <c r="I422" i="6"/>
  <c r="N422" i="6"/>
  <c r="R422" i="6"/>
  <c r="Q422" i="6" s="1"/>
  <c r="S422" i="6" s="1"/>
  <c r="T422" i="6"/>
  <c r="C423" i="6"/>
  <c r="D423" i="6"/>
  <c r="L423" i="6" s="1"/>
  <c r="E423" i="6"/>
  <c r="F423" i="6"/>
  <c r="H423" i="6"/>
  <c r="I423" i="6"/>
  <c r="N423" i="6"/>
  <c r="R423" i="6"/>
  <c r="Q423" i="6" s="1"/>
  <c r="S423" i="6" s="1"/>
  <c r="T423" i="6"/>
  <c r="C424" i="6"/>
  <c r="D424" i="6"/>
  <c r="L424" i="6" s="1"/>
  <c r="E424" i="6"/>
  <c r="F424" i="6"/>
  <c r="H424" i="6"/>
  <c r="I424" i="6"/>
  <c r="N424" i="6"/>
  <c r="R424" i="6"/>
  <c r="Q424" i="6" s="1"/>
  <c r="S424" i="6" s="1"/>
  <c r="T424" i="6"/>
  <c r="C425" i="6"/>
  <c r="D425" i="6"/>
  <c r="L425" i="6" s="1"/>
  <c r="E425" i="6"/>
  <c r="F425" i="6"/>
  <c r="H425" i="6"/>
  <c r="I425" i="6"/>
  <c r="N425" i="6"/>
  <c r="R425" i="6"/>
  <c r="Q425" i="6" s="1"/>
  <c r="S425" i="6" s="1"/>
  <c r="T425" i="6"/>
  <c r="C426" i="6"/>
  <c r="D426" i="6"/>
  <c r="L426" i="6" s="1"/>
  <c r="E426" i="6"/>
  <c r="F426" i="6"/>
  <c r="H426" i="6"/>
  <c r="I426" i="6"/>
  <c r="N426" i="6"/>
  <c r="R426" i="6"/>
  <c r="Q426" i="6" s="1"/>
  <c r="S426" i="6" s="1"/>
  <c r="T426" i="6"/>
  <c r="C427" i="6"/>
  <c r="D427" i="6"/>
  <c r="L427" i="6" s="1"/>
  <c r="E427" i="6"/>
  <c r="F427" i="6"/>
  <c r="H427" i="6"/>
  <c r="I427" i="6"/>
  <c r="N427" i="6"/>
  <c r="R427" i="6"/>
  <c r="Q427" i="6" s="1"/>
  <c r="S427" i="6" s="1"/>
  <c r="T427" i="6"/>
  <c r="C428" i="6"/>
  <c r="D428" i="6"/>
  <c r="L428" i="6" s="1"/>
  <c r="E428" i="6"/>
  <c r="F428" i="6"/>
  <c r="H428" i="6"/>
  <c r="I428" i="6"/>
  <c r="N428" i="6"/>
  <c r="R428" i="6"/>
  <c r="Q428" i="6" s="1"/>
  <c r="S428" i="6" s="1"/>
  <c r="T428" i="6"/>
  <c r="C429" i="6"/>
  <c r="D429" i="6"/>
  <c r="L429" i="6" s="1"/>
  <c r="E429" i="6"/>
  <c r="F429" i="6"/>
  <c r="H429" i="6"/>
  <c r="I429" i="6"/>
  <c r="N429" i="6"/>
  <c r="R429" i="6"/>
  <c r="Q429" i="6" s="1"/>
  <c r="S429" i="6" s="1"/>
  <c r="T429" i="6"/>
  <c r="C430" i="6"/>
  <c r="D430" i="6"/>
  <c r="E430" i="6"/>
  <c r="F430" i="6"/>
  <c r="I430" i="6"/>
  <c r="L430" i="6"/>
  <c r="N430" i="6"/>
  <c r="Q430" i="6"/>
  <c r="R430" i="6"/>
  <c r="S430" i="6"/>
  <c r="T430" i="6"/>
  <c r="C431" i="6"/>
  <c r="L431" i="6" s="1"/>
  <c r="D431" i="6"/>
  <c r="E431" i="6"/>
  <c r="F431" i="6"/>
  <c r="I431" i="6"/>
  <c r="N431" i="6"/>
  <c r="R431" i="6"/>
  <c r="Q431" i="6" s="1"/>
  <c r="S431" i="6" s="1"/>
  <c r="T431" i="6"/>
  <c r="C432" i="6"/>
  <c r="D432" i="6"/>
  <c r="E432" i="6"/>
  <c r="F432" i="6"/>
  <c r="I432" i="6"/>
  <c r="L432" i="6"/>
  <c r="N432" i="6"/>
  <c r="Q432" i="6"/>
  <c r="R432" i="6"/>
  <c r="S432" i="6"/>
  <c r="T432" i="6"/>
  <c r="C433" i="6"/>
  <c r="L433" i="6" s="1"/>
  <c r="L636" i="6" s="1"/>
  <c r="D433" i="6"/>
  <c r="E433" i="6"/>
  <c r="F433" i="6"/>
  <c r="I433" i="6"/>
  <c r="N433" i="6"/>
  <c r="R433" i="6"/>
  <c r="Q433" i="6" s="1"/>
  <c r="T433" i="6"/>
  <c r="C434" i="6"/>
  <c r="D434" i="6"/>
  <c r="E434" i="6"/>
  <c r="F434" i="6"/>
  <c r="I434" i="6"/>
  <c r="L434" i="6"/>
  <c r="N434" i="6"/>
  <c r="Q434" i="6"/>
  <c r="R434" i="6"/>
  <c r="S434" i="6"/>
  <c r="T434" i="6"/>
  <c r="C435" i="6"/>
  <c r="D435" i="6"/>
  <c r="E435" i="6"/>
  <c r="F435" i="6"/>
  <c r="H435" i="6"/>
  <c r="I435" i="6"/>
  <c r="L435" i="6"/>
  <c r="N435" i="6"/>
  <c r="Q435" i="6"/>
  <c r="R435" i="6"/>
  <c r="S435" i="6"/>
  <c r="T435" i="6"/>
  <c r="C436" i="6"/>
  <c r="D436" i="6"/>
  <c r="E436" i="6"/>
  <c r="F436" i="6"/>
  <c r="H436" i="6"/>
  <c r="I436" i="6"/>
  <c r="L436" i="6"/>
  <c r="N436" i="6"/>
  <c r="Q436" i="6"/>
  <c r="R436" i="6"/>
  <c r="S436" i="6"/>
  <c r="T436" i="6"/>
  <c r="C437" i="6"/>
  <c r="D437" i="6"/>
  <c r="E437" i="6"/>
  <c r="F437" i="6"/>
  <c r="H437" i="6"/>
  <c r="I437" i="6"/>
  <c r="L437" i="6"/>
  <c r="N437" i="6"/>
  <c r="Q437" i="6"/>
  <c r="R437" i="6"/>
  <c r="S437" i="6"/>
  <c r="T437" i="6"/>
  <c r="C438" i="6"/>
  <c r="D438" i="6"/>
  <c r="E438" i="6"/>
  <c r="F438" i="6"/>
  <c r="H438" i="6"/>
  <c r="I438" i="6"/>
  <c r="L438" i="6"/>
  <c r="N438" i="6"/>
  <c r="Q438" i="6"/>
  <c r="R438" i="6"/>
  <c r="S438" i="6"/>
  <c r="T438" i="6"/>
  <c r="C439" i="6"/>
  <c r="D439" i="6"/>
  <c r="E439" i="6"/>
  <c r="F439" i="6"/>
  <c r="H439" i="6"/>
  <c r="I439" i="6"/>
  <c r="L439" i="6"/>
  <c r="N439" i="6"/>
  <c r="Q439" i="6"/>
  <c r="R439" i="6"/>
  <c r="S439" i="6"/>
  <c r="T439" i="6"/>
  <c r="C440" i="6"/>
  <c r="D440" i="6"/>
  <c r="E440" i="6"/>
  <c r="F440" i="6"/>
  <c r="H440" i="6"/>
  <c r="I440" i="6"/>
  <c r="L440" i="6"/>
  <c r="N440" i="6"/>
  <c r="Q440" i="6"/>
  <c r="R440" i="6"/>
  <c r="S440" i="6"/>
  <c r="T440" i="6"/>
  <c r="C441" i="6"/>
  <c r="D441" i="6"/>
  <c r="E441" i="6"/>
  <c r="F441" i="6"/>
  <c r="H441" i="6"/>
  <c r="I441" i="6"/>
  <c r="L441" i="6"/>
  <c r="N441" i="6"/>
  <c r="Q441" i="6"/>
  <c r="R441" i="6"/>
  <c r="S441" i="6"/>
  <c r="T441" i="6"/>
  <c r="C442" i="6"/>
  <c r="L442" i="6" s="1"/>
  <c r="D442" i="6"/>
  <c r="E442" i="6"/>
  <c r="F442" i="6"/>
  <c r="I442" i="6"/>
  <c r="N442" i="6"/>
  <c r="R442" i="6"/>
  <c r="Q442" i="6" s="1"/>
  <c r="S442" i="6" s="1"/>
  <c r="T442" i="6"/>
  <c r="C443" i="6"/>
  <c r="D443" i="6"/>
  <c r="E443" i="6"/>
  <c r="F443" i="6"/>
  <c r="I443" i="6"/>
  <c r="L443" i="6"/>
  <c r="N443" i="6"/>
  <c r="Q443" i="6"/>
  <c r="R443" i="6"/>
  <c r="S443" i="6"/>
  <c r="T443" i="6"/>
  <c r="C444" i="6"/>
  <c r="L444" i="6" s="1"/>
  <c r="D444" i="6"/>
  <c r="E444" i="6"/>
  <c r="F444" i="6"/>
  <c r="I444" i="6"/>
  <c r="N444" i="6"/>
  <c r="R444" i="6"/>
  <c r="Q444" i="6" s="1"/>
  <c r="T444" i="6"/>
  <c r="C445" i="6"/>
  <c r="D445" i="6"/>
  <c r="E445" i="6"/>
  <c r="F445" i="6"/>
  <c r="I445" i="6"/>
  <c r="L445" i="6"/>
  <c r="N445" i="6"/>
  <c r="Q445" i="6"/>
  <c r="R445" i="6"/>
  <c r="S445" i="6"/>
  <c r="T445" i="6"/>
  <c r="C446" i="6"/>
  <c r="L446" i="6" s="1"/>
  <c r="D446" i="6"/>
  <c r="E446" i="6"/>
  <c r="F446" i="6"/>
  <c r="I446" i="6"/>
  <c r="N446" i="6"/>
  <c r="R446" i="6"/>
  <c r="Q446" i="6" s="1"/>
  <c r="S446" i="6" s="1"/>
  <c r="T446" i="6"/>
  <c r="C447" i="6"/>
  <c r="D447" i="6"/>
  <c r="L447" i="6" s="1"/>
  <c r="E447" i="6"/>
  <c r="F447" i="6"/>
  <c r="H447" i="6"/>
  <c r="I447" i="6"/>
  <c r="N447" i="6"/>
  <c r="R447" i="6"/>
  <c r="Q447" i="6" s="1"/>
  <c r="S447" i="6" s="1"/>
  <c r="T447" i="6"/>
  <c r="C448" i="6"/>
  <c r="D448" i="6"/>
  <c r="L448" i="6" s="1"/>
  <c r="E448" i="6"/>
  <c r="F448" i="6"/>
  <c r="H448" i="6"/>
  <c r="I448" i="6"/>
  <c r="N448" i="6"/>
  <c r="R448" i="6"/>
  <c r="Q448" i="6" s="1"/>
  <c r="S448" i="6" s="1"/>
  <c r="T448" i="6"/>
  <c r="C449" i="6"/>
  <c r="D449" i="6"/>
  <c r="L449" i="6" s="1"/>
  <c r="E449" i="6"/>
  <c r="F449" i="6"/>
  <c r="H449" i="6"/>
  <c r="I449" i="6"/>
  <c r="N449" i="6"/>
  <c r="R449" i="6"/>
  <c r="Q449" i="6" s="1"/>
  <c r="S449" i="6" s="1"/>
  <c r="T449" i="6"/>
  <c r="C450" i="6"/>
  <c r="D450" i="6"/>
  <c r="L450" i="6" s="1"/>
  <c r="E450" i="6"/>
  <c r="F450" i="6"/>
  <c r="H450" i="6"/>
  <c r="I450" i="6"/>
  <c r="N450" i="6"/>
  <c r="R450" i="6"/>
  <c r="Q450" i="6" s="1"/>
  <c r="S450" i="6" s="1"/>
  <c r="T450" i="6"/>
  <c r="C451" i="6"/>
  <c r="D451" i="6"/>
  <c r="L451" i="6" s="1"/>
  <c r="E451" i="6"/>
  <c r="F451" i="6"/>
  <c r="H451" i="6"/>
  <c r="I451" i="6"/>
  <c r="N451" i="6"/>
  <c r="R451" i="6"/>
  <c r="Q451" i="6" s="1"/>
  <c r="S451" i="6" s="1"/>
  <c r="T451" i="6"/>
  <c r="C452" i="6"/>
  <c r="D452" i="6"/>
  <c r="L452" i="6" s="1"/>
  <c r="E452" i="6"/>
  <c r="F452" i="6"/>
  <c r="H452" i="6"/>
  <c r="I452" i="6"/>
  <c r="N452" i="6"/>
  <c r="R452" i="6"/>
  <c r="Q452" i="6" s="1"/>
  <c r="S452" i="6" s="1"/>
  <c r="T452" i="6"/>
  <c r="C453" i="6"/>
  <c r="D453" i="6"/>
  <c r="L453" i="6" s="1"/>
  <c r="E453" i="6"/>
  <c r="F453" i="6"/>
  <c r="H453" i="6"/>
  <c r="I453" i="6"/>
  <c r="N453" i="6"/>
  <c r="R453" i="6"/>
  <c r="Q453" i="6" s="1"/>
  <c r="S453" i="6" s="1"/>
  <c r="T453" i="6"/>
  <c r="C454" i="6"/>
  <c r="D454" i="6"/>
  <c r="E454" i="6"/>
  <c r="F454" i="6"/>
  <c r="I454" i="6"/>
  <c r="L454" i="6"/>
  <c r="N454" i="6"/>
  <c r="Q454" i="6"/>
  <c r="R454" i="6"/>
  <c r="S454" i="6"/>
  <c r="T454" i="6"/>
  <c r="C455" i="6"/>
  <c r="L455" i="6" s="1"/>
  <c r="D455" i="6"/>
  <c r="E455" i="6"/>
  <c r="F455" i="6"/>
  <c r="I455" i="6"/>
  <c r="N455" i="6"/>
  <c r="R455" i="6"/>
  <c r="Q455" i="6" s="1"/>
  <c r="S455" i="6" s="1"/>
  <c r="T455" i="6"/>
  <c r="C456" i="6"/>
  <c r="D456" i="6"/>
  <c r="E456" i="6"/>
  <c r="F456" i="6"/>
  <c r="I456" i="6"/>
  <c r="L456" i="6"/>
  <c r="N456" i="6"/>
  <c r="Q456" i="6"/>
  <c r="R456" i="6"/>
  <c r="S456" i="6"/>
  <c r="T456" i="6"/>
  <c r="C457" i="6"/>
  <c r="L457" i="6" s="1"/>
  <c r="D457" i="6"/>
  <c r="E457" i="6"/>
  <c r="F457" i="6"/>
  <c r="I457" i="6"/>
  <c r="N457" i="6"/>
  <c r="R457" i="6"/>
  <c r="Q457" i="6" s="1"/>
  <c r="S457" i="6" s="1"/>
  <c r="T457" i="6"/>
  <c r="C458" i="6"/>
  <c r="D458" i="6"/>
  <c r="E458" i="6"/>
  <c r="F458" i="6"/>
  <c r="I458" i="6"/>
  <c r="L458" i="6"/>
  <c r="N458" i="6"/>
  <c r="Q458" i="6"/>
  <c r="R458" i="6"/>
  <c r="S458" i="6"/>
  <c r="T458" i="6"/>
  <c r="C459" i="6"/>
  <c r="D459" i="6"/>
  <c r="E459" i="6"/>
  <c r="F459" i="6"/>
  <c r="H459" i="6"/>
  <c r="I459" i="6"/>
  <c r="L459" i="6"/>
  <c r="N459" i="6"/>
  <c r="Q459" i="6"/>
  <c r="R459" i="6"/>
  <c r="S459" i="6"/>
  <c r="T459" i="6"/>
  <c r="C460" i="6"/>
  <c r="D460" i="6"/>
  <c r="E460" i="6"/>
  <c r="F460" i="6"/>
  <c r="H460" i="6"/>
  <c r="I460" i="6"/>
  <c r="L460" i="6"/>
  <c r="N460" i="6"/>
  <c r="Q460" i="6"/>
  <c r="R460" i="6"/>
  <c r="S460" i="6"/>
  <c r="T460" i="6"/>
  <c r="C461" i="6"/>
  <c r="D461" i="6"/>
  <c r="E461" i="6"/>
  <c r="F461" i="6"/>
  <c r="H461" i="6"/>
  <c r="I461" i="6"/>
  <c r="L461" i="6"/>
  <c r="N461" i="6"/>
  <c r="Q461" i="6"/>
  <c r="R461" i="6"/>
  <c r="S461" i="6"/>
  <c r="T461" i="6"/>
  <c r="C462" i="6"/>
  <c r="D462" i="6"/>
  <c r="E462" i="6"/>
  <c r="F462" i="6"/>
  <c r="H462" i="6"/>
  <c r="I462" i="6"/>
  <c r="L462" i="6"/>
  <c r="N462" i="6"/>
  <c r="Q462" i="6"/>
  <c r="R462" i="6"/>
  <c r="S462" i="6"/>
  <c r="T462" i="6"/>
  <c r="C463" i="6"/>
  <c r="D463" i="6"/>
  <c r="E463" i="6"/>
  <c r="F463" i="6"/>
  <c r="H463" i="6"/>
  <c r="I463" i="6"/>
  <c r="L463" i="6"/>
  <c r="N463" i="6"/>
  <c r="Q463" i="6"/>
  <c r="R463" i="6"/>
  <c r="S463" i="6"/>
  <c r="T463" i="6"/>
  <c r="C464" i="6"/>
  <c r="D464" i="6"/>
  <c r="E464" i="6"/>
  <c r="F464" i="6"/>
  <c r="H464" i="6"/>
  <c r="I464" i="6"/>
  <c r="L464" i="6"/>
  <c r="N464" i="6"/>
  <c r="Q464" i="6"/>
  <c r="R464" i="6"/>
  <c r="S464" i="6"/>
  <c r="T464" i="6"/>
  <c r="C465" i="6"/>
  <c r="D465" i="6"/>
  <c r="E465" i="6"/>
  <c r="F465" i="6"/>
  <c r="H465" i="6"/>
  <c r="I465" i="6"/>
  <c r="L465" i="6"/>
  <c r="N465" i="6"/>
  <c r="Q465" i="6"/>
  <c r="R465" i="6"/>
  <c r="S465" i="6"/>
  <c r="T465" i="6"/>
  <c r="C466" i="6"/>
  <c r="L466" i="6" s="1"/>
  <c r="D466" i="6"/>
  <c r="E466" i="6"/>
  <c r="F466" i="6"/>
  <c r="I466" i="6"/>
  <c r="N466" i="6"/>
  <c r="R466" i="6"/>
  <c r="Q466" i="6" s="1"/>
  <c r="S466" i="6" s="1"/>
  <c r="T466" i="6"/>
  <c r="C467" i="6"/>
  <c r="D467" i="6"/>
  <c r="E467" i="6"/>
  <c r="F467" i="6"/>
  <c r="I467" i="6"/>
  <c r="L467" i="6"/>
  <c r="N467" i="6"/>
  <c r="Q467" i="6"/>
  <c r="R467" i="6"/>
  <c r="S467" i="6"/>
  <c r="T467" i="6"/>
  <c r="C468" i="6"/>
  <c r="L468" i="6" s="1"/>
  <c r="D468" i="6"/>
  <c r="E468" i="6"/>
  <c r="F468" i="6"/>
  <c r="I468" i="6"/>
  <c r="N468" i="6"/>
  <c r="R468" i="6"/>
  <c r="Q468" i="6" s="1"/>
  <c r="S468" i="6" s="1"/>
  <c r="T468" i="6"/>
  <c r="C469" i="6"/>
  <c r="D469" i="6"/>
  <c r="E469" i="6"/>
  <c r="F469" i="6"/>
  <c r="I469" i="6"/>
  <c r="L469" i="6"/>
  <c r="N469" i="6"/>
  <c r="Q469" i="6"/>
  <c r="R469" i="6"/>
  <c r="S469" i="6"/>
  <c r="T469" i="6"/>
  <c r="C470" i="6"/>
  <c r="L470" i="6" s="1"/>
  <c r="D470" i="6"/>
  <c r="E470" i="6"/>
  <c r="F470" i="6"/>
  <c r="I470" i="6"/>
  <c r="N470" i="6"/>
  <c r="R470" i="6"/>
  <c r="Q470" i="6" s="1"/>
  <c r="S470" i="6" s="1"/>
  <c r="T470" i="6"/>
  <c r="C471" i="6"/>
  <c r="D471" i="6"/>
  <c r="L471" i="6" s="1"/>
  <c r="E471" i="6"/>
  <c r="F471" i="6"/>
  <c r="H471" i="6"/>
  <c r="I471" i="6"/>
  <c r="N471" i="6"/>
  <c r="R471" i="6"/>
  <c r="Q471" i="6" s="1"/>
  <c r="S471" i="6" s="1"/>
  <c r="T471" i="6"/>
  <c r="C472" i="6"/>
  <c r="D472" i="6"/>
  <c r="L472" i="6" s="1"/>
  <c r="E472" i="6"/>
  <c r="F472" i="6"/>
  <c r="H472" i="6"/>
  <c r="I472" i="6"/>
  <c r="N472" i="6"/>
  <c r="R472" i="6"/>
  <c r="Q472" i="6" s="1"/>
  <c r="S472" i="6" s="1"/>
  <c r="T472" i="6"/>
  <c r="C473" i="6"/>
  <c r="D473" i="6"/>
  <c r="L473" i="6" s="1"/>
  <c r="E473" i="6"/>
  <c r="F473" i="6"/>
  <c r="H473" i="6"/>
  <c r="I473" i="6"/>
  <c r="N473" i="6"/>
  <c r="R473" i="6"/>
  <c r="Q473" i="6" s="1"/>
  <c r="S473" i="6" s="1"/>
  <c r="T473" i="6"/>
  <c r="C474" i="6"/>
  <c r="D474" i="6"/>
  <c r="L474" i="6" s="1"/>
  <c r="E474" i="6"/>
  <c r="F474" i="6"/>
  <c r="H474" i="6"/>
  <c r="I474" i="6"/>
  <c r="N474" i="6"/>
  <c r="R474" i="6"/>
  <c r="Q474" i="6" s="1"/>
  <c r="S474" i="6" s="1"/>
  <c r="T474" i="6"/>
  <c r="C475" i="6"/>
  <c r="D475" i="6"/>
  <c r="L475" i="6" s="1"/>
  <c r="E475" i="6"/>
  <c r="F475" i="6"/>
  <c r="H475" i="6"/>
  <c r="I475" i="6"/>
  <c r="N475" i="6"/>
  <c r="R475" i="6"/>
  <c r="Q475" i="6" s="1"/>
  <c r="S475" i="6" s="1"/>
  <c r="T475" i="6"/>
  <c r="C476" i="6"/>
  <c r="D476" i="6"/>
  <c r="L476" i="6" s="1"/>
  <c r="E476" i="6"/>
  <c r="F476" i="6"/>
  <c r="H476" i="6"/>
  <c r="I476" i="6"/>
  <c r="N476" i="6"/>
  <c r="R476" i="6"/>
  <c r="Q476" i="6" s="1"/>
  <c r="S476" i="6" s="1"/>
  <c r="T476" i="6"/>
  <c r="C477" i="6"/>
  <c r="D477" i="6"/>
  <c r="L477" i="6" s="1"/>
  <c r="E477" i="6"/>
  <c r="F477" i="6"/>
  <c r="H477" i="6"/>
  <c r="I477" i="6"/>
  <c r="N477" i="6"/>
  <c r="R477" i="6"/>
  <c r="Q477" i="6" s="1"/>
  <c r="S477" i="6" s="1"/>
  <c r="T477" i="6"/>
  <c r="C478" i="6"/>
  <c r="D478" i="6"/>
  <c r="E478" i="6"/>
  <c r="F478" i="6"/>
  <c r="I478" i="6"/>
  <c r="L478" i="6"/>
  <c r="N478" i="6"/>
  <c r="Q478" i="6"/>
  <c r="R478" i="6"/>
  <c r="S478" i="6"/>
  <c r="T478" i="6"/>
  <c r="C479" i="6"/>
  <c r="L479" i="6" s="1"/>
  <c r="D479" i="6"/>
  <c r="E479" i="6"/>
  <c r="F479" i="6"/>
  <c r="I479" i="6"/>
  <c r="N479" i="6"/>
  <c r="R479" i="6"/>
  <c r="Q479" i="6" s="1"/>
  <c r="S479" i="6" s="1"/>
  <c r="T479" i="6"/>
  <c r="C480" i="6"/>
  <c r="D480" i="6"/>
  <c r="E480" i="6"/>
  <c r="F480" i="6"/>
  <c r="I480" i="6"/>
  <c r="L480" i="6"/>
  <c r="N480" i="6"/>
  <c r="Q480" i="6"/>
  <c r="R480" i="6"/>
  <c r="S480" i="6"/>
  <c r="T480" i="6"/>
  <c r="C481" i="6"/>
  <c r="L481" i="6" s="1"/>
  <c r="D481" i="6"/>
  <c r="E481" i="6"/>
  <c r="F481" i="6"/>
  <c r="I481" i="6"/>
  <c r="N481" i="6"/>
  <c r="R481" i="6"/>
  <c r="Q481" i="6" s="1"/>
  <c r="S481" i="6" s="1"/>
  <c r="T481" i="6"/>
  <c r="C482" i="6"/>
  <c r="D482" i="6"/>
  <c r="E482" i="6"/>
  <c r="F482" i="6"/>
  <c r="I482" i="6"/>
  <c r="L482" i="6"/>
  <c r="N482" i="6"/>
  <c r="Q482" i="6"/>
  <c r="R482" i="6"/>
  <c r="S482" i="6"/>
  <c r="T482" i="6"/>
  <c r="C483" i="6"/>
  <c r="D483" i="6"/>
  <c r="E483" i="6"/>
  <c r="F483" i="6"/>
  <c r="H483" i="6"/>
  <c r="I483" i="6"/>
  <c r="L483" i="6"/>
  <c r="N483" i="6"/>
  <c r="Q483" i="6"/>
  <c r="R483" i="6"/>
  <c r="S483" i="6"/>
  <c r="T483" i="6"/>
  <c r="C484" i="6"/>
  <c r="D484" i="6"/>
  <c r="E484" i="6"/>
  <c r="F484" i="6"/>
  <c r="H484" i="6"/>
  <c r="I484" i="6"/>
  <c r="L484" i="6"/>
  <c r="N484" i="6"/>
  <c r="Q484" i="6"/>
  <c r="R484" i="6"/>
  <c r="S484" i="6"/>
  <c r="T484" i="6"/>
  <c r="C485" i="6"/>
  <c r="D485" i="6"/>
  <c r="E485" i="6"/>
  <c r="F485" i="6"/>
  <c r="H485" i="6"/>
  <c r="I485" i="6"/>
  <c r="L485" i="6"/>
  <c r="N485" i="6"/>
  <c r="Q485" i="6"/>
  <c r="R485" i="6"/>
  <c r="S485" i="6"/>
  <c r="T485" i="6"/>
  <c r="C486" i="6"/>
  <c r="D486" i="6"/>
  <c r="E486" i="6"/>
  <c r="F486" i="6"/>
  <c r="H486" i="6"/>
  <c r="I486" i="6"/>
  <c r="L486" i="6"/>
  <c r="N486" i="6"/>
  <c r="Q486" i="6"/>
  <c r="R486" i="6"/>
  <c r="S486" i="6"/>
  <c r="T486" i="6"/>
  <c r="C487" i="6"/>
  <c r="D487" i="6"/>
  <c r="E487" i="6"/>
  <c r="F487" i="6"/>
  <c r="H487" i="6"/>
  <c r="I487" i="6"/>
  <c r="L487" i="6"/>
  <c r="N487" i="6"/>
  <c r="Q487" i="6"/>
  <c r="R487" i="6"/>
  <c r="S487" i="6"/>
  <c r="T487" i="6"/>
  <c r="C488" i="6"/>
  <c r="D488" i="6"/>
  <c r="E488" i="6"/>
  <c r="F488" i="6"/>
  <c r="H488" i="6"/>
  <c r="I488" i="6"/>
  <c r="L488" i="6"/>
  <c r="N488" i="6"/>
  <c r="Q488" i="6"/>
  <c r="R488" i="6"/>
  <c r="S488" i="6"/>
  <c r="T488" i="6"/>
  <c r="C489" i="6"/>
  <c r="D489" i="6"/>
  <c r="E489" i="6"/>
  <c r="F489" i="6"/>
  <c r="H489" i="6"/>
  <c r="I489" i="6"/>
  <c r="L489" i="6"/>
  <c r="N489" i="6"/>
  <c r="Q489" i="6"/>
  <c r="R489" i="6"/>
  <c r="S489" i="6"/>
  <c r="T489" i="6"/>
  <c r="C490" i="6"/>
  <c r="L490" i="6" s="1"/>
  <c r="D490" i="6"/>
  <c r="E490" i="6"/>
  <c r="F490" i="6"/>
  <c r="I490" i="6"/>
  <c r="N490" i="6"/>
  <c r="R490" i="6"/>
  <c r="Q490" i="6" s="1"/>
  <c r="S490" i="6" s="1"/>
  <c r="T490" i="6"/>
  <c r="C491" i="6"/>
  <c r="D491" i="6"/>
  <c r="E491" i="6"/>
  <c r="F491" i="6"/>
  <c r="I491" i="6"/>
  <c r="L491" i="6"/>
  <c r="N491" i="6"/>
  <c r="Q491" i="6"/>
  <c r="R491" i="6"/>
  <c r="S491" i="6"/>
  <c r="T491" i="6"/>
  <c r="C492" i="6"/>
  <c r="L492" i="6" s="1"/>
  <c r="D492" i="6"/>
  <c r="E492" i="6"/>
  <c r="F492" i="6"/>
  <c r="I492" i="6"/>
  <c r="N492" i="6"/>
  <c r="R492" i="6"/>
  <c r="Q492" i="6" s="1"/>
  <c r="S492" i="6" s="1"/>
  <c r="T492" i="6"/>
  <c r="C493" i="6"/>
  <c r="D493" i="6"/>
  <c r="E493" i="6"/>
  <c r="F493" i="6"/>
  <c r="I493" i="6"/>
  <c r="L493" i="6"/>
  <c r="N493" i="6"/>
  <c r="Q493" i="6"/>
  <c r="R493" i="6"/>
  <c r="S493" i="6"/>
  <c r="T493" i="6"/>
  <c r="C494" i="6"/>
  <c r="L494" i="6" s="1"/>
  <c r="D494" i="6"/>
  <c r="E494" i="6"/>
  <c r="F494" i="6"/>
  <c r="I494" i="6"/>
  <c r="N494" i="6"/>
  <c r="R494" i="6"/>
  <c r="Q494" i="6" s="1"/>
  <c r="S494" i="6" s="1"/>
  <c r="T494" i="6"/>
  <c r="C495" i="6"/>
  <c r="D495" i="6"/>
  <c r="L495" i="6" s="1"/>
  <c r="E495" i="6"/>
  <c r="F495" i="6"/>
  <c r="H495" i="6"/>
  <c r="I495" i="6"/>
  <c r="N495" i="6"/>
  <c r="R495" i="6"/>
  <c r="Q495" i="6" s="1"/>
  <c r="S495" i="6" s="1"/>
  <c r="T495" i="6"/>
  <c r="C496" i="6"/>
  <c r="D496" i="6"/>
  <c r="L496" i="6" s="1"/>
  <c r="E496" i="6"/>
  <c r="F496" i="6"/>
  <c r="H496" i="6"/>
  <c r="I496" i="6"/>
  <c r="N496" i="6"/>
  <c r="R496" i="6"/>
  <c r="Q496" i="6" s="1"/>
  <c r="S496" i="6" s="1"/>
  <c r="T496" i="6"/>
  <c r="C497" i="6"/>
  <c r="D497" i="6"/>
  <c r="L497" i="6" s="1"/>
  <c r="E497" i="6"/>
  <c r="F497" i="6"/>
  <c r="H497" i="6"/>
  <c r="I497" i="6"/>
  <c r="N497" i="6"/>
  <c r="R497" i="6"/>
  <c r="Q497" i="6" s="1"/>
  <c r="S497" i="6" s="1"/>
  <c r="T497" i="6"/>
  <c r="C498" i="6"/>
  <c r="D498" i="6"/>
  <c r="L498" i="6" s="1"/>
  <c r="E498" i="6"/>
  <c r="F498" i="6"/>
  <c r="H498" i="6"/>
  <c r="I498" i="6"/>
  <c r="N498" i="6"/>
  <c r="R498" i="6"/>
  <c r="Q498" i="6" s="1"/>
  <c r="S498" i="6" s="1"/>
  <c r="T498" i="6"/>
  <c r="C499" i="6"/>
  <c r="D499" i="6"/>
  <c r="L499" i="6" s="1"/>
  <c r="E499" i="6"/>
  <c r="F499" i="6"/>
  <c r="H499" i="6"/>
  <c r="I499" i="6"/>
  <c r="N499" i="6"/>
  <c r="R499" i="6"/>
  <c r="Q499" i="6" s="1"/>
  <c r="S499" i="6" s="1"/>
  <c r="T499" i="6"/>
  <c r="C500" i="6"/>
  <c r="D500" i="6"/>
  <c r="L500" i="6" s="1"/>
  <c r="E500" i="6"/>
  <c r="F500" i="6"/>
  <c r="H500" i="6"/>
  <c r="I500" i="6"/>
  <c r="N500" i="6"/>
  <c r="R500" i="6"/>
  <c r="Q500" i="6" s="1"/>
  <c r="S500" i="6" s="1"/>
  <c r="T500" i="6"/>
  <c r="C501" i="6"/>
  <c r="D501" i="6"/>
  <c r="L501" i="6" s="1"/>
  <c r="E501" i="6"/>
  <c r="F501" i="6"/>
  <c r="H501" i="6"/>
  <c r="I501" i="6"/>
  <c r="N501" i="6"/>
  <c r="R501" i="6"/>
  <c r="Q501" i="6" s="1"/>
  <c r="S501" i="6" s="1"/>
  <c r="T501" i="6"/>
  <c r="C502" i="6"/>
  <c r="D502" i="6"/>
  <c r="E502" i="6"/>
  <c r="F502" i="6"/>
  <c r="I502" i="6"/>
  <c r="L502" i="6"/>
  <c r="N502" i="6"/>
  <c r="Q502" i="6"/>
  <c r="R502" i="6"/>
  <c r="S502" i="6"/>
  <c r="T502" i="6"/>
  <c r="C503" i="6"/>
  <c r="L503" i="6" s="1"/>
  <c r="D503" i="6"/>
  <c r="E503" i="6"/>
  <c r="F503" i="6"/>
  <c r="I503" i="6"/>
  <c r="N503" i="6"/>
  <c r="R503" i="6"/>
  <c r="Q503" i="6" s="1"/>
  <c r="S503" i="6" s="1"/>
  <c r="T503" i="6"/>
  <c r="C504" i="6"/>
  <c r="D504" i="6"/>
  <c r="E504" i="6"/>
  <c r="F504" i="6"/>
  <c r="I504" i="6"/>
  <c r="L504" i="6"/>
  <c r="N504" i="6"/>
  <c r="Q504" i="6"/>
  <c r="R504" i="6"/>
  <c r="S504" i="6"/>
  <c r="T504" i="6"/>
  <c r="C505" i="6"/>
  <c r="L505" i="6" s="1"/>
  <c r="D505" i="6"/>
  <c r="E505" i="6"/>
  <c r="F505" i="6"/>
  <c r="I505" i="6"/>
  <c r="N505" i="6"/>
  <c r="R505" i="6"/>
  <c r="Q505" i="6" s="1"/>
  <c r="S505" i="6" s="1"/>
  <c r="T505" i="6"/>
  <c r="C506" i="6"/>
  <c r="D506" i="6"/>
  <c r="E506" i="6"/>
  <c r="F506" i="6"/>
  <c r="I506" i="6"/>
  <c r="L506" i="6"/>
  <c r="N506" i="6"/>
  <c r="Q506" i="6"/>
  <c r="R506" i="6"/>
  <c r="S506" i="6"/>
  <c r="T506" i="6"/>
  <c r="C507" i="6"/>
  <c r="D507" i="6"/>
  <c r="E507" i="6"/>
  <c r="F507" i="6"/>
  <c r="H507" i="6"/>
  <c r="I507" i="6"/>
  <c r="L507" i="6"/>
  <c r="N507" i="6"/>
  <c r="Q507" i="6"/>
  <c r="R507" i="6"/>
  <c r="S507" i="6"/>
  <c r="T507" i="6"/>
  <c r="C508" i="6"/>
  <c r="D508" i="6"/>
  <c r="E508" i="6"/>
  <c r="F508" i="6"/>
  <c r="H508" i="6"/>
  <c r="I508" i="6"/>
  <c r="L508" i="6"/>
  <c r="N508" i="6"/>
  <c r="Q508" i="6"/>
  <c r="R508" i="6"/>
  <c r="S508" i="6"/>
  <c r="T508" i="6"/>
  <c r="C509" i="6"/>
  <c r="D509" i="6"/>
  <c r="E509" i="6"/>
  <c r="F509" i="6"/>
  <c r="H509" i="6"/>
  <c r="I509" i="6"/>
  <c r="L509" i="6"/>
  <c r="N509" i="6"/>
  <c r="Q509" i="6"/>
  <c r="R509" i="6"/>
  <c r="S509" i="6"/>
  <c r="T509" i="6"/>
  <c r="C510" i="6"/>
  <c r="D510" i="6"/>
  <c r="E510" i="6"/>
  <c r="F510" i="6"/>
  <c r="H510" i="6"/>
  <c r="I510" i="6"/>
  <c r="L510" i="6"/>
  <c r="N510" i="6"/>
  <c r="Q510" i="6"/>
  <c r="R510" i="6"/>
  <c r="S510" i="6"/>
  <c r="T510" i="6"/>
  <c r="C511" i="6"/>
  <c r="D511" i="6"/>
  <c r="E511" i="6"/>
  <c r="F511" i="6"/>
  <c r="H511" i="6"/>
  <c r="I511" i="6"/>
  <c r="L511" i="6"/>
  <c r="N511" i="6"/>
  <c r="Q511" i="6"/>
  <c r="R511" i="6"/>
  <c r="S511" i="6"/>
  <c r="T511" i="6"/>
  <c r="C512" i="6"/>
  <c r="D512" i="6"/>
  <c r="E512" i="6"/>
  <c r="F512" i="6"/>
  <c r="H512" i="6"/>
  <c r="I512" i="6"/>
  <c r="L512" i="6"/>
  <c r="N512" i="6"/>
  <c r="Q512" i="6"/>
  <c r="R512" i="6"/>
  <c r="S512" i="6"/>
  <c r="T512" i="6"/>
  <c r="C513" i="6"/>
  <c r="D513" i="6"/>
  <c r="E513" i="6"/>
  <c r="F513" i="6"/>
  <c r="H513" i="6"/>
  <c r="I513" i="6"/>
  <c r="L513" i="6"/>
  <c r="N513" i="6"/>
  <c r="Q513" i="6"/>
  <c r="R513" i="6"/>
  <c r="S513" i="6"/>
  <c r="T513" i="6"/>
  <c r="C514" i="6"/>
  <c r="L514" i="6" s="1"/>
  <c r="D514" i="6"/>
  <c r="E514" i="6"/>
  <c r="F514" i="6"/>
  <c r="I514" i="6"/>
  <c r="N514" i="6"/>
  <c r="R514" i="6"/>
  <c r="Q514" i="6" s="1"/>
  <c r="S514" i="6" s="1"/>
  <c r="T514" i="6"/>
  <c r="C515" i="6"/>
  <c r="D515" i="6"/>
  <c r="E515" i="6"/>
  <c r="F515" i="6"/>
  <c r="I515" i="6"/>
  <c r="L515" i="6"/>
  <c r="N515" i="6"/>
  <c r="Q515" i="6"/>
  <c r="R515" i="6"/>
  <c r="S515" i="6"/>
  <c r="T515" i="6"/>
  <c r="C516" i="6"/>
  <c r="L516" i="6" s="1"/>
  <c r="D516" i="6"/>
  <c r="E516" i="6"/>
  <c r="F516" i="6"/>
  <c r="I516" i="6"/>
  <c r="N516" i="6"/>
  <c r="R516" i="6"/>
  <c r="Q516" i="6" s="1"/>
  <c r="S516" i="6" s="1"/>
  <c r="T516" i="6"/>
  <c r="C517" i="6"/>
  <c r="D517" i="6"/>
  <c r="E517" i="6"/>
  <c r="F517" i="6"/>
  <c r="I517" i="6"/>
  <c r="L517" i="6"/>
  <c r="N517" i="6"/>
  <c r="Q517" i="6"/>
  <c r="R517" i="6"/>
  <c r="S517" i="6"/>
  <c r="T517" i="6"/>
  <c r="C518" i="6"/>
  <c r="L518" i="6" s="1"/>
  <c r="D518" i="6"/>
  <c r="E518" i="6"/>
  <c r="F518" i="6"/>
  <c r="I518" i="6"/>
  <c r="N518" i="6"/>
  <c r="R518" i="6"/>
  <c r="Q518" i="6" s="1"/>
  <c r="S518" i="6" s="1"/>
  <c r="T518" i="6"/>
  <c r="C519" i="6"/>
  <c r="D519" i="6"/>
  <c r="L519" i="6" s="1"/>
  <c r="E519" i="6"/>
  <c r="F519" i="6"/>
  <c r="H519" i="6"/>
  <c r="I519" i="6"/>
  <c r="N519" i="6"/>
  <c r="R519" i="6"/>
  <c r="Q519" i="6" s="1"/>
  <c r="S519" i="6" s="1"/>
  <c r="T519" i="6"/>
  <c r="C520" i="6"/>
  <c r="D520" i="6"/>
  <c r="L520" i="6" s="1"/>
  <c r="E520" i="6"/>
  <c r="F520" i="6"/>
  <c r="H520" i="6"/>
  <c r="I520" i="6"/>
  <c r="N520" i="6"/>
  <c r="R520" i="6"/>
  <c r="Q520" i="6" s="1"/>
  <c r="S520" i="6" s="1"/>
  <c r="T520" i="6"/>
  <c r="C521" i="6"/>
  <c r="D521" i="6"/>
  <c r="L521" i="6" s="1"/>
  <c r="E521" i="6"/>
  <c r="F521" i="6"/>
  <c r="H521" i="6"/>
  <c r="I521" i="6"/>
  <c r="N521" i="6"/>
  <c r="R521" i="6"/>
  <c r="Q521" i="6" s="1"/>
  <c r="S521" i="6" s="1"/>
  <c r="T521" i="6"/>
  <c r="C522" i="6"/>
  <c r="D522" i="6"/>
  <c r="L522" i="6" s="1"/>
  <c r="E522" i="6"/>
  <c r="F522" i="6"/>
  <c r="H522" i="6"/>
  <c r="I522" i="6"/>
  <c r="N522" i="6"/>
  <c r="R522" i="6"/>
  <c r="Q522" i="6" s="1"/>
  <c r="S522" i="6" s="1"/>
  <c r="T522" i="6"/>
  <c r="C523" i="6"/>
  <c r="D523" i="6"/>
  <c r="L523" i="6" s="1"/>
  <c r="E523" i="6"/>
  <c r="F523" i="6"/>
  <c r="H523" i="6"/>
  <c r="I523" i="6"/>
  <c r="N523" i="6"/>
  <c r="R523" i="6"/>
  <c r="Q523" i="6" s="1"/>
  <c r="S523" i="6" s="1"/>
  <c r="T523" i="6"/>
  <c r="C524" i="6"/>
  <c r="D524" i="6"/>
  <c r="L524" i="6" s="1"/>
  <c r="E524" i="6"/>
  <c r="F524" i="6"/>
  <c r="H524" i="6"/>
  <c r="I524" i="6"/>
  <c r="N524" i="6"/>
  <c r="R524" i="6"/>
  <c r="Q524" i="6" s="1"/>
  <c r="S524" i="6" s="1"/>
  <c r="T524" i="6"/>
  <c r="C525" i="6"/>
  <c r="D525" i="6"/>
  <c r="L525" i="6" s="1"/>
  <c r="E525" i="6"/>
  <c r="F525" i="6"/>
  <c r="H525" i="6"/>
  <c r="I525" i="6"/>
  <c r="N525" i="6"/>
  <c r="R525" i="6"/>
  <c r="Q525" i="6" s="1"/>
  <c r="S525" i="6" s="1"/>
  <c r="T525" i="6"/>
  <c r="C526" i="6"/>
  <c r="D526" i="6"/>
  <c r="E526" i="6"/>
  <c r="F526" i="6"/>
  <c r="I526" i="6"/>
  <c r="L526" i="6"/>
  <c r="N526" i="6"/>
  <c r="Q526" i="6"/>
  <c r="R526" i="6"/>
  <c r="S526" i="6"/>
  <c r="T526" i="6"/>
  <c r="C527" i="6"/>
  <c r="L527" i="6" s="1"/>
  <c r="D527" i="6"/>
  <c r="E527" i="6"/>
  <c r="F527" i="6"/>
  <c r="I527" i="6"/>
  <c r="N527" i="6"/>
  <c r="R527" i="6"/>
  <c r="Q527" i="6" s="1"/>
  <c r="S527" i="6" s="1"/>
  <c r="T527" i="6"/>
  <c r="C528" i="6"/>
  <c r="D528" i="6"/>
  <c r="E528" i="6"/>
  <c r="F528" i="6"/>
  <c r="I528" i="6"/>
  <c r="L528" i="6"/>
  <c r="N528" i="6"/>
  <c r="Q528" i="6"/>
  <c r="R528" i="6"/>
  <c r="S528" i="6"/>
  <c r="T528" i="6"/>
  <c r="C529" i="6"/>
  <c r="L529" i="6" s="1"/>
  <c r="D529" i="6"/>
  <c r="E529" i="6"/>
  <c r="F529" i="6"/>
  <c r="I529" i="6"/>
  <c r="N529" i="6"/>
  <c r="R529" i="6"/>
  <c r="Q529" i="6" s="1"/>
  <c r="S529" i="6" s="1"/>
  <c r="T529" i="6"/>
  <c r="C530" i="6"/>
  <c r="D530" i="6"/>
  <c r="E530" i="6"/>
  <c r="F530" i="6"/>
  <c r="I530" i="6"/>
  <c r="L530" i="6"/>
  <c r="N530" i="6"/>
  <c r="Q530" i="6"/>
  <c r="R530" i="6"/>
  <c r="S530" i="6"/>
  <c r="T530" i="6"/>
  <c r="C531" i="6"/>
  <c r="D531" i="6"/>
  <c r="E531" i="6"/>
  <c r="F531" i="6"/>
  <c r="H531" i="6"/>
  <c r="I531" i="6"/>
  <c r="L531" i="6"/>
  <c r="N531" i="6"/>
  <c r="Q531" i="6"/>
  <c r="R531" i="6"/>
  <c r="S531" i="6"/>
  <c r="T531" i="6"/>
  <c r="C532" i="6"/>
  <c r="D532" i="6"/>
  <c r="E532" i="6"/>
  <c r="F532" i="6"/>
  <c r="H532" i="6"/>
  <c r="I532" i="6"/>
  <c r="L532" i="6"/>
  <c r="N532" i="6"/>
  <c r="Q532" i="6"/>
  <c r="R532" i="6"/>
  <c r="S532" i="6"/>
  <c r="T532" i="6"/>
  <c r="C533" i="6"/>
  <c r="D533" i="6"/>
  <c r="E533" i="6"/>
  <c r="F533" i="6"/>
  <c r="H533" i="6"/>
  <c r="I533" i="6"/>
  <c r="L533" i="6"/>
  <c r="N533" i="6"/>
  <c r="Q533" i="6"/>
  <c r="R533" i="6"/>
  <c r="S533" i="6"/>
  <c r="T533" i="6"/>
  <c r="C534" i="6"/>
  <c r="D534" i="6"/>
  <c r="E534" i="6"/>
  <c r="F534" i="6"/>
  <c r="H534" i="6"/>
  <c r="I534" i="6"/>
  <c r="L534" i="6"/>
  <c r="N534" i="6"/>
  <c r="Q534" i="6"/>
  <c r="R534" i="6"/>
  <c r="S534" i="6"/>
  <c r="T534" i="6"/>
  <c r="C535" i="6"/>
  <c r="D535" i="6"/>
  <c r="E535" i="6"/>
  <c r="F535" i="6"/>
  <c r="H535" i="6"/>
  <c r="I535" i="6"/>
  <c r="L535" i="6"/>
  <c r="N535" i="6"/>
  <c r="Q535" i="6"/>
  <c r="R535" i="6"/>
  <c r="S535" i="6"/>
  <c r="T535" i="6"/>
  <c r="C536" i="6"/>
  <c r="D536" i="6"/>
  <c r="E536" i="6"/>
  <c r="F536" i="6"/>
  <c r="H536" i="6"/>
  <c r="I536" i="6"/>
  <c r="L536" i="6"/>
  <c r="N536" i="6"/>
  <c r="Q536" i="6"/>
  <c r="R536" i="6"/>
  <c r="S536" i="6"/>
  <c r="T536" i="6"/>
  <c r="C537" i="6"/>
  <c r="D537" i="6"/>
  <c r="E537" i="6"/>
  <c r="F537" i="6"/>
  <c r="H537" i="6"/>
  <c r="I537" i="6"/>
  <c r="L537" i="6"/>
  <c r="N537" i="6"/>
  <c r="Q537" i="6"/>
  <c r="R537" i="6"/>
  <c r="S537" i="6"/>
  <c r="T537" i="6"/>
  <c r="C538" i="6"/>
  <c r="L538" i="6" s="1"/>
  <c r="D538" i="6"/>
  <c r="E538" i="6"/>
  <c r="F538" i="6"/>
  <c r="I538" i="6"/>
  <c r="N538" i="6"/>
  <c r="R538" i="6"/>
  <c r="Q538" i="6" s="1"/>
  <c r="S538" i="6" s="1"/>
  <c r="T538" i="6"/>
  <c r="C539" i="6"/>
  <c r="D539" i="6"/>
  <c r="E539" i="6"/>
  <c r="F539" i="6"/>
  <c r="I539" i="6"/>
  <c r="L539" i="6"/>
  <c r="N539" i="6"/>
  <c r="Q539" i="6"/>
  <c r="R539" i="6"/>
  <c r="S539" i="6"/>
  <c r="T539" i="6"/>
  <c r="C540" i="6"/>
  <c r="L540" i="6" s="1"/>
  <c r="D540" i="6"/>
  <c r="E540" i="6"/>
  <c r="F540" i="6"/>
  <c r="I540" i="6"/>
  <c r="N540" i="6"/>
  <c r="R540" i="6"/>
  <c r="Q540" i="6" s="1"/>
  <c r="S540" i="6" s="1"/>
  <c r="T540" i="6"/>
  <c r="C541" i="6"/>
  <c r="D541" i="6"/>
  <c r="E541" i="6"/>
  <c r="F541" i="6"/>
  <c r="I541" i="6"/>
  <c r="L541" i="6"/>
  <c r="N541" i="6"/>
  <c r="Q541" i="6"/>
  <c r="R541" i="6"/>
  <c r="S541" i="6"/>
  <c r="T541" i="6"/>
  <c r="C542" i="6"/>
  <c r="L542" i="6" s="1"/>
  <c r="D542" i="6"/>
  <c r="E542" i="6"/>
  <c r="F542" i="6"/>
  <c r="I542" i="6"/>
  <c r="N542" i="6"/>
  <c r="R542" i="6"/>
  <c r="Q542" i="6" s="1"/>
  <c r="S542" i="6" s="1"/>
  <c r="T542" i="6"/>
  <c r="C543" i="6"/>
  <c r="D543" i="6"/>
  <c r="L543" i="6" s="1"/>
  <c r="E543" i="6"/>
  <c r="F543" i="6"/>
  <c r="H543" i="6"/>
  <c r="I543" i="6"/>
  <c r="N543" i="6"/>
  <c r="R543" i="6"/>
  <c r="Q543" i="6" s="1"/>
  <c r="S543" i="6" s="1"/>
  <c r="T543" i="6"/>
  <c r="C544" i="6"/>
  <c r="D544" i="6"/>
  <c r="L544" i="6" s="1"/>
  <c r="E544" i="6"/>
  <c r="F544" i="6"/>
  <c r="H544" i="6"/>
  <c r="I544" i="6"/>
  <c r="N544" i="6"/>
  <c r="R544" i="6"/>
  <c r="Q544" i="6" s="1"/>
  <c r="S544" i="6" s="1"/>
  <c r="T544" i="6"/>
  <c r="C545" i="6"/>
  <c r="D545" i="6"/>
  <c r="L545" i="6" s="1"/>
  <c r="E545" i="6"/>
  <c r="F545" i="6"/>
  <c r="H545" i="6"/>
  <c r="I545" i="6"/>
  <c r="N545" i="6"/>
  <c r="R545" i="6"/>
  <c r="Q545" i="6" s="1"/>
  <c r="S545" i="6" s="1"/>
  <c r="T545" i="6"/>
  <c r="C546" i="6"/>
  <c r="D546" i="6"/>
  <c r="L546" i="6" s="1"/>
  <c r="E546" i="6"/>
  <c r="F546" i="6"/>
  <c r="H546" i="6"/>
  <c r="I546" i="6"/>
  <c r="N546" i="6"/>
  <c r="R546" i="6"/>
  <c r="Q546" i="6" s="1"/>
  <c r="S546" i="6" s="1"/>
  <c r="T546" i="6"/>
  <c r="C547" i="6"/>
  <c r="D547" i="6"/>
  <c r="L547" i="6" s="1"/>
  <c r="E547" i="6"/>
  <c r="F547" i="6"/>
  <c r="H547" i="6"/>
  <c r="I547" i="6"/>
  <c r="N547" i="6"/>
  <c r="R547" i="6"/>
  <c r="Q547" i="6" s="1"/>
  <c r="S547" i="6" s="1"/>
  <c r="T547" i="6"/>
  <c r="C548" i="6"/>
  <c r="D548" i="6"/>
  <c r="L548" i="6" s="1"/>
  <c r="E548" i="6"/>
  <c r="F548" i="6"/>
  <c r="H548" i="6"/>
  <c r="I548" i="6"/>
  <c r="N548" i="6"/>
  <c r="R548" i="6"/>
  <c r="Q548" i="6" s="1"/>
  <c r="S548" i="6" s="1"/>
  <c r="T548" i="6"/>
  <c r="C549" i="6"/>
  <c r="D549" i="6"/>
  <c r="L549" i="6" s="1"/>
  <c r="E549" i="6"/>
  <c r="F549" i="6"/>
  <c r="H549" i="6"/>
  <c r="I549" i="6"/>
  <c r="N549" i="6"/>
  <c r="R549" i="6"/>
  <c r="Q549" i="6" s="1"/>
  <c r="S549" i="6" s="1"/>
  <c r="T549" i="6"/>
  <c r="C550" i="6"/>
  <c r="D550" i="6"/>
  <c r="E550" i="6"/>
  <c r="F550" i="6"/>
  <c r="I550" i="6"/>
  <c r="L550" i="6"/>
  <c r="N550" i="6"/>
  <c r="Q550" i="6"/>
  <c r="R550" i="6"/>
  <c r="S550" i="6"/>
  <c r="T550" i="6"/>
  <c r="C551" i="6"/>
  <c r="L551" i="6" s="1"/>
  <c r="D551" i="6"/>
  <c r="E551" i="6"/>
  <c r="F551" i="6"/>
  <c r="I551" i="6"/>
  <c r="N551" i="6"/>
  <c r="R551" i="6"/>
  <c r="Q551" i="6" s="1"/>
  <c r="S551" i="6" s="1"/>
  <c r="T551" i="6"/>
  <c r="C552" i="6"/>
  <c r="D552" i="6"/>
  <c r="E552" i="6"/>
  <c r="F552" i="6"/>
  <c r="I552" i="6"/>
  <c r="L552" i="6"/>
  <c r="N552" i="6"/>
  <c r="Q552" i="6"/>
  <c r="R552" i="6"/>
  <c r="S552" i="6"/>
  <c r="T552" i="6"/>
  <c r="C553" i="6"/>
  <c r="L553" i="6" s="1"/>
  <c r="D553" i="6"/>
  <c r="E553" i="6"/>
  <c r="F553" i="6"/>
  <c r="I553" i="6"/>
  <c r="N553" i="6"/>
  <c r="R553" i="6"/>
  <c r="Q553" i="6" s="1"/>
  <c r="S553" i="6" s="1"/>
  <c r="T553" i="6"/>
  <c r="C554" i="6"/>
  <c r="D554" i="6"/>
  <c r="E554" i="6"/>
  <c r="F554" i="6"/>
  <c r="I554" i="6"/>
  <c r="L554" i="6"/>
  <c r="N554" i="6"/>
  <c r="Q554" i="6"/>
  <c r="R554" i="6"/>
  <c r="S554" i="6"/>
  <c r="T554" i="6"/>
  <c r="C555" i="6"/>
  <c r="D555" i="6"/>
  <c r="E555" i="6"/>
  <c r="F555" i="6"/>
  <c r="H555" i="6"/>
  <c r="I555" i="6"/>
  <c r="L555" i="6"/>
  <c r="N555" i="6"/>
  <c r="Q555" i="6"/>
  <c r="R555" i="6"/>
  <c r="S555" i="6"/>
  <c r="T555" i="6"/>
  <c r="C556" i="6"/>
  <c r="D556" i="6"/>
  <c r="E556" i="6"/>
  <c r="F556" i="6"/>
  <c r="H556" i="6"/>
  <c r="I556" i="6"/>
  <c r="L556" i="6"/>
  <c r="N556" i="6"/>
  <c r="Q556" i="6"/>
  <c r="R556" i="6"/>
  <c r="S556" i="6"/>
  <c r="T556" i="6"/>
  <c r="C557" i="6"/>
  <c r="D557" i="6"/>
  <c r="E557" i="6"/>
  <c r="F557" i="6"/>
  <c r="H557" i="6"/>
  <c r="I557" i="6"/>
  <c r="L557" i="6"/>
  <c r="N557" i="6"/>
  <c r="Q557" i="6"/>
  <c r="R557" i="6"/>
  <c r="S557" i="6"/>
  <c r="T557" i="6"/>
  <c r="C558" i="6"/>
  <c r="D558" i="6"/>
  <c r="E558" i="6"/>
  <c r="F558" i="6"/>
  <c r="H558" i="6"/>
  <c r="I558" i="6"/>
  <c r="L558" i="6"/>
  <c r="N558" i="6"/>
  <c r="Q558" i="6"/>
  <c r="R558" i="6"/>
  <c r="S558" i="6"/>
  <c r="T558" i="6"/>
  <c r="C559" i="6"/>
  <c r="D559" i="6"/>
  <c r="E559" i="6"/>
  <c r="F559" i="6"/>
  <c r="H559" i="6"/>
  <c r="I559" i="6"/>
  <c r="L559" i="6"/>
  <c r="N559" i="6"/>
  <c r="Q559" i="6"/>
  <c r="R559" i="6"/>
  <c r="S559" i="6"/>
  <c r="T559" i="6"/>
  <c r="C560" i="6"/>
  <c r="D560" i="6"/>
  <c r="E560" i="6"/>
  <c r="F560" i="6"/>
  <c r="H560" i="6"/>
  <c r="I560" i="6"/>
  <c r="L560" i="6"/>
  <c r="N560" i="6"/>
  <c r="Q560" i="6"/>
  <c r="R560" i="6"/>
  <c r="S560" i="6"/>
  <c r="T560" i="6"/>
  <c r="C561" i="6"/>
  <c r="D561" i="6"/>
  <c r="E561" i="6"/>
  <c r="F561" i="6"/>
  <c r="H561" i="6"/>
  <c r="I561" i="6"/>
  <c r="L561" i="6"/>
  <c r="N561" i="6"/>
  <c r="Q561" i="6"/>
  <c r="R561" i="6"/>
  <c r="S561" i="6"/>
  <c r="T561" i="6"/>
  <c r="C562" i="6"/>
  <c r="L562" i="6" s="1"/>
  <c r="D562" i="6"/>
  <c r="E562" i="6"/>
  <c r="F562" i="6"/>
  <c r="I562" i="6"/>
  <c r="N562" i="6"/>
  <c r="R562" i="6"/>
  <c r="Q562" i="6" s="1"/>
  <c r="S562" i="6" s="1"/>
  <c r="T562" i="6"/>
  <c r="C563" i="6"/>
  <c r="D563" i="6"/>
  <c r="E563" i="6"/>
  <c r="F563" i="6"/>
  <c r="I563" i="6"/>
  <c r="L563" i="6"/>
  <c r="N563" i="6"/>
  <c r="Q563" i="6"/>
  <c r="R563" i="6"/>
  <c r="S563" i="6"/>
  <c r="T563" i="6"/>
  <c r="C564" i="6"/>
  <c r="L564" i="6" s="1"/>
  <c r="D564" i="6"/>
  <c r="E564" i="6"/>
  <c r="F564" i="6"/>
  <c r="I564" i="6"/>
  <c r="N564" i="6"/>
  <c r="R564" i="6"/>
  <c r="Q564" i="6" s="1"/>
  <c r="S564" i="6" s="1"/>
  <c r="T564" i="6"/>
  <c r="C565" i="6"/>
  <c r="D565" i="6"/>
  <c r="E565" i="6"/>
  <c r="F565" i="6"/>
  <c r="I565" i="6"/>
  <c r="L565" i="6"/>
  <c r="N565" i="6"/>
  <c r="Q565" i="6"/>
  <c r="R565" i="6"/>
  <c r="S565" i="6"/>
  <c r="T565" i="6"/>
  <c r="C566" i="6"/>
  <c r="L566" i="6" s="1"/>
  <c r="D566" i="6"/>
  <c r="E566" i="6"/>
  <c r="F566" i="6"/>
  <c r="I566" i="6"/>
  <c r="N566" i="6"/>
  <c r="R566" i="6"/>
  <c r="Q566" i="6" s="1"/>
  <c r="S566" i="6" s="1"/>
  <c r="T566" i="6"/>
  <c r="C567" i="6"/>
  <c r="D567" i="6"/>
  <c r="L567" i="6" s="1"/>
  <c r="E567" i="6"/>
  <c r="F567" i="6"/>
  <c r="H567" i="6"/>
  <c r="I567" i="6"/>
  <c r="N567" i="6"/>
  <c r="R567" i="6"/>
  <c r="Q567" i="6" s="1"/>
  <c r="S567" i="6" s="1"/>
  <c r="T567" i="6"/>
  <c r="C568" i="6"/>
  <c r="D568" i="6"/>
  <c r="L568" i="6" s="1"/>
  <c r="E568" i="6"/>
  <c r="F568" i="6"/>
  <c r="H568" i="6"/>
  <c r="I568" i="6"/>
  <c r="N568" i="6"/>
  <c r="R568" i="6"/>
  <c r="Q568" i="6" s="1"/>
  <c r="S568" i="6" s="1"/>
  <c r="T568" i="6"/>
  <c r="C569" i="6"/>
  <c r="D569" i="6"/>
  <c r="L569" i="6" s="1"/>
  <c r="E569" i="6"/>
  <c r="F569" i="6"/>
  <c r="H569" i="6"/>
  <c r="I569" i="6"/>
  <c r="N569" i="6"/>
  <c r="R569" i="6"/>
  <c r="Q569" i="6" s="1"/>
  <c r="S569" i="6" s="1"/>
  <c r="T569" i="6"/>
  <c r="C570" i="6"/>
  <c r="D570" i="6"/>
  <c r="L570" i="6" s="1"/>
  <c r="E570" i="6"/>
  <c r="F570" i="6"/>
  <c r="H570" i="6"/>
  <c r="I570" i="6"/>
  <c r="N570" i="6"/>
  <c r="R570" i="6"/>
  <c r="Q570" i="6" s="1"/>
  <c r="S570" i="6" s="1"/>
  <c r="T570" i="6"/>
  <c r="C571" i="6"/>
  <c r="D571" i="6"/>
  <c r="L571" i="6" s="1"/>
  <c r="E571" i="6"/>
  <c r="F571" i="6"/>
  <c r="H571" i="6"/>
  <c r="I571" i="6"/>
  <c r="N571" i="6"/>
  <c r="R571" i="6"/>
  <c r="Q571" i="6" s="1"/>
  <c r="S571" i="6" s="1"/>
  <c r="T571" i="6"/>
  <c r="C572" i="6"/>
  <c r="D572" i="6"/>
  <c r="L572" i="6" s="1"/>
  <c r="E572" i="6"/>
  <c r="F572" i="6"/>
  <c r="H572" i="6"/>
  <c r="I572" i="6"/>
  <c r="N572" i="6"/>
  <c r="R572" i="6"/>
  <c r="Q572" i="6" s="1"/>
  <c r="S572" i="6" s="1"/>
  <c r="T572" i="6"/>
  <c r="C573" i="6"/>
  <c r="D573" i="6"/>
  <c r="L573" i="6" s="1"/>
  <c r="E573" i="6"/>
  <c r="F573" i="6"/>
  <c r="H573" i="6"/>
  <c r="I573" i="6"/>
  <c r="N573" i="6"/>
  <c r="R573" i="6"/>
  <c r="Q573" i="6" s="1"/>
  <c r="S573" i="6" s="1"/>
  <c r="T573" i="6"/>
  <c r="C574" i="6"/>
  <c r="D574" i="6"/>
  <c r="E574" i="6"/>
  <c r="F574" i="6"/>
  <c r="I574" i="6"/>
  <c r="L574" i="6"/>
  <c r="N574" i="6"/>
  <c r="Q574" i="6"/>
  <c r="R574" i="6"/>
  <c r="S574" i="6"/>
  <c r="T574" i="6"/>
  <c r="C575" i="6"/>
  <c r="L575" i="6" s="1"/>
  <c r="D575" i="6"/>
  <c r="E575" i="6"/>
  <c r="F575" i="6"/>
  <c r="I575" i="6"/>
  <c r="N575" i="6"/>
  <c r="R575" i="6"/>
  <c r="Q575" i="6" s="1"/>
  <c r="S575" i="6" s="1"/>
  <c r="T575" i="6"/>
  <c r="C576" i="6"/>
  <c r="D576" i="6"/>
  <c r="E576" i="6"/>
  <c r="F576" i="6"/>
  <c r="I576" i="6"/>
  <c r="L576" i="6"/>
  <c r="N576" i="6"/>
  <c r="Q576" i="6"/>
  <c r="R576" i="6"/>
  <c r="S576" i="6"/>
  <c r="T576" i="6"/>
  <c r="C577" i="6"/>
  <c r="L577" i="6" s="1"/>
  <c r="D577" i="6"/>
  <c r="E577" i="6"/>
  <c r="F577" i="6"/>
  <c r="I577" i="6"/>
  <c r="N577" i="6"/>
  <c r="R577" i="6"/>
  <c r="Q577" i="6" s="1"/>
  <c r="S577" i="6" s="1"/>
  <c r="T577" i="6"/>
  <c r="C578" i="6"/>
  <c r="D578" i="6"/>
  <c r="E578" i="6"/>
  <c r="F578" i="6"/>
  <c r="I578" i="6"/>
  <c r="L578" i="6"/>
  <c r="N578" i="6"/>
  <c r="Q578" i="6"/>
  <c r="R578" i="6"/>
  <c r="S578" i="6"/>
  <c r="T578" i="6"/>
  <c r="C579" i="6"/>
  <c r="D579" i="6"/>
  <c r="E579" i="6"/>
  <c r="F579" i="6"/>
  <c r="H579" i="6"/>
  <c r="I579" i="6"/>
  <c r="L579" i="6"/>
  <c r="N579" i="6"/>
  <c r="Q579" i="6"/>
  <c r="R579" i="6"/>
  <c r="S579" i="6"/>
  <c r="T579" i="6"/>
  <c r="C580" i="6"/>
  <c r="D580" i="6"/>
  <c r="E580" i="6"/>
  <c r="F580" i="6"/>
  <c r="H580" i="6"/>
  <c r="I580" i="6"/>
  <c r="L580" i="6"/>
  <c r="N580" i="6"/>
  <c r="Q580" i="6"/>
  <c r="R580" i="6"/>
  <c r="S580" i="6"/>
  <c r="T580" i="6"/>
  <c r="C581" i="6"/>
  <c r="D581" i="6"/>
  <c r="E581" i="6"/>
  <c r="F581" i="6"/>
  <c r="H581" i="6"/>
  <c r="I581" i="6"/>
  <c r="L581" i="6"/>
  <c r="N581" i="6"/>
  <c r="Q581" i="6"/>
  <c r="R581" i="6"/>
  <c r="S581" i="6"/>
  <c r="T581" i="6"/>
  <c r="C582" i="6"/>
  <c r="D582" i="6"/>
  <c r="E582" i="6"/>
  <c r="F582" i="6"/>
  <c r="H582" i="6"/>
  <c r="I582" i="6"/>
  <c r="L582" i="6"/>
  <c r="N582" i="6"/>
  <c r="Q582" i="6"/>
  <c r="R582" i="6"/>
  <c r="S582" i="6"/>
  <c r="T582" i="6"/>
  <c r="C583" i="6"/>
  <c r="D583" i="6"/>
  <c r="E583" i="6"/>
  <c r="F583" i="6"/>
  <c r="H583" i="6"/>
  <c r="I583" i="6"/>
  <c r="L583" i="6"/>
  <c r="N583" i="6"/>
  <c r="Q583" i="6"/>
  <c r="R583" i="6"/>
  <c r="S583" i="6"/>
  <c r="T583" i="6"/>
  <c r="C584" i="6"/>
  <c r="D584" i="6"/>
  <c r="E584" i="6"/>
  <c r="F584" i="6"/>
  <c r="H584" i="6"/>
  <c r="I584" i="6"/>
  <c r="L584" i="6"/>
  <c r="N584" i="6"/>
  <c r="Q584" i="6"/>
  <c r="R584" i="6"/>
  <c r="S584" i="6"/>
  <c r="T584" i="6"/>
  <c r="C585" i="6"/>
  <c r="D585" i="6"/>
  <c r="E585" i="6"/>
  <c r="F585" i="6"/>
  <c r="H585" i="6"/>
  <c r="I585" i="6"/>
  <c r="L585" i="6"/>
  <c r="N585" i="6"/>
  <c r="Q585" i="6"/>
  <c r="R585" i="6"/>
  <c r="S585" i="6"/>
  <c r="T585" i="6"/>
  <c r="C586" i="6"/>
  <c r="L586" i="6" s="1"/>
  <c r="D586" i="6"/>
  <c r="E586" i="6"/>
  <c r="F586" i="6"/>
  <c r="I586" i="6"/>
  <c r="N586" i="6"/>
  <c r="R586" i="6"/>
  <c r="Q586" i="6" s="1"/>
  <c r="S586" i="6" s="1"/>
  <c r="T586" i="6"/>
  <c r="C587" i="6"/>
  <c r="D587" i="6"/>
  <c r="E587" i="6"/>
  <c r="F587" i="6"/>
  <c r="I587" i="6"/>
  <c r="L587" i="6"/>
  <c r="N587" i="6"/>
  <c r="Q587" i="6"/>
  <c r="R587" i="6"/>
  <c r="S587" i="6"/>
  <c r="T587" i="6"/>
  <c r="C588" i="6"/>
  <c r="L588" i="6" s="1"/>
  <c r="D588" i="6"/>
  <c r="E588" i="6"/>
  <c r="F588" i="6"/>
  <c r="I588" i="6"/>
  <c r="N588" i="6"/>
  <c r="R588" i="6"/>
  <c r="Q588" i="6" s="1"/>
  <c r="S588" i="6" s="1"/>
  <c r="T588" i="6"/>
  <c r="C589" i="6"/>
  <c r="D589" i="6"/>
  <c r="E589" i="6"/>
  <c r="F589" i="6"/>
  <c r="I589" i="6"/>
  <c r="L589" i="6"/>
  <c r="N589" i="6"/>
  <c r="Q589" i="6"/>
  <c r="R589" i="6"/>
  <c r="S589" i="6"/>
  <c r="T589" i="6"/>
  <c r="C590" i="6"/>
  <c r="L590" i="6" s="1"/>
  <c r="D590" i="6"/>
  <c r="E590" i="6"/>
  <c r="F590" i="6"/>
  <c r="I590" i="6"/>
  <c r="N590" i="6"/>
  <c r="R590" i="6"/>
  <c r="Q590" i="6" s="1"/>
  <c r="S590" i="6" s="1"/>
  <c r="T590" i="6"/>
  <c r="C591" i="6"/>
  <c r="D591" i="6"/>
  <c r="L591" i="6" s="1"/>
  <c r="E591" i="6"/>
  <c r="F591" i="6"/>
  <c r="H591" i="6"/>
  <c r="I591" i="6"/>
  <c r="N591" i="6"/>
  <c r="R591" i="6"/>
  <c r="Q591" i="6" s="1"/>
  <c r="S591" i="6" s="1"/>
  <c r="T591" i="6"/>
  <c r="C592" i="6"/>
  <c r="D592" i="6"/>
  <c r="L592" i="6" s="1"/>
  <c r="E592" i="6"/>
  <c r="F592" i="6"/>
  <c r="H592" i="6"/>
  <c r="I592" i="6"/>
  <c r="N592" i="6"/>
  <c r="R592" i="6"/>
  <c r="Q592" i="6" s="1"/>
  <c r="S592" i="6" s="1"/>
  <c r="T592" i="6"/>
  <c r="C593" i="6"/>
  <c r="D593" i="6"/>
  <c r="L593" i="6" s="1"/>
  <c r="E593" i="6"/>
  <c r="F593" i="6"/>
  <c r="H593" i="6"/>
  <c r="I593" i="6"/>
  <c r="N593" i="6"/>
  <c r="R593" i="6"/>
  <c r="Q593" i="6" s="1"/>
  <c r="S593" i="6" s="1"/>
  <c r="T593" i="6"/>
  <c r="C594" i="6"/>
  <c r="D594" i="6"/>
  <c r="L594" i="6" s="1"/>
  <c r="E594" i="6"/>
  <c r="F594" i="6"/>
  <c r="H594" i="6"/>
  <c r="I594" i="6"/>
  <c r="N594" i="6"/>
  <c r="R594" i="6"/>
  <c r="Q594" i="6" s="1"/>
  <c r="S594" i="6" s="1"/>
  <c r="T594" i="6"/>
  <c r="C595" i="6"/>
  <c r="D595" i="6"/>
  <c r="L595" i="6" s="1"/>
  <c r="E595" i="6"/>
  <c r="F595" i="6"/>
  <c r="H595" i="6"/>
  <c r="I595" i="6"/>
  <c r="N595" i="6"/>
  <c r="R595" i="6"/>
  <c r="Q595" i="6" s="1"/>
  <c r="S595" i="6" s="1"/>
  <c r="T595" i="6"/>
  <c r="C596" i="6"/>
  <c r="D596" i="6"/>
  <c r="L596" i="6" s="1"/>
  <c r="E596" i="6"/>
  <c r="F596" i="6"/>
  <c r="H596" i="6"/>
  <c r="I596" i="6"/>
  <c r="N596" i="6"/>
  <c r="R596" i="6"/>
  <c r="Q596" i="6" s="1"/>
  <c r="S596" i="6" s="1"/>
  <c r="T596" i="6"/>
  <c r="C597" i="6"/>
  <c r="D597" i="6"/>
  <c r="L597" i="6" s="1"/>
  <c r="E597" i="6"/>
  <c r="F597" i="6"/>
  <c r="H597" i="6"/>
  <c r="I597" i="6"/>
  <c r="N597" i="6"/>
  <c r="R597" i="6"/>
  <c r="Q597" i="6" s="1"/>
  <c r="S597" i="6" s="1"/>
  <c r="T597" i="6"/>
  <c r="C598" i="6"/>
  <c r="D598" i="6"/>
  <c r="E598" i="6"/>
  <c r="F598" i="6"/>
  <c r="I598" i="6"/>
  <c r="L598" i="6"/>
  <c r="N598" i="6"/>
  <c r="Q598" i="6"/>
  <c r="R598" i="6"/>
  <c r="S598" i="6"/>
  <c r="T598" i="6"/>
  <c r="C599" i="6"/>
  <c r="L599" i="6" s="1"/>
  <c r="D599" i="6"/>
  <c r="E599" i="6"/>
  <c r="F599" i="6"/>
  <c r="I599" i="6"/>
  <c r="N599" i="6"/>
  <c r="R599" i="6"/>
  <c r="Q599" i="6" s="1"/>
  <c r="S599" i="6" s="1"/>
  <c r="T599" i="6"/>
  <c r="C601" i="6"/>
  <c r="D601" i="6"/>
  <c r="E601" i="6"/>
  <c r="F601" i="6"/>
  <c r="G601" i="6"/>
  <c r="H601" i="6"/>
  <c r="I601" i="6"/>
  <c r="J601" i="6"/>
  <c r="K601" i="6"/>
  <c r="L601" i="6"/>
  <c r="N601" i="6"/>
  <c r="O601" i="6"/>
  <c r="P601" i="6"/>
  <c r="Q601" i="6"/>
  <c r="R601" i="6"/>
  <c r="T601" i="6"/>
  <c r="C602" i="6"/>
  <c r="D602" i="6"/>
  <c r="E602" i="6"/>
  <c r="F602" i="6"/>
  <c r="G602" i="6"/>
  <c r="H602" i="6"/>
  <c r="I602" i="6"/>
  <c r="J602" i="6"/>
  <c r="K602" i="6"/>
  <c r="L602" i="6"/>
  <c r="N602" i="6"/>
  <c r="O602" i="6"/>
  <c r="P602" i="6"/>
  <c r="Q602" i="6"/>
  <c r="R602" i="6"/>
  <c r="T602" i="6"/>
  <c r="C603" i="6"/>
  <c r="D603" i="6"/>
  <c r="E603" i="6"/>
  <c r="F603" i="6"/>
  <c r="G603" i="6"/>
  <c r="H603" i="6"/>
  <c r="I603" i="6"/>
  <c r="J603" i="6"/>
  <c r="K603" i="6"/>
  <c r="L603" i="6"/>
  <c r="N603" i="6"/>
  <c r="O603" i="6"/>
  <c r="P603" i="6"/>
  <c r="Q603" i="6"/>
  <c r="R603" i="6"/>
  <c r="S603" i="6"/>
  <c r="T603" i="6"/>
  <c r="C604" i="6"/>
  <c r="D604" i="6"/>
  <c r="E604" i="6"/>
  <c r="F604" i="6"/>
  <c r="G604" i="6"/>
  <c r="H604" i="6"/>
  <c r="I604" i="6"/>
  <c r="J604" i="6"/>
  <c r="K604" i="6"/>
  <c r="L604" i="6"/>
  <c r="N604" i="6"/>
  <c r="O604" i="6"/>
  <c r="P604" i="6"/>
  <c r="Q604" i="6"/>
  <c r="R604" i="6"/>
  <c r="S604" i="6"/>
  <c r="T604" i="6"/>
  <c r="C605" i="6"/>
  <c r="D605" i="6"/>
  <c r="E605" i="6"/>
  <c r="F605" i="6"/>
  <c r="G605" i="6"/>
  <c r="H605" i="6"/>
  <c r="I605" i="6"/>
  <c r="J605" i="6"/>
  <c r="K605" i="6"/>
  <c r="L605" i="6"/>
  <c r="M605" i="6"/>
  <c r="N605" i="6"/>
  <c r="O605" i="6"/>
  <c r="P605" i="6"/>
  <c r="Q605" i="6"/>
  <c r="R605" i="6"/>
  <c r="S605" i="6"/>
  <c r="T605" i="6"/>
  <c r="C606" i="6"/>
  <c r="D606" i="6"/>
  <c r="E606" i="6"/>
  <c r="F606" i="6"/>
  <c r="G606" i="6"/>
  <c r="H606" i="6"/>
  <c r="I606" i="6"/>
  <c r="J606" i="6"/>
  <c r="K606" i="6"/>
  <c r="L606" i="6"/>
  <c r="M606" i="6"/>
  <c r="N606" i="6"/>
  <c r="O606" i="6"/>
  <c r="P606" i="6"/>
  <c r="Q606" i="6"/>
  <c r="R606" i="6"/>
  <c r="S606" i="6"/>
  <c r="T606" i="6"/>
  <c r="C607" i="6"/>
  <c r="D607" i="6"/>
  <c r="E607" i="6"/>
  <c r="F607" i="6"/>
  <c r="G607" i="6"/>
  <c r="H607" i="6"/>
  <c r="I607" i="6"/>
  <c r="J607" i="6"/>
  <c r="K607" i="6"/>
  <c r="L607" i="6"/>
  <c r="M607" i="6"/>
  <c r="N607" i="6"/>
  <c r="O607" i="6"/>
  <c r="P607" i="6"/>
  <c r="Q607" i="6"/>
  <c r="R607" i="6"/>
  <c r="S607" i="6"/>
  <c r="T607" i="6"/>
  <c r="C608" i="6"/>
  <c r="D608" i="6"/>
  <c r="E608" i="6"/>
  <c r="F608" i="6"/>
  <c r="G608" i="6"/>
  <c r="H608" i="6"/>
  <c r="I608" i="6"/>
  <c r="J608" i="6"/>
  <c r="K608" i="6"/>
  <c r="L608" i="6"/>
  <c r="M608" i="6"/>
  <c r="N608" i="6"/>
  <c r="O608" i="6"/>
  <c r="P608" i="6"/>
  <c r="Q608" i="6"/>
  <c r="R608" i="6"/>
  <c r="S608" i="6"/>
  <c r="T608" i="6"/>
  <c r="C609" i="6"/>
  <c r="D609" i="6"/>
  <c r="E609" i="6"/>
  <c r="F609" i="6"/>
  <c r="G609" i="6"/>
  <c r="H609" i="6"/>
  <c r="I609" i="6"/>
  <c r="J609" i="6"/>
  <c r="K609" i="6"/>
  <c r="L609" i="6"/>
  <c r="M609" i="6"/>
  <c r="N609" i="6"/>
  <c r="O609" i="6"/>
  <c r="P609" i="6"/>
  <c r="Q609" i="6"/>
  <c r="R609" i="6"/>
  <c r="S609" i="6"/>
  <c r="T609" i="6"/>
  <c r="C610" i="6"/>
  <c r="D610" i="6"/>
  <c r="E610" i="6"/>
  <c r="F610" i="6"/>
  <c r="G610" i="6"/>
  <c r="H610" i="6"/>
  <c r="I610" i="6"/>
  <c r="J610" i="6"/>
  <c r="K610" i="6"/>
  <c r="M610" i="6"/>
  <c r="N610" i="6"/>
  <c r="O610" i="6"/>
  <c r="P610" i="6"/>
  <c r="Q610" i="6"/>
  <c r="R610" i="6"/>
  <c r="S610" i="6"/>
  <c r="T610" i="6"/>
  <c r="C611" i="6"/>
  <c r="D611" i="6"/>
  <c r="E611" i="6"/>
  <c r="F611" i="6"/>
  <c r="G611" i="6"/>
  <c r="H611" i="6"/>
  <c r="I611" i="6"/>
  <c r="J611" i="6"/>
  <c r="K611" i="6"/>
  <c r="L611" i="6"/>
  <c r="M611" i="6"/>
  <c r="N611" i="6"/>
  <c r="O611" i="6"/>
  <c r="P611" i="6"/>
  <c r="Q611" i="6"/>
  <c r="R611" i="6"/>
  <c r="S611" i="6"/>
  <c r="T611" i="6"/>
  <c r="C612" i="6"/>
  <c r="D612" i="6"/>
  <c r="E612" i="6"/>
  <c r="F612" i="6"/>
  <c r="G612" i="6"/>
  <c r="H612" i="6"/>
  <c r="I612" i="6"/>
  <c r="J612" i="6"/>
  <c r="K612" i="6"/>
  <c r="L612" i="6"/>
  <c r="M612" i="6"/>
  <c r="N612" i="6"/>
  <c r="O612" i="6"/>
  <c r="P612" i="6"/>
  <c r="Q612" i="6"/>
  <c r="R612" i="6"/>
  <c r="S612" i="6"/>
  <c r="T612" i="6"/>
  <c r="C613" i="6"/>
  <c r="D613" i="6"/>
  <c r="E613" i="6"/>
  <c r="F613" i="6"/>
  <c r="G613" i="6"/>
  <c r="H613" i="6"/>
  <c r="I613" i="6"/>
  <c r="J613" i="6"/>
  <c r="K613" i="6"/>
  <c r="L613" i="6"/>
  <c r="M613" i="6"/>
  <c r="N613" i="6"/>
  <c r="O613" i="6"/>
  <c r="P613" i="6"/>
  <c r="Q613" i="6"/>
  <c r="R613" i="6"/>
  <c r="S613" i="6"/>
  <c r="T613" i="6"/>
  <c r="C614" i="6"/>
  <c r="D614" i="6"/>
  <c r="E614" i="6"/>
  <c r="F614" i="6"/>
  <c r="G614" i="6"/>
  <c r="H614" i="6"/>
  <c r="I614" i="6"/>
  <c r="J614" i="6"/>
  <c r="K614" i="6"/>
  <c r="L614" i="6"/>
  <c r="M614" i="6"/>
  <c r="N614" i="6"/>
  <c r="O614" i="6"/>
  <c r="P614" i="6"/>
  <c r="Q614" i="6"/>
  <c r="R614" i="6"/>
  <c r="S614" i="6"/>
  <c r="T614" i="6"/>
  <c r="C615" i="6"/>
  <c r="D615" i="6"/>
  <c r="E615" i="6"/>
  <c r="F615" i="6"/>
  <c r="G615" i="6"/>
  <c r="H615" i="6"/>
  <c r="I615" i="6"/>
  <c r="J615" i="6"/>
  <c r="K615" i="6"/>
  <c r="L615" i="6"/>
  <c r="M615" i="6"/>
  <c r="N615" i="6"/>
  <c r="O615" i="6"/>
  <c r="P615" i="6"/>
  <c r="Q615" i="6"/>
  <c r="R615" i="6"/>
  <c r="S615" i="6"/>
  <c r="T615" i="6"/>
  <c r="C616" i="6"/>
  <c r="D616" i="6"/>
  <c r="E616" i="6"/>
  <c r="F616" i="6"/>
  <c r="G616" i="6"/>
  <c r="H616" i="6"/>
  <c r="I616" i="6"/>
  <c r="J616" i="6"/>
  <c r="K616" i="6"/>
  <c r="L616" i="6"/>
  <c r="M616" i="6"/>
  <c r="N616" i="6"/>
  <c r="O616" i="6"/>
  <c r="P616" i="6"/>
  <c r="Q616" i="6"/>
  <c r="R616" i="6"/>
  <c r="S616" i="6"/>
  <c r="T616" i="6"/>
  <c r="C617" i="6"/>
  <c r="D617" i="6"/>
  <c r="E617" i="6"/>
  <c r="F617" i="6"/>
  <c r="G617" i="6"/>
  <c r="H617" i="6"/>
  <c r="I617" i="6"/>
  <c r="J617" i="6"/>
  <c r="K617" i="6"/>
  <c r="L617" i="6"/>
  <c r="M617" i="6"/>
  <c r="N617" i="6"/>
  <c r="O617" i="6"/>
  <c r="P617" i="6"/>
  <c r="Q617" i="6"/>
  <c r="R617" i="6"/>
  <c r="S617" i="6"/>
  <c r="T617" i="6"/>
  <c r="C618" i="6"/>
  <c r="D618" i="6"/>
  <c r="E618" i="6"/>
  <c r="F618" i="6"/>
  <c r="G618" i="6"/>
  <c r="H618" i="6"/>
  <c r="I618" i="6"/>
  <c r="J618" i="6"/>
  <c r="K618" i="6"/>
  <c r="L618" i="6"/>
  <c r="M618" i="6"/>
  <c r="N618" i="6"/>
  <c r="O618" i="6"/>
  <c r="P618" i="6"/>
  <c r="Q618" i="6"/>
  <c r="R618" i="6"/>
  <c r="S618" i="6"/>
  <c r="T618" i="6"/>
  <c r="C619" i="6"/>
  <c r="D619" i="6"/>
  <c r="E619" i="6"/>
  <c r="F619" i="6"/>
  <c r="G619" i="6"/>
  <c r="H619" i="6"/>
  <c r="I619" i="6"/>
  <c r="J619" i="6"/>
  <c r="K619" i="6"/>
  <c r="L619" i="6"/>
  <c r="M619" i="6"/>
  <c r="N619" i="6"/>
  <c r="O619" i="6"/>
  <c r="P619" i="6"/>
  <c r="Q619" i="6"/>
  <c r="R619" i="6"/>
  <c r="S619" i="6"/>
  <c r="T619" i="6"/>
  <c r="C620" i="6"/>
  <c r="D620" i="6"/>
  <c r="E620" i="6"/>
  <c r="F620" i="6"/>
  <c r="G620" i="6"/>
  <c r="H620" i="6"/>
  <c r="I620" i="6"/>
  <c r="J620" i="6"/>
  <c r="K620" i="6"/>
  <c r="L620" i="6"/>
  <c r="M620" i="6"/>
  <c r="N620" i="6"/>
  <c r="O620" i="6"/>
  <c r="P620" i="6"/>
  <c r="Q620" i="6"/>
  <c r="R620" i="6"/>
  <c r="S620" i="6"/>
  <c r="T620" i="6"/>
  <c r="C621" i="6"/>
  <c r="D621" i="6"/>
  <c r="E621" i="6"/>
  <c r="F621" i="6"/>
  <c r="G621" i="6"/>
  <c r="H621" i="6"/>
  <c r="I621" i="6"/>
  <c r="J621" i="6"/>
  <c r="K621" i="6"/>
  <c r="M621" i="6"/>
  <c r="N621" i="6"/>
  <c r="O621" i="6"/>
  <c r="P621" i="6"/>
  <c r="Q621" i="6"/>
  <c r="R621" i="6"/>
  <c r="S621" i="6"/>
  <c r="T621" i="6"/>
  <c r="C622" i="6"/>
  <c r="D622" i="6"/>
  <c r="E622" i="6"/>
  <c r="F622" i="6"/>
  <c r="G622" i="6"/>
  <c r="H622" i="6"/>
  <c r="I622" i="6"/>
  <c r="J622" i="6"/>
  <c r="K622" i="6"/>
  <c r="L622" i="6"/>
  <c r="M622" i="6"/>
  <c r="N622" i="6"/>
  <c r="O622" i="6"/>
  <c r="P622" i="6"/>
  <c r="Q622" i="6"/>
  <c r="R622" i="6"/>
  <c r="S622" i="6"/>
  <c r="T622" i="6"/>
  <c r="C623" i="6"/>
  <c r="D623" i="6"/>
  <c r="E623" i="6"/>
  <c r="F623" i="6"/>
  <c r="G623" i="6"/>
  <c r="H623" i="6"/>
  <c r="I623" i="6"/>
  <c r="J623" i="6"/>
  <c r="K623" i="6"/>
  <c r="L623" i="6"/>
  <c r="M623" i="6"/>
  <c r="N623" i="6"/>
  <c r="O623" i="6"/>
  <c r="P623" i="6"/>
  <c r="Q623" i="6"/>
  <c r="R623" i="6"/>
  <c r="S623" i="6"/>
  <c r="T623" i="6"/>
  <c r="C624" i="6"/>
  <c r="D624" i="6"/>
  <c r="E624" i="6"/>
  <c r="F624" i="6"/>
  <c r="G624" i="6"/>
  <c r="H624" i="6"/>
  <c r="I624" i="6"/>
  <c r="J624" i="6"/>
  <c r="K624" i="6"/>
  <c r="L624" i="6"/>
  <c r="M624" i="6"/>
  <c r="N624" i="6"/>
  <c r="O624" i="6"/>
  <c r="P624" i="6"/>
  <c r="Q624" i="6"/>
  <c r="R624" i="6"/>
  <c r="S624" i="6"/>
  <c r="T624" i="6"/>
  <c r="C625" i="6"/>
  <c r="D625" i="6"/>
  <c r="E625" i="6"/>
  <c r="F625" i="6"/>
  <c r="G625" i="6"/>
  <c r="H625" i="6"/>
  <c r="I625" i="6"/>
  <c r="J625" i="6"/>
  <c r="K625" i="6"/>
  <c r="M625" i="6"/>
  <c r="N625" i="6"/>
  <c r="O625" i="6"/>
  <c r="P625" i="6"/>
  <c r="Q625" i="6"/>
  <c r="R625" i="6"/>
  <c r="S625" i="6"/>
  <c r="T625" i="6"/>
  <c r="A626" i="6"/>
  <c r="C626" i="6"/>
  <c r="D626" i="6"/>
  <c r="E626" i="6"/>
  <c r="F626" i="6"/>
  <c r="G626" i="6"/>
  <c r="H626" i="6"/>
  <c r="I626" i="6"/>
  <c r="J626" i="6"/>
  <c r="K626" i="6"/>
  <c r="M626" i="6"/>
  <c r="N626" i="6"/>
  <c r="O626" i="6"/>
  <c r="P626" i="6"/>
  <c r="R626" i="6"/>
  <c r="T626" i="6"/>
  <c r="A627" i="6"/>
  <c r="A628" i="6" s="1"/>
  <c r="A629" i="6" s="1"/>
  <c r="A630" i="6" s="1"/>
  <c r="A631" i="6" s="1"/>
  <c r="A632" i="6" s="1"/>
  <c r="A633" i="6" s="1"/>
  <c r="A634" i="6" s="1"/>
  <c r="A635" i="6" s="1"/>
  <c r="A636" i="6" s="1"/>
  <c r="C627" i="6"/>
  <c r="D627" i="6"/>
  <c r="E627" i="6"/>
  <c r="F627" i="6"/>
  <c r="G627" i="6"/>
  <c r="H627" i="6"/>
  <c r="I627" i="6"/>
  <c r="J627" i="6"/>
  <c r="K627" i="6"/>
  <c r="M627" i="6"/>
  <c r="N627" i="6"/>
  <c r="O627" i="6"/>
  <c r="P627" i="6"/>
  <c r="R627" i="6"/>
  <c r="T627" i="6"/>
  <c r="C628" i="6"/>
  <c r="D628" i="6"/>
  <c r="E628" i="6"/>
  <c r="F628" i="6"/>
  <c r="G628" i="6"/>
  <c r="H628" i="6"/>
  <c r="I628" i="6"/>
  <c r="J628" i="6"/>
  <c r="K628" i="6"/>
  <c r="M628" i="6"/>
  <c r="N628" i="6"/>
  <c r="O628" i="6"/>
  <c r="P628" i="6"/>
  <c r="R628" i="6"/>
  <c r="T628" i="6"/>
  <c r="C629" i="6"/>
  <c r="D629" i="6"/>
  <c r="E629" i="6"/>
  <c r="F629" i="6"/>
  <c r="G629" i="6"/>
  <c r="H629" i="6"/>
  <c r="I629" i="6"/>
  <c r="J629" i="6"/>
  <c r="K629" i="6"/>
  <c r="M629" i="6"/>
  <c r="N629" i="6"/>
  <c r="O629" i="6"/>
  <c r="P629" i="6"/>
  <c r="R629" i="6"/>
  <c r="T629" i="6"/>
  <c r="C630" i="6"/>
  <c r="D630" i="6"/>
  <c r="E630" i="6"/>
  <c r="F630" i="6"/>
  <c r="G630" i="6"/>
  <c r="H630" i="6"/>
  <c r="I630" i="6"/>
  <c r="J630" i="6"/>
  <c r="K630" i="6"/>
  <c r="M630" i="6"/>
  <c r="N630" i="6"/>
  <c r="O630" i="6"/>
  <c r="P630" i="6"/>
  <c r="R630" i="6"/>
  <c r="T630" i="6"/>
  <c r="C631" i="6"/>
  <c r="D631" i="6"/>
  <c r="E631" i="6"/>
  <c r="F631" i="6"/>
  <c r="G631" i="6"/>
  <c r="H631" i="6"/>
  <c r="I631" i="6"/>
  <c r="J631" i="6"/>
  <c r="K631" i="6"/>
  <c r="M631" i="6"/>
  <c r="N631" i="6"/>
  <c r="O631" i="6"/>
  <c r="P631" i="6"/>
  <c r="R631" i="6"/>
  <c r="T631" i="6"/>
  <c r="C632" i="6"/>
  <c r="D632" i="6"/>
  <c r="E632" i="6"/>
  <c r="F632" i="6"/>
  <c r="G632" i="6"/>
  <c r="H632" i="6"/>
  <c r="I632" i="6"/>
  <c r="J632" i="6"/>
  <c r="K632" i="6"/>
  <c r="M632" i="6"/>
  <c r="N632" i="6"/>
  <c r="O632" i="6"/>
  <c r="P632" i="6"/>
  <c r="R632" i="6"/>
  <c r="T632" i="6"/>
  <c r="C633" i="6"/>
  <c r="D633" i="6"/>
  <c r="E633" i="6"/>
  <c r="F633" i="6"/>
  <c r="G633" i="6"/>
  <c r="H633" i="6"/>
  <c r="I633" i="6"/>
  <c r="J633" i="6"/>
  <c r="K633" i="6"/>
  <c r="M633" i="6"/>
  <c r="N633" i="6"/>
  <c r="O633" i="6"/>
  <c r="P633" i="6"/>
  <c r="R633" i="6"/>
  <c r="T633" i="6"/>
  <c r="C634" i="6"/>
  <c r="D634" i="6"/>
  <c r="E634" i="6"/>
  <c r="F634" i="6"/>
  <c r="G634" i="6"/>
  <c r="H634" i="6"/>
  <c r="I634" i="6"/>
  <c r="J634" i="6"/>
  <c r="K634" i="6"/>
  <c r="M634" i="6"/>
  <c r="N634" i="6"/>
  <c r="O634" i="6"/>
  <c r="P634" i="6"/>
  <c r="R634" i="6"/>
  <c r="T634" i="6"/>
  <c r="C635" i="6"/>
  <c r="D635" i="6"/>
  <c r="E635" i="6"/>
  <c r="F635" i="6"/>
  <c r="G635" i="6"/>
  <c r="H635" i="6"/>
  <c r="I635" i="6"/>
  <c r="J635" i="6"/>
  <c r="K635" i="6"/>
  <c r="M635" i="6"/>
  <c r="N635" i="6"/>
  <c r="O635" i="6"/>
  <c r="P635" i="6"/>
  <c r="R635" i="6"/>
  <c r="T635" i="6"/>
  <c r="C636" i="6"/>
  <c r="D636" i="6"/>
  <c r="E636" i="6"/>
  <c r="F636" i="6"/>
  <c r="G636" i="6"/>
  <c r="H636" i="6"/>
  <c r="I636" i="6"/>
  <c r="J636" i="6"/>
  <c r="K636" i="6"/>
  <c r="M636" i="6"/>
  <c r="N636" i="6"/>
  <c r="O636" i="6"/>
  <c r="P636" i="6"/>
  <c r="R636" i="6"/>
  <c r="T636" i="6"/>
  <c r="A637" i="6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C637" i="6"/>
  <c r="D637" i="6"/>
  <c r="E637" i="6"/>
  <c r="F637" i="6"/>
  <c r="G637" i="6"/>
  <c r="H637" i="6"/>
  <c r="I637" i="6"/>
  <c r="J637" i="6"/>
  <c r="K637" i="6"/>
  <c r="L637" i="6"/>
  <c r="M637" i="6"/>
  <c r="N637" i="6"/>
  <c r="O637" i="6"/>
  <c r="P637" i="6"/>
  <c r="R637" i="6"/>
  <c r="T637" i="6"/>
  <c r="C638" i="6"/>
  <c r="D638" i="6"/>
  <c r="E638" i="6"/>
  <c r="F638" i="6"/>
  <c r="G638" i="6"/>
  <c r="H638" i="6"/>
  <c r="I638" i="6"/>
  <c r="J638" i="6"/>
  <c r="K638" i="6"/>
  <c r="L638" i="6"/>
  <c r="M638" i="6"/>
  <c r="N638" i="6"/>
  <c r="O638" i="6"/>
  <c r="P638" i="6"/>
  <c r="Q638" i="6"/>
  <c r="R638" i="6"/>
  <c r="S638" i="6"/>
  <c r="T638" i="6"/>
  <c r="C639" i="6"/>
  <c r="D639" i="6"/>
  <c r="E639" i="6"/>
  <c r="F639" i="6"/>
  <c r="G639" i="6"/>
  <c r="H639" i="6"/>
  <c r="I639" i="6"/>
  <c r="J639" i="6"/>
  <c r="K639" i="6"/>
  <c r="L639" i="6"/>
  <c r="M639" i="6"/>
  <c r="N639" i="6"/>
  <c r="O639" i="6"/>
  <c r="P639" i="6"/>
  <c r="Q639" i="6"/>
  <c r="R639" i="6"/>
  <c r="S639" i="6"/>
  <c r="T639" i="6"/>
  <c r="C640" i="6"/>
  <c r="D640" i="6"/>
  <c r="E640" i="6"/>
  <c r="F640" i="6"/>
  <c r="G640" i="6"/>
  <c r="H640" i="6"/>
  <c r="I640" i="6"/>
  <c r="J640" i="6"/>
  <c r="K640" i="6"/>
  <c r="L640" i="6"/>
  <c r="M640" i="6"/>
  <c r="N640" i="6"/>
  <c r="O640" i="6"/>
  <c r="P640" i="6"/>
  <c r="Q640" i="6"/>
  <c r="R640" i="6"/>
  <c r="S640" i="6"/>
  <c r="T640" i="6"/>
  <c r="C641" i="6"/>
  <c r="D641" i="6"/>
  <c r="E641" i="6"/>
  <c r="F641" i="6"/>
  <c r="G641" i="6"/>
  <c r="H641" i="6"/>
  <c r="I641" i="6"/>
  <c r="J641" i="6"/>
  <c r="K641" i="6"/>
  <c r="L641" i="6"/>
  <c r="M641" i="6"/>
  <c r="N641" i="6"/>
  <c r="O641" i="6"/>
  <c r="P641" i="6"/>
  <c r="Q641" i="6"/>
  <c r="R641" i="6"/>
  <c r="S641" i="6"/>
  <c r="T641" i="6"/>
  <c r="C642" i="6"/>
  <c r="D642" i="6"/>
  <c r="E642" i="6"/>
  <c r="F642" i="6"/>
  <c r="G642" i="6"/>
  <c r="H642" i="6"/>
  <c r="I642" i="6"/>
  <c r="J642" i="6"/>
  <c r="K642" i="6"/>
  <c r="L642" i="6"/>
  <c r="M642" i="6"/>
  <c r="N642" i="6"/>
  <c r="O642" i="6"/>
  <c r="P642" i="6"/>
  <c r="Q642" i="6"/>
  <c r="R642" i="6"/>
  <c r="S642" i="6"/>
  <c r="T642" i="6"/>
  <c r="C643" i="6"/>
  <c r="D643" i="6"/>
  <c r="E643" i="6"/>
  <c r="F643" i="6"/>
  <c r="G643" i="6"/>
  <c r="H643" i="6"/>
  <c r="I643" i="6"/>
  <c r="J643" i="6"/>
  <c r="K643" i="6"/>
  <c r="L643" i="6"/>
  <c r="M643" i="6"/>
  <c r="N643" i="6"/>
  <c r="O643" i="6"/>
  <c r="P643" i="6"/>
  <c r="Q643" i="6"/>
  <c r="R643" i="6"/>
  <c r="S643" i="6"/>
  <c r="T643" i="6"/>
  <c r="C644" i="6"/>
  <c r="D644" i="6"/>
  <c r="E644" i="6"/>
  <c r="F644" i="6"/>
  <c r="G644" i="6"/>
  <c r="H644" i="6"/>
  <c r="I644" i="6"/>
  <c r="J644" i="6"/>
  <c r="K644" i="6"/>
  <c r="L644" i="6"/>
  <c r="M644" i="6"/>
  <c r="N644" i="6"/>
  <c r="O644" i="6"/>
  <c r="P644" i="6"/>
  <c r="Q644" i="6"/>
  <c r="R644" i="6"/>
  <c r="S644" i="6"/>
  <c r="T644" i="6"/>
  <c r="C645" i="6"/>
  <c r="D645" i="6"/>
  <c r="E645" i="6"/>
  <c r="F645" i="6"/>
  <c r="G645" i="6"/>
  <c r="H645" i="6"/>
  <c r="I645" i="6"/>
  <c r="J645" i="6"/>
  <c r="K645" i="6"/>
  <c r="L645" i="6"/>
  <c r="M645" i="6"/>
  <c r="N645" i="6"/>
  <c r="O645" i="6"/>
  <c r="P645" i="6"/>
  <c r="Q645" i="6"/>
  <c r="R645" i="6"/>
  <c r="S645" i="6"/>
  <c r="T645" i="6"/>
  <c r="C646" i="6"/>
  <c r="D646" i="6"/>
  <c r="E646" i="6"/>
  <c r="F646" i="6"/>
  <c r="G646" i="6"/>
  <c r="H646" i="6"/>
  <c r="I646" i="6"/>
  <c r="J646" i="6"/>
  <c r="K646" i="6"/>
  <c r="L646" i="6"/>
  <c r="M646" i="6"/>
  <c r="N646" i="6"/>
  <c r="O646" i="6"/>
  <c r="P646" i="6"/>
  <c r="Q646" i="6"/>
  <c r="R646" i="6"/>
  <c r="S646" i="6"/>
  <c r="T646" i="6"/>
  <c r="C647" i="6"/>
  <c r="D647" i="6"/>
  <c r="E647" i="6"/>
  <c r="F647" i="6"/>
  <c r="G647" i="6"/>
  <c r="H647" i="6"/>
  <c r="I647" i="6"/>
  <c r="J647" i="6"/>
  <c r="K647" i="6"/>
  <c r="L647" i="6"/>
  <c r="M647" i="6"/>
  <c r="N647" i="6"/>
  <c r="O647" i="6"/>
  <c r="P647" i="6"/>
  <c r="Q647" i="6"/>
  <c r="R647" i="6"/>
  <c r="S647" i="6"/>
  <c r="T647" i="6"/>
  <c r="C648" i="6"/>
  <c r="D648" i="6"/>
  <c r="E648" i="6"/>
  <c r="F648" i="6"/>
  <c r="G648" i="6"/>
  <c r="H648" i="6"/>
  <c r="I648" i="6"/>
  <c r="J648" i="6"/>
  <c r="K648" i="6"/>
  <c r="L648" i="6"/>
  <c r="M648" i="6"/>
  <c r="N648" i="6"/>
  <c r="O648" i="6"/>
  <c r="P648" i="6"/>
  <c r="Q648" i="6"/>
  <c r="R648" i="6"/>
  <c r="S648" i="6"/>
  <c r="T648" i="6"/>
  <c r="C649" i="6"/>
  <c r="D649" i="6"/>
  <c r="E649" i="6"/>
  <c r="F649" i="6"/>
  <c r="G649" i="6"/>
  <c r="H649" i="6"/>
  <c r="I649" i="6"/>
  <c r="J649" i="6"/>
  <c r="K649" i="6"/>
  <c r="L649" i="6"/>
  <c r="M649" i="6"/>
  <c r="N649" i="6"/>
  <c r="O649" i="6"/>
  <c r="P649" i="6"/>
  <c r="Q649" i="6"/>
  <c r="R649" i="6"/>
  <c r="S649" i="6"/>
  <c r="T649" i="6"/>
  <c r="C9" i="5"/>
  <c r="B14" i="5"/>
  <c r="C14" i="5"/>
  <c r="D14" i="5"/>
  <c r="E14" i="5"/>
  <c r="F14" i="5"/>
  <c r="G14" i="5"/>
  <c r="H14" i="5"/>
  <c r="I14" i="5"/>
  <c r="J14" i="5"/>
  <c r="L14" i="5"/>
  <c r="M14" i="5"/>
  <c r="N14" i="5"/>
  <c r="O14" i="5"/>
  <c r="P14" i="5"/>
  <c r="Q14" i="5"/>
  <c r="R14" i="5"/>
  <c r="S14" i="5"/>
  <c r="T14" i="5"/>
  <c r="U14" i="5"/>
  <c r="V14" i="5"/>
  <c r="W14" i="5"/>
  <c r="Y14" i="5"/>
  <c r="Z14" i="5"/>
  <c r="AA14" i="5"/>
  <c r="AB14" i="5"/>
  <c r="AC14" i="5"/>
  <c r="B15" i="5"/>
  <c r="C15" i="5"/>
  <c r="D15" i="5"/>
  <c r="E15" i="5"/>
  <c r="F15" i="5"/>
  <c r="G15" i="5"/>
  <c r="H15" i="5"/>
  <c r="I15" i="5"/>
  <c r="J15" i="5"/>
  <c r="L15" i="5"/>
  <c r="M15" i="5"/>
  <c r="N15" i="5"/>
  <c r="O15" i="5"/>
  <c r="P15" i="5"/>
  <c r="Q15" i="5"/>
  <c r="R15" i="5"/>
  <c r="S15" i="5"/>
  <c r="T15" i="5"/>
  <c r="U15" i="5"/>
  <c r="V15" i="5"/>
  <c r="W15" i="5"/>
  <c r="Y15" i="5"/>
  <c r="Z15" i="5"/>
  <c r="AA15" i="5"/>
  <c r="AB15" i="5"/>
  <c r="AC15" i="5"/>
  <c r="B16" i="5"/>
  <c r="C16" i="5"/>
  <c r="D16" i="5"/>
  <c r="E16" i="5"/>
  <c r="F16" i="5"/>
  <c r="G16" i="5"/>
  <c r="H16" i="5"/>
  <c r="I16" i="5"/>
  <c r="J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Z16" i="5"/>
  <c r="AA16" i="5"/>
  <c r="AB16" i="5"/>
  <c r="AC16" i="5"/>
  <c r="B17" i="5"/>
  <c r="C17" i="5"/>
  <c r="D17" i="5"/>
  <c r="E17" i="5"/>
  <c r="F17" i="5"/>
  <c r="G17" i="5"/>
  <c r="H17" i="5"/>
  <c r="I17" i="5"/>
  <c r="J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Z17" i="5"/>
  <c r="AA17" i="5"/>
  <c r="AB17" i="5"/>
  <c r="AC17" i="5"/>
  <c r="B18" i="5"/>
  <c r="C18" i="5"/>
  <c r="D18" i="5"/>
  <c r="E18" i="5"/>
  <c r="F18" i="5"/>
  <c r="G18" i="5"/>
  <c r="H18" i="5"/>
  <c r="I18" i="5"/>
  <c r="J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Z18" i="5"/>
  <c r="AA18" i="5"/>
  <c r="AB18" i="5"/>
  <c r="AC18" i="5"/>
  <c r="B19" i="5"/>
  <c r="C19" i="5"/>
  <c r="D19" i="5"/>
  <c r="E19" i="5"/>
  <c r="F19" i="5"/>
  <c r="G19" i="5"/>
  <c r="H19" i="5"/>
  <c r="I19" i="5"/>
  <c r="J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Z19" i="5"/>
  <c r="AA19" i="5"/>
  <c r="AB19" i="5"/>
  <c r="AC19" i="5"/>
  <c r="B20" i="5"/>
  <c r="C20" i="5"/>
  <c r="D20" i="5"/>
  <c r="E20" i="5"/>
  <c r="F20" i="5"/>
  <c r="G20" i="5"/>
  <c r="H20" i="5"/>
  <c r="I20" i="5"/>
  <c r="J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Z20" i="5"/>
  <c r="AA20" i="5"/>
  <c r="AB20" i="5"/>
  <c r="AC20" i="5"/>
  <c r="B21" i="5"/>
  <c r="C21" i="5"/>
  <c r="D21" i="5"/>
  <c r="E21" i="5"/>
  <c r="F21" i="5"/>
  <c r="G21" i="5"/>
  <c r="H21" i="5"/>
  <c r="I21" i="5"/>
  <c r="J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Z21" i="5"/>
  <c r="AA21" i="5"/>
  <c r="AB21" i="5"/>
  <c r="AC21" i="5"/>
  <c r="B22" i="5"/>
  <c r="C22" i="5"/>
  <c r="D22" i="5"/>
  <c r="E22" i="5"/>
  <c r="F22" i="5"/>
  <c r="G22" i="5"/>
  <c r="H22" i="5"/>
  <c r="I22" i="5"/>
  <c r="J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Z22" i="5"/>
  <c r="AA22" i="5"/>
  <c r="AB22" i="5"/>
  <c r="AC22" i="5"/>
  <c r="B23" i="5"/>
  <c r="C23" i="5"/>
  <c r="D23" i="5"/>
  <c r="E23" i="5"/>
  <c r="F23" i="5"/>
  <c r="G23" i="5"/>
  <c r="H23" i="5"/>
  <c r="I23" i="5"/>
  <c r="J23" i="5"/>
  <c r="L23" i="5"/>
  <c r="M23" i="5"/>
  <c r="N23" i="5"/>
  <c r="O23" i="5"/>
  <c r="P23" i="5"/>
  <c r="Q23" i="5"/>
  <c r="R23" i="5"/>
  <c r="S23" i="5"/>
  <c r="T23" i="5"/>
  <c r="U23" i="5"/>
  <c r="V23" i="5"/>
  <c r="W23" i="5"/>
  <c r="Z23" i="5"/>
  <c r="AA23" i="5"/>
  <c r="AB23" i="5"/>
  <c r="AC23" i="5"/>
  <c r="B24" i="5"/>
  <c r="C24" i="5"/>
  <c r="D24" i="5"/>
  <c r="E24" i="5"/>
  <c r="F24" i="5"/>
  <c r="G24" i="5"/>
  <c r="H24" i="5"/>
  <c r="I24" i="5"/>
  <c r="J24" i="5"/>
  <c r="L24" i="5"/>
  <c r="M24" i="5"/>
  <c r="N24" i="5"/>
  <c r="O24" i="5"/>
  <c r="P24" i="5"/>
  <c r="Q24" i="5"/>
  <c r="R24" i="5"/>
  <c r="S24" i="5"/>
  <c r="T24" i="5"/>
  <c r="U24" i="5"/>
  <c r="V24" i="5"/>
  <c r="W24" i="5"/>
  <c r="Z24" i="5"/>
  <c r="AA24" i="5"/>
  <c r="AB24" i="5"/>
  <c r="AC24" i="5"/>
  <c r="B25" i="5"/>
  <c r="C25" i="5"/>
  <c r="D25" i="5"/>
  <c r="E25" i="5"/>
  <c r="F25" i="5"/>
  <c r="G25" i="5"/>
  <c r="H25" i="5"/>
  <c r="I25" i="5"/>
  <c r="J25" i="5"/>
  <c r="L25" i="5"/>
  <c r="M25" i="5"/>
  <c r="N25" i="5"/>
  <c r="O25" i="5"/>
  <c r="P25" i="5"/>
  <c r="Q25" i="5"/>
  <c r="R25" i="5"/>
  <c r="S25" i="5"/>
  <c r="T25" i="5"/>
  <c r="U25" i="5"/>
  <c r="V25" i="5"/>
  <c r="W25" i="5"/>
  <c r="Z25" i="5"/>
  <c r="AA25" i="5"/>
  <c r="AB25" i="5"/>
  <c r="AC25" i="5"/>
  <c r="B26" i="5"/>
  <c r="C26" i="5"/>
  <c r="D26" i="5"/>
  <c r="E26" i="5"/>
  <c r="F26" i="5"/>
  <c r="G26" i="5"/>
  <c r="H26" i="5"/>
  <c r="I26" i="5"/>
  <c r="J26" i="5"/>
  <c r="L26" i="5"/>
  <c r="M26" i="5"/>
  <c r="N26" i="5"/>
  <c r="O26" i="5"/>
  <c r="P26" i="5"/>
  <c r="Q26" i="5"/>
  <c r="R26" i="5"/>
  <c r="S26" i="5"/>
  <c r="T26" i="5"/>
  <c r="U26" i="5"/>
  <c r="V26" i="5"/>
  <c r="W26" i="5"/>
  <c r="Z26" i="5"/>
  <c r="AA26" i="5"/>
  <c r="AB26" i="5"/>
  <c r="AC26" i="5"/>
  <c r="B27" i="5"/>
  <c r="C27" i="5"/>
  <c r="D27" i="5"/>
  <c r="E27" i="5"/>
  <c r="F27" i="5"/>
  <c r="G27" i="5"/>
  <c r="H27" i="5"/>
  <c r="I27" i="5"/>
  <c r="J27" i="5"/>
  <c r="L27" i="5"/>
  <c r="M27" i="5"/>
  <c r="N27" i="5"/>
  <c r="O27" i="5"/>
  <c r="P27" i="5"/>
  <c r="Q27" i="5"/>
  <c r="R27" i="5"/>
  <c r="S27" i="5"/>
  <c r="T27" i="5"/>
  <c r="U27" i="5"/>
  <c r="V27" i="5"/>
  <c r="W27" i="5"/>
  <c r="Z27" i="5"/>
  <c r="AA27" i="5"/>
  <c r="AB27" i="5"/>
  <c r="AC27" i="5"/>
  <c r="B28" i="5"/>
  <c r="C28" i="5"/>
  <c r="D28" i="5"/>
  <c r="E28" i="5"/>
  <c r="F28" i="5"/>
  <c r="G28" i="5"/>
  <c r="H28" i="5"/>
  <c r="I28" i="5"/>
  <c r="J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Z28" i="5"/>
  <c r="AA28" i="5"/>
  <c r="AB28" i="5"/>
  <c r="AC28" i="5"/>
  <c r="B29" i="5"/>
  <c r="C29" i="5"/>
  <c r="D29" i="5"/>
  <c r="E29" i="5"/>
  <c r="F29" i="5"/>
  <c r="G29" i="5"/>
  <c r="H29" i="5"/>
  <c r="I29" i="5"/>
  <c r="J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Z29" i="5"/>
  <c r="AA29" i="5"/>
  <c r="AB29" i="5"/>
  <c r="AC29" i="5"/>
  <c r="B30" i="5"/>
  <c r="C30" i="5"/>
  <c r="D30" i="5"/>
  <c r="E30" i="5"/>
  <c r="F30" i="5"/>
  <c r="G30" i="5"/>
  <c r="H30" i="5"/>
  <c r="I30" i="5"/>
  <c r="J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Z30" i="5"/>
  <c r="AA30" i="5"/>
  <c r="AB30" i="5"/>
  <c r="AC30" i="5"/>
  <c r="B31" i="5"/>
  <c r="C31" i="5"/>
  <c r="D31" i="5"/>
  <c r="E31" i="5"/>
  <c r="F31" i="5"/>
  <c r="G31" i="5"/>
  <c r="H31" i="5"/>
  <c r="I31" i="5"/>
  <c r="J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Z31" i="5"/>
  <c r="AA31" i="5"/>
  <c r="AB31" i="5"/>
  <c r="AC31" i="5"/>
  <c r="B32" i="5"/>
  <c r="C32" i="5"/>
  <c r="D32" i="5"/>
  <c r="E32" i="5"/>
  <c r="F32" i="5"/>
  <c r="G32" i="5"/>
  <c r="H32" i="5"/>
  <c r="I32" i="5"/>
  <c r="J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Z32" i="5"/>
  <c r="AA32" i="5"/>
  <c r="AB32" i="5"/>
  <c r="AC32" i="5"/>
  <c r="B33" i="5"/>
  <c r="C33" i="5"/>
  <c r="D33" i="5"/>
  <c r="E33" i="5"/>
  <c r="F33" i="5"/>
  <c r="G33" i="5"/>
  <c r="H33" i="5"/>
  <c r="I33" i="5"/>
  <c r="J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Z33" i="5"/>
  <c r="AA33" i="5"/>
  <c r="AB33" i="5"/>
  <c r="AC33" i="5"/>
  <c r="B34" i="5"/>
  <c r="C34" i="5"/>
  <c r="D34" i="5"/>
  <c r="E34" i="5"/>
  <c r="F34" i="5"/>
  <c r="G34" i="5"/>
  <c r="H34" i="5"/>
  <c r="I34" i="5"/>
  <c r="J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Z34" i="5"/>
  <c r="AA34" i="5"/>
  <c r="AB34" i="5"/>
  <c r="AC34" i="5"/>
  <c r="B35" i="5"/>
  <c r="C35" i="5"/>
  <c r="D35" i="5"/>
  <c r="E35" i="5"/>
  <c r="F35" i="5"/>
  <c r="G35" i="5"/>
  <c r="H35" i="5"/>
  <c r="I35" i="5"/>
  <c r="J35" i="5"/>
  <c r="L35" i="5"/>
  <c r="M35" i="5"/>
  <c r="N35" i="5"/>
  <c r="O35" i="5"/>
  <c r="P35" i="5"/>
  <c r="Q35" i="5"/>
  <c r="R35" i="5"/>
  <c r="S35" i="5"/>
  <c r="T35" i="5"/>
  <c r="U35" i="5"/>
  <c r="V35" i="5"/>
  <c r="W35" i="5"/>
  <c r="Z35" i="5"/>
  <c r="AA35" i="5"/>
  <c r="AB35" i="5"/>
  <c r="AC35" i="5"/>
  <c r="B36" i="5"/>
  <c r="C36" i="5"/>
  <c r="D36" i="5"/>
  <c r="E36" i="5"/>
  <c r="F36" i="5"/>
  <c r="G36" i="5"/>
  <c r="H36" i="5"/>
  <c r="I36" i="5"/>
  <c r="J36" i="5"/>
  <c r="L36" i="5"/>
  <c r="M36" i="5"/>
  <c r="N36" i="5"/>
  <c r="O36" i="5"/>
  <c r="P36" i="5"/>
  <c r="Q36" i="5"/>
  <c r="R36" i="5"/>
  <c r="S36" i="5"/>
  <c r="T36" i="5"/>
  <c r="U36" i="5"/>
  <c r="V36" i="5"/>
  <c r="W36" i="5"/>
  <c r="Z36" i="5"/>
  <c r="AA36" i="5"/>
  <c r="AB36" i="5"/>
  <c r="AC36" i="5"/>
  <c r="B37" i="5"/>
  <c r="C37" i="5"/>
  <c r="D37" i="5"/>
  <c r="E37" i="5"/>
  <c r="F37" i="5"/>
  <c r="G37" i="5"/>
  <c r="H37" i="5"/>
  <c r="I37" i="5"/>
  <c r="J37" i="5"/>
  <c r="L37" i="5"/>
  <c r="M37" i="5"/>
  <c r="N37" i="5"/>
  <c r="O37" i="5"/>
  <c r="P37" i="5"/>
  <c r="Q37" i="5"/>
  <c r="R37" i="5"/>
  <c r="S37" i="5"/>
  <c r="T37" i="5"/>
  <c r="U37" i="5"/>
  <c r="V37" i="5"/>
  <c r="W37" i="5"/>
  <c r="Z37" i="5"/>
  <c r="AA37" i="5"/>
  <c r="AB37" i="5"/>
  <c r="AC37" i="5"/>
  <c r="B38" i="5"/>
  <c r="C38" i="5"/>
  <c r="D38" i="5"/>
  <c r="E38" i="5"/>
  <c r="F38" i="5"/>
  <c r="G38" i="5"/>
  <c r="H38" i="5"/>
  <c r="I38" i="5"/>
  <c r="J38" i="5"/>
  <c r="L38" i="5"/>
  <c r="M38" i="5"/>
  <c r="N38" i="5"/>
  <c r="O38" i="5"/>
  <c r="P38" i="5"/>
  <c r="Q38" i="5"/>
  <c r="R38" i="5"/>
  <c r="S38" i="5"/>
  <c r="T38" i="5"/>
  <c r="U38" i="5"/>
  <c r="V38" i="5"/>
  <c r="W38" i="5"/>
  <c r="Z38" i="5"/>
  <c r="AA38" i="5"/>
  <c r="AB38" i="5"/>
  <c r="AC38" i="5"/>
  <c r="B39" i="5"/>
  <c r="C39" i="5"/>
  <c r="D39" i="5"/>
  <c r="E39" i="5"/>
  <c r="F39" i="5"/>
  <c r="G39" i="5"/>
  <c r="H39" i="5"/>
  <c r="I39" i="5"/>
  <c r="J39" i="5"/>
  <c r="L39" i="5"/>
  <c r="M39" i="5"/>
  <c r="N39" i="5"/>
  <c r="O39" i="5"/>
  <c r="P39" i="5"/>
  <c r="Q39" i="5"/>
  <c r="R39" i="5"/>
  <c r="S39" i="5"/>
  <c r="T39" i="5"/>
  <c r="U39" i="5"/>
  <c r="V39" i="5"/>
  <c r="W39" i="5"/>
  <c r="Z39" i="5"/>
  <c r="AA39" i="5"/>
  <c r="AB39" i="5"/>
  <c r="AC39" i="5"/>
  <c r="B40" i="5"/>
  <c r="C40" i="5"/>
  <c r="D40" i="5"/>
  <c r="E40" i="5"/>
  <c r="F40" i="5"/>
  <c r="G40" i="5"/>
  <c r="H40" i="5"/>
  <c r="I40" i="5"/>
  <c r="J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Z40" i="5"/>
  <c r="AA40" i="5"/>
  <c r="AB40" i="5"/>
  <c r="AC40" i="5"/>
  <c r="B41" i="5"/>
  <c r="C41" i="5"/>
  <c r="D41" i="5"/>
  <c r="E41" i="5"/>
  <c r="F41" i="5"/>
  <c r="G41" i="5"/>
  <c r="H41" i="5"/>
  <c r="I41" i="5"/>
  <c r="J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Z41" i="5"/>
  <c r="AA41" i="5"/>
  <c r="AB41" i="5"/>
  <c r="AC41" i="5"/>
  <c r="B42" i="5"/>
  <c r="C42" i="5"/>
  <c r="D42" i="5"/>
  <c r="E42" i="5"/>
  <c r="F42" i="5"/>
  <c r="G42" i="5"/>
  <c r="H42" i="5"/>
  <c r="I42" i="5"/>
  <c r="J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Z42" i="5"/>
  <c r="AA42" i="5"/>
  <c r="AB42" i="5"/>
  <c r="AC42" i="5"/>
  <c r="B43" i="5"/>
  <c r="C43" i="5"/>
  <c r="D43" i="5"/>
  <c r="E43" i="5"/>
  <c r="F43" i="5"/>
  <c r="G43" i="5"/>
  <c r="H43" i="5"/>
  <c r="I43" i="5"/>
  <c r="J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Z43" i="5"/>
  <c r="AA43" i="5"/>
  <c r="AB43" i="5"/>
  <c r="AC43" i="5"/>
  <c r="B44" i="5"/>
  <c r="C44" i="5"/>
  <c r="D44" i="5"/>
  <c r="E44" i="5"/>
  <c r="F44" i="5"/>
  <c r="G44" i="5"/>
  <c r="H44" i="5"/>
  <c r="I44" i="5"/>
  <c r="J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Z44" i="5"/>
  <c r="AA44" i="5"/>
  <c r="AB44" i="5"/>
  <c r="AC44" i="5"/>
  <c r="B45" i="5"/>
  <c r="C45" i="5"/>
  <c r="D45" i="5"/>
  <c r="E45" i="5"/>
  <c r="F45" i="5"/>
  <c r="G45" i="5"/>
  <c r="H45" i="5"/>
  <c r="I45" i="5"/>
  <c r="J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Z45" i="5"/>
  <c r="AA45" i="5"/>
  <c r="AB45" i="5"/>
  <c r="AC45" i="5"/>
  <c r="B46" i="5"/>
  <c r="C46" i="5"/>
  <c r="D46" i="5"/>
  <c r="E46" i="5"/>
  <c r="F46" i="5"/>
  <c r="G46" i="5"/>
  <c r="H46" i="5"/>
  <c r="I46" i="5"/>
  <c r="J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Z46" i="5"/>
  <c r="AA46" i="5"/>
  <c r="AB46" i="5"/>
  <c r="AC46" i="5"/>
  <c r="B47" i="5"/>
  <c r="C47" i="5"/>
  <c r="D47" i="5"/>
  <c r="E47" i="5"/>
  <c r="F47" i="5"/>
  <c r="G47" i="5"/>
  <c r="H47" i="5"/>
  <c r="I47" i="5"/>
  <c r="J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Z47" i="5"/>
  <c r="AA47" i="5"/>
  <c r="AB47" i="5"/>
  <c r="AC47" i="5"/>
  <c r="B48" i="5"/>
  <c r="C48" i="5"/>
  <c r="D48" i="5"/>
  <c r="E48" i="5"/>
  <c r="F48" i="5"/>
  <c r="G48" i="5"/>
  <c r="H48" i="5"/>
  <c r="I48" i="5"/>
  <c r="J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Z48" i="5"/>
  <c r="AA48" i="5"/>
  <c r="AB48" i="5"/>
  <c r="AC48" i="5"/>
  <c r="B49" i="5"/>
  <c r="C49" i="5"/>
  <c r="D49" i="5"/>
  <c r="E49" i="5"/>
  <c r="F49" i="5"/>
  <c r="G49" i="5"/>
  <c r="H49" i="5"/>
  <c r="I49" i="5"/>
  <c r="J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AB49" i="5"/>
  <c r="AC49" i="5"/>
  <c r="B50" i="5"/>
  <c r="C50" i="5"/>
  <c r="D50" i="5"/>
  <c r="E50" i="5"/>
  <c r="F50" i="5"/>
  <c r="G50" i="5"/>
  <c r="H50" i="5"/>
  <c r="I50" i="5"/>
  <c r="J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AB50" i="5"/>
  <c r="AC50" i="5"/>
  <c r="B51" i="5"/>
  <c r="C51" i="5"/>
  <c r="D51" i="5"/>
  <c r="E51" i="5"/>
  <c r="F51" i="5"/>
  <c r="G51" i="5"/>
  <c r="H51" i="5"/>
  <c r="I51" i="5"/>
  <c r="J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AB51" i="5"/>
  <c r="AC51" i="5"/>
  <c r="B52" i="5"/>
  <c r="C52" i="5"/>
  <c r="D52" i="5"/>
  <c r="E52" i="5"/>
  <c r="F52" i="5"/>
  <c r="G52" i="5"/>
  <c r="H52" i="5"/>
  <c r="I52" i="5"/>
  <c r="J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AB52" i="5"/>
  <c r="AC52" i="5"/>
  <c r="B53" i="5"/>
  <c r="C53" i="5"/>
  <c r="D53" i="5"/>
  <c r="E53" i="5"/>
  <c r="F53" i="5"/>
  <c r="G53" i="5"/>
  <c r="H53" i="5"/>
  <c r="I53" i="5"/>
  <c r="J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AB53" i="5"/>
  <c r="AC53" i="5"/>
  <c r="B54" i="5"/>
  <c r="C54" i="5"/>
  <c r="D54" i="5"/>
  <c r="E54" i="5"/>
  <c r="F54" i="5"/>
  <c r="G54" i="5"/>
  <c r="H54" i="5"/>
  <c r="I54" i="5"/>
  <c r="J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AB54" i="5"/>
  <c r="AC54" i="5"/>
  <c r="B55" i="5"/>
  <c r="C55" i="5"/>
  <c r="D55" i="5"/>
  <c r="E55" i="5"/>
  <c r="F55" i="5"/>
  <c r="G55" i="5"/>
  <c r="H55" i="5"/>
  <c r="I55" i="5"/>
  <c r="J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AB55" i="5"/>
  <c r="AC55" i="5"/>
  <c r="B56" i="5"/>
  <c r="C56" i="5"/>
  <c r="D56" i="5"/>
  <c r="E56" i="5"/>
  <c r="F56" i="5"/>
  <c r="G56" i="5"/>
  <c r="H56" i="5"/>
  <c r="I56" i="5"/>
  <c r="J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AB56" i="5"/>
  <c r="AC56" i="5"/>
  <c r="B57" i="5"/>
  <c r="C57" i="5"/>
  <c r="D57" i="5"/>
  <c r="E57" i="5"/>
  <c r="F57" i="5"/>
  <c r="G57" i="5"/>
  <c r="H57" i="5"/>
  <c r="I57" i="5"/>
  <c r="J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AB57" i="5"/>
  <c r="AC57" i="5"/>
  <c r="B58" i="5"/>
  <c r="C58" i="5"/>
  <c r="D58" i="5"/>
  <c r="E58" i="5"/>
  <c r="F58" i="5"/>
  <c r="G58" i="5"/>
  <c r="H58" i="5"/>
  <c r="I58" i="5"/>
  <c r="J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AB58" i="5"/>
  <c r="AC58" i="5"/>
  <c r="B59" i="5"/>
  <c r="C59" i="5"/>
  <c r="D59" i="5"/>
  <c r="E59" i="5"/>
  <c r="F59" i="5"/>
  <c r="G59" i="5"/>
  <c r="H59" i="5"/>
  <c r="I59" i="5"/>
  <c r="J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AB59" i="5"/>
  <c r="AC59" i="5"/>
  <c r="B60" i="5"/>
  <c r="C60" i="5"/>
  <c r="D60" i="5"/>
  <c r="E60" i="5"/>
  <c r="F60" i="5"/>
  <c r="G60" i="5"/>
  <c r="H60" i="5"/>
  <c r="I60" i="5"/>
  <c r="J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AB60" i="5"/>
  <c r="AC60" i="5"/>
  <c r="B61" i="5"/>
  <c r="C61" i="5"/>
  <c r="D61" i="5"/>
  <c r="E61" i="5"/>
  <c r="F61" i="5"/>
  <c r="G61" i="5"/>
  <c r="H61" i="5"/>
  <c r="I61" i="5"/>
  <c r="J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AB61" i="5"/>
  <c r="AC61" i="5"/>
  <c r="B62" i="5"/>
  <c r="C62" i="5"/>
  <c r="D62" i="5"/>
  <c r="E62" i="5"/>
  <c r="F62" i="5"/>
  <c r="G62" i="5"/>
  <c r="H62" i="5"/>
  <c r="I62" i="5"/>
  <c r="J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AB62" i="5"/>
  <c r="AC62" i="5"/>
  <c r="B63" i="5"/>
  <c r="C63" i="5"/>
  <c r="D63" i="5"/>
  <c r="E63" i="5"/>
  <c r="F63" i="5"/>
  <c r="G63" i="5"/>
  <c r="H63" i="5"/>
  <c r="I63" i="5"/>
  <c r="J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AB63" i="5"/>
  <c r="AC63" i="5"/>
  <c r="B64" i="5"/>
  <c r="C64" i="5"/>
  <c r="D64" i="5"/>
  <c r="E64" i="5"/>
  <c r="F64" i="5"/>
  <c r="G64" i="5"/>
  <c r="H64" i="5"/>
  <c r="I64" i="5"/>
  <c r="J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AB64" i="5"/>
  <c r="AC64" i="5"/>
  <c r="B65" i="5"/>
  <c r="C65" i="5"/>
  <c r="D65" i="5"/>
  <c r="E65" i="5"/>
  <c r="F65" i="5"/>
  <c r="G65" i="5"/>
  <c r="H65" i="5"/>
  <c r="I65" i="5"/>
  <c r="J65" i="5"/>
  <c r="K65" i="5"/>
  <c r="L65" i="5"/>
  <c r="M65" i="5"/>
  <c r="AC65" i="5" s="1"/>
  <c r="N65" i="5"/>
  <c r="O65" i="5"/>
  <c r="P65" i="5"/>
  <c r="Q65" i="5"/>
  <c r="R65" i="5"/>
  <c r="S65" i="5"/>
  <c r="T65" i="5"/>
  <c r="U65" i="5"/>
  <c r="V65" i="5"/>
  <c r="W65" i="5"/>
  <c r="X65" i="5"/>
  <c r="AB65" i="5"/>
  <c r="B66" i="5"/>
  <c r="C66" i="5"/>
  <c r="AB66" i="5" s="1"/>
  <c r="D66" i="5"/>
  <c r="E66" i="5"/>
  <c r="F66" i="5"/>
  <c r="G66" i="5"/>
  <c r="H66" i="5"/>
  <c r="I66" i="5"/>
  <c r="J66" i="5"/>
  <c r="K66" i="5"/>
  <c r="L66" i="5"/>
  <c r="M66" i="5"/>
  <c r="N66" i="5"/>
  <c r="O66" i="5"/>
  <c r="AC66" i="5" s="1"/>
  <c r="P66" i="5"/>
  <c r="Q66" i="5"/>
  <c r="R66" i="5"/>
  <c r="S66" i="5"/>
  <c r="T66" i="5"/>
  <c r="U66" i="5"/>
  <c r="V66" i="5"/>
  <c r="W66" i="5"/>
  <c r="X66" i="5"/>
  <c r="B67" i="5"/>
  <c r="AB67" i="5" s="1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AC67" i="5" s="1"/>
  <c r="P67" i="5"/>
  <c r="Q67" i="5"/>
  <c r="R67" i="5"/>
  <c r="S67" i="5"/>
  <c r="T67" i="5"/>
  <c r="U67" i="5"/>
  <c r="V67" i="5"/>
  <c r="W67" i="5"/>
  <c r="X67" i="5"/>
  <c r="B68" i="5"/>
  <c r="AB68" i="5" s="1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AC68" i="5"/>
  <c r="B69" i="5"/>
  <c r="C69" i="5"/>
  <c r="D69" i="5"/>
  <c r="E69" i="5"/>
  <c r="F69" i="5"/>
  <c r="G69" i="5"/>
  <c r="H69" i="5"/>
  <c r="I69" i="5"/>
  <c r="J69" i="5"/>
  <c r="K69" i="5"/>
  <c r="L69" i="5"/>
  <c r="M69" i="5"/>
  <c r="AC69" i="5" s="1"/>
  <c r="N69" i="5"/>
  <c r="O69" i="5"/>
  <c r="P69" i="5"/>
  <c r="Q69" i="5"/>
  <c r="R69" i="5"/>
  <c r="S69" i="5"/>
  <c r="T69" i="5"/>
  <c r="U69" i="5"/>
  <c r="V69" i="5"/>
  <c r="W69" i="5"/>
  <c r="X69" i="5"/>
  <c r="AB69" i="5"/>
  <c r="B70" i="5"/>
  <c r="C70" i="5"/>
  <c r="AB70" i="5" s="1"/>
  <c r="D70" i="5"/>
  <c r="E70" i="5"/>
  <c r="F70" i="5"/>
  <c r="G70" i="5"/>
  <c r="H70" i="5"/>
  <c r="I70" i="5"/>
  <c r="J70" i="5"/>
  <c r="K70" i="5"/>
  <c r="L70" i="5"/>
  <c r="M70" i="5"/>
  <c r="N70" i="5"/>
  <c r="O70" i="5"/>
  <c r="AC70" i="5" s="1"/>
  <c r="P70" i="5"/>
  <c r="Q70" i="5"/>
  <c r="R70" i="5"/>
  <c r="S70" i="5"/>
  <c r="T70" i="5"/>
  <c r="U70" i="5"/>
  <c r="V70" i="5"/>
  <c r="W70" i="5"/>
  <c r="X70" i="5"/>
  <c r="B71" i="5"/>
  <c r="AB71" i="5" s="1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AC71" i="5" s="1"/>
  <c r="P71" i="5"/>
  <c r="Q71" i="5"/>
  <c r="R71" i="5"/>
  <c r="S71" i="5"/>
  <c r="T71" i="5"/>
  <c r="U71" i="5"/>
  <c r="V71" i="5"/>
  <c r="W71" i="5"/>
  <c r="X71" i="5"/>
  <c r="B72" i="5"/>
  <c r="AB72" i="5" s="1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AC72" i="5"/>
  <c r="B73" i="5"/>
  <c r="C73" i="5"/>
  <c r="D73" i="5"/>
  <c r="E73" i="5"/>
  <c r="F73" i="5"/>
  <c r="G73" i="5"/>
  <c r="H73" i="5"/>
  <c r="I73" i="5"/>
  <c r="J73" i="5"/>
  <c r="K73" i="5"/>
  <c r="L73" i="5"/>
  <c r="M73" i="5"/>
  <c r="AC73" i="5" s="1"/>
  <c r="N73" i="5"/>
  <c r="O73" i="5"/>
  <c r="P73" i="5"/>
  <c r="Q73" i="5"/>
  <c r="R73" i="5"/>
  <c r="S73" i="5"/>
  <c r="T73" i="5"/>
  <c r="U73" i="5"/>
  <c r="V73" i="5"/>
  <c r="W73" i="5"/>
  <c r="X73" i="5"/>
  <c r="AB73" i="5"/>
  <c r="B74" i="5"/>
  <c r="C74" i="5"/>
  <c r="AB74" i="5" s="1"/>
  <c r="D74" i="5"/>
  <c r="E74" i="5"/>
  <c r="F74" i="5"/>
  <c r="G74" i="5"/>
  <c r="H74" i="5"/>
  <c r="I74" i="5"/>
  <c r="J74" i="5"/>
  <c r="K74" i="5"/>
  <c r="L74" i="5"/>
  <c r="M74" i="5"/>
  <c r="N74" i="5"/>
  <c r="O74" i="5"/>
  <c r="AC74" i="5" s="1"/>
  <c r="P74" i="5"/>
  <c r="Q74" i="5"/>
  <c r="R74" i="5"/>
  <c r="S74" i="5"/>
  <c r="T74" i="5"/>
  <c r="U74" i="5"/>
  <c r="V74" i="5"/>
  <c r="W74" i="5"/>
  <c r="X74" i="5"/>
  <c r="B75" i="5"/>
  <c r="AB75" i="5" s="1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AC75" i="5" s="1"/>
  <c r="P75" i="5"/>
  <c r="Q75" i="5"/>
  <c r="R75" i="5"/>
  <c r="S75" i="5"/>
  <c r="T75" i="5"/>
  <c r="U75" i="5"/>
  <c r="V75" i="5"/>
  <c r="W75" i="5"/>
  <c r="X75" i="5"/>
  <c r="B76" i="5"/>
  <c r="AB76" i="5" s="1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AC76" i="5"/>
  <c r="B77" i="5"/>
  <c r="C77" i="5"/>
  <c r="D77" i="5"/>
  <c r="E77" i="5"/>
  <c r="F77" i="5"/>
  <c r="G77" i="5"/>
  <c r="H77" i="5"/>
  <c r="I77" i="5"/>
  <c r="J77" i="5"/>
  <c r="K77" i="5"/>
  <c r="L77" i="5"/>
  <c r="M77" i="5"/>
  <c r="AC77" i="5" s="1"/>
  <c r="N77" i="5"/>
  <c r="O77" i="5"/>
  <c r="P77" i="5"/>
  <c r="Q77" i="5"/>
  <c r="R77" i="5"/>
  <c r="S77" i="5"/>
  <c r="T77" i="5"/>
  <c r="U77" i="5"/>
  <c r="V77" i="5"/>
  <c r="W77" i="5"/>
  <c r="X77" i="5"/>
  <c r="AB77" i="5"/>
  <c r="B78" i="5"/>
  <c r="C78" i="5"/>
  <c r="D78" i="5"/>
  <c r="AB78" i="5" s="1"/>
  <c r="E78" i="5"/>
  <c r="F78" i="5"/>
  <c r="G78" i="5"/>
  <c r="H78" i="5"/>
  <c r="I78" i="5"/>
  <c r="J78" i="5"/>
  <c r="K78" i="5"/>
  <c r="L78" i="5"/>
  <c r="M78" i="5"/>
  <c r="N78" i="5"/>
  <c r="O78" i="5"/>
  <c r="AC78" i="5" s="1"/>
  <c r="P78" i="5"/>
  <c r="Q78" i="5"/>
  <c r="R78" i="5"/>
  <c r="S78" i="5"/>
  <c r="T78" i="5"/>
  <c r="U78" i="5"/>
  <c r="V78" i="5"/>
  <c r="W78" i="5"/>
  <c r="X78" i="5"/>
  <c r="B79" i="5"/>
  <c r="C79" i="5"/>
  <c r="AB79" i="5" s="1"/>
  <c r="D79" i="5"/>
  <c r="E79" i="5"/>
  <c r="F79" i="5"/>
  <c r="G79" i="5"/>
  <c r="H79" i="5"/>
  <c r="I79" i="5"/>
  <c r="J79" i="5"/>
  <c r="K79" i="5"/>
  <c r="L79" i="5"/>
  <c r="M79" i="5"/>
  <c r="N79" i="5"/>
  <c r="O79" i="5"/>
  <c r="AC79" i="5" s="1"/>
  <c r="P79" i="5"/>
  <c r="Q79" i="5"/>
  <c r="R79" i="5"/>
  <c r="S79" i="5"/>
  <c r="T79" i="5"/>
  <c r="U79" i="5"/>
  <c r="V79" i="5"/>
  <c r="W79" i="5"/>
  <c r="X79" i="5"/>
  <c r="B80" i="5"/>
  <c r="AB80" i="5" s="1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AC80" i="5"/>
  <c r="B81" i="5"/>
  <c r="C81" i="5"/>
  <c r="D81" i="5"/>
  <c r="E81" i="5"/>
  <c r="F81" i="5"/>
  <c r="G81" i="5"/>
  <c r="H81" i="5"/>
  <c r="I81" i="5"/>
  <c r="J81" i="5"/>
  <c r="K81" i="5"/>
  <c r="L81" i="5"/>
  <c r="M81" i="5"/>
  <c r="AC81" i="5" s="1"/>
  <c r="N81" i="5"/>
  <c r="O81" i="5"/>
  <c r="P81" i="5"/>
  <c r="Q81" i="5"/>
  <c r="R81" i="5"/>
  <c r="S81" i="5"/>
  <c r="T81" i="5"/>
  <c r="U81" i="5"/>
  <c r="V81" i="5"/>
  <c r="W81" i="5"/>
  <c r="X81" i="5"/>
  <c r="AB81" i="5"/>
  <c r="B82" i="5"/>
  <c r="C82" i="5"/>
  <c r="D82" i="5"/>
  <c r="AB82" i="5" s="1"/>
  <c r="E82" i="5"/>
  <c r="F82" i="5"/>
  <c r="G82" i="5"/>
  <c r="H82" i="5"/>
  <c r="I82" i="5"/>
  <c r="J82" i="5"/>
  <c r="K82" i="5"/>
  <c r="L82" i="5"/>
  <c r="M82" i="5"/>
  <c r="N82" i="5"/>
  <c r="O82" i="5"/>
  <c r="P82" i="5"/>
  <c r="AC82" i="5" s="1"/>
  <c r="Q82" i="5"/>
  <c r="R82" i="5"/>
  <c r="S82" i="5"/>
  <c r="T82" i="5"/>
  <c r="U82" i="5"/>
  <c r="V82" i="5"/>
  <c r="W82" i="5"/>
  <c r="X82" i="5"/>
  <c r="B83" i="5"/>
  <c r="C83" i="5"/>
  <c r="AB83" i="5" s="1"/>
  <c r="D83" i="5"/>
  <c r="E83" i="5"/>
  <c r="F83" i="5"/>
  <c r="G83" i="5"/>
  <c r="H83" i="5"/>
  <c r="I83" i="5"/>
  <c r="J83" i="5"/>
  <c r="K83" i="5"/>
  <c r="L83" i="5"/>
  <c r="M83" i="5"/>
  <c r="N83" i="5"/>
  <c r="O83" i="5"/>
  <c r="AC83" i="5" s="1"/>
  <c r="P83" i="5"/>
  <c r="Q83" i="5"/>
  <c r="R83" i="5"/>
  <c r="S83" i="5"/>
  <c r="T83" i="5"/>
  <c r="U83" i="5"/>
  <c r="V83" i="5"/>
  <c r="W83" i="5"/>
  <c r="X83" i="5"/>
  <c r="B84" i="5"/>
  <c r="AB84" i="5" s="1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AC84" i="5"/>
  <c r="B85" i="5"/>
  <c r="C85" i="5"/>
  <c r="D85" i="5"/>
  <c r="E85" i="5"/>
  <c r="F85" i="5"/>
  <c r="G85" i="5"/>
  <c r="H85" i="5"/>
  <c r="I85" i="5"/>
  <c r="J85" i="5"/>
  <c r="K85" i="5"/>
  <c r="L85" i="5"/>
  <c r="M85" i="5"/>
  <c r="AC85" i="5" s="1"/>
  <c r="N85" i="5"/>
  <c r="O85" i="5"/>
  <c r="P85" i="5"/>
  <c r="Q85" i="5"/>
  <c r="R85" i="5"/>
  <c r="S85" i="5"/>
  <c r="T85" i="5"/>
  <c r="U85" i="5"/>
  <c r="V85" i="5"/>
  <c r="W85" i="5"/>
  <c r="X85" i="5"/>
  <c r="AB85" i="5"/>
  <c r="B86" i="5"/>
  <c r="C86" i="5"/>
  <c r="D86" i="5"/>
  <c r="AB86" i="5" s="1"/>
  <c r="E86" i="5"/>
  <c r="F86" i="5"/>
  <c r="G86" i="5"/>
  <c r="H86" i="5"/>
  <c r="I86" i="5"/>
  <c r="J86" i="5"/>
  <c r="K86" i="5"/>
  <c r="L86" i="5"/>
  <c r="M86" i="5"/>
  <c r="N86" i="5"/>
  <c r="O86" i="5"/>
  <c r="AC86" i="5" s="1"/>
  <c r="P86" i="5"/>
  <c r="Q86" i="5"/>
  <c r="R86" i="5"/>
  <c r="S86" i="5"/>
  <c r="T86" i="5"/>
  <c r="U86" i="5"/>
  <c r="V86" i="5"/>
  <c r="W86" i="5"/>
  <c r="X86" i="5"/>
  <c r="B87" i="5"/>
  <c r="C87" i="5"/>
  <c r="AB87" i="5" s="1"/>
  <c r="D87" i="5"/>
  <c r="E87" i="5"/>
  <c r="F87" i="5"/>
  <c r="G87" i="5"/>
  <c r="H87" i="5"/>
  <c r="I87" i="5"/>
  <c r="J87" i="5"/>
  <c r="K87" i="5"/>
  <c r="L87" i="5"/>
  <c r="M87" i="5"/>
  <c r="N87" i="5"/>
  <c r="O87" i="5"/>
  <c r="AC87" i="5" s="1"/>
  <c r="P87" i="5"/>
  <c r="Q87" i="5"/>
  <c r="R87" i="5"/>
  <c r="S87" i="5"/>
  <c r="T87" i="5"/>
  <c r="U87" i="5"/>
  <c r="V87" i="5"/>
  <c r="W87" i="5"/>
  <c r="X87" i="5"/>
  <c r="B88" i="5"/>
  <c r="AB88" i="5" s="1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AC88" i="5"/>
  <c r="B89" i="5"/>
  <c r="C89" i="5"/>
  <c r="D89" i="5"/>
  <c r="E89" i="5"/>
  <c r="F89" i="5"/>
  <c r="G89" i="5"/>
  <c r="H89" i="5"/>
  <c r="I89" i="5"/>
  <c r="J89" i="5"/>
  <c r="K89" i="5"/>
  <c r="L89" i="5"/>
  <c r="M89" i="5"/>
  <c r="AC89" i="5" s="1"/>
  <c r="N89" i="5"/>
  <c r="O89" i="5"/>
  <c r="P89" i="5"/>
  <c r="Q89" i="5"/>
  <c r="R89" i="5"/>
  <c r="S89" i="5"/>
  <c r="T89" i="5"/>
  <c r="U89" i="5"/>
  <c r="V89" i="5"/>
  <c r="W89" i="5"/>
  <c r="X89" i="5"/>
  <c r="AB89" i="5"/>
  <c r="B90" i="5"/>
  <c r="C90" i="5"/>
  <c r="D90" i="5"/>
  <c r="AB90" i="5" s="1"/>
  <c r="E90" i="5"/>
  <c r="F90" i="5"/>
  <c r="G90" i="5"/>
  <c r="H90" i="5"/>
  <c r="I90" i="5"/>
  <c r="J90" i="5"/>
  <c r="K90" i="5"/>
  <c r="L90" i="5"/>
  <c r="M90" i="5"/>
  <c r="N90" i="5"/>
  <c r="O90" i="5"/>
  <c r="P90" i="5"/>
  <c r="AC90" i="5" s="1"/>
  <c r="Q90" i="5"/>
  <c r="R90" i="5"/>
  <c r="S90" i="5"/>
  <c r="T90" i="5"/>
  <c r="U90" i="5"/>
  <c r="V90" i="5"/>
  <c r="W90" i="5"/>
  <c r="X90" i="5"/>
  <c r="B91" i="5"/>
  <c r="C91" i="5"/>
  <c r="AB91" i="5" s="1"/>
  <c r="D91" i="5"/>
  <c r="E91" i="5"/>
  <c r="F91" i="5"/>
  <c r="G91" i="5"/>
  <c r="H91" i="5"/>
  <c r="I91" i="5"/>
  <c r="J91" i="5"/>
  <c r="K91" i="5"/>
  <c r="L91" i="5"/>
  <c r="M91" i="5"/>
  <c r="N91" i="5"/>
  <c r="O91" i="5"/>
  <c r="AC91" i="5" s="1"/>
  <c r="P91" i="5"/>
  <c r="Q91" i="5"/>
  <c r="R91" i="5"/>
  <c r="S91" i="5"/>
  <c r="T91" i="5"/>
  <c r="U91" i="5"/>
  <c r="V91" i="5"/>
  <c r="W91" i="5"/>
  <c r="X91" i="5"/>
  <c r="B92" i="5"/>
  <c r="AB92" i="5" s="1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AC92" i="5"/>
  <c r="B93" i="5"/>
  <c r="C93" i="5"/>
  <c r="D93" i="5"/>
  <c r="E93" i="5"/>
  <c r="F93" i="5"/>
  <c r="G93" i="5"/>
  <c r="H93" i="5"/>
  <c r="I93" i="5"/>
  <c r="J93" i="5"/>
  <c r="K93" i="5"/>
  <c r="L93" i="5"/>
  <c r="M93" i="5"/>
  <c r="AC93" i="5" s="1"/>
  <c r="N93" i="5"/>
  <c r="O93" i="5"/>
  <c r="P93" i="5"/>
  <c r="Q93" i="5"/>
  <c r="R93" i="5"/>
  <c r="S93" i="5"/>
  <c r="T93" i="5"/>
  <c r="U93" i="5"/>
  <c r="V93" i="5"/>
  <c r="W93" i="5"/>
  <c r="X93" i="5"/>
  <c r="AB93" i="5"/>
  <c r="B94" i="5"/>
  <c r="C94" i="5"/>
  <c r="D94" i="5"/>
  <c r="AB94" i="5" s="1"/>
  <c r="E94" i="5"/>
  <c r="F94" i="5"/>
  <c r="G94" i="5"/>
  <c r="H94" i="5"/>
  <c r="I94" i="5"/>
  <c r="J94" i="5"/>
  <c r="K94" i="5"/>
  <c r="L94" i="5"/>
  <c r="M94" i="5"/>
  <c r="N94" i="5"/>
  <c r="O94" i="5"/>
  <c r="P94" i="5"/>
  <c r="AC94" i="5" s="1"/>
  <c r="Q94" i="5"/>
  <c r="R94" i="5"/>
  <c r="S94" i="5"/>
  <c r="T94" i="5"/>
  <c r="U94" i="5"/>
  <c r="V94" i="5"/>
  <c r="W94" i="5"/>
  <c r="X94" i="5"/>
  <c r="B95" i="5"/>
  <c r="C95" i="5"/>
  <c r="AB95" i="5" s="1"/>
  <c r="D95" i="5"/>
  <c r="E95" i="5"/>
  <c r="F95" i="5"/>
  <c r="G95" i="5"/>
  <c r="H95" i="5"/>
  <c r="I95" i="5"/>
  <c r="J95" i="5"/>
  <c r="K95" i="5"/>
  <c r="L95" i="5"/>
  <c r="M95" i="5"/>
  <c r="N95" i="5"/>
  <c r="O95" i="5"/>
  <c r="AC95" i="5" s="1"/>
  <c r="P95" i="5"/>
  <c r="Q95" i="5"/>
  <c r="R95" i="5"/>
  <c r="S95" i="5"/>
  <c r="T95" i="5"/>
  <c r="U95" i="5"/>
  <c r="V95" i="5"/>
  <c r="W95" i="5"/>
  <c r="X95" i="5"/>
  <c r="B96" i="5"/>
  <c r="AB96" i="5" s="1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AC96" i="5"/>
  <c r="B97" i="5"/>
  <c r="C97" i="5"/>
  <c r="D97" i="5"/>
  <c r="E97" i="5"/>
  <c r="F97" i="5"/>
  <c r="G97" i="5"/>
  <c r="H97" i="5"/>
  <c r="I97" i="5"/>
  <c r="J97" i="5"/>
  <c r="K97" i="5"/>
  <c r="L97" i="5"/>
  <c r="M97" i="5"/>
  <c r="AC97" i="5" s="1"/>
  <c r="N97" i="5"/>
  <c r="O97" i="5"/>
  <c r="P97" i="5"/>
  <c r="Q97" i="5"/>
  <c r="R97" i="5"/>
  <c r="S97" i="5"/>
  <c r="T97" i="5"/>
  <c r="U97" i="5"/>
  <c r="V97" i="5"/>
  <c r="W97" i="5"/>
  <c r="X97" i="5"/>
  <c r="AB97" i="5"/>
  <c r="B98" i="5"/>
  <c r="C98" i="5"/>
  <c r="D98" i="5"/>
  <c r="AB98" i="5" s="1"/>
  <c r="E98" i="5"/>
  <c r="F98" i="5"/>
  <c r="G98" i="5"/>
  <c r="H98" i="5"/>
  <c r="I98" i="5"/>
  <c r="J98" i="5"/>
  <c r="K98" i="5"/>
  <c r="L98" i="5"/>
  <c r="M98" i="5"/>
  <c r="N98" i="5"/>
  <c r="O98" i="5"/>
  <c r="P98" i="5"/>
  <c r="AC98" i="5" s="1"/>
  <c r="Q98" i="5"/>
  <c r="R98" i="5"/>
  <c r="S98" i="5"/>
  <c r="T98" i="5"/>
  <c r="U98" i="5"/>
  <c r="V98" i="5"/>
  <c r="W98" i="5"/>
  <c r="X98" i="5"/>
  <c r="B99" i="5"/>
  <c r="C99" i="5"/>
  <c r="AB99" i="5" s="1"/>
  <c r="D99" i="5"/>
  <c r="E99" i="5"/>
  <c r="F99" i="5"/>
  <c r="G99" i="5"/>
  <c r="H99" i="5"/>
  <c r="I99" i="5"/>
  <c r="J99" i="5"/>
  <c r="K99" i="5"/>
  <c r="L99" i="5"/>
  <c r="M99" i="5"/>
  <c r="N99" i="5"/>
  <c r="O99" i="5"/>
  <c r="AC99" i="5" s="1"/>
  <c r="P99" i="5"/>
  <c r="Q99" i="5"/>
  <c r="R99" i="5"/>
  <c r="S99" i="5"/>
  <c r="T99" i="5"/>
  <c r="U99" i="5"/>
  <c r="V99" i="5"/>
  <c r="W99" i="5"/>
  <c r="X99" i="5"/>
  <c r="B100" i="5"/>
  <c r="AB100" i="5" s="1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AC100" i="5"/>
  <c r="B101" i="5"/>
  <c r="C101" i="5"/>
  <c r="D101" i="5"/>
  <c r="E101" i="5"/>
  <c r="F101" i="5"/>
  <c r="G101" i="5"/>
  <c r="H101" i="5"/>
  <c r="I101" i="5"/>
  <c r="J101" i="5"/>
  <c r="K101" i="5"/>
  <c r="L101" i="5"/>
  <c r="M101" i="5"/>
  <c r="AC101" i="5" s="1"/>
  <c r="N101" i="5"/>
  <c r="O101" i="5"/>
  <c r="P101" i="5"/>
  <c r="Q101" i="5"/>
  <c r="R101" i="5"/>
  <c r="S101" i="5"/>
  <c r="T101" i="5"/>
  <c r="U101" i="5"/>
  <c r="V101" i="5"/>
  <c r="W101" i="5"/>
  <c r="X101" i="5"/>
  <c r="AB101" i="5"/>
  <c r="B102" i="5"/>
  <c r="C102" i="5"/>
  <c r="D102" i="5"/>
  <c r="AB102" i="5" s="1"/>
  <c r="E102" i="5"/>
  <c r="F102" i="5"/>
  <c r="G102" i="5"/>
  <c r="H102" i="5"/>
  <c r="I102" i="5"/>
  <c r="J102" i="5"/>
  <c r="K102" i="5"/>
  <c r="L102" i="5"/>
  <c r="M102" i="5"/>
  <c r="N102" i="5"/>
  <c r="O102" i="5"/>
  <c r="P102" i="5"/>
  <c r="AC102" i="5" s="1"/>
  <c r="Q102" i="5"/>
  <c r="R102" i="5"/>
  <c r="S102" i="5"/>
  <c r="T102" i="5"/>
  <c r="U102" i="5"/>
  <c r="V102" i="5"/>
  <c r="W102" i="5"/>
  <c r="X102" i="5"/>
  <c r="B103" i="5"/>
  <c r="C103" i="5"/>
  <c r="AB103" i="5" s="1"/>
  <c r="D103" i="5"/>
  <c r="E103" i="5"/>
  <c r="F103" i="5"/>
  <c r="G103" i="5"/>
  <c r="H103" i="5"/>
  <c r="I103" i="5"/>
  <c r="J103" i="5"/>
  <c r="K103" i="5"/>
  <c r="L103" i="5"/>
  <c r="M103" i="5"/>
  <c r="N103" i="5"/>
  <c r="O103" i="5"/>
  <c r="AC103" i="5" s="1"/>
  <c r="P103" i="5"/>
  <c r="Q103" i="5"/>
  <c r="R103" i="5"/>
  <c r="S103" i="5"/>
  <c r="T103" i="5"/>
  <c r="U103" i="5"/>
  <c r="V103" i="5"/>
  <c r="W103" i="5"/>
  <c r="X103" i="5"/>
  <c r="B104" i="5"/>
  <c r="AB104" i="5" s="1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AC104" i="5"/>
  <c r="B105" i="5"/>
  <c r="C105" i="5"/>
  <c r="D105" i="5"/>
  <c r="E105" i="5"/>
  <c r="F105" i="5"/>
  <c r="G105" i="5"/>
  <c r="H105" i="5"/>
  <c r="I105" i="5"/>
  <c r="J105" i="5"/>
  <c r="K105" i="5"/>
  <c r="L105" i="5"/>
  <c r="M105" i="5"/>
  <c r="AC105" i="5" s="1"/>
  <c r="N105" i="5"/>
  <c r="O105" i="5"/>
  <c r="P105" i="5"/>
  <c r="Q105" i="5"/>
  <c r="R105" i="5"/>
  <c r="S105" i="5"/>
  <c r="T105" i="5"/>
  <c r="U105" i="5"/>
  <c r="V105" i="5"/>
  <c r="W105" i="5"/>
  <c r="X105" i="5"/>
  <c r="AB105" i="5"/>
  <c r="B106" i="5"/>
  <c r="C106" i="5"/>
  <c r="D106" i="5"/>
  <c r="AB106" i="5" s="1"/>
  <c r="E106" i="5"/>
  <c r="F106" i="5"/>
  <c r="G106" i="5"/>
  <c r="H106" i="5"/>
  <c r="I106" i="5"/>
  <c r="J106" i="5"/>
  <c r="K106" i="5"/>
  <c r="L106" i="5"/>
  <c r="M106" i="5"/>
  <c r="N106" i="5"/>
  <c r="O106" i="5"/>
  <c r="P106" i="5"/>
  <c r="AC106" i="5" s="1"/>
  <c r="Q106" i="5"/>
  <c r="R106" i="5"/>
  <c r="S106" i="5"/>
  <c r="T106" i="5"/>
  <c r="U106" i="5"/>
  <c r="V106" i="5"/>
  <c r="W106" i="5"/>
  <c r="X106" i="5"/>
  <c r="B107" i="5"/>
  <c r="C107" i="5"/>
  <c r="AB107" i="5" s="1"/>
  <c r="D107" i="5"/>
  <c r="E107" i="5"/>
  <c r="F107" i="5"/>
  <c r="G107" i="5"/>
  <c r="H107" i="5"/>
  <c r="I107" i="5"/>
  <c r="J107" i="5"/>
  <c r="K107" i="5"/>
  <c r="L107" i="5"/>
  <c r="M107" i="5"/>
  <c r="N107" i="5"/>
  <c r="O107" i="5"/>
  <c r="AC107" i="5" s="1"/>
  <c r="P107" i="5"/>
  <c r="Q107" i="5"/>
  <c r="R107" i="5"/>
  <c r="S107" i="5"/>
  <c r="T107" i="5"/>
  <c r="U107" i="5"/>
  <c r="V107" i="5"/>
  <c r="W107" i="5"/>
  <c r="X107" i="5"/>
  <c r="B108" i="5"/>
  <c r="AB108" i="5" s="1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AC108" i="5"/>
  <c r="B109" i="5"/>
  <c r="C109" i="5"/>
  <c r="D109" i="5"/>
  <c r="E109" i="5"/>
  <c r="F109" i="5"/>
  <c r="G109" i="5"/>
  <c r="H109" i="5"/>
  <c r="I109" i="5"/>
  <c r="J109" i="5"/>
  <c r="K109" i="5"/>
  <c r="L109" i="5"/>
  <c r="M109" i="5"/>
  <c r="AC109" i="5" s="1"/>
  <c r="N109" i="5"/>
  <c r="O109" i="5"/>
  <c r="P109" i="5"/>
  <c r="Q109" i="5"/>
  <c r="R109" i="5"/>
  <c r="S109" i="5"/>
  <c r="T109" i="5"/>
  <c r="U109" i="5"/>
  <c r="V109" i="5"/>
  <c r="W109" i="5"/>
  <c r="X109" i="5"/>
  <c r="AB109" i="5"/>
  <c r="B110" i="5"/>
  <c r="C110" i="5"/>
  <c r="D110" i="5"/>
  <c r="AB110" i="5" s="1"/>
  <c r="E110" i="5"/>
  <c r="F110" i="5"/>
  <c r="G110" i="5"/>
  <c r="H110" i="5"/>
  <c r="I110" i="5"/>
  <c r="J110" i="5"/>
  <c r="K110" i="5"/>
  <c r="L110" i="5"/>
  <c r="M110" i="5"/>
  <c r="N110" i="5"/>
  <c r="O110" i="5"/>
  <c r="P110" i="5"/>
  <c r="AC110" i="5" s="1"/>
  <c r="Q110" i="5"/>
  <c r="R110" i="5"/>
  <c r="S110" i="5"/>
  <c r="T110" i="5"/>
  <c r="U110" i="5"/>
  <c r="V110" i="5"/>
  <c r="W110" i="5"/>
  <c r="X110" i="5"/>
  <c r="B111" i="5"/>
  <c r="C111" i="5"/>
  <c r="AB111" i="5" s="1"/>
  <c r="D111" i="5"/>
  <c r="E111" i="5"/>
  <c r="F111" i="5"/>
  <c r="G111" i="5"/>
  <c r="H111" i="5"/>
  <c r="I111" i="5"/>
  <c r="J111" i="5"/>
  <c r="K111" i="5"/>
  <c r="L111" i="5"/>
  <c r="M111" i="5"/>
  <c r="N111" i="5"/>
  <c r="O111" i="5"/>
  <c r="AC111" i="5" s="1"/>
  <c r="P111" i="5"/>
  <c r="Q111" i="5"/>
  <c r="R111" i="5"/>
  <c r="S111" i="5"/>
  <c r="T111" i="5"/>
  <c r="U111" i="5"/>
  <c r="V111" i="5"/>
  <c r="W111" i="5"/>
  <c r="X111" i="5"/>
  <c r="B112" i="5"/>
  <c r="AB112" i="5" s="1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AC112" i="5"/>
  <c r="B113" i="5"/>
  <c r="C113" i="5"/>
  <c r="D113" i="5"/>
  <c r="E113" i="5"/>
  <c r="F113" i="5"/>
  <c r="G113" i="5"/>
  <c r="H113" i="5"/>
  <c r="I113" i="5"/>
  <c r="J113" i="5"/>
  <c r="K113" i="5"/>
  <c r="L113" i="5"/>
  <c r="M113" i="5"/>
  <c r="AC113" i="5" s="1"/>
  <c r="N113" i="5"/>
  <c r="O113" i="5"/>
  <c r="P113" i="5"/>
  <c r="Q113" i="5"/>
  <c r="R113" i="5"/>
  <c r="S113" i="5"/>
  <c r="T113" i="5"/>
  <c r="U113" i="5"/>
  <c r="V113" i="5"/>
  <c r="W113" i="5"/>
  <c r="X113" i="5"/>
  <c r="AB113" i="5"/>
  <c r="B114" i="5"/>
  <c r="C114" i="5"/>
  <c r="D114" i="5"/>
  <c r="AB114" i="5" s="1"/>
  <c r="E114" i="5"/>
  <c r="F114" i="5"/>
  <c r="G114" i="5"/>
  <c r="H114" i="5"/>
  <c r="I114" i="5"/>
  <c r="J114" i="5"/>
  <c r="K114" i="5"/>
  <c r="L114" i="5"/>
  <c r="M114" i="5"/>
  <c r="N114" i="5"/>
  <c r="O114" i="5"/>
  <c r="P114" i="5"/>
  <c r="AC114" i="5" s="1"/>
  <c r="Q114" i="5"/>
  <c r="R114" i="5"/>
  <c r="S114" i="5"/>
  <c r="T114" i="5"/>
  <c r="U114" i="5"/>
  <c r="V114" i="5"/>
  <c r="W114" i="5"/>
  <c r="X114" i="5"/>
  <c r="B115" i="5"/>
  <c r="C115" i="5"/>
  <c r="AB115" i="5" s="1"/>
  <c r="D115" i="5"/>
  <c r="E115" i="5"/>
  <c r="F115" i="5"/>
  <c r="G115" i="5"/>
  <c r="H115" i="5"/>
  <c r="I115" i="5"/>
  <c r="J115" i="5"/>
  <c r="K115" i="5"/>
  <c r="L115" i="5"/>
  <c r="M115" i="5"/>
  <c r="N115" i="5"/>
  <c r="O115" i="5"/>
  <c r="AC115" i="5" s="1"/>
  <c r="P115" i="5"/>
  <c r="Q115" i="5"/>
  <c r="R115" i="5"/>
  <c r="S115" i="5"/>
  <c r="T115" i="5"/>
  <c r="U115" i="5"/>
  <c r="V115" i="5"/>
  <c r="W115" i="5"/>
  <c r="X115" i="5"/>
  <c r="B116" i="5"/>
  <c r="AB116" i="5" s="1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AC116" i="5"/>
  <c r="B117" i="5"/>
  <c r="C117" i="5"/>
  <c r="D117" i="5"/>
  <c r="E117" i="5"/>
  <c r="F117" i="5"/>
  <c r="G117" i="5"/>
  <c r="H117" i="5"/>
  <c r="I117" i="5"/>
  <c r="J117" i="5"/>
  <c r="K117" i="5"/>
  <c r="L117" i="5"/>
  <c r="M117" i="5"/>
  <c r="AC117" i="5" s="1"/>
  <c r="N117" i="5"/>
  <c r="O117" i="5"/>
  <c r="P117" i="5"/>
  <c r="Q117" i="5"/>
  <c r="R117" i="5"/>
  <c r="S117" i="5"/>
  <c r="T117" i="5"/>
  <c r="U117" i="5"/>
  <c r="V117" i="5"/>
  <c r="W117" i="5"/>
  <c r="X117" i="5"/>
  <c r="AB117" i="5"/>
  <c r="B118" i="5"/>
  <c r="C118" i="5"/>
  <c r="D118" i="5"/>
  <c r="AB118" i="5" s="1"/>
  <c r="E118" i="5"/>
  <c r="F118" i="5"/>
  <c r="G118" i="5"/>
  <c r="H118" i="5"/>
  <c r="I118" i="5"/>
  <c r="J118" i="5"/>
  <c r="K118" i="5"/>
  <c r="L118" i="5"/>
  <c r="M118" i="5"/>
  <c r="N118" i="5"/>
  <c r="O118" i="5"/>
  <c r="P118" i="5"/>
  <c r="AC118" i="5" s="1"/>
  <c r="Q118" i="5"/>
  <c r="R118" i="5"/>
  <c r="S118" i="5"/>
  <c r="T118" i="5"/>
  <c r="U118" i="5"/>
  <c r="V118" i="5"/>
  <c r="W118" i="5"/>
  <c r="X118" i="5"/>
  <c r="B119" i="5"/>
  <c r="C119" i="5"/>
  <c r="AB119" i="5" s="1"/>
  <c r="D119" i="5"/>
  <c r="E119" i="5"/>
  <c r="F119" i="5"/>
  <c r="G119" i="5"/>
  <c r="H119" i="5"/>
  <c r="I119" i="5"/>
  <c r="J119" i="5"/>
  <c r="K119" i="5"/>
  <c r="L119" i="5"/>
  <c r="M119" i="5"/>
  <c r="N119" i="5"/>
  <c r="O119" i="5"/>
  <c r="AC119" i="5" s="1"/>
  <c r="P119" i="5"/>
  <c r="Q119" i="5"/>
  <c r="R119" i="5"/>
  <c r="S119" i="5"/>
  <c r="T119" i="5"/>
  <c r="U119" i="5"/>
  <c r="V119" i="5"/>
  <c r="W119" i="5"/>
  <c r="X119" i="5"/>
  <c r="B120" i="5"/>
  <c r="AB120" i="5" s="1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AC120" i="5"/>
  <c r="B121" i="5"/>
  <c r="C121" i="5"/>
  <c r="D121" i="5"/>
  <c r="E121" i="5"/>
  <c r="F121" i="5"/>
  <c r="G121" i="5"/>
  <c r="H121" i="5"/>
  <c r="I121" i="5"/>
  <c r="J121" i="5"/>
  <c r="K121" i="5"/>
  <c r="L121" i="5"/>
  <c r="M121" i="5"/>
  <c r="AC121" i="5" s="1"/>
  <c r="N121" i="5"/>
  <c r="O121" i="5"/>
  <c r="P121" i="5"/>
  <c r="Q121" i="5"/>
  <c r="R121" i="5"/>
  <c r="S121" i="5"/>
  <c r="T121" i="5"/>
  <c r="U121" i="5"/>
  <c r="V121" i="5"/>
  <c r="W121" i="5"/>
  <c r="X121" i="5"/>
  <c r="AB121" i="5"/>
  <c r="B122" i="5"/>
  <c r="C122" i="5"/>
  <c r="D122" i="5"/>
  <c r="AB122" i="5" s="1"/>
  <c r="E122" i="5"/>
  <c r="F122" i="5"/>
  <c r="G122" i="5"/>
  <c r="H122" i="5"/>
  <c r="I122" i="5"/>
  <c r="J122" i="5"/>
  <c r="K122" i="5"/>
  <c r="L122" i="5"/>
  <c r="M122" i="5"/>
  <c r="N122" i="5"/>
  <c r="O122" i="5"/>
  <c r="P122" i="5"/>
  <c r="AC122" i="5" s="1"/>
  <c r="Q122" i="5"/>
  <c r="R122" i="5"/>
  <c r="S122" i="5"/>
  <c r="T122" i="5"/>
  <c r="U122" i="5"/>
  <c r="V122" i="5"/>
  <c r="W122" i="5"/>
  <c r="X122" i="5"/>
  <c r="B123" i="5"/>
  <c r="C123" i="5"/>
  <c r="AB123" i="5" s="1"/>
  <c r="D123" i="5"/>
  <c r="E123" i="5"/>
  <c r="F123" i="5"/>
  <c r="G123" i="5"/>
  <c r="H123" i="5"/>
  <c r="I123" i="5"/>
  <c r="J123" i="5"/>
  <c r="K123" i="5"/>
  <c r="L123" i="5"/>
  <c r="M123" i="5"/>
  <c r="N123" i="5"/>
  <c r="O123" i="5"/>
  <c r="AC123" i="5" s="1"/>
  <c r="P123" i="5"/>
  <c r="Q123" i="5"/>
  <c r="R123" i="5"/>
  <c r="S123" i="5"/>
  <c r="T123" i="5"/>
  <c r="U123" i="5"/>
  <c r="V123" i="5"/>
  <c r="W123" i="5"/>
  <c r="X123" i="5"/>
  <c r="B124" i="5"/>
  <c r="AB124" i="5" s="1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AC124" i="5"/>
  <c r="B125" i="5"/>
  <c r="C125" i="5"/>
  <c r="D125" i="5"/>
  <c r="E125" i="5"/>
  <c r="F125" i="5"/>
  <c r="G125" i="5"/>
  <c r="H125" i="5"/>
  <c r="I125" i="5"/>
  <c r="J125" i="5"/>
  <c r="K125" i="5"/>
  <c r="L125" i="5"/>
  <c r="M125" i="5"/>
  <c r="AC125" i="5" s="1"/>
  <c r="N125" i="5"/>
  <c r="O125" i="5"/>
  <c r="P125" i="5"/>
  <c r="Q125" i="5"/>
  <c r="R125" i="5"/>
  <c r="S125" i="5"/>
  <c r="T125" i="5"/>
  <c r="U125" i="5"/>
  <c r="V125" i="5"/>
  <c r="W125" i="5"/>
  <c r="X125" i="5"/>
  <c r="AB125" i="5"/>
  <c r="B126" i="5"/>
  <c r="C126" i="5"/>
  <c r="D126" i="5"/>
  <c r="AB126" i="5" s="1"/>
  <c r="E126" i="5"/>
  <c r="F126" i="5"/>
  <c r="G126" i="5"/>
  <c r="H126" i="5"/>
  <c r="I126" i="5"/>
  <c r="J126" i="5"/>
  <c r="K126" i="5"/>
  <c r="L126" i="5"/>
  <c r="M126" i="5"/>
  <c r="N126" i="5"/>
  <c r="O126" i="5"/>
  <c r="P126" i="5"/>
  <c r="AC126" i="5" s="1"/>
  <c r="Q126" i="5"/>
  <c r="R126" i="5"/>
  <c r="S126" i="5"/>
  <c r="T126" i="5"/>
  <c r="U126" i="5"/>
  <c r="V126" i="5"/>
  <c r="W126" i="5"/>
  <c r="X126" i="5"/>
  <c r="B127" i="5"/>
  <c r="C127" i="5"/>
  <c r="AB127" i="5" s="1"/>
  <c r="D127" i="5"/>
  <c r="E127" i="5"/>
  <c r="F127" i="5"/>
  <c r="G127" i="5"/>
  <c r="H127" i="5"/>
  <c r="I127" i="5"/>
  <c r="J127" i="5"/>
  <c r="K127" i="5"/>
  <c r="L127" i="5"/>
  <c r="M127" i="5"/>
  <c r="N127" i="5"/>
  <c r="O127" i="5"/>
  <c r="AC127" i="5" s="1"/>
  <c r="P127" i="5"/>
  <c r="Q127" i="5"/>
  <c r="R127" i="5"/>
  <c r="S127" i="5"/>
  <c r="T127" i="5"/>
  <c r="U127" i="5"/>
  <c r="V127" i="5"/>
  <c r="W127" i="5"/>
  <c r="X127" i="5"/>
  <c r="B128" i="5"/>
  <c r="AB128" i="5" s="1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AC128" i="5"/>
  <c r="B129" i="5"/>
  <c r="C129" i="5"/>
  <c r="D129" i="5"/>
  <c r="E129" i="5"/>
  <c r="F129" i="5"/>
  <c r="G129" i="5"/>
  <c r="H129" i="5"/>
  <c r="I129" i="5"/>
  <c r="J129" i="5"/>
  <c r="K129" i="5"/>
  <c r="L129" i="5"/>
  <c r="M129" i="5"/>
  <c r="AC129" i="5" s="1"/>
  <c r="N129" i="5"/>
  <c r="O129" i="5"/>
  <c r="P129" i="5"/>
  <c r="Q129" i="5"/>
  <c r="R129" i="5"/>
  <c r="S129" i="5"/>
  <c r="T129" i="5"/>
  <c r="U129" i="5"/>
  <c r="V129" i="5"/>
  <c r="W129" i="5"/>
  <c r="X129" i="5"/>
  <c r="AB129" i="5"/>
  <c r="B130" i="5"/>
  <c r="C130" i="5"/>
  <c r="D130" i="5"/>
  <c r="AB130" i="5" s="1"/>
  <c r="E130" i="5"/>
  <c r="F130" i="5"/>
  <c r="G130" i="5"/>
  <c r="H130" i="5"/>
  <c r="I130" i="5"/>
  <c r="J130" i="5"/>
  <c r="K130" i="5"/>
  <c r="L130" i="5"/>
  <c r="M130" i="5"/>
  <c r="N130" i="5"/>
  <c r="O130" i="5"/>
  <c r="P130" i="5"/>
  <c r="AC130" i="5" s="1"/>
  <c r="Q130" i="5"/>
  <c r="R130" i="5"/>
  <c r="S130" i="5"/>
  <c r="T130" i="5"/>
  <c r="U130" i="5"/>
  <c r="V130" i="5"/>
  <c r="W130" i="5"/>
  <c r="X130" i="5"/>
  <c r="B131" i="5"/>
  <c r="C131" i="5"/>
  <c r="AB131" i="5" s="1"/>
  <c r="D131" i="5"/>
  <c r="E131" i="5"/>
  <c r="F131" i="5"/>
  <c r="G131" i="5"/>
  <c r="H131" i="5"/>
  <c r="I131" i="5"/>
  <c r="J131" i="5"/>
  <c r="K131" i="5"/>
  <c r="L131" i="5"/>
  <c r="M131" i="5"/>
  <c r="N131" i="5"/>
  <c r="O131" i="5"/>
  <c r="AC131" i="5" s="1"/>
  <c r="P131" i="5"/>
  <c r="Q131" i="5"/>
  <c r="R131" i="5"/>
  <c r="S131" i="5"/>
  <c r="T131" i="5"/>
  <c r="U131" i="5"/>
  <c r="V131" i="5"/>
  <c r="W131" i="5"/>
  <c r="X131" i="5"/>
  <c r="B132" i="5"/>
  <c r="AB132" i="5" s="1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AC132" i="5"/>
  <c r="B133" i="5"/>
  <c r="C133" i="5"/>
  <c r="D133" i="5"/>
  <c r="E133" i="5"/>
  <c r="F133" i="5"/>
  <c r="G133" i="5"/>
  <c r="H133" i="5"/>
  <c r="I133" i="5"/>
  <c r="J133" i="5"/>
  <c r="K133" i="5"/>
  <c r="L133" i="5"/>
  <c r="M133" i="5"/>
  <c r="AC133" i="5" s="1"/>
  <c r="N133" i="5"/>
  <c r="O133" i="5"/>
  <c r="P133" i="5"/>
  <c r="Q133" i="5"/>
  <c r="R133" i="5"/>
  <c r="S133" i="5"/>
  <c r="T133" i="5"/>
  <c r="U133" i="5"/>
  <c r="V133" i="5"/>
  <c r="W133" i="5"/>
  <c r="X133" i="5"/>
  <c r="AB133" i="5"/>
  <c r="B134" i="5"/>
  <c r="C134" i="5"/>
  <c r="D134" i="5"/>
  <c r="AB134" i="5" s="1"/>
  <c r="E134" i="5"/>
  <c r="F134" i="5"/>
  <c r="G134" i="5"/>
  <c r="H134" i="5"/>
  <c r="I134" i="5"/>
  <c r="J134" i="5"/>
  <c r="K134" i="5"/>
  <c r="L134" i="5"/>
  <c r="M134" i="5"/>
  <c r="N134" i="5"/>
  <c r="O134" i="5"/>
  <c r="P134" i="5"/>
  <c r="AC134" i="5" s="1"/>
  <c r="Q134" i="5"/>
  <c r="R134" i="5"/>
  <c r="S134" i="5"/>
  <c r="T134" i="5"/>
  <c r="U134" i="5"/>
  <c r="V134" i="5"/>
  <c r="W134" i="5"/>
  <c r="X134" i="5"/>
  <c r="B135" i="5"/>
  <c r="C135" i="5"/>
  <c r="AB135" i="5" s="1"/>
  <c r="D135" i="5"/>
  <c r="E135" i="5"/>
  <c r="F135" i="5"/>
  <c r="G135" i="5"/>
  <c r="H135" i="5"/>
  <c r="I135" i="5"/>
  <c r="J135" i="5"/>
  <c r="K135" i="5"/>
  <c r="L135" i="5"/>
  <c r="M135" i="5"/>
  <c r="N135" i="5"/>
  <c r="O135" i="5"/>
  <c r="AC135" i="5" s="1"/>
  <c r="P135" i="5"/>
  <c r="Q135" i="5"/>
  <c r="R135" i="5"/>
  <c r="S135" i="5"/>
  <c r="T135" i="5"/>
  <c r="U135" i="5"/>
  <c r="V135" i="5"/>
  <c r="W135" i="5"/>
  <c r="X135" i="5"/>
  <c r="B136" i="5"/>
  <c r="AB136" i="5" s="1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AC136" i="5"/>
  <c r="B137" i="5"/>
  <c r="C137" i="5"/>
  <c r="D137" i="5"/>
  <c r="E137" i="5"/>
  <c r="F137" i="5"/>
  <c r="G137" i="5"/>
  <c r="H137" i="5"/>
  <c r="I137" i="5"/>
  <c r="J137" i="5"/>
  <c r="K137" i="5"/>
  <c r="L137" i="5"/>
  <c r="M137" i="5"/>
  <c r="AC137" i="5" s="1"/>
  <c r="N137" i="5"/>
  <c r="O137" i="5"/>
  <c r="P137" i="5"/>
  <c r="Q137" i="5"/>
  <c r="R137" i="5"/>
  <c r="S137" i="5"/>
  <c r="T137" i="5"/>
  <c r="U137" i="5"/>
  <c r="V137" i="5"/>
  <c r="W137" i="5"/>
  <c r="X137" i="5"/>
  <c r="AB137" i="5"/>
  <c r="B138" i="5"/>
  <c r="C138" i="5"/>
  <c r="D138" i="5"/>
  <c r="AB138" i="5" s="1"/>
  <c r="E138" i="5"/>
  <c r="F138" i="5"/>
  <c r="G138" i="5"/>
  <c r="H138" i="5"/>
  <c r="I138" i="5"/>
  <c r="J138" i="5"/>
  <c r="K138" i="5"/>
  <c r="L138" i="5"/>
  <c r="M138" i="5"/>
  <c r="N138" i="5"/>
  <c r="O138" i="5"/>
  <c r="P138" i="5"/>
  <c r="AC138" i="5" s="1"/>
  <c r="Q138" i="5"/>
  <c r="R138" i="5"/>
  <c r="S138" i="5"/>
  <c r="T138" i="5"/>
  <c r="U138" i="5"/>
  <c r="V138" i="5"/>
  <c r="W138" i="5"/>
  <c r="X138" i="5"/>
  <c r="B139" i="5"/>
  <c r="C139" i="5"/>
  <c r="AB139" i="5" s="1"/>
  <c r="D139" i="5"/>
  <c r="E139" i="5"/>
  <c r="F139" i="5"/>
  <c r="G139" i="5"/>
  <c r="H139" i="5"/>
  <c r="I139" i="5"/>
  <c r="J139" i="5"/>
  <c r="K139" i="5"/>
  <c r="L139" i="5"/>
  <c r="M139" i="5"/>
  <c r="N139" i="5"/>
  <c r="O139" i="5"/>
  <c r="AC139" i="5" s="1"/>
  <c r="P139" i="5"/>
  <c r="Q139" i="5"/>
  <c r="R139" i="5"/>
  <c r="S139" i="5"/>
  <c r="T139" i="5"/>
  <c r="U139" i="5"/>
  <c r="V139" i="5"/>
  <c r="W139" i="5"/>
  <c r="X139" i="5"/>
  <c r="B140" i="5"/>
  <c r="AB140" i="5" s="1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AC140" i="5"/>
  <c r="B141" i="5"/>
  <c r="C141" i="5"/>
  <c r="D141" i="5"/>
  <c r="E141" i="5"/>
  <c r="F141" i="5"/>
  <c r="G141" i="5"/>
  <c r="H141" i="5"/>
  <c r="I141" i="5"/>
  <c r="J141" i="5"/>
  <c r="K141" i="5"/>
  <c r="L141" i="5"/>
  <c r="M141" i="5"/>
  <c r="AC141" i="5" s="1"/>
  <c r="N141" i="5"/>
  <c r="O141" i="5"/>
  <c r="P141" i="5"/>
  <c r="Q141" i="5"/>
  <c r="R141" i="5"/>
  <c r="S141" i="5"/>
  <c r="T141" i="5"/>
  <c r="U141" i="5"/>
  <c r="V141" i="5"/>
  <c r="W141" i="5"/>
  <c r="X141" i="5"/>
  <c r="AB141" i="5"/>
  <c r="B142" i="5"/>
  <c r="C142" i="5"/>
  <c r="D142" i="5"/>
  <c r="AB142" i="5" s="1"/>
  <c r="E142" i="5"/>
  <c r="F142" i="5"/>
  <c r="G142" i="5"/>
  <c r="H142" i="5"/>
  <c r="I142" i="5"/>
  <c r="J142" i="5"/>
  <c r="K142" i="5"/>
  <c r="L142" i="5"/>
  <c r="M142" i="5"/>
  <c r="N142" i="5"/>
  <c r="O142" i="5"/>
  <c r="P142" i="5"/>
  <c r="AC142" i="5" s="1"/>
  <c r="Q142" i="5"/>
  <c r="R142" i="5"/>
  <c r="S142" i="5"/>
  <c r="T142" i="5"/>
  <c r="U142" i="5"/>
  <c r="V142" i="5"/>
  <c r="W142" i="5"/>
  <c r="X142" i="5"/>
  <c r="B143" i="5"/>
  <c r="C143" i="5"/>
  <c r="AB143" i="5" s="1"/>
  <c r="D143" i="5"/>
  <c r="E143" i="5"/>
  <c r="F143" i="5"/>
  <c r="G143" i="5"/>
  <c r="H143" i="5"/>
  <c r="I143" i="5"/>
  <c r="J143" i="5"/>
  <c r="K143" i="5"/>
  <c r="L143" i="5"/>
  <c r="M143" i="5"/>
  <c r="N143" i="5"/>
  <c r="O143" i="5"/>
  <c r="AC143" i="5" s="1"/>
  <c r="P143" i="5"/>
  <c r="Q143" i="5"/>
  <c r="R143" i="5"/>
  <c r="S143" i="5"/>
  <c r="T143" i="5"/>
  <c r="U143" i="5"/>
  <c r="V143" i="5"/>
  <c r="W143" i="5"/>
  <c r="X143" i="5"/>
  <c r="B144" i="5"/>
  <c r="AB144" i="5" s="1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AC144" i="5"/>
  <c r="B145" i="5"/>
  <c r="C145" i="5"/>
  <c r="D145" i="5"/>
  <c r="E145" i="5"/>
  <c r="F145" i="5"/>
  <c r="G145" i="5"/>
  <c r="H145" i="5"/>
  <c r="I145" i="5"/>
  <c r="J145" i="5"/>
  <c r="K145" i="5"/>
  <c r="L145" i="5"/>
  <c r="M145" i="5"/>
  <c r="AC145" i="5" s="1"/>
  <c r="N145" i="5"/>
  <c r="O145" i="5"/>
  <c r="P145" i="5"/>
  <c r="Q145" i="5"/>
  <c r="R145" i="5"/>
  <c r="S145" i="5"/>
  <c r="T145" i="5"/>
  <c r="U145" i="5"/>
  <c r="V145" i="5"/>
  <c r="W145" i="5"/>
  <c r="X145" i="5"/>
  <c r="AB145" i="5"/>
  <c r="B146" i="5"/>
  <c r="C146" i="5"/>
  <c r="D146" i="5"/>
  <c r="AB146" i="5" s="1"/>
  <c r="E146" i="5"/>
  <c r="F146" i="5"/>
  <c r="G146" i="5"/>
  <c r="H146" i="5"/>
  <c r="I146" i="5"/>
  <c r="J146" i="5"/>
  <c r="K146" i="5"/>
  <c r="L146" i="5"/>
  <c r="M146" i="5"/>
  <c r="N146" i="5"/>
  <c r="O146" i="5"/>
  <c r="P146" i="5"/>
  <c r="AC146" i="5" s="1"/>
  <c r="Q146" i="5"/>
  <c r="R146" i="5"/>
  <c r="S146" i="5"/>
  <c r="T146" i="5"/>
  <c r="U146" i="5"/>
  <c r="V146" i="5"/>
  <c r="W146" i="5"/>
  <c r="X146" i="5"/>
  <c r="B147" i="5"/>
  <c r="C147" i="5"/>
  <c r="AB147" i="5" s="1"/>
  <c r="D147" i="5"/>
  <c r="E147" i="5"/>
  <c r="F147" i="5"/>
  <c r="G147" i="5"/>
  <c r="H147" i="5"/>
  <c r="I147" i="5"/>
  <c r="J147" i="5"/>
  <c r="K147" i="5"/>
  <c r="L147" i="5"/>
  <c r="M147" i="5"/>
  <c r="N147" i="5"/>
  <c r="O147" i="5"/>
  <c r="AC147" i="5" s="1"/>
  <c r="P147" i="5"/>
  <c r="Q147" i="5"/>
  <c r="R147" i="5"/>
  <c r="S147" i="5"/>
  <c r="T147" i="5"/>
  <c r="U147" i="5"/>
  <c r="V147" i="5"/>
  <c r="W147" i="5"/>
  <c r="X147" i="5"/>
  <c r="B148" i="5"/>
  <c r="AB148" i="5" s="1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AC148" i="5"/>
  <c r="B149" i="5"/>
  <c r="C149" i="5"/>
  <c r="D149" i="5"/>
  <c r="E149" i="5"/>
  <c r="F149" i="5"/>
  <c r="G149" i="5"/>
  <c r="H149" i="5"/>
  <c r="I149" i="5"/>
  <c r="J149" i="5"/>
  <c r="K149" i="5"/>
  <c r="L149" i="5"/>
  <c r="M149" i="5"/>
  <c r="AC149" i="5" s="1"/>
  <c r="N149" i="5"/>
  <c r="O149" i="5"/>
  <c r="P149" i="5"/>
  <c r="Q149" i="5"/>
  <c r="R149" i="5"/>
  <c r="S149" i="5"/>
  <c r="T149" i="5"/>
  <c r="U149" i="5"/>
  <c r="V149" i="5"/>
  <c r="W149" i="5"/>
  <c r="X149" i="5"/>
  <c r="AB149" i="5"/>
  <c r="B150" i="5"/>
  <c r="C150" i="5"/>
  <c r="D150" i="5"/>
  <c r="AB150" i="5" s="1"/>
  <c r="E150" i="5"/>
  <c r="F150" i="5"/>
  <c r="G150" i="5"/>
  <c r="H150" i="5"/>
  <c r="I150" i="5"/>
  <c r="J150" i="5"/>
  <c r="K150" i="5"/>
  <c r="L150" i="5"/>
  <c r="M150" i="5"/>
  <c r="N150" i="5"/>
  <c r="O150" i="5"/>
  <c r="P150" i="5"/>
  <c r="AC150" i="5" s="1"/>
  <c r="Q150" i="5"/>
  <c r="R150" i="5"/>
  <c r="S150" i="5"/>
  <c r="T150" i="5"/>
  <c r="U150" i="5"/>
  <c r="V150" i="5"/>
  <c r="W150" i="5"/>
  <c r="X150" i="5"/>
  <c r="B151" i="5"/>
  <c r="C151" i="5"/>
  <c r="AB151" i="5" s="1"/>
  <c r="D151" i="5"/>
  <c r="E151" i="5"/>
  <c r="F151" i="5"/>
  <c r="G151" i="5"/>
  <c r="H151" i="5"/>
  <c r="I151" i="5"/>
  <c r="J151" i="5"/>
  <c r="K151" i="5"/>
  <c r="L151" i="5"/>
  <c r="M151" i="5"/>
  <c r="N151" i="5"/>
  <c r="O151" i="5"/>
  <c r="AC151" i="5" s="1"/>
  <c r="P151" i="5"/>
  <c r="Q151" i="5"/>
  <c r="R151" i="5"/>
  <c r="S151" i="5"/>
  <c r="T151" i="5"/>
  <c r="U151" i="5"/>
  <c r="V151" i="5"/>
  <c r="W151" i="5"/>
  <c r="X151" i="5"/>
  <c r="B152" i="5"/>
  <c r="AB152" i="5" s="1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AC152" i="5"/>
  <c r="B153" i="5"/>
  <c r="C153" i="5"/>
  <c r="D153" i="5"/>
  <c r="E153" i="5"/>
  <c r="F153" i="5"/>
  <c r="G153" i="5"/>
  <c r="H153" i="5"/>
  <c r="I153" i="5"/>
  <c r="J153" i="5"/>
  <c r="K153" i="5"/>
  <c r="L153" i="5"/>
  <c r="M153" i="5"/>
  <c r="AC153" i="5" s="1"/>
  <c r="N153" i="5"/>
  <c r="O153" i="5"/>
  <c r="P153" i="5"/>
  <c r="Q153" i="5"/>
  <c r="R153" i="5"/>
  <c r="S153" i="5"/>
  <c r="T153" i="5"/>
  <c r="U153" i="5"/>
  <c r="V153" i="5"/>
  <c r="W153" i="5"/>
  <c r="X153" i="5"/>
  <c r="AB153" i="5"/>
  <c r="B154" i="5"/>
  <c r="C154" i="5"/>
  <c r="D154" i="5"/>
  <c r="AB154" i="5" s="1"/>
  <c r="E154" i="5"/>
  <c r="F154" i="5"/>
  <c r="G154" i="5"/>
  <c r="H154" i="5"/>
  <c r="I154" i="5"/>
  <c r="J154" i="5"/>
  <c r="K154" i="5"/>
  <c r="L154" i="5"/>
  <c r="M154" i="5"/>
  <c r="N154" i="5"/>
  <c r="O154" i="5"/>
  <c r="P154" i="5"/>
  <c r="AC154" i="5" s="1"/>
  <c r="Q154" i="5"/>
  <c r="R154" i="5"/>
  <c r="S154" i="5"/>
  <c r="T154" i="5"/>
  <c r="U154" i="5"/>
  <c r="V154" i="5"/>
  <c r="W154" i="5"/>
  <c r="X154" i="5"/>
  <c r="B155" i="5"/>
  <c r="C155" i="5"/>
  <c r="AB155" i="5" s="1"/>
  <c r="D155" i="5"/>
  <c r="E155" i="5"/>
  <c r="F155" i="5"/>
  <c r="G155" i="5"/>
  <c r="H155" i="5"/>
  <c r="I155" i="5"/>
  <c r="J155" i="5"/>
  <c r="K155" i="5"/>
  <c r="L155" i="5"/>
  <c r="M155" i="5"/>
  <c r="N155" i="5"/>
  <c r="O155" i="5"/>
  <c r="AC155" i="5" s="1"/>
  <c r="P155" i="5"/>
  <c r="Q155" i="5"/>
  <c r="R155" i="5"/>
  <c r="S155" i="5"/>
  <c r="T155" i="5"/>
  <c r="U155" i="5"/>
  <c r="V155" i="5"/>
  <c r="W155" i="5"/>
  <c r="X155" i="5"/>
  <c r="B156" i="5"/>
  <c r="AB156" i="5" s="1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AC156" i="5"/>
  <c r="B157" i="5"/>
  <c r="C157" i="5"/>
  <c r="D157" i="5"/>
  <c r="E157" i="5"/>
  <c r="F157" i="5"/>
  <c r="G157" i="5"/>
  <c r="H157" i="5"/>
  <c r="I157" i="5"/>
  <c r="J157" i="5"/>
  <c r="K157" i="5"/>
  <c r="L157" i="5"/>
  <c r="M157" i="5"/>
  <c r="AC157" i="5" s="1"/>
  <c r="N157" i="5"/>
  <c r="O157" i="5"/>
  <c r="P157" i="5"/>
  <c r="Q157" i="5"/>
  <c r="R157" i="5"/>
  <c r="S157" i="5"/>
  <c r="T157" i="5"/>
  <c r="U157" i="5"/>
  <c r="V157" i="5"/>
  <c r="W157" i="5"/>
  <c r="X157" i="5"/>
  <c r="AB157" i="5"/>
  <c r="B158" i="5"/>
  <c r="C158" i="5"/>
  <c r="D158" i="5"/>
  <c r="AB158" i="5" s="1"/>
  <c r="E158" i="5"/>
  <c r="F158" i="5"/>
  <c r="G158" i="5"/>
  <c r="H158" i="5"/>
  <c r="I158" i="5"/>
  <c r="J158" i="5"/>
  <c r="K158" i="5"/>
  <c r="L158" i="5"/>
  <c r="M158" i="5"/>
  <c r="N158" i="5"/>
  <c r="O158" i="5"/>
  <c r="P158" i="5"/>
  <c r="AC158" i="5" s="1"/>
  <c r="Q158" i="5"/>
  <c r="R158" i="5"/>
  <c r="S158" i="5"/>
  <c r="T158" i="5"/>
  <c r="U158" i="5"/>
  <c r="V158" i="5"/>
  <c r="W158" i="5"/>
  <c r="X158" i="5"/>
  <c r="B159" i="5"/>
  <c r="C159" i="5"/>
  <c r="AB159" i="5" s="1"/>
  <c r="D159" i="5"/>
  <c r="E159" i="5"/>
  <c r="F159" i="5"/>
  <c r="G159" i="5"/>
  <c r="H159" i="5"/>
  <c r="I159" i="5"/>
  <c r="J159" i="5"/>
  <c r="K159" i="5"/>
  <c r="L159" i="5"/>
  <c r="M159" i="5"/>
  <c r="N159" i="5"/>
  <c r="O159" i="5"/>
  <c r="AC159" i="5" s="1"/>
  <c r="P159" i="5"/>
  <c r="Q159" i="5"/>
  <c r="R159" i="5"/>
  <c r="S159" i="5"/>
  <c r="T159" i="5"/>
  <c r="U159" i="5"/>
  <c r="V159" i="5"/>
  <c r="W159" i="5"/>
  <c r="X159" i="5"/>
  <c r="B160" i="5"/>
  <c r="AB160" i="5" s="1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AC160" i="5"/>
  <c r="B161" i="5"/>
  <c r="C161" i="5"/>
  <c r="D161" i="5"/>
  <c r="E161" i="5"/>
  <c r="F161" i="5"/>
  <c r="G161" i="5"/>
  <c r="H161" i="5"/>
  <c r="I161" i="5"/>
  <c r="J161" i="5"/>
  <c r="K161" i="5"/>
  <c r="L161" i="5"/>
  <c r="M161" i="5"/>
  <c r="AC161" i="5" s="1"/>
  <c r="N161" i="5"/>
  <c r="O161" i="5"/>
  <c r="P161" i="5"/>
  <c r="Q161" i="5"/>
  <c r="R161" i="5"/>
  <c r="S161" i="5"/>
  <c r="T161" i="5"/>
  <c r="U161" i="5"/>
  <c r="V161" i="5"/>
  <c r="W161" i="5"/>
  <c r="X161" i="5"/>
  <c r="AB161" i="5"/>
  <c r="B162" i="5"/>
  <c r="C162" i="5"/>
  <c r="D162" i="5"/>
  <c r="AB162" i="5" s="1"/>
  <c r="E162" i="5"/>
  <c r="F162" i="5"/>
  <c r="G162" i="5"/>
  <c r="H162" i="5"/>
  <c r="I162" i="5"/>
  <c r="J162" i="5"/>
  <c r="K162" i="5"/>
  <c r="L162" i="5"/>
  <c r="M162" i="5"/>
  <c r="N162" i="5"/>
  <c r="O162" i="5"/>
  <c r="P162" i="5"/>
  <c r="AC162" i="5" s="1"/>
  <c r="Q162" i="5"/>
  <c r="R162" i="5"/>
  <c r="S162" i="5"/>
  <c r="T162" i="5"/>
  <c r="U162" i="5"/>
  <c r="V162" i="5"/>
  <c r="W162" i="5"/>
  <c r="X162" i="5"/>
  <c r="B163" i="5"/>
  <c r="C163" i="5"/>
  <c r="AB163" i="5" s="1"/>
  <c r="D163" i="5"/>
  <c r="E163" i="5"/>
  <c r="F163" i="5"/>
  <c r="G163" i="5"/>
  <c r="H163" i="5"/>
  <c r="I163" i="5"/>
  <c r="J163" i="5"/>
  <c r="K163" i="5"/>
  <c r="L163" i="5"/>
  <c r="M163" i="5"/>
  <c r="N163" i="5"/>
  <c r="O163" i="5"/>
  <c r="AC163" i="5" s="1"/>
  <c r="P163" i="5"/>
  <c r="Q163" i="5"/>
  <c r="R163" i="5"/>
  <c r="S163" i="5"/>
  <c r="T163" i="5"/>
  <c r="U163" i="5"/>
  <c r="V163" i="5"/>
  <c r="W163" i="5"/>
  <c r="X163" i="5"/>
  <c r="B164" i="5"/>
  <c r="AB164" i="5" s="1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AC164" i="5"/>
  <c r="B165" i="5"/>
  <c r="C165" i="5"/>
  <c r="D165" i="5"/>
  <c r="E165" i="5"/>
  <c r="F165" i="5"/>
  <c r="G165" i="5"/>
  <c r="H165" i="5"/>
  <c r="I165" i="5"/>
  <c r="J165" i="5"/>
  <c r="K165" i="5"/>
  <c r="L165" i="5"/>
  <c r="M165" i="5"/>
  <c r="AC165" i="5" s="1"/>
  <c r="N165" i="5"/>
  <c r="O165" i="5"/>
  <c r="P165" i="5"/>
  <c r="Q165" i="5"/>
  <c r="R165" i="5"/>
  <c r="S165" i="5"/>
  <c r="T165" i="5"/>
  <c r="U165" i="5"/>
  <c r="V165" i="5"/>
  <c r="W165" i="5"/>
  <c r="X165" i="5"/>
  <c r="AB165" i="5"/>
  <c r="B166" i="5"/>
  <c r="C166" i="5"/>
  <c r="D166" i="5"/>
  <c r="AB166" i="5" s="1"/>
  <c r="E166" i="5"/>
  <c r="F166" i="5"/>
  <c r="G166" i="5"/>
  <c r="H166" i="5"/>
  <c r="I166" i="5"/>
  <c r="J166" i="5"/>
  <c r="K166" i="5"/>
  <c r="L166" i="5"/>
  <c r="M166" i="5"/>
  <c r="N166" i="5"/>
  <c r="O166" i="5"/>
  <c r="P166" i="5"/>
  <c r="AC166" i="5" s="1"/>
  <c r="Q166" i="5"/>
  <c r="R166" i="5"/>
  <c r="S166" i="5"/>
  <c r="T166" i="5"/>
  <c r="U166" i="5"/>
  <c r="V166" i="5"/>
  <c r="W166" i="5"/>
  <c r="X166" i="5"/>
  <c r="B167" i="5"/>
  <c r="C167" i="5"/>
  <c r="AB167" i="5" s="1"/>
  <c r="D167" i="5"/>
  <c r="E167" i="5"/>
  <c r="F167" i="5"/>
  <c r="G167" i="5"/>
  <c r="H167" i="5"/>
  <c r="I167" i="5"/>
  <c r="J167" i="5"/>
  <c r="K167" i="5"/>
  <c r="L167" i="5"/>
  <c r="M167" i="5"/>
  <c r="N167" i="5"/>
  <c r="O167" i="5"/>
  <c r="AC167" i="5" s="1"/>
  <c r="P167" i="5"/>
  <c r="Q167" i="5"/>
  <c r="R167" i="5"/>
  <c r="S167" i="5"/>
  <c r="T167" i="5"/>
  <c r="U167" i="5"/>
  <c r="V167" i="5"/>
  <c r="W167" i="5"/>
  <c r="X167" i="5"/>
  <c r="B168" i="5"/>
  <c r="AB168" i="5" s="1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AC168" i="5"/>
  <c r="B169" i="5"/>
  <c r="C169" i="5"/>
  <c r="D169" i="5"/>
  <c r="E169" i="5"/>
  <c r="F169" i="5"/>
  <c r="G169" i="5"/>
  <c r="H169" i="5"/>
  <c r="I169" i="5"/>
  <c r="J169" i="5"/>
  <c r="K169" i="5"/>
  <c r="L169" i="5"/>
  <c r="M169" i="5"/>
  <c r="AC169" i="5" s="1"/>
  <c r="N169" i="5"/>
  <c r="O169" i="5"/>
  <c r="P169" i="5"/>
  <c r="Q169" i="5"/>
  <c r="R169" i="5"/>
  <c r="S169" i="5"/>
  <c r="T169" i="5"/>
  <c r="U169" i="5"/>
  <c r="V169" i="5"/>
  <c r="W169" i="5"/>
  <c r="X169" i="5"/>
  <c r="AB169" i="5"/>
  <c r="B170" i="5"/>
  <c r="C170" i="5"/>
  <c r="D170" i="5"/>
  <c r="AB170" i="5" s="1"/>
  <c r="E170" i="5"/>
  <c r="F170" i="5"/>
  <c r="G170" i="5"/>
  <c r="H170" i="5"/>
  <c r="I170" i="5"/>
  <c r="J170" i="5"/>
  <c r="K170" i="5"/>
  <c r="L170" i="5"/>
  <c r="M170" i="5"/>
  <c r="N170" i="5"/>
  <c r="O170" i="5"/>
  <c r="P170" i="5"/>
  <c r="AC170" i="5" s="1"/>
  <c r="Q170" i="5"/>
  <c r="R170" i="5"/>
  <c r="S170" i="5"/>
  <c r="T170" i="5"/>
  <c r="U170" i="5"/>
  <c r="V170" i="5"/>
  <c r="W170" i="5"/>
  <c r="X170" i="5"/>
  <c r="B171" i="5"/>
  <c r="C171" i="5"/>
  <c r="AB171" i="5" s="1"/>
  <c r="D171" i="5"/>
  <c r="E171" i="5"/>
  <c r="F171" i="5"/>
  <c r="G171" i="5"/>
  <c r="H171" i="5"/>
  <c r="I171" i="5"/>
  <c r="J171" i="5"/>
  <c r="K171" i="5"/>
  <c r="L171" i="5"/>
  <c r="M171" i="5"/>
  <c r="N171" i="5"/>
  <c r="O171" i="5"/>
  <c r="AC171" i="5" s="1"/>
  <c r="P171" i="5"/>
  <c r="Q171" i="5"/>
  <c r="R171" i="5"/>
  <c r="S171" i="5"/>
  <c r="T171" i="5"/>
  <c r="U171" i="5"/>
  <c r="V171" i="5"/>
  <c r="W171" i="5"/>
  <c r="X171" i="5"/>
  <c r="B172" i="5"/>
  <c r="AB172" i="5" s="1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AC172" i="5"/>
  <c r="B173" i="5"/>
  <c r="C173" i="5"/>
  <c r="D173" i="5"/>
  <c r="E173" i="5"/>
  <c r="F173" i="5"/>
  <c r="G173" i="5"/>
  <c r="H173" i="5"/>
  <c r="I173" i="5"/>
  <c r="J173" i="5"/>
  <c r="K173" i="5"/>
  <c r="L173" i="5"/>
  <c r="M173" i="5"/>
  <c r="AC173" i="5" s="1"/>
  <c r="N173" i="5"/>
  <c r="O173" i="5"/>
  <c r="P173" i="5"/>
  <c r="Q173" i="5"/>
  <c r="R173" i="5"/>
  <c r="S173" i="5"/>
  <c r="T173" i="5"/>
  <c r="U173" i="5"/>
  <c r="V173" i="5"/>
  <c r="W173" i="5"/>
  <c r="X173" i="5"/>
  <c r="AB173" i="5"/>
  <c r="B174" i="5"/>
  <c r="C174" i="5"/>
  <c r="D174" i="5"/>
  <c r="AB174" i="5" s="1"/>
  <c r="E174" i="5"/>
  <c r="F174" i="5"/>
  <c r="G174" i="5"/>
  <c r="H174" i="5"/>
  <c r="I174" i="5"/>
  <c r="J174" i="5"/>
  <c r="K174" i="5"/>
  <c r="L174" i="5"/>
  <c r="M174" i="5"/>
  <c r="N174" i="5"/>
  <c r="O174" i="5"/>
  <c r="P174" i="5"/>
  <c r="AC174" i="5" s="1"/>
  <c r="Q174" i="5"/>
  <c r="R174" i="5"/>
  <c r="S174" i="5"/>
  <c r="T174" i="5"/>
  <c r="U174" i="5"/>
  <c r="V174" i="5"/>
  <c r="W174" i="5"/>
  <c r="X174" i="5"/>
  <c r="B175" i="5"/>
  <c r="C175" i="5"/>
  <c r="AB175" i="5" s="1"/>
  <c r="D175" i="5"/>
  <c r="E175" i="5"/>
  <c r="F175" i="5"/>
  <c r="G175" i="5"/>
  <c r="H175" i="5"/>
  <c r="I175" i="5"/>
  <c r="J175" i="5"/>
  <c r="K175" i="5"/>
  <c r="L175" i="5"/>
  <c r="M175" i="5"/>
  <c r="N175" i="5"/>
  <c r="O175" i="5"/>
  <c r="AC175" i="5" s="1"/>
  <c r="P175" i="5"/>
  <c r="Q175" i="5"/>
  <c r="R175" i="5"/>
  <c r="S175" i="5"/>
  <c r="T175" i="5"/>
  <c r="U175" i="5"/>
  <c r="V175" i="5"/>
  <c r="W175" i="5"/>
  <c r="X175" i="5"/>
  <c r="B176" i="5"/>
  <c r="AB176" i="5" s="1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AC176" i="5"/>
  <c r="B177" i="5"/>
  <c r="C177" i="5"/>
  <c r="D177" i="5"/>
  <c r="E177" i="5"/>
  <c r="F177" i="5"/>
  <c r="G177" i="5"/>
  <c r="H177" i="5"/>
  <c r="I177" i="5"/>
  <c r="J177" i="5"/>
  <c r="K177" i="5"/>
  <c r="L177" i="5"/>
  <c r="M177" i="5"/>
  <c r="AC177" i="5" s="1"/>
  <c r="N177" i="5"/>
  <c r="O177" i="5"/>
  <c r="P177" i="5"/>
  <c r="Q177" i="5"/>
  <c r="R177" i="5"/>
  <c r="S177" i="5"/>
  <c r="T177" i="5"/>
  <c r="U177" i="5"/>
  <c r="V177" i="5"/>
  <c r="W177" i="5"/>
  <c r="X177" i="5"/>
  <c r="AB177" i="5"/>
  <c r="B178" i="5"/>
  <c r="C178" i="5"/>
  <c r="D178" i="5"/>
  <c r="AB178" i="5" s="1"/>
  <c r="E178" i="5"/>
  <c r="F178" i="5"/>
  <c r="G178" i="5"/>
  <c r="H178" i="5"/>
  <c r="I178" i="5"/>
  <c r="J178" i="5"/>
  <c r="K178" i="5"/>
  <c r="L178" i="5"/>
  <c r="M178" i="5"/>
  <c r="N178" i="5"/>
  <c r="O178" i="5"/>
  <c r="P178" i="5"/>
  <c r="AC178" i="5" s="1"/>
  <c r="Q178" i="5"/>
  <c r="R178" i="5"/>
  <c r="S178" i="5"/>
  <c r="T178" i="5"/>
  <c r="U178" i="5"/>
  <c r="V178" i="5"/>
  <c r="W178" i="5"/>
  <c r="X178" i="5"/>
  <c r="B179" i="5"/>
  <c r="C179" i="5"/>
  <c r="AB179" i="5" s="1"/>
  <c r="D179" i="5"/>
  <c r="E179" i="5"/>
  <c r="F179" i="5"/>
  <c r="G179" i="5"/>
  <c r="H179" i="5"/>
  <c r="I179" i="5"/>
  <c r="J179" i="5"/>
  <c r="K179" i="5"/>
  <c r="L179" i="5"/>
  <c r="M179" i="5"/>
  <c r="N179" i="5"/>
  <c r="O179" i="5"/>
  <c r="AC179" i="5" s="1"/>
  <c r="P179" i="5"/>
  <c r="Q179" i="5"/>
  <c r="R179" i="5"/>
  <c r="S179" i="5"/>
  <c r="T179" i="5"/>
  <c r="U179" i="5"/>
  <c r="V179" i="5"/>
  <c r="W179" i="5"/>
  <c r="X179" i="5"/>
  <c r="B180" i="5"/>
  <c r="AB180" i="5" s="1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AC180" i="5"/>
  <c r="B181" i="5"/>
  <c r="C181" i="5"/>
  <c r="D181" i="5"/>
  <c r="E181" i="5"/>
  <c r="F181" i="5"/>
  <c r="G181" i="5"/>
  <c r="H181" i="5"/>
  <c r="I181" i="5"/>
  <c r="J181" i="5"/>
  <c r="K181" i="5"/>
  <c r="L181" i="5"/>
  <c r="M181" i="5"/>
  <c r="AC181" i="5" s="1"/>
  <c r="N181" i="5"/>
  <c r="O181" i="5"/>
  <c r="P181" i="5"/>
  <c r="Q181" i="5"/>
  <c r="R181" i="5"/>
  <c r="S181" i="5"/>
  <c r="T181" i="5"/>
  <c r="U181" i="5"/>
  <c r="V181" i="5"/>
  <c r="W181" i="5"/>
  <c r="X181" i="5"/>
  <c r="AB181" i="5"/>
  <c r="B182" i="5"/>
  <c r="C182" i="5"/>
  <c r="D182" i="5"/>
  <c r="AB182" i="5" s="1"/>
  <c r="E182" i="5"/>
  <c r="F182" i="5"/>
  <c r="G182" i="5"/>
  <c r="H182" i="5"/>
  <c r="I182" i="5"/>
  <c r="J182" i="5"/>
  <c r="K182" i="5"/>
  <c r="L182" i="5"/>
  <c r="M182" i="5"/>
  <c r="N182" i="5"/>
  <c r="O182" i="5"/>
  <c r="P182" i="5"/>
  <c r="AC182" i="5" s="1"/>
  <c r="Q182" i="5"/>
  <c r="R182" i="5"/>
  <c r="S182" i="5"/>
  <c r="T182" i="5"/>
  <c r="U182" i="5"/>
  <c r="V182" i="5"/>
  <c r="W182" i="5"/>
  <c r="X182" i="5"/>
  <c r="B183" i="5"/>
  <c r="C183" i="5"/>
  <c r="AB183" i="5" s="1"/>
  <c r="D183" i="5"/>
  <c r="E183" i="5"/>
  <c r="F183" i="5"/>
  <c r="G183" i="5"/>
  <c r="H183" i="5"/>
  <c r="I183" i="5"/>
  <c r="J183" i="5"/>
  <c r="K183" i="5"/>
  <c r="L183" i="5"/>
  <c r="M183" i="5"/>
  <c r="N183" i="5"/>
  <c r="O183" i="5"/>
  <c r="AC183" i="5" s="1"/>
  <c r="P183" i="5"/>
  <c r="Q183" i="5"/>
  <c r="R183" i="5"/>
  <c r="S183" i="5"/>
  <c r="T183" i="5"/>
  <c r="U183" i="5"/>
  <c r="V183" i="5"/>
  <c r="W183" i="5"/>
  <c r="X183" i="5"/>
  <c r="B184" i="5"/>
  <c r="AB184" i="5" s="1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W184" i="5"/>
  <c r="X184" i="5"/>
  <c r="AC184" i="5"/>
  <c r="B185" i="5"/>
  <c r="C185" i="5"/>
  <c r="D185" i="5"/>
  <c r="E185" i="5"/>
  <c r="F185" i="5"/>
  <c r="G185" i="5"/>
  <c r="H185" i="5"/>
  <c r="I185" i="5"/>
  <c r="J185" i="5"/>
  <c r="K185" i="5"/>
  <c r="L185" i="5"/>
  <c r="M185" i="5"/>
  <c r="AC185" i="5" s="1"/>
  <c r="N185" i="5"/>
  <c r="O185" i="5"/>
  <c r="P185" i="5"/>
  <c r="Q185" i="5"/>
  <c r="R185" i="5"/>
  <c r="S185" i="5"/>
  <c r="T185" i="5"/>
  <c r="U185" i="5"/>
  <c r="V185" i="5"/>
  <c r="W185" i="5"/>
  <c r="X185" i="5"/>
  <c r="AB185" i="5"/>
  <c r="B186" i="5"/>
  <c r="C186" i="5"/>
  <c r="D186" i="5"/>
  <c r="AB186" i="5" s="1"/>
  <c r="E186" i="5"/>
  <c r="F186" i="5"/>
  <c r="G186" i="5"/>
  <c r="H186" i="5"/>
  <c r="I186" i="5"/>
  <c r="J186" i="5"/>
  <c r="K186" i="5"/>
  <c r="L186" i="5"/>
  <c r="M186" i="5"/>
  <c r="N186" i="5"/>
  <c r="O186" i="5"/>
  <c r="P186" i="5"/>
  <c r="AC186" i="5" s="1"/>
  <c r="Q186" i="5"/>
  <c r="R186" i="5"/>
  <c r="S186" i="5"/>
  <c r="T186" i="5"/>
  <c r="U186" i="5"/>
  <c r="V186" i="5"/>
  <c r="W186" i="5"/>
  <c r="X186" i="5"/>
  <c r="B187" i="5"/>
  <c r="C187" i="5"/>
  <c r="AB187" i="5" s="1"/>
  <c r="D187" i="5"/>
  <c r="E187" i="5"/>
  <c r="F187" i="5"/>
  <c r="G187" i="5"/>
  <c r="H187" i="5"/>
  <c r="I187" i="5"/>
  <c r="J187" i="5"/>
  <c r="K187" i="5"/>
  <c r="L187" i="5"/>
  <c r="M187" i="5"/>
  <c r="N187" i="5"/>
  <c r="O187" i="5"/>
  <c r="AC187" i="5" s="1"/>
  <c r="P187" i="5"/>
  <c r="Q187" i="5"/>
  <c r="R187" i="5"/>
  <c r="S187" i="5"/>
  <c r="T187" i="5"/>
  <c r="U187" i="5"/>
  <c r="V187" i="5"/>
  <c r="W187" i="5"/>
  <c r="X187" i="5"/>
  <c r="B188" i="5"/>
  <c r="AB188" i="5" s="1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R188" i="5"/>
  <c r="S188" i="5"/>
  <c r="T188" i="5"/>
  <c r="U188" i="5"/>
  <c r="V188" i="5"/>
  <c r="W188" i="5"/>
  <c r="X188" i="5"/>
  <c r="AC188" i="5"/>
  <c r="B189" i="5"/>
  <c r="C189" i="5"/>
  <c r="D189" i="5"/>
  <c r="E189" i="5"/>
  <c r="F189" i="5"/>
  <c r="G189" i="5"/>
  <c r="H189" i="5"/>
  <c r="I189" i="5"/>
  <c r="J189" i="5"/>
  <c r="K189" i="5"/>
  <c r="L189" i="5"/>
  <c r="M189" i="5"/>
  <c r="AC189" i="5" s="1"/>
  <c r="N189" i="5"/>
  <c r="O189" i="5"/>
  <c r="P189" i="5"/>
  <c r="Q189" i="5"/>
  <c r="R189" i="5"/>
  <c r="S189" i="5"/>
  <c r="T189" i="5"/>
  <c r="U189" i="5"/>
  <c r="V189" i="5"/>
  <c r="W189" i="5"/>
  <c r="X189" i="5"/>
  <c r="AB189" i="5"/>
  <c r="B190" i="5"/>
  <c r="C190" i="5"/>
  <c r="D190" i="5"/>
  <c r="AB190" i="5" s="1"/>
  <c r="E190" i="5"/>
  <c r="F190" i="5"/>
  <c r="G190" i="5"/>
  <c r="H190" i="5"/>
  <c r="I190" i="5"/>
  <c r="J190" i="5"/>
  <c r="K190" i="5"/>
  <c r="L190" i="5"/>
  <c r="M190" i="5"/>
  <c r="N190" i="5"/>
  <c r="O190" i="5"/>
  <c r="P190" i="5"/>
  <c r="AC190" i="5" s="1"/>
  <c r="Q190" i="5"/>
  <c r="R190" i="5"/>
  <c r="S190" i="5"/>
  <c r="T190" i="5"/>
  <c r="U190" i="5"/>
  <c r="V190" i="5"/>
  <c r="W190" i="5"/>
  <c r="X190" i="5"/>
  <c r="B191" i="5"/>
  <c r="C191" i="5"/>
  <c r="AB191" i="5" s="1"/>
  <c r="D191" i="5"/>
  <c r="E191" i="5"/>
  <c r="F191" i="5"/>
  <c r="G191" i="5"/>
  <c r="H191" i="5"/>
  <c r="I191" i="5"/>
  <c r="J191" i="5"/>
  <c r="K191" i="5"/>
  <c r="L191" i="5"/>
  <c r="M191" i="5"/>
  <c r="N191" i="5"/>
  <c r="O191" i="5"/>
  <c r="AC191" i="5" s="1"/>
  <c r="P191" i="5"/>
  <c r="Q191" i="5"/>
  <c r="R191" i="5"/>
  <c r="S191" i="5"/>
  <c r="T191" i="5"/>
  <c r="U191" i="5"/>
  <c r="V191" i="5"/>
  <c r="W191" i="5"/>
  <c r="X191" i="5"/>
  <c r="B192" i="5"/>
  <c r="AB192" i="5" s="1"/>
  <c r="C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Q192" i="5"/>
  <c r="R192" i="5"/>
  <c r="S192" i="5"/>
  <c r="T192" i="5"/>
  <c r="U192" i="5"/>
  <c r="V192" i="5"/>
  <c r="W192" i="5"/>
  <c r="X192" i="5"/>
  <c r="AC192" i="5"/>
  <c r="B193" i="5"/>
  <c r="C193" i="5"/>
  <c r="D193" i="5"/>
  <c r="E193" i="5"/>
  <c r="F193" i="5"/>
  <c r="G193" i="5"/>
  <c r="H193" i="5"/>
  <c r="I193" i="5"/>
  <c r="J193" i="5"/>
  <c r="K193" i="5"/>
  <c r="L193" i="5"/>
  <c r="M193" i="5"/>
  <c r="AC193" i="5" s="1"/>
  <c r="N193" i="5"/>
  <c r="O193" i="5"/>
  <c r="P193" i="5"/>
  <c r="Q193" i="5"/>
  <c r="R193" i="5"/>
  <c r="S193" i="5"/>
  <c r="T193" i="5"/>
  <c r="U193" i="5"/>
  <c r="V193" i="5"/>
  <c r="W193" i="5"/>
  <c r="X193" i="5"/>
  <c r="AB193" i="5"/>
  <c r="B194" i="5"/>
  <c r="C194" i="5"/>
  <c r="D194" i="5"/>
  <c r="AB194" i="5" s="1"/>
  <c r="E194" i="5"/>
  <c r="F194" i="5"/>
  <c r="G194" i="5"/>
  <c r="H194" i="5"/>
  <c r="I194" i="5"/>
  <c r="J194" i="5"/>
  <c r="K194" i="5"/>
  <c r="L194" i="5"/>
  <c r="M194" i="5"/>
  <c r="N194" i="5"/>
  <c r="O194" i="5"/>
  <c r="P194" i="5"/>
  <c r="AC194" i="5" s="1"/>
  <c r="Q194" i="5"/>
  <c r="R194" i="5"/>
  <c r="S194" i="5"/>
  <c r="T194" i="5"/>
  <c r="U194" i="5"/>
  <c r="V194" i="5"/>
  <c r="W194" i="5"/>
  <c r="X194" i="5"/>
  <c r="B195" i="5"/>
  <c r="C195" i="5"/>
  <c r="AB195" i="5" s="1"/>
  <c r="D195" i="5"/>
  <c r="E195" i="5"/>
  <c r="F195" i="5"/>
  <c r="G195" i="5"/>
  <c r="H195" i="5"/>
  <c r="I195" i="5"/>
  <c r="J195" i="5"/>
  <c r="K195" i="5"/>
  <c r="L195" i="5"/>
  <c r="M195" i="5"/>
  <c r="N195" i="5"/>
  <c r="O195" i="5"/>
  <c r="AC195" i="5" s="1"/>
  <c r="P195" i="5"/>
  <c r="Q195" i="5"/>
  <c r="R195" i="5"/>
  <c r="S195" i="5"/>
  <c r="T195" i="5"/>
  <c r="U195" i="5"/>
  <c r="V195" i="5"/>
  <c r="W195" i="5"/>
  <c r="X195" i="5"/>
  <c r="B196" i="5"/>
  <c r="AB196" i="5" s="1"/>
  <c r="C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Q196" i="5"/>
  <c r="R196" i="5"/>
  <c r="S196" i="5"/>
  <c r="T196" i="5"/>
  <c r="U196" i="5"/>
  <c r="V196" i="5"/>
  <c r="W196" i="5"/>
  <c r="X196" i="5"/>
  <c r="AC196" i="5"/>
  <c r="B197" i="5"/>
  <c r="C197" i="5"/>
  <c r="D197" i="5"/>
  <c r="E197" i="5"/>
  <c r="F197" i="5"/>
  <c r="G197" i="5"/>
  <c r="H197" i="5"/>
  <c r="I197" i="5"/>
  <c r="J197" i="5"/>
  <c r="K197" i="5"/>
  <c r="L197" i="5"/>
  <c r="M197" i="5"/>
  <c r="AC197" i="5" s="1"/>
  <c r="N197" i="5"/>
  <c r="O197" i="5"/>
  <c r="P197" i="5"/>
  <c r="Q197" i="5"/>
  <c r="R197" i="5"/>
  <c r="S197" i="5"/>
  <c r="T197" i="5"/>
  <c r="U197" i="5"/>
  <c r="V197" i="5"/>
  <c r="W197" i="5"/>
  <c r="X197" i="5"/>
  <c r="AB197" i="5"/>
  <c r="B198" i="5"/>
  <c r="C198" i="5"/>
  <c r="D198" i="5"/>
  <c r="AB198" i="5" s="1"/>
  <c r="E198" i="5"/>
  <c r="F198" i="5"/>
  <c r="G198" i="5"/>
  <c r="H198" i="5"/>
  <c r="I198" i="5"/>
  <c r="J198" i="5"/>
  <c r="K198" i="5"/>
  <c r="L198" i="5"/>
  <c r="M198" i="5"/>
  <c r="N198" i="5"/>
  <c r="O198" i="5"/>
  <c r="P198" i="5"/>
  <c r="AC198" i="5" s="1"/>
  <c r="Q198" i="5"/>
  <c r="R198" i="5"/>
  <c r="S198" i="5"/>
  <c r="T198" i="5"/>
  <c r="U198" i="5"/>
  <c r="V198" i="5"/>
  <c r="W198" i="5"/>
  <c r="X198" i="5"/>
  <c r="B199" i="5"/>
  <c r="C199" i="5"/>
  <c r="AB199" i="5" s="1"/>
  <c r="D199" i="5"/>
  <c r="E199" i="5"/>
  <c r="F199" i="5"/>
  <c r="G199" i="5"/>
  <c r="H199" i="5"/>
  <c r="I199" i="5"/>
  <c r="J199" i="5"/>
  <c r="K199" i="5"/>
  <c r="L199" i="5"/>
  <c r="M199" i="5"/>
  <c r="N199" i="5"/>
  <c r="O199" i="5"/>
  <c r="AC199" i="5" s="1"/>
  <c r="P199" i="5"/>
  <c r="Q199" i="5"/>
  <c r="R199" i="5"/>
  <c r="S199" i="5"/>
  <c r="T199" i="5"/>
  <c r="U199" i="5"/>
  <c r="V199" i="5"/>
  <c r="W199" i="5"/>
  <c r="X199" i="5"/>
  <c r="B200" i="5"/>
  <c r="AB200" i="5" s="1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R200" i="5"/>
  <c r="S200" i="5"/>
  <c r="T200" i="5"/>
  <c r="U200" i="5"/>
  <c r="V200" i="5"/>
  <c r="W200" i="5"/>
  <c r="X200" i="5"/>
  <c r="AC200" i="5"/>
  <c r="B201" i="5"/>
  <c r="C201" i="5"/>
  <c r="D201" i="5"/>
  <c r="E201" i="5"/>
  <c r="F201" i="5"/>
  <c r="G201" i="5"/>
  <c r="H201" i="5"/>
  <c r="I201" i="5"/>
  <c r="J201" i="5"/>
  <c r="K201" i="5"/>
  <c r="L201" i="5"/>
  <c r="M201" i="5"/>
  <c r="AC201" i="5" s="1"/>
  <c r="N201" i="5"/>
  <c r="O201" i="5"/>
  <c r="P201" i="5"/>
  <c r="Q201" i="5"/>
  <c r="R201" i="5"/>
  <c r="S201" i="5"/>
  <c r="T201" i="5"/>
  <c r="U201" i="5"/>
  <c r="V201" i="5"/>
  <c r="W201" i="5"/>
  <c r="X201" i="5"/>
  <c r="AB201" i="5"/>
  <c r="B202" i="5"/>
  <c r="C202" i="5"/>
  <c r="D202" i="5"/>
  <c r="AB202" i="5" s="1"/>
  <c r="E202" i="5"/>
  <c r="F202" i="5"/>
  <c r="G202" i="5"/>
  <c r="H202" i="5"/>
  <c r="I202" i="5"/>
  <c r="J202" i="5"/>
  <c r="K202" i="5"/>
  <c r="L202" i="5"/>
  <c r="M202" i="5"/>
  <c r="N202" i="5"/>
  <c r="O202" i="5"/>
  <c r="P202" i="5"/>
  <c r="AC202" i="5" s="1"/>
  <c r="Q202" i="5"/>
  <c r="R202" i="5"/>
  <c r="S202" i="5"/>
  <c r="T202" i="5"/>
  <c r="U202" i="5"/>
  <c r="V202" i="5"/>
  <c r="W202" i="5"/>
  <c r="X202" i="5"/>
  <c r="B203" i="5"/>
  <c r="C203" i="5"/>
  <c r="AB203" i="5" s="1"/>
  <c r="D203" i="5"/>
  <c r="E203" i="5"/>
  <c r="F203" i="5"/>
  <c r="G203" i="5"/>
  <c r="H203" i="5"/>
  <c r="I203" i="5"/>
  <c r="J203" i="5"/>
  <c r="K203" i="5"/>
  <c r="L203" i="5"/>
  <c r="M203" i="5"/>
  <c r="N203" i="5"/>
  <c r="O203" i="5"/>
  <c r="AC203" i="5" s="1"/>
  <c r="P203" i="5"/>
  <c r="Q203" i="5"/>
  <c r="R203" i="5"/>
  <c r="S203" i="5"/>
  <c r="T203" i="5"/>
  <c r="U203" i="5"/>
  <c r="V203" i="5"/>
  <c r="W203" i="5"/>
  <c r="X203" i="5"/>
  <c r="B204" i="5"/>
  <c r="AB204" i="5" s="1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R204" i="5"/>
  <c r="S204" i="5"/>
  <c r="T204" i="5"/>
  <c r="U204" i="5"/>
  <c r="V204" i="5"/>
  <c r="W204" i="5"/>
  <c r="X204" i="5"/>
  <c r="AC204" i="5"/>
  <c r="B205" i="5"/>
  <c r="C205" i="5"/>
  <c r="D205" i="5"/>
  <c r="E205" i="5"/>
  <c r="F205" i="5"/>
  <c r="G205" i="5"/>
  <c r="H205" i="5"/>
  <c r="I205" i="5"/>
  <c r="J205" i="5"/>
  <c r="K205" i="5"/>
  <c r="L205" i="5"/>
  <c r="M205" i="5"/>
  <c r="AC205" i="5" s="1"/>
  <c r="N205" i="5"/>
  <c r="O205" i="5"/>
  <c r="P205" i="5"/>
  <c r="Q205" i="5"/>
  <c r="R205" i="5"/>
  <c r="S205" i="5"/>
  <c r="T205" i="5"/>
  <c r="U205" i="5"/>
  <c r="V205" i="5"/>
  <c r="W205" i="5"/>
  <c r="X205" i="5"/>
  <c r="AB205" i="5"/>
  <c r="B206" i="5"/>
  <c r="C206" i="5"/>
  <c r="D206" i="5"/>
  <c r="AB206" i="5" s="1"/>
  <c r="E206" i="5"/>
  <c r="F206" i="5"/>
  <c r="G206" i="5"/>
  <c r="H206" i="5"/>
  <c r="I206" i="5"/>
  <c r="J206" i="5"/>
  <c r="K206" i="5"/>
  <c r="L206" i="5"/>
  <c r="M206" i="5"/>
  <c r="N206" i="5"/>
  <c r="O206" i="5"/>
  <c r="P206" i="5"/>
  <c r="AC206" i="5" s="1"/>
  <c r="Q206" i="5"/>
  <c r="R206" i="5"/>
  <c r="S206" i="5"/>
  <c r="T206" i="5"/>
  <c r="U206" i="5"/>
  <c r="V206" i="5"/>
  <c r="W206" i="5"/>
  <c r="X206" i="5"/>
  <c r="B207" i="5"/>
  <c r="C207" i="5"/>
  <c r="AB207" i="5" s="1"/>
  <c r="D207" i="5"/>
  <c r="E207" i="5"/>
  <c r="F207" i="5"/>
  <c r="G207" i="5"/>
  <c r="H207" i="5"/>
  <c r="I207" i="5"/>
  <c r="J207" i="5"/>
  <c r="K207" i="5"/>
  <c r="L207" i="5"/>
  <c r="M207" i="5"/>
  <c r="N207" i="5"/>
  <c r="O207" i="5"/>
  <c r="AC207" i="5" s="1"/>
  <c r="P207" i="5"/>
  <c r="Q207" i="5"/>
  <c r="R207" i="5"/>
  <c r="S207" i="5"/>
  <c r="T207" i="5"/>
  <c r="U207" i="5"/>
  <c r="V207" i="5"/>
  <c r="W207" i="5"/>
  <c r="X207" i="5"/>
  <c r="B208" i="5"/>
  <c r="AB208" i="5" s="1"/>
  <c r="C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Q208" i="5"/>
  <c r="R208" i="5"/>
  <c r="S208" i="5"/>
  <c r="T208" i="5"/>
  <c r="U208" i="5"/>
  <c r="V208" i="5"/>
  <c r="W208" i="5"/>
  <c r="X208" i="5"/>
  <c r="AC208" i="5"/>
  <c r="B209" i="5"/>
  <c r="C209" i="5"/>
  <c r="D209" i="5"/>
  <c r="E209" i="5"/>
  <c r="F209" i="5"/>
  <c r="G209" i="5"/>
  <c r="H209" i="5"/>
  <c r="I209" i="5"/>
  <c r="J209" i="5"/>
  <c r="K209" i="5"/>
  <c r="L209" i="5"/>
  <c r="M209" i="5"/>
  <c r="AC209" i="5" s="1"/>
  <c r="N209" i="5"/>
  <c r="O209" i="5"/>
  <c r="P209" i="5"/>
  <c r="Q209" i="5"/>
  <c r="R209" i="5"/>
  <c r="S209" i="5"/>
  <c r="T209" i="5"/>
  <c r="U209" i="5"/>
  <c r="V209" i="5"/>
  <c r="W209" i="5"/>
  <c r="X209" i="5"/>
  <c r="AB209" i="5"/>
  <c r="B210" i="5"/>
  <c r="C210" i="5"/>
  <c r="D210" i="5"/>
  <c r="AB210" i="5" s="1"/>
  <c r="E210" i="5"/>
  <c r="F210" i="5"/>
  <c r="G210" i="5"/>
  <c r="H210" i="5"/>
  <c r="I210" i="5"/>
  <c r="J210" i="5"/>
  <c r="K210" i="5"/>
  <c r="L210" i="5"/>
  <c r="M210" i="5"/>
  <c r="N210" i="5"/>
  <c r="O210" i="5"/>
  <c r="P210" i="5"/>
  <c r="AC210" i="5" s="1"/>
  <c r="Q210" i="5"/>
  <c r="R210" i="5"/>
  <c r="S210" i="5"/>
  <c r="T210" i="5"/>
  <c r="U210" i="5"/>
  <c r="V210" i="5"/>
  <c r="W210" i="5"/>
  <c r="X210" i="5"/>
  <c r="B211" i="5"/>
  <c r="C211" i="5"/>
  <c r="AB211" i="5" s="1"/>
  <c r="D211" i="5"/>
  <c r="E211" i="5"/>
  <c r="F211" i="5"/>
  <c r="G211" i="5"/>
  <c r="H211" i="5"/>
  <c r="I211" i="5"/>
  <c r="J211" i="5"/>
  <c r="K211" i="5"/>
  <c r="L211" i="5"/>
  <c r="M211" i="5"/>
  <c r="N211" i="5"/>
  <c r="O211" i="5"/>
  <c r="AC211" i="5" s="1"/>
  <c r="P211" i="5"/>
  <c r="Q211" i="5"/>
  <c r="R211" i="5"/>
  <c r="S211" i="5"/>
  <c r="T211" i="5"/>
  <c r="U211" i="5"/>
  <c r="V211" i="5"/>
  <c r="W211" i="5"/>
  <c r="X211" i="5"/>
  <c r="B212" i="5"/>
  <c r="AB212" i="5" s="1"/>
  <c r="C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Q212" i="5"/>
  <c r="R212" i="5"/>
  <c r="S212" i="5"/>
  <c r="T212" i="5"/>
  <c r="U212" i="5"/>
  <c r="V212" i="5"/>
  <c r="W212" i="5"/>
  <c r="X212" i="5"/>
  <c r="AC212" i="5"/>
  <c r="B213" i="5"/>
  <c r="C213" i="5"/>
  <c r="D213" i="5"/>
  <c r="E213" i="5"/>
  <c r="F213" i="5"/>
  <c r="G213" i="5"/>
  <c r="H213" i="5"/>
  <c r="I213" i="5"/>
  <c r="J213" i="5"/>
  <c r="K213" i="5"/>
  <c r="L213" i="5"/>
  <c r="M213" i="5"/>
  <c r="AC213" i="5" s="1"/>
  <c r="N213" i="5"/>
  <c r="O213" i="5"/>
  <c r="P213" i="5"/>
  <c r="Q213" i="5"/>
  <c r="R213" i="5"/>
  <c r="S213" i="5"/>
  <c r="T213" i="5"/>
  <c r="U213" i="5"/>
  <c r="V213" i="5"/>
  <c r="W213" i="5"/>
  <c r="X213" i="5"/>
  <c r="AB213" i="5"/>
  <c r="B214" i="5"/>
  <c r="C214" i="5"/>
  <c r="D214" i="5"/>
  <c r="AB214" i="5" s="1"/>
  <c r="E214" i="5"/>
  <c r="F214" i="5"/>
  <c r="G214" i="5"/>
  <c r="H214" i="5"/>
  <c r="I214" i="5"/>
  <c r="J214" i="5"/>
  <c r="K214" i="5"/>
  <c r="L214" i="5"/>
  <c r="M214" i="5"/>
  <c r="N214" i="5"/>
  <c r="O214" i="5"/>
  <c r="P214" i="5"/>
  <c r="AC214" i="5" s="1"/>
  <c r="Q214" i="5"/>
  <c r="R214" i="5"/>
  <c r="S214" i="5"/>
  <c r="T214" i="5"/>
  <c r="U214" i="5"/>
  <c r="V214" i="5"/>
  <c r="W214" i="5"/>
  <c r="X214" i="5"/>
  <c r="B215" i="5"/>
  <c r="C215" i="5"/>
  <c r="AB215" i="5" s="1"/>
  <c r="D215" i="5"/>
  <c r="E215" i="5"/>
  <c r="F215" i="5"/>
  <c r="G215" i="5"/>
  <c r="H215" i="5"/>
  <c r="I215" i="5"/>
  <c r="J215" i="5"/>
  <c r="K215" i="5"/>
  <c r="L215" i="5"/>
  <c r="M215" i="5"/>
  <c r="N215" i="5"/>
  <c r="O215" i="5"/>
  <c r="AC215" i="5" s="1"/>
  <c r="P215" i="5"/>
  <c r="Q215" i="5"/>
  <c r="R215" i="5"/>
  <c r="S215" i="5"/>
  <c r="T215" i="5"/>
  <c r="U215" i="5"/>
  <c r="V215" i="5"/>
  <c r="W215" i="5"/>
  <c r="X215" i="5"/>
  <c r="B216" i="5"/>
  <c r="AB216" i="5" s="1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S216" i="5"/>
  <c r="T216" i="5"/>
  <c r="U216" i="5"/>
  <c r="V216" i="5"/>
  <c r="W216" i="5"/>
  <c r="X216" i="5"/>
  <c r="AC216" i="5"/>
  <c r="B217" i="5"/>
  <c r="C217" i="5"/>
  <c r="D217" i="5"/>
  <c r="E217" i="5"/>
  <c r="F217" i="5"/>
  <c r="G217" i="5"/>
  <c r="H217" i="5"/>
  <c r="I217" i="5"/>
  <c r="J217" i="5"/>
  <c r="K217" i="5"/>
  <c r="L217" i="5"/>
  <c r="M217" i="5"/>
  <c r="AC217" i="5" s="1"/>
  <c r="N217" i="5"/>
  <c r="O217" i="5"/>
  <c r="P217" i="5"/>
  <c r="Q217" i="5"/>
  <c r="R217" i="5"/>
  <c r="S217" i="5"/>
  <c r="T217" i="5"/>
  <c r="U217" i="5"/>
  <c r="V217" i="5"/>
  <c r="W217" i="5"/>
  <c r="X217" i="5"/>
  <c r="AB217" i="5"/>
  <c r="B218" i="5"/>
  <c r="C218" i="5"/>
  <c r="D218" i="5"/>
  <c r="AB218" i="5" s="1"/>
  <c r="E218" i="5"/>
  <c r="F218" i="5"/>
  <c r="G218" i="5"/>
  <c r="H218" i="5"/>
  <c r="I218" i="5"/>
  <c r="J218" i="5"/>
  <c r="K218" i="5"/>
  <c r="L218" i="5"/>
  <c r="M218" i="5"/>
  <c r="N218" i="5"/>
  <c r="O218" i="5"/>
  <c r="P218" i="5"/>
  <c r="AC218" i="5" s="1"/>
  <c r="Q218" i="5"/>
  <c r="R218" i="5"/>
  <c r="S218" i="5"/>
  <c r="T218" i="5"/>
  <c r="U218" i="5"/>
  <c r="V218" i="5"/>
  <c r="W218" i="5"/>
  <c r="X218" i="5"/>
  <c r="B219" i="5"/>
  <c r="C219" i="5"/>
  <c r="AB219" i="5" s="1"/>
  <c r="D219" i="5"/>
  <c r="E219" i="5"/>
  <c r="F219" i="5"/>
  <c r="G219" i="5"/>
  <c r="H219" i="5"/>
  <c r="I219" i="5"/>
  <c r="J219" i="5"/>
  <c r="K219" i="5"/>
  <c r="L219" i="5"/>
  <c r="M219" i="5"/>
  <c r="N219" i="5"/>
  <c r="O219" i="5"/>
  <c r="AC219" i="5" s="1"/>
  <c r="P219" i="5"/>
  <c r="Q219" i="5"/>
  <c r="R219" i="5"/>
  <c r="S219" i="5"/>
  <c r="T219" i="5"/>
  <c r="U219" i="5"/>
  <c r="V219" i="5"/>
  <c r="W219" i="5"/>
  <c r="X219" i="5"/>
  <c r="B220" i="5"/>
  <c r="AB220" i="5" s="1"/>
  <c r="C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S220" i="5"/>
  <c r="T220" i="5"/>
  <c r="U220" i="5"/>
  <c r="V220" i="5"/>
  <c r="W220" i="5"/>
  <c r="X220" i="5"/>
  <c r="AC220" i="5"/>
  <c r="B221" i="5"/>
  <c r="C221" i="5"/>
  <c r="D221" i="5"/>
  <c r="E221" i="5"/>
  <c r="F221" i="5"/>
  <c r="G221" i="5"/>
  <c r="H221" i="5"/>
  <c r="I221" i="5"/>
  <c r="J221" i="5"/>
  <c r="K221" i="5"/>
  <c r="L221" i="5"/>
  <c r="M221" i="5"/>
  <c r="AC221" i="5" s="1"/>
  <c r="N221" i="5"/>
  <c r="O221" i="5"/>
  <c r="P221" i="5"/>
  <c r="Q221" i="5"/>
  <c r="R221" i="5"/>
  <c r="S221" i="5"/>
  <c r="T221" i="5"/>
  <c r="U221" i="5"/>
  <c r="V221" i="5"/>
  <c r="W221" i="5"/>
  <c r="X221" i="5"/>
  <c r="AB221" i="5"/>
  <c r="B222" i="5"/>
  <c r="C222" i="5"/>
  <c r="D222" i="5"/>
  <c r="AB222" i="5" s="1"/>
  <c r="E222" i="5"/>
  <c r="F222" i="5"/>
  <c r="G222" i="5"/>
  <c r="H222" i="5"/>
  <c r="I222" i="5"/>
  <c r="J222" i="5"/>
  <c r="K222" i="5"/>
  <c r="L222" i="5"/>
  <c r="M222" i="5"/>
  <c r="N222" i="5"/>
  <c r="O222" i="5"/>
  <c r="P222" i="5"/>
  <c r="AC222" i="5" s="1"/>
  <c r="Q222" i="5"/>
  <c r="R222" i="5"/>
  <c r="S222" i="5"/>
  <c r="T222" i="5"/>
  <c r="U222" i="5"/>
  <c r="V222" i="5"/>
  <c r="W222" i="5"/>
  <c r="X222" i="5"/>
  <c r="B223" i="5"/>
  <c r="C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AC223" i="5" s="1"/>
  <c r="P223" i="5"/>
  <c r="Q223" i="5"/>
  <c r="R223" i="5"/>
  <c r="S223" i="5"/>
  <c r="T223" i="5"/>
  <c r="U223" i="5"/>
  <c r="V223" i="5"/>
  <c r="W223" i="5"/>
  <c r="X223" i="5"/>
  <c r="B224" i="5"/>
  <c r="C224" i="5"/>
  <c r="D224" i="5"/>
  <c r="E224" i="5"/>
  <c r="F224" i="5"/>
  <c r="G224" i="5"/>
  <c r="H224" i="5"/>
  <c r="I224" i="5"/>
  <c r="J224" i="5"/>
  <c r="K224" i="5"/>
  <c r="L224" i="5"/>
  <c r="M224" i="5"/>
  <c r="N224" i="5"/>
  <c r="AC224" i="5" s="1"/>
  <c r="O224" i="5"/>
  <c r="P224" i="5"/>
  <c r="Q224" i="5"/>
  <c r="R224" i="5"/>
  <c r="S224" i="5"/>
  <c r="T224" i="5"/>
  <c r="U224" i="5"/>
  <c r="V224" i="5"/>
  <c r="W224" i="5"/>
  <c r="X224" i="5"/>
  <c r="B225" i="5"/>
  <c r="C225" i="5"/>
  <c r="D225" i="5"/>
  <c r="E225" i="5"/>
  <c r="F225" i="5"/>
  <c r="G225" i="5"/>
  <c r="H225" i="5"/>
  <c r="I225" i="5"/>
  <c r="J225" i="5"/>
  <c r="K225" i="5"/>
  <c r="L225" i="5"/>
  <c r="M225" i="5"/>
  <c r="AC225" i="5" s="1"/>
  <c r="N225" i="5"/>
  <c r="O225" i="5"/>
  <c r="P225" i="5"/>
  <c r="Q225" i="5"/>
  <c r="R225" i="5"/>
  <c r="S225" i="5"/>
  <c r="T225" i="5"/>
  <c r="U225" i="5"/>
  <c r="V225" i="5"/>
  <c r="W225" i="5"/>
  <c r="X225" i="5"/>
  <c r="AB225" i="5"/>
  <c r="B226" i="5"/>
  <c r="C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AC226" i="5" s="1"/>
  <c r="Q226" i="5"/>
  <c r="R226" i="5"/>
  <c r="S226" i="5"/>
  <c r="T226" i="5"/>
  <c r="U226" i="5"/>
  <c r="V226" i="5"/>
  <c r="W226" i="5"/>
  <c r="X226" i="5"/>
  <c r="B227" i="5"/>
  <c r="C227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AC227" i="5" s="1"/>
  <c r="P227" i="5"/>
  <c r="Q227" i="5"/>
  <c r="R227" i="5"/>
  <c r="S227" i="5"/>
  <c r="T227" i="5"/>
  <c r="U227" i="5"/>
  <c r="V227" i="5"/>
  <c r="W227" i="5"/>
  <c r="X227" i="5"/>
  <c r="B228" i="5"/>
  <c r="C228" i="5"/>
  <c r="D228" i="5"/>
  <c r="E228" i="5"/>
  <c r="F228" i="5"/>
  <c r="G228" i="5"/>
  <c r="H228" i="5"/>
  <c r="I228" i="5"/>
  <c r="J228" i="5"/>
  <c r="K228" i="5"/>
  <c r="L228" i="5"/>
  <c r="M228" i="5"/>
  <c r="N228" i="5"/>
  <c r="AC228" i="5" s="1"/>
  <c r="O228" i="5"/>
  <c r="P228" i="5"/>
  <c r="Q228" i="5"/>
  <c r="R228" i="5"/>
  <c r="S228" i="5"/>
  <c r="T228" i="5"/>
  <c r="U228" i="5"/>
  <c r="V228" i="5"/>
  <c r="W228" i="5"/>
  <c r="X228" i="5"/>
  <c r="B229" i="5"/>
  <c r="C229" i="5"/>
  <c r="D229" i="5"/>
  <c r="E229" i="5"/>
  <c r="F229" i="5"/>
  <c r="G229" i="5"/>
  <c r="H229" i="5"/>
  <c r="I229" i="5"/>
  <c r="J229" i="5"/>
  <c r="K229" i="5"/>
  <c r="L229" i="5"/>
  <c r="M229" i="5"/>
  <c r="AC229" i="5" s="1"/>
  <c r="N229" i="5"/>
  <c r="O229" i="5"/>
  <c r="P229" i="5"/>
  <c r="Q229" i="5"/>
  <c r="R229" i="5"/>
  <c r="S229" i="5"/>
  <c r="T229" i="5"/>
  <c r="U229" i="5"/>
  <c r="V229" i="5"/>
  <c r="W229" i="5"/>
  <c r="X229" i="5"/>
  <c r="AB229" i="5"/>
  <c r="B230" i="5"/>
  <c r="C230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AC230" i="5" s="1"/>
  <c r="Q230" i="5"/>
  <c r="R230" i="5"/>
  <c r="S230" i="5"/>
  <c r="T230" i="5"/>
  <c r="U230" i="5"/>
  <c r="V230" i="5"/>
  <c r="W230" i="5"/>
  <c r="X230" i="5"/>
  <c r="B231" i="5"/>
  <c r="C231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AC231" i="5" s="1"/>
  <c r="P231" i="5"/>
  <c r="Q231" i="5"/>
  <c r="R231" i="5"/>
  <c r="S231" i="5"/>
  <c r="T231" i="5"/>
  <c r="U231" i="5"/>
  <c r="V231" i="5"/>
  <c r="W231" i="5"/>
  <c r="X231" i="5"/>
  <c r="B232" i="5"/>
  <c r="C232" i="5"/>
  <c r="D232" i="5"/>
  <c r="E232" i="5"/>
  <c r="F232" i="5"/>
  <c r="G232" i="5"/>
  <c r="H232" i="5"/>
  <c r="I232" i="5"/>
  <c r="J232" i="5"/>
  <c r="K232" i="5"/>
  <c r="L232" i="5"/>
  <c r="M232" i="5"/>
  <c r="N232" i="5"/>
  <c r="AC232" i="5" s="1"/>
  <c r="O232" i="5"/>
  <c r="P232" i="5"/>
  <c r="Q232" i="5"/>
  <c r="R232" i="5"/>
  <c r="S232" i="5"/>
  <c r="T232" i="5"/>
  <c r="U232" i="5"/>
  <c r="V232" i="5"/>
  <c r="W232" i="5"/>
  <c r="X232" i="5"/>
  <c r="B233" i="5"/>
  <c r="C233" i="5"/>
  <c r="D233" i="5"/>
  <c r="E233" i="5"/>
  <c r="F233" i="5"/>
  <c r="G233" i="5"/>
  <c r="H233" i="5"/>
  <c r="I233" i="5"/>
  <c r="J233" i="5"/>
  <c r="K233" i="5"/>
  <c r="L233" i="5"/>
  <c r="M233" i="5"/>
  <c r="AC233" i="5" s="1"/>
  <c r="N233" i="5"/>
  <c r="O233" i="5"/>
  <c r="P233" i="5"/>
  <c r="Q233" i="5"/>
  <c r="R233" i="5"/>
  <c r="S233" i="5"/>
  <c r="T233" i="5"/>
  <c r="U233" i="5"/>
  <c r="V233" i="5"/>
  <c r="W233" i="5"/>
  <c r="X233" i="5"/>
  <c r="AB233" i="5"/>
  <c r="B234" i="5"/>
  <c r="AB234" i="5" s="1"/>
  <c r="C234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Q234" i="5"/>
  <c r="R234" i="5"/>
  <c r="S234" i="5"/>
  <c r="T234" i="5"/>
  <c r="U234" i="5"/>
  <c r="V234" i="5"/>
  <c r="W234" i="5"/>
  <c r="X234" i="5"/>
  <c r="AC234" i="5"/>
  <c r="B235" i="5"/>
  <c r="C235" i="5"/>
  <c r="D235" i="5"/>
  <c r="E235" i="5"/>
  <c r="F235" i="5"/>
  <c r="G235" i="5"/>
  <c r="H235" i="5"/>
  <c r="I235" i="5"/>
  <c r="J235" i="5"/>
  <c r="K235" i="5"/>
  <c r="L235" i="5"/>
  <c r="M235" i="5"/>
  <c r="AC235" i="5" s="1"/>
  <c r="N235" i="5"/>
  <c r="O235" i="5"/>
  <c r="P235" i="5"/>
  <c r="Q235" i="5"/>
  <c r="R235" i="5"/>
  <c r="S235" i="5"/>
  <c r="T235" i="5"/>
  <c r="U235" i="5"/>
  <c r="V235" i="5"/>
  <c r="W235" i="5"/>
  <c r="X235" i="5"/>
  <c r="AB235" i="5"/>
  <c r="B236" i="5"/>
  <c r="AB236" i="5" s="1"/>
  <c r="C236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AC236" i="5" s="1"/>
  <c r="Q236" i="5"/>
  <c r="R236" i="5"/>
  <c r="S236" i="5"/>
  <c r="T236" i="5"/>
  <c r="U236" i="5"/>
  <c r="V236" i="5"/>
  <c r="W236" i="5"/>
  <c r="X236" i="5"/>
  <c r="B237" i="5"/>
  <c r="C237" i="5"/>
  <c r="AB237" i="5" s="1"/>
  <c r="D237" i="5"/>
  <c r="E237" i="5"/>
  <c r="F237" i="5"/>
  <c r="G237" i="5"/>
  <c r="H237" i="5"/>
  <c r="I237" i="5"/>
  <c r="J237" i="5"/>
  <c r="K237" i="5"/>
  <c r="L237" i="5"/>
  <c r="M237" i="5"/>
  <c r="AC237" i="5" s="1"/>
  <c r="N237" i="5"/>
  <c r="O237" i="5"/>
  <c r="P237" i="5"/>
  <c r="Q237" i="5"/>
  <c r="R237" i="5"/>
  <c r="S237" i="5"/>
  <c r="T237" i="5"/>
  <c r="U237" i="5"/>
  <c r="V237" i="5"/>
  <c r="W237" i="5"/>
  <c r="X237" i="5"/>
  <c r="B238" i="5"/>
  <c r="AB238" i="5" s="1"/>
  <c r="C238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Q238" i="5"/>
  <c r="R238" i="5"/>
  <c r="S238" i="5"/>
  <c r="T238" i="5"/>
  <c r="U238" i="5"/>
  <c r="V238" i="5"/>
  <c r="W238" i="5"/>
  <c r="X238" i="5"/>
  <c r="AC238" i="5"/>
  <c r="B239" i="5"/>
  <c r="C239" i="5"/>
  <c r="D239" i="5"/>
  <c r="E239" i="5"/>
  <c r="F239" i="5"/>
  <c r="G239" i="5"/>
  <c r="H239" i="5"/>
  <c r="I239" i="5"/>
  <c r="J239" i="5"/>
  <c r="K239" i="5"/>
  <c r="L239" i="5"/>
  <c r="M239" i="5"/>
  <c r="AC239" i="5" s="1"/>
  <c r="N239" i="5"/>
  <c r="O239" i="5"/>
  <c r="P239" i="5"/>
  <c r="Q239" i="5"/>
  <c r="R239" i="5"/>
  <c r="S239" i="5"/>
  <c r="T239" i="5"/>
  <c r="U239" i="5"/>
  <c r="V239" i="5"/>
  <c r="W239" i="5"/>
  <c r="X239" i="5"/>
  <c r="AB239" i="5"/>
  <c r="B240" i="5"/>
  <c r="AB240" i="5" s="1"/>
  <c r="C240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AC240" i="5" s="1"/>
  <c r="Q240" i="5"/>
  <c r="R240" i="5"/>
  <c r="S240" i="5"/>
  <c r="T240" i="5"/>
  <c r="U240" i="5"/>
  <c r="V240" i="5"/>
  <c r="W240" i="5"/>
  <c r="X240" i="5"/>
  <c r="B241" i="5"/>
  <c r="C241" i="5"/>
  <c r="AB241" i="5" s="1"/>
  <c r="D241" i="5"/>
  <c r="E241" i="5"/>
  <c r="F241" i="5"/>
  <c r="G241" i="5"/>
  <c r="H241" i="5"/>
  <c r="I241" i="5"/>
  <c r="J241" i="5"/>
  <c r="K241" i="5"/>
  <c r="L241" i="5"/>
  <c r="M241" i="5"/>
  <c r="AC241" i="5" s="1"/>
  <c r="N241" i="5"/>
  <c r="O241" i="5"/>
  <c r="P241" i="5"/>
  <c r="Q241" i="5"/>
  <c r="R241" i="5"/>
  <c r="S241" i="5"/>
  <c r="T241" i="5"/>
  <c r="U241" i="5"/>
  <c r="V241" i="5"/>
  <c r="W241" i="5"/>
  <c r="X241" i="5"/>
  <c r="B242" i="5"/>
  <c r="AB242" i="5" s="1"/>
  <c r="C242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Q242" i="5"/>
  <c r="R242" i="5"/>
  <c r="S242" i="5"/>
  <c r="T242" i="5"/>
  <c r="U242" i="5"/>
  <c r="V242" i="5"/>
  <c r="W242" i="5"/>
  <c r="X242" i="5"/>
  <c r="AC242" i="5"/>
  <c r="B243" i="5"/>
  <c r="C243" i="5"/>
  <c r="D243" i="5"/>
  <c r="E243" i="5"/>
  <c r="F243" i="5"/>
  <c r="G243" i="5"/>
  <c r="H243" i="5"/>
  <c r="I243" i="5"/>
  <c r="J243" i="5"/>
  <c r="K243" i="5"/>
  <c r="L243" i="5"/>
  <c r="M243" i="5"/>
  <c r="AC243" i="5" s="1"/>
  <c r="N243" i="5"/>
  <c r="O243" i="5"/>
  <c r="P243" i="5"/>
  <c r="Q243" i="5"/>
  <c r="R243" i="5"/>
  <c r="S243" i="5"/>
  <c r="T243" i="5"/>
  <c r="U243" i="5"/>
  <c r="V243" i="5"/>
  <c r="W243" i="5"/>
  <c r="X243" i="5"/>
  <c r="AB243" i="5"/>
  <c r="B244" i="5"/>
  <c r="AB244" i="5" s="1"/>
  <c r="C244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AC244" i="5" s="1"/>
  <c r="Q244" i="5"/>
  <c r="R244" i="5"/>
  <c r="S244" i="5"/>
  <c r="T244" i="5"/>
  <c r="U244" i="5"/>
  <c r="V244" i="5"/>
  <c r="W244" i="5"/>
  <c r="X244" i="5"/>
  <c r="B245" i="5"/>
  <c r="C245" i="5"/>
  <c r="AB245" i="5" s="1"/>
  <c r="D245" i="5"/>
  <c r="E245" i="5"/>
  <c r="F245" i="5"/>
  <c r="G245" i="5"/>
  <c r="H245" i="5"/>
  <c r="I245" i="5"/>
  <c r="J245" i="5"/>
  <c r="K245" i="5"/>
  <c r="L245" i="5"/>
  <c r="M245" i="5"/>
  <c r="AC245" i="5" s="1"/>
  <c r="N245" i="5"/>
  <c r="O245" i="5"/>
  <c r="P245" i="5"/>
  <c r="Q245" i="5"/>
  <c r="R245" i="5"/>
  <c r="S245" i="5"/>
  <c r="T245" i="5"/>
  <c r="U245" i="5"/>
  <c r="V245" i="5"/>
  <c r="W245" i="5"/>
  <c r="X245" i="5"/>
  <c r="B246" i="5"/>
  <c r="AB246" i="5" s="1"/>
  <c r="C246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Q246" i="5"/>
  <c r="R246" i="5"/>
  <c r="S246" i="5"/>
  <c r="T246" i="5"/>
  <c r="U246" i="5"/>
  <c r="V246" i="5"/>
  <c r="W246" i="5"/>
  <c r="X246" i="5"/>
  <c r="AC246" i="5"/>
  <c r="B247" i="5"/>
  <c r="C247" i="5"/>
  <c r="D247" i="5"/>
  <c r="E247" i="5"/>
  <c r="F247" i="5"/>
  <c r="G247" i="5"/>
  <c r="H247" i="5"/>
  <c r="I247" i="5"/>
  <c r="J247" i="5"/>
  <c r="K247" i="5"/>
  <c r="L247" i="5"/>
  <c r="M247" i="5"/>
  <c r="AC247" i="5" s="1"/>
  <c r="N247" i="5"/>
  <c r="O247" i="5"/>
  <c r="P247" i="5"/>
  <c r="Q247" i="5"/>
  <c r="R247" i="5"/>
  <c r="S247" i="5"/>
  <c r="T247" i="5"/>
  <c r="U247" i="5"/>
  <c r="V247" i="5"/>
  <c r="W247" i="5"/>
  <c r="X247" i="5"/>
  <c r="AB247" i="5"/>
  <c r="B248" i="5"/>
  <c r="AB248" i="5" s="1"/>
  <c r="C248" i="5"/>
  <c r="D248" i="5"/>
  <c r="E248" i="5"/>
  <c r="F248" i="5"/>
  <c r="G248" i="5"/>
  <c r="H248" i="5"/>
  <c r="I248" i="5"/>
  <c r="J248" i="5"/>
  <c r="K248" i="5"/>
  <c r="L248" i="5"/>
  <c r="M248" i="5"/>
  <c r="N248" i="5"/>
  <c r="O248" i="5"/>
  <c r="P248" i="5"/>
  <c r="AC248" i="5" s="1"/>
  <c r="Q248" i="5"/>
  <c r="R248" i="5"/>
  <c r="S248" i="5"/>
  <c r="T248" i="5"/>
  <c r="U248" i="5"/>
  <c r="V248" i="5"/>
  <c r="W248" i="5"/>
  <c r="X248" i="5"/>
  <c r="B249" i="5"/>
  <c r="C249" i="5"/>
  <c r="AB249" i="5" s="1"/>
  <c r="D249" i="5"/>
  <c r="E249" i="5"/>
  <c r="F249" i="5"/>
  <c r="G249" i="5"/>
  <c r="H249" i="5"/>
  <c r="I249" i="5"/>
  <c r="J249" i="5"/>
  <c r="K249" i="5"/>
  <c r="L249" i="5"/>
  <c r="M249" i="5"/>
  <c r="AC249" i="5" s="1"/>
  <c r="N249" i="5"/>
  <c r="O249" i="5"/>
  <c r="P249" i="5"/>
  <c r="Q249" i="5"/>
  <c r="R249" i="5"/>
  <c r="S249" i="5"/>
  <c r="T249" i="5"/>
  <c r="U249" i="5"/>
  <c r="V249" i="5"/>
  <c r="W249" i="5"/>
  <c r="X249" i="5"/>
  <c r="B250" i="5"/>
  <c r="AB250" i="5" s="1"/>
  <c r="C250" i="5"/>
  <c r="D250" i="5"/>
  <c r="E250" i="5"/>
  <c r="F250" i="5"/>
  <c r="G250" i="5"/>
  <c r="H250" i="5"/>
  <c r="I250" i="5"/>
  <c r="J250" i="5"/>
  <c r="K250" i="5"/>
  <c r="L250" i="5"/>
  <c r="M250" i="5"/>
  <c r="N250" i="5"/>
  <c r="O250" i="5"/>
  <c r="P250" i="5"/>
  <c r="Q250" i="5"/>
  <c r="R250" i="5"/>
  <c r="S250" i="5"/>
  <c r="T250" i="5"/>
  <c r="U250" i="5"/>
  <c r="V250" i="5"/>
  <c r="W250" i="5"/>
  <c r="X250" i="5"/>
  <c r="AC250" i="5"/>
  <c r="B251" i="5"/>
  <c r="C251" i="5"/>
  <c r="D251" i="5"/>
  <c r="E251" i="5"/>
  <c r="F251" i="5"/>
  <c r="G251" i="5"/>
  <c r="H251" i="5"/>
  <c r="I251" i="5"/>
  <c r="J251" i="5"/>
  <c r="K251" i="5"/>
  <c r="L251" i="5"/>
  <c r="M251" i="5"/>
  <c r="AC251" i="5" s="1"/>
  <c r="N251" i="5"/>
  <c r="O251" i="5"/>
  <c r="P251" i="5"/>
  <c r="Q251" i="5"/>
  <c r="R251" i="5"/>
  <c r="S251" i="5"/>
  <c r="T251" i="5"/>
  <c r="U251" i="5"/>
  <c r="V251" i="5"/>
  <c r="W251" i="5"/>
  <c r="X251" i="5"/>
  <c r="AB251" i="5"/>
  <c r="B252" i="5"/>
  <c r="AB252" i="5" s="1"/>
  <c r="C252" i="5"/>
  <c r="D252" i="5"/>
  <c r="E252" i="5"/>
  <c r="F252" i="5"/>
  <c r="G252" i="5"/>
  <c r="H252" i="5"/>
  <c r="I252" i="5"/>
  <c r="J252" i="5"/>
  <c r="K252" i="5"/>
  <c r="L252" i="5"/>
  <c r="M252" i="5"/>
  <c r="N252" i="5"/>
  <c r="O252" i="5"/>
  <c r="P252" i="5"/>
  <c r="AC252" i="5" s="1"/>
  <c r="Q252" i="5"/>
  <c r="R252" i="5"/>
  <c r="S252" i="5"/>
  <c r="T252" i="5"/>
  <c r="U252" i="5"/>
  <c r="V252" i="5"/>
  <c r="W252" i="5"/>
  <c r="X252" i="5"/>
  <c r="B253" i="5"/>
  <c r="C253" i="5"/>
  <c r="AB253" i="5" s="1"/>
  <c r="D253" i="5"/>
  <c r="E253" i="5"/>
  <c r="F253" i="5"/>
  <c r="G253" i="5"/>
  <c r="H253" i="5"/>
  <c r="I253" i="5"/>
  <c r="J253" i="5"/>
  <c r="K253" i="5"/>
  <c r="L253" i="5"/>
  <c r="M253" i="5"/>
  <c r="AC253" i="5" s="1"/>
  <c r="N253" i="5"/>
  <c r="O253" i="5"/>
  <c r="P253" i="5"/>
  <c r="Q253" i="5"/>
  <c r="R253" i="5"/>
  <c r="S253" i="5"/>
  <c r="T253" i="5"/>
  <c r="U253" i="5"/>
  <c r="V253" i="5"/>
  <c r="W253" i="5"/>
  <c r="X253" i="5"/>
  <c r="B254" i="5"/>
  <c r="AB254" i="5" s="1"/>
  <c r="C254" i="5"/>
  <c r="D254" i="5"/>
  <c r="E254" i="5"/>
  <c r="F254" i="5"/>
  <c r="G254" i="5"/>
  <c r="H254" i="5"/>
  <c r="I254" i="5"/>
  <c r="J254" i="5"/>
  <c r="K254" i="5"/>
  <c r="L254" i="5"/>
  <c r="M254" i="5"/>
  <c r="N254" i="5"/>
  <c r="O254" i="5"/>
  <c r="P254" i="5"/>
  <c r="Q254" i="5"/>
  <c r="R254" i="5"/>
  <c r="S254" i="5"/>
  <c r="T254" i="5"/>
  <c r="U254" i="5"/>
  <c r="V254" i="5"/>
  <c r="W254" i="5"/>
  <c r="X254" i="5"/>
  <c r="AC254" i="5"/>
  <c r="B255" i="5"/>
  <c r="C255" i="5"/>
  <c r="D255" i="5"/>
  <c r="E255" i="5"/>
  <c r="F255" i="5"/>
  <c r="G255" i="5"/>
  <c r="H255" i="5"/>
  <c r="I255" i="5"/>
  <c r="J255" i="5"/>
  <c r="K255" i="5"/>
  <c r="L255" i="5"/>
  <c r="M255" i="5"/>
  <c r="AC255" i="5" s="1"/>
  <c r="N255" i="5"/>
  <c r="O255" i="5"/>
  <c r="P255" i="5"/>
  <c r="Q255" i="5"/>
  <c r="R255" i="5"/>
  <c r="S255" i="5"/>
  <c r="T255" i="5"/>
  <c r="U255" i="5"/>
  <c r="V255" i="5"/>
  <c r="W255" i="5"/>
  <c r="X255" i="5"/>
  <c r="AB255" i="5"/>
  <c r="B256" i="5"/>
  <c r="AB256" i="5" s="1"/>
  <c r="C256" i="5"/>
  <c r="D256" i="5"/>
  <c r="E256" i="5"/>
  <c r="F256" i="5"/>
  <c r="G256" i="5"/>
  <c r="H256" i="5"/>
  <c r="I256" i="5"/>
  <c r="J256" i="5"/>
  <c r="K256" i="5"/>
  <c r="L256" i="5"/>
  <c r="M256" i="5"/>
  <c r="N256" i="5"/>
  <c r="O256" i="5"/>
  <c r="P256" i="5"/>
  <c r="AC256" i="5" s="1"/>
  <c r="Q256" i="5"/>
  <c r="R256" i="5"/>
  <c r="S256" i="5"/>
  <c r="T256" i="5"/>
  <c r="U256" i="5"/>
  <c r="V256" i="5"/>
  <c r="W256" i="5"/>
  <c r="X256" i="5"/>
  <c r="B257" i="5"/>
  <c r="C257" i="5"/>
  <c r="AB257" i="5" s="1"/>
  <c r="D257" i="5"/>
  <c r="E257" i="5"/>
  <c r="F257" i="5"/>
  <c r="G257" i="5"/>
  <c r="H257" i="5"/>
  <c r="I257" i="5"/>
  <c r="J257" i="5"/>
  <c r="K257" i="5"/>
  <c r="L257" i="5"/>
  <c r="M257" i="5"/>
  <c r="AC257" i="5" s="1"/>
  <c r="N257" i="5"/>
  <c r="O257" i="5"/>
  <c r="P257" i="5"/>
  <c r="Q257" i="5"/>
  <c r="R257" i="5"/>
  <c r="S257" i="5"/>
  <c r="T257" i="5"/>
  <c r="U257" i="5"/>
  <c r="V257" i="5"/>
  <c r="W257" i="5"/>
  <c r="X257" i="5"/>
  <c r="B258" i="5"/>
  <c r="AB258" i="5" s="1"/>
  <c r="C258" i="5"/>
  <c r="D258" i="5"/>
  <c r="E258" i="5"/>
  <c r="F258" i="5"/>
  <c r="G258" i="5"/>
  <c r="H258" i="5"/>
  <c r="I258" i="5"/>
  <c r="J258" i="5"/>
  <c r="K258" i="5"/>
  <c r="L258" i="5"/>
  <c r="M258" i="5"/>
  <c r="N258" i="5"/>
  <c r="O258" i="5"/>
  <c r="P258" i="5"/>
  <c r="Q258" i="5"/>
  <c r="R258" i="5"/>
  <c r="S258" i="5"/>
  <c r="T258" i="5"/>
  <c r="U258" i="5"/>
  <c r="V258" i="5"/>
  <c r="W258" i="5"/>
  <c r="X258" i="5"/>
  <c r="AC258" i="5"/>
  <c r="B259" i="5"/>
  <c r="C259" i="5"/>
  <c r="D259" i="5"/>
  <c r="E259" i="5"/>
  <c r="F259" i="5"/>
  <c r="G259" i="5"/>
  <c r="H259" i="5"/>
  <c r="I259" i="5"/>
  <c r="J259" i="5"/>
  <c r="K259" i="5"/>
  <c r="L259" i="5"/>
  <c r="M259" i="5"/>
  <c r="AC259" i="5" s="1"/>
  <c r="N259" i="5"/>
  <c r="O259" i="5"/>
  <c r="P259" i="5"/>
  <c r="Q259" i="5"/>
  <c r="R259" i="5"/>
  <c r="S259" i="5"/>
  <c r="T259" i="5"/>
  <c r="U259" i="5"/>
  <c r="V259" i="5"/>
  <c r="W259" i="5"/>
  <c r="X259" i="5"/>
  <c r="AB259" i="5"/>
  <c r="B260" i="5"/>
  <c r="AB260" i="5" s="1"/>
  <c r="C260" i="5"/>
  <c r="D260" i="5"/>
  <c r="E260" i="5"/>
  <c r="F260" i="5"/>
  <c r="G260" i="5"/>
  <c r="H260" i="5"/>
  <c r="I260" i="5"/>
  <c r="J260" i="5"/>
  <c r="K260" i="5"/>
  <c r="L260" i="5"/>
  <c r="M260" i="5"/>
  <c r="N260" i="5"/>
  <c r="O260" i="5"/>
  <c r="P260" i="5"/>
  <c r="AC260" i="5" s="1"/>
  <c r="Q260" i="5"/>
  <c r="R260" i="5"/>
  <c r="S260" i="5"/>
  <c r="T260" i="5"/>
  <c r="U260" i="5"/>
  <c r="V260" i="5"/>
  <c r="W260" i="5"/>
  <c r="X260" i="5"/>
  <c r="B261" i="5"/>
  <c r="C261" i="5"/>
  <c r="AB261" i="5" s="1"/>
  <c r="D261" i="5"/>
  <c r="E261" i="5"/>
  <c r="F261" i="5"/>
  <c r="G261" i="5"/>
  <c r="H261" i="5"/>
  <c r="I261" i="5"/>
  <c r="J261" i="5"/>
  <c r="K261" i="5"/>
  <c r="L261" i="5"/>
  <c r="M261" i="5"/>
  <c r="AC261" i="5" s="1"/>
  <c r="N261" i="5"/>
  <c r="O261" i="5"/>
  <c r="P261" i="5"/>
  <c r="Q261" i="5"/>
  <c r="R261" i="5"/>
  <c r="S261" i="5"/>
  <c r="T261" i="5"/>
  <c r="U261" i="5"/>
  <c r="V261" i="5"/>
  <c r="W261" i="5"/>
  <c r="X261" i="5"/>
  <c r="B262" i="5"/>
  <c r="AB262" i="5" s="1"/>
  <c r="C262" i="5"/>
  <c r="D262" i="5"/>
  <c r="E262" i="5"/>
  <c r="F262" i="5"/>
  <c r="G262" i="5"/>
  <c r="H262" i="5"/>
  <c r="I262" i="5"/>
  <c r="J262" i="5"/>
  <c r="K262" i="5"/>
  <c r="L262" i="5"/>
  <c r="M262" i="5"/>
  <c r="N262" i="5"/>
  <c r="O262" i="5"/>
  <c r="P262" i="5"/>
  <c r="Q262" i="5"/>
  <c r="R262" i="5"/>
  <c r="S262" i="5"/>
  <c r="T262" i="5"/>
  <c r="U262" i="5"/>
  <c r="V262" i="5"/>
  <c r="W262" i="5"/>
  <c r="X262" i="5"/>
  <c r="AC262" i="5"/>
  <c r="B263" i="5"/>
  <c r="C263" i="5"/>
  <c r="D263" i="5"/>
  <c r="E263" i="5"/>
  <c r="F263" i="5"/>
  <c r="G263" i="5"/>
  <c r="H263" i="5"/>
  <c r="I263" i="5"/>
  <c r="J263" i="5"/>
  <c r="K263" i="5"/>
  <c r="L263" i="5"/>
  <c r="M263" i="5"/>
  <c r="AC263" i="5" s="1"/>
  <c r="N263" i="5"/>
  <c r="O263" i="5"/>
  <c r="P263" i="5"/>
  <c r="Q263" i="5"/>
  <c r="R263" i="5"/>
  <c r="S263" i="5"/>
  <c r="T263" i="5"/>
  <c r="U263" i="5"/>
  <c r="V263" i="5"/>
  <c r="W263" i="5"/>
  <c r="X263" i="5"/>
  <c r="AB263" i="5"/>
  <c r="B264" i="5"/>
  <c r="AB264" i="5" s="1"/>
  <c r="C264" i="5"/>
  <c r="D264" i="5"/>
  <c r="E264" i="5"/>
  <c r="F264" i="5"/>
  <c r="G264" i="5"/>
  <c r="H264" i="5"/>
  <c r="I264" i="5"/>
  <c r="J264" i="5"/>
  <c r="K264" i="5"/>
  <c r="L264" i="5"/>
  <c r="M264" i="5"/>
  <c r="N264" i="5"/>
  <c r="O264" i="5"/>
  <c r="P264" i="5"/>
  <c r="AC264" i="5" s="1"/>
  <c r="Q264" i="5"/>
  <c r="R264" i="5"/>
  <c r="S264" i="5"/>
  <c r="T264" i="5"/>
  <c r="U264" i="5"/>
  <c r="V264" i="5"/>
  <c r="W264" i="5"/>
  <c r="X264" i="5"/>
  <c r="B265" i="5"/>
  <c r="C265" i="5"/>
  <c r="AB265" i="5" s="1"/>
  <c r="D265" i="5"/>
  <c r="E265" i="5"/>
  <c r="F265" i="5"/>
  <c r="G265" i="5"/>
  <c r="H265" i="5"/>
  <c r="I265" i="5"/>
  <c r="J265" i="5"/>
  <c r="K265" i="5"/>
  <c r="L265" i="5"/>
  <c r="M265" i="5"/>
  <c r="AC265" i="5" s="1"/>
  <c r="N265" i="5"/>
  <c r="O265" i="5"/>
  <c r="P265" i="5"/>
  <c r="Q265" i="5"/>
  <c r="R265" i="5"/>
  <c r="S265" i="5"/>
  <c r="T265" i="5"/>
  <c r="U265" i="5"/>
  <c r="V265" i="5"/>
  <c r="W265" i="5"/>
  <c r="X265" i="5"/>
  <c r="B266" i="5"/>
  <c r="AB266" i="5" s="1"/>
  <c r="C266" i="5"/>
  <c r="D266" i="5"/>
  <c r="E266" i="5"/>
  <c r="F266" i="5"/>
  <c r="G266" i="5"/>
  <c r="H266" i="5"/>
  <c r="I266" i="5"/>
  <c r="J266" i="5"/>
  <c r="K266" i="5"/>
  <c r="L266" i="5"/>
  <c r="M266" i="5"/>
  <c r="N266" i="5"/>
  <c r="O266" i="5"/>
  <c r="P266" i="5"/>
  <c r="Q266" i="5"/>
  <c r="R266" i="5"/>
  <c r="S266" i="5"/>
  <c r="T266" i="5"/>
  <c r="U266" i="5"/>
  <c r="V266" i="5"/>
  <c r="W266" i="5"/>
  <c r="X266" i="5"/>
  <c r="AC266" i="5"/>
  <c r="B267" i="5"/>
  <c r="C267" i="5"/>
  <c r="D267" i="5"/>
  <c r="E267" i="5"/>
  <c r="F267" i="5"/>
  <c r="G267" i="5"/>
  <c r="H267" i="5"/>
  <c r="I267" i="5"/>
  <c r="J267" i="5"/>
  <c r="K267" i="5"/>
  <c r="L267" i="5"/>
  <c r="M267" i="5"/>
  <c r="AC267" i="5" s="1"/>
  <c r="N267" i="5"/>
  <c r="O267" i="5"/>
  <c r="P267" i="5"/>
  <c r="Q267" i="5"/>
  <c r="R267" i="5"/>
  <c r="S267" i="5"/>
  <c r="T267" i="5"/>
  <c r="U267" i="5"/>
  <c r="V267" i="5"/>
  <c r="W267" i="5"/>
  <c r="X267" i="5"/>
  <c r="AB267" i="5"/>
  <c r="B268" i="5"/>
  <c r="AB268" i="5" s="1"/>
  <c r="C268" i="5"/>
  <c r="D268" i="5"/>
  <c r="E268" i="5"/>
  <c r="F268" i="5"/>
  <c r="G268" i="5"/>
  <c r="H268" i="5"/>
  <c r="I268" i="5"/>
  <c r="J268" i="5"/>
  <c r="K268" i="5"/>
  <c r="L268" i="5"/>
  <c r="M268" i="5"/>
  <c r="N268" i="5"/>
  <c r="O268" i="5"/>
  <c r="P268" i="5"/>
  <c r="AC268" i="5" s="1"/>
  <c r="Q268" i="5"/>
  <c r="R268" i="5"/>
  <c r="S268" i="5"/>
  <c r="T268" i="5"/>
  <c r="U268" i="5"/>
  <c r="V268" i="5"/>
  <c r="W268" i="5"/>
  <c r="X268" i="5"/>
  <c r="B269" i="5"/>
  <c r="C269" i="5"/>
  <c r="AB269" i="5" s="1"/>
  <c r="D269" i="5"/>
  <c r="E269" i="5"/>
  <c r="F269" i="5"/>
  <c r="G269" i="5"/>
  <c r="H269" i="5"/>
  <c r="I269" i="5"/>
  <c r="J269" i="5"/>
  <c r="K269" i="5"/>
  <c r="L269" i="5"/>
  <c r="M269" i="5"/>
  <c r="AC269" i="5" s="1"/>
  <c r="N269" i="5"/>
  <c r="O269" i="5"/>
  <c r="P269" i="5"/>
  <c r="Q269" i="5"/>
  <c r="R269" i="5"/>
  <c r="S269" i="5"/>
  <c r="T269" i="5"/>
  <c r="U269" i="5"/>
  <c r="V269" i="5"/>
  <c r="W269" i="5"/>
  <c r="X269" i="5"/>
  <c r="B270" i="5"/>
  <c r="AB270" i="5" s="1"/>
  <c r="C270" i="5"/>
  <c r="D270" i="5"/>
  <c r="E270" i="5"/>
  <c r="F270" i="5"/>
  <c r="G270" i="5"/>
  <c r="H270" i="5"/>
  <c r="I270" i="5"/>
  <c r="J270" i="5"/>
  <c r="K270" i="5"/>
  <c r="L270" i="5"/>
  <c r="M270" i="5"/>
  <c r="N270" i="5"/>
  <c r="O270" i="5"/>
  <c r="P270" i="5"/>
  <c r="Q270" i="5"/>
  <c r="R270" i="5"/>
  <c r="S270" i="5"/>
  <c r="T270" i="5"/>
  <c r="U270" i="5"/>
  <c r="V270" i="5"/>
  <c r="W270" i="5"/>
  <c r="X270" i="5"/>
  <c r="AC270" i="5"/>
  <c r="B271" i="5"/>
  <c r="C271" i="5"/>
  <c r="D271" i="5"/>
  <c r="E271" i="5"/>
  <c r="F271" i="5"/>
  <c r="G271" i="5"/>
  <c r="H271" i="5"/>
  <c r="I271" i="5"/>
  <c r="J271" i="5"/>
  <c r="K271" i="5"/>
  <c r="L271" i="5"/>
  <c r="M271" i="5"/>
  <c r="AC271" i="5" s="1"/>
  <c r="N271" i="5"/>
  <c r="O271" i="5"/>
  <c r="P271" i="5"/>
  <c r="Q271" i="5"/>
  <c r="R271" i="5"/>
  <c r="S271" i="5"/>
  <c r="T271" i="5"/>
  <c r="U271" i="5"/>
  <c r="V271" i="5"/>
  <c r="W271" i="5"/>
  <c r="X271" i="5"/>
  <c r="AB271" i="5"/>
  <c r="B272" i="5"/>
  <c r="AB272" i="5" s="1"/>
  <c r="C272" i="5"/>
  <c r="D272" i="5"/>
  <c r="E272" i="5"/>
  <c r="F272" i="5"/>
  <c r="G272" i="5"/>
  <c r="H272" i="5"/>
  <c r="I272" i="5"/>
  <c r="J272" i="5"/>
  <c r="K272" i="5"/>
  <c r="L272" i="5"/>
  <c r="M272" i="5"/>
  <c r="N272" i="5"/>
  <c r="O272" i="5"/>
  <c r="P272" i="5"/>
  <c r="AC272" i="5" s="1"/>
  <c r="Q272" i="5"/>
  <c r="R272" i="5"/>
  <c r="S272" i="5"/>
  <c r="T272" i="5"/>
  <c r="U272" i="5"/>
  <c r="V272" i="5"/>
  <c r="W272" i="5"/>
  <c r="X272" i="5"/>
  <c r="B273" i="5"/>
  <c r="C273" i="5"/>
  <c r="AB273" i="5" s="1"/>
  <c r="D273" i="5"/>
  <c r="E273" i="5"/>
  <c r="F273" i="5"/>
  <c r="G273" i="5"/>
  <c r="H273" i="5"/>
  <c r="I273" i="5"/>
  <c r="J273" i="5"/>
  <c r="K273" i="5"/>
  <c r="L273" i="5"/>
  <c r="M273" i="5"/>
  <c r="AC273" i="5" s="1"/>
  <c r="N273" i="5"/>
  <c r="O273" i="5"/>
  <c r="P273" i="5"/>
  <c r="Q273" i="5"/>
  <c r="R273" i="5"/>
  <c r="S273" i="5"/>
  <c r="T273" i="5"/>
  <c r="U273" i="5"/>
  <c r="V273" i="5"/>
  <c r="W273" i="5"/>
  <c r="X273" i="5"/>
  <c r="B274" i="5"/>
  <c r="AB274" i="5" s="1"/>
  <c r="C274" i="5"/>
  <c r="D274" i="5"/>
  <c r="E274" i="5"/>
  <c r="F274" i="5"/>
  <c r="G274" i="5"/>
  <c r="H274" i="5"/>
  <c r="I274" i="5"/>
  <c r="J274" i="5"/>
  <c r="K274" i="5"/>
  <c r="L274" i="5"/>
  <c r="M274" i="5"/>
  <c r="N274" i="5"/>
  <c r="O274" i="5"/>
  <c r="P274" i="5"/>
  <c r="Q274" i="5"/>
  <c r="R274" i="5"/>
  <c r="S274" i="5"/>
  <c r="T274" i="5"/>
  <c r="U274" i="5"/>
  <c r="V274" i="5"/>
  <c r="W274" i="5"/>
  <c r="X274" i="5"/>
  <c r="AC274" i="5"/>
  <c r="B275" i="5"/>
  <c r="C275" i="5"/>
  <c r="D275" i="5"/>
  <c r="E275" i="5"/>
  <c r="F275" i="5"/>
  <c r="G275" i="5"/>
  <c r="H275" i="5"/>
  <c r="I275" i="5"/>
  <c r="J275" i="5"/>
  <c r="K275" i="5"/>
  <c r="L275" i="5"/>
  <c r="M275" i="5"/>
  <c r="AC275" i="5" s="1"/>
  <c r="N275" i="5"/>
  <c r="O275" i="5"/>
  <c r="P275" i="5"/>
  <c r="Q275" i="5"/>
  <c r="R275" i="5"/>
  <c r="S275" i="5"/>
  <c r="T275" i="5"/>
  <c r="U275" i="5"/>
  <c r="V275" i="5"/>
  <c r="W275" i="5"/>
  <c r="X275" i="5"/>
  <c r="AB275" i="5"/>
  <c r="B276" i="5"/>
  <c r="AB276" i="5" s="1"/>
  <c r="C276" i="5"/>
  <c r="D276" i="5"/>
  <c r="E276" i="5"/>
  <c r="F276" i="5"/>
  <c r="G276" i="5"/>
  <c r="H276" i="5"/>
  <c r="I276" i="5"/>
  <c r="J276" i="5"/>
  <c r="K276" i="5"/>
  <c r="L276" i="5"/>
  <c r="M276" i="5"/>
  <c r="N276" i="5"/>
  <c r="O276" i="5"/>
  <c r="P276" i="5"/>
  <c r="AC276" i="5" s="1"/>
  <c r="Q276" i="5"/>
  <c r="R276" i="5"/>
  <c r="S276" i="5"/>
  <c r="T276" i="5"/>
  <c r="U276" i="5"/>
  <c r="V276" i="5"/>
  <c r="W276" i="5"/>
  <c r="X276" i="5"/>
  <c r="B277" i="5"/>
  <c r="C277" i="5"/>
  <c r="AB277" i="5" s="1"/>
  <c r="D277" i="5"/>
  <c r="E277" i="5"/>
  <c r="F277" i="5"/>
  <c r="G277" i="5"/>
  <c r="H277" i="5"/>
  <c r="I277" i="5"/>
  <c r="J277" i="5"/>
  <c r="K277" i="5"/>
  <c r="L277" i="5"/>
  <c r="M277" i="5"/>
  <c r="AC277" i="5" s="1"/>
  <c r="N277" i="5"/>
  <c r="O277" i="5"/>
  <c r="P277" i="5"/>
  <c r="Q277" i="5"/>
  <c r="R277" i="5"/>
  <c r="S277" i="5"/>
  <c r="T277" i="5"/>
  <c r="U277" i="5"/>
  <c r="V277" i="5"/>
  <c r="W277" i="5"/>
  <c r="X277" i="5"/>
  <c r="B278" i="5"/>
  <c r="AB278" i="5" s="1"/>
  <c r="C278" i="5"/>
  <c r="D278" i="5"/>
  <c r="E278" i="5"/>
  <c r="F278" i="5"/>
  <c r="G278" i="5"/>
  <c r="H278" i="5"/>
  <c r="I278" i="5"/>
  <c r="J278" i="5"/>
  <c r="K278" i="5"/>
  <c r="L278" i="5"/>
  <c r="M278" i="5"/>
  <c r="N278" i="5"/>
  <c r="O278" i="5"/>
  <c r="P278" i="5"/>
  <c r="Q278" i="5"/>
  <c r="R278" i="5"/>
  <c r="S278" i="5"/>
  <c r="T278" i="5"/>
  <c r="U278" i="5"/>
  <c r="V278" i="5"/>
  <c r="W278" i="5"/>
  <c r="X278" i="5"/>
  <c r="AC278" i="5"/>
  <c r="B279" i="5"/>
  <c r="C279" i="5"/>
  <c r="D279" i="5"/>
  <c r="E279" i="5"/>
  <c r="F279" i="5"/>
  <c r="G279" i="5"/>
  <c r="H279" i="5"/>
  <c r="I279" i="5"/>
  <c r="J279" i="5"/>
  <c r="K279" i="5"/>
  <c r="L279" i="5"/>
  <c r="M279" i="5"/>
  <c r="AC279" i="5" s="1"/>
  <c r="N279" i="5"/>
  <c r="O279" i="5"/>
  <c r="P279" i="5"/>
  <c r="Q279" i="5"/>
  <c r="R279" i="5"/>
  <c r="S279" i="5"/>
  <c r="T279" i="5"/>
  <c r="U279" i="5"/>
  <c r="V279" i="5"/>
  <c r="W279" i="5"/>
  <c r="X279" i="5"/>
  <c r="AB279" i="5"/>
  <c r="B280" i="5"/>
  <c r="AB280" i="5" s="1"/>
  <c r="C280" i="5"/>
  <c r="D280" i="5"/>
  <c r="E280" i="5"/>
  <c r="F280" i="5"/>
  <c r="G280" i="5"/>
  <c r="H280" i="5"/>
  <c r="I280" i="5"/>
  <c r="J280" i="5"/>
  <c r="K280" i="5"/>
  <c r="L280" i="5"/>
  <c r="M280" i="5"/>
  <c r="N280" i="5"/>
  <c r="O280" i="5"/>
  <c r="P280" i="5"/>
  <c r="AC280" i="5" s="1"/>
  <c r="Q280" i="5"/>
  <c r="R280" i="5"/>
  <c r="S280" i="5"/>
  <c r="T280" i="5"/>
  <c r="U280" i="5"/>
  <c r="V280" i="5"/>
  <c r="W280" i="5"/>
  <c r="X280" i="5"/>
  <c r="B281" i="5"/>
  <c r="C281" i="5"/>
  <c r="AB281" i="5" s="1"/>
  <c r="D281" i="5"/>
  <c r="E281" i="5"/>
  <c r="F281" i="5"/>
  <c r="G281" i="5"/>
  <c r="H281" i="5"/>
  <c r="I281" i="5"/>
  <c r="J281" i="5"/>
  <c r="K281" i="5"/>
  <c r="L281" i="5"/>
  <c r="M281" i="5"/>
  <c r="AC281" i="5" s="1"/>
  <c r="N281" i="5"/>
  <c r="O281" i="5"/>
  <c r="P281" i="5"/>
  <c r="Q281" i="5"/>
  <c r="R281" i="5"/>
  <c r="S281" i="5"/>
  <c r="T281" i="5"/>
  <c r="U281" i="5"/>
  <c r="V281" i="5"/>
  <c r="W281" i="5"/>
  <c r="X281" i="5"/>
  <c r="B282" i="5"/>
  <c r="AB282" i="5" s="1"/>
  <c r="C282" i="5"/>
  <c r="D282" i="5"/>
  <c r="E282" i="5"/>
  <c r="F282" i="5"/>
  <c r="G282" i="5"/>
  <c r="H282" i="5"/>
  <c r="I282" i="5"/>
  <c r="J282" i="5"/>
  <c r="K282" i="5"/>
  <c r="L282" i="5"/>
  <c r="M282" i="5"/>
  <c r="N282" i="5"/>
  <c r="O282" i="5"/>
  <c r="P282" i="5"/>
  <c r="Q282" i="5"/>
  <c r="R282" i="5"/>
  <c r="S282" i="5"/>
  <c r="T282" i="5"/>
  <c r="U282" i="5"/>
  <c r="V282" i="5"/>
  <c r="W282" i="5"/>
  <c r="X282" i="5"/>
  <c r="AC282" i="5"/>
  <c r="B283" i="5"/>
  <c r="C283" i="5"/>
  <c r="D283" i="5"/>
  <c r="E283" i="5"/>
  <c r="F283" i="5"/>
  <c r="G283" i="5"/>
  <c r="H283" i="5"/>
  <c r="I283" i="5"/>
  <c r="J283" i="5"/>
  <c r="K283" i="5"/>
  <c r="L283" i="5"/>
  <c r="M283" i="5"/>
  <c r="AC283" i="5" s="1"/>
  <c r="N283" i="5"/>
  <c r="O283" i="5"/>
  <c r="P283" i="5"/>
  <c r="Q283" i="5"/>
  <c r="R283" i="5"/>
  <c r="S283" i="5"/>
  <c r="T283" i="5"/>
  <c r="U283" i="5"/>
  <c r="V283" i="5"/>
  <c r="W283" i="5"/>
  <c r="X283" i="5"/>
  <c r="AB283" i="5"/>
  <c r="B284" i="5"/>
  <c r="AB284" i="5" s="1"/>
  <c r="C284" i="5"/>
  <c r="D284" i="5"/>
  <c r="E284" i="5"/>
  <c r="F284" i="5"/>
  <c r="G284" i="5"/>
  <c r="H284" i="5"/>
  <c r="I284" i="5"/>
  <c r="J284" i="5"/>
  <c r="K284" i="5"/>
  <c r="L284" i="5"/>
  <c r="M284" i="5"/>
  <c r="N284" i="5"/>
  <c r="O284" i="5"/>
  <c r="P284" i="5"/>
  <c r="AC284" i="5" s="1"/>
  <c r="Q284" i="5"/>
  <c r="R284" i="5"/>
  <c r="S284" i="5"/>
  <c r="T284" i="5"/>
  <c r="U284" i="5"/>
  <c r="V284" i="5"/>
  <c r="W284" i="5"/>
  <c r="X284" i="5"/>
  <c r="B285" i="5"/>
  <c r="C285" i="5"/>
  <c r="AB285" i="5" s="1"/>
  <c r="D285" i="5"/>
  <c r="E285" i="5"/>
  <c r="F285" i="5"/>
  <c r="G285" i="5"/>
  <c r="H285" i="5"/>
  <c r="I285" i="5"/>
  <c r="J285" i="5"/>
  <c r="K285" i="5"/>
  <c r="L285" i="5"/>
  <c r="M285" i="5"/>
  <c r="AC285" i="5" s="1"/>
  <c r="N285" i="5"/>
  <c r="O285" i="5"/>
  <c r="P285" i="5"/>
  <c r="Q285" i="5"/>
  <c r="R285" i="5"/>
  <c r="S285" i="5"/>
  <c r="T285" i="5"/>
  <c r="U285" i="5"/>
  <c r="V285" i="5"/>
  <c r="W285" i="5"/>
  <c r="X285" i="5"/>
  <c r="B286" i="5"/>
  <c r="AB286" i="5" s="1"/>
  <c r="C286" i="5"/>
  <c r="D286" i="5"/>
  <c r="E286" i="5"/>
  <c r="F286" i="5"/>
  <c r="G286" i="5"/>
  <c r="H286" i="5"/>
  <c r="I286" i="5"/>
  <c r="J286" i="5"/>
  <c r="K286" i="5"/>
  <c r="L286" i="5"/>
  <c r="M286" i="5"/>
  <c r="N286" i="5"/>
  <c r="O286" i="5"/>
  <c r="P286" i="5"/>
  <c r="Q286" i="5"/>
  <c r="R286" i="5"/>
  <c r="S286" i="5"/>
  <c r="T286" i="5"/>
  <c r="U286" i="5"/>
  <c r="V286" i="5"/>
  <c r="W286" i="5"/>
  <c r="X286" i="5"/>
  <c r="AC286" i="5"/>
  <c r="B287" i="5"/>
  <c r="C287" i="5"/>
  <c r="D287" i="5"/>
  <c r="E287" i="5"/>
  <c r="F287" i="5"/>
  <c r="G287" i="5"/>
  <c r="H287" i="5"/>
  <c r="I287" i="5"/>
  <c r="J287" i="5"/>
  <c r="K287" i="5"/>
  <c r="L287" i="5"/>
  <c r="M287" i="5"/>
  <c r="AC287" i="5" s="1"/>
  <c r="N287" i="5"/>
  <c r="O287" i="5"/>
  <c r="P287" i="5"/>
  <c r="Q287" i="5"/>
  <c r="R287" i="5"/>
  <c r="S287" i="5"/>
  <c r="T287" i="5"/>
  <c r="U287" i="5"/>
  <c r="V287" i="5"/>
  <c r="W287" i="5"/>
  <c r="X287" i="5"/>
  <c r="AB287" i="5"/>
  <c r="B288" i="5"/>
  <c r="AB288" i="5" s="1"/>
  <c r="C288" i="5"/>
  <c r="D288" i="5"/>
  <c r="E288" i="5"/>
  <c r="F288" i="5"/>
  <c r="G288" i="5"/>
  <c r="H288" i="5"/>
  <c r="I288" i="5"/>
  <c r="J288" i="5"/>
  <c r="K288" i="5"/>
  <c r="L288" i="5"/>
  <c r="M288" i="5"/>
  <c r="N288" i="5"/>
  <c r="O288" i="5"/>
  <c r="P288" i="5"/>
  <c r="AC288" i="5" s="1"/>
  <c r="Q288" i="5"/>
  <c r="R288" i="5"/>
  <c r="S288" i="5"/>
  <c r="T288" i="5"/>
  <c r="U288" i="5"/>
  <c r="V288" i="5"/>
  <c r="W288" i="5"/>
  <c r="X288" i="5"/>
  <c r="B289" i="5"/>
  <c r="C289" i="5"/>
  <c r="AB289" i="5" s="1"/>
  <c r="D289" i="5"/>
  <c r="E289" i="5"/>
  <c r="F289" i="5"/>
  <c r="G289" i="5"/>
  <c r="H289" i="5"/>
  <c r="I289" i="5"/>
  <c r="J289" i="5"/>
  <c r="K289" i="5"/>
  <c r="L289" i="5"/>
  <c r="M289" i="5"/>
  <c r="AC289" i="5" s="1"/>
  <c r="N289" i="5"/>
  <c r="O289" i="5"/>
  <c r="P289" i="5"/>
  <c r="Q289" i="5"/>
  <c r="R289" i="5"/>
  <c r="S289" i="5"/>
  <c r="T289" i="5"/>
  <c r="U289" i="5"/>
  <c r="V289" i="5"/>
  <c r="W289" i="5"/>
  <c r="X289" i="5"/>
  <c r="B290" i="5"/>
  <c r="AB290" i="5" s="1"/>
  <c r="C290" i="5"/>
  <c r="D290" i="5"/>
  <c r="E290" i="5"/>
  <c r="F290" i="5"/>
  <c r="G290" i="5"/>
  <c r="H290" i="5"/>
  <c r="I290" i="5"/>
  <c r="J290" i="5"/>
  <c r="K290" i="5"/>
  <c r="L290" i="5"/>
  <c r="M290" i="5"/>
  <c r="N290" i="5"/>
  <c r="O290" i="5"/>
  <c r="P290" i="5"/>
  <c r="Q290" i="5"/>
  <c r="R290" i="5"/>
  <c r="S290" i="5"/>
  <c r="T290" i="5"/>
  <c r="U290" i="5"/>
  <c r="V290" i="5"/>
  <c r="W290" i="5"/>
  <c r="X290" i="5"/>
  <c r="AC290" i="5"/>
  <c r="B291" i="5"/>
  <c r="C291" i="5"/>
  <c r="D291" i="5"/>
  <c r="E291" i="5"/>
  <c r="F291" i="5"/>
  <c r="G291" i="5"/>
  <c r="H291" i="5"/>
  <c r="I291" i="5"/>
  <c r="J291" i="5"/>
  <c r="K291" i="5"/>
  <c r="L291" i="5"/>
  <c r="M291" i="5"/>
  <c r="AC291" i="5" s="1"/>
  <c r="N291" i="5"/>
  <c r="O291" i="5"/>
  <c r="P291" i="5"/>
  <c r="Q291" i="5"/>
  <c r="R291" i="5"/>
  <c r="S291" i="5"/>
  <c r="T291" i="5"/>
  <c r="U291" i="5"/>
  <c r="V291" i="5"/>
  <c r="W291" i="5"/>
  <c r="X291" i="5"/>
  <c r="AB291" i="5"/>
  <c r="B292" i="5"/>
  <c r="AB292" i="5" s="1"/>
  <c r="C292" i="5"/>
  <c r="D292" i="5"/>
  <c r="E292" i="5"/>
  <c r="F292" i="5"/>
  <c r="G292" i="5"/>
  <c r="H292" i="5"/>
  <c r="I292" i="5"/>
  <c r="J292" i="5"/>
  <c r="K292" i="5"/>
  <c r="L292" i="5"/>
  <c r="M292" i="5"/>
  <c r="N292" i="5"/>
  <c r="O292" i="5"/>
  <c r="P292" i="5"/>
  <c r="AC292" i="5" s="1"/>
  <c r="Q292" i="5"/>
  <c r="R292" i="5"/>
  <c r="S292" i="5"/>
  <c r="T292" i="5"/>
  <c r="U292" i="5"/>
  <c r="V292" i="5"/>
  <c r="W292" i="5"/>
  <c r="X292" i="5"/>
  <c r="B293" i="5"/>
  <c r="C293" i="5"/>
  <c r="AB293" i="5" s="1"/>
  <c r="D293" i="5"/>
  <c r="E293" i="5"/>
  <c r="F293" i="5"/>
  <c r="G293" i="5"/>
  <c r="H293" i="5"/>
  <c r="I293" i="5"/>
  <c r="J293" i="5"/>
  <c r="K293" i="5"/>
  <c r="L293" i="5"/>
  <c r="M293" i="5"/>
  <c r="AC293" i="5" s="1"/>
  <c r="N293" i="5"/>
  <c r="O293" i="5"/>
  <c r="P293" i="5"/>
  <c r="Q293" i="5"/>
  <c r="R293" i="5"/>
  <c r="S293" i="5"/>
  <c r="T293" i="5"/>
  <c r="U293" i="5"/>
  <c r="V293" i="5"/>
  <c r="W293" i="5"/>
  <c r="X293" i="5"/>
  <c r="B294" i="5"/>
  <c r="AB294" i="5" s="1"/>
  <c r="C294" i="5"/>
  <c r="D294" i="5"/>
  <c r="E294" i="5"/>
  <c r="F294" i="5"/>
  <c r="G294" i="5"/>
  <c r="H294" i="5"/>
  <c r="I294" i="5"/>
  <c r="J294" i="5"/>
  <c r="K294" i="5"/>
  <c r="L294" i="5"/>
  <c r="M294" i="5"/>
  <c r="N294" i="5"/>
  <c r="O294" i="5"/>
  <c r="P294" i="5"/>
  <c r="Q294" i="5"/>
  <c r="R294" i="5"/>
  <c r="S294" i="5"/>
  <c r="T294" i="5"/>
  <c r="U294" i="5"/>
  <c r="V294" i="5"/>
  <c r="W294" i="5"/>
  <c r="X294" i="5"/>
  <c r="AC294" i="5"/>
  <c r="B295" i="5"/>
  <c r="C295" i="5"/>
  <c r="D295" i="5"/>
  <c r="E295" i="5"/>
  <c r="F295" i="5"/>
  <c r="G295" i="5"/>
  <c r="H295" i="5"/>
  <c r="I295" i="5"/>
  <c r="J295" i="5"/>
  <c r="K295" i="5"/>
  <c r="L295" i="5"/>
  <c r="M295" i="5"/>
  <c r="AC295" i="5" s="1"/>
  <c r="N295" i="5"/>
  <c r="O295" i="5"/>
  <c r="P295" i="5"/>
  <c r="Q295" i="5"/>
  <c r="R295" i="5"/>
  <c r="S295" i="5"/>
  <c r="T295" i="5"/>
  <c r="U295" i="5"/>
  <c r="V295" i="5"/>
  <c r="W295" i="5"/>
  <c r="X295" i="5"/>
  <c r="AB295" i="5"/>
  <c r="B296" i="5"/>
  <c r="AB296" i="5" s="1"/>
  <c r="C296" i="5"/>
  <c r="D296" i="5"/>
  <c r="E296" i="5"/>
  <c r="F296" i="5"/>
  <c r="G296" i="5"/>
  <c r="H296" i="5"/>
  <c r="I296" i="5"/>
  <c r="J296" i="5"/>
  <c r="K296" i="5"/>
  <c r="L296" i="5"/>
  <c r="M296" i="5"/>
  <c r="N296" i="5"/>
  <c r="O296" i="5"/>
  <c r="P296" i="5"/>
  <c r="AC296" i="5" s="1"/>
  <c r="Q296" i="5"/>
  <c r="R296" i="5"/>
  <c r="S296" i="5"/>
  <c r="T296" i="5"/>
  <c r="U296" i="5"/>
  <c r="V296" i="5"/>
  <c r="W296" i="5"/>
  <c r="X296" i="5"/>
  <c r="B297" i="5"/>
  <c r="C297" i="5"/>
  <c r="AB297" i="5" s="1"/>
  <c r="D297" i="5"/>
  <c r="E297" i="5"/>
  <c r="F297" i="5"/>
  <c r="G297" i="5"/>
  <c r="H297" i="5"/>
  <c r="I297" i="5"/>
  <c r="J297" i="5"/>
  <c r="K297" i="5"/>
  <c r="L297" i="5"/>
  <c r="M297" i="5"/>
  <c r="AC297" i="5" s="1"/>
  <c r="N297" i="5"/>
  <c r="O297" i="5"/>
  <c r="P297" i="5"/>
  <c r="Q297" i="5"/>
  <c r="R297" i="5"/>
  <c r="S297" i="5"/>
  <c r="T297" i="5"/>
  <c r="U297" i="5"/>
  <c r="V297" i="5"/>
  <c r="W297" i="5"/>
  <c r="X297" i="5"/>
  <c r="B298" i="5"/>
  <c r="AB298" i="5" s="1"/>
  <c r="C298" i="5"/>
  <c r="D298" i="5"/>
  <c r="E298" i="5"/>
  <c r="F298" i="5"/>
  <c r="G298" i="5"/>
  <c r="H298" i="5"/>
  <c r="I298" i="5"/>
  <c r="J298" i="5"/>
  <c r="K298" i="5"/>
  <c r="L298" i="5"/>
  <c r="M298" i="5"/>
  <c r="N298" i="5"/>
  <c r="O298" i="5"/>
  <c r="P298" i="5"/>
  <c r="Q298" i="5"/>
  <c r="R298" i="5"/>
  <c r="S298" i="5"/>
  <c r="T298" i="5"/>
  <c r="U298" i="5"/>
  <c r="V298" i="5"/>
  <c r="W298" i="5"/>
  <c r="X298" i="5"/>
  <c r="AC298" i="5"/>
  <c r="B299" i="5"/>
  <c r="C299" i="5"/>
  <c r="D299" i="5"/>
  <c r="E299" i="5"/>
  <c r="F299" i="5"/>
  <c r="G299" i="5"/>
  <c r="H299" i="5"/>
  <c r="I299" i="5"/>
  <c r="J299" i="5"/>
  <c r="K299" i="5"/>
  <c r="L299" i="5"/>
  <c r="M299" i="5"/>
  <c r="AC299" i="5" s="1"/>
  <c r="N299" i="5"/>
  <c r="O299" i="5"/>
  <c r="P299" i="5"/>
  <c r="Q299" i="5"/>
  <c r="R299" i="5"/>
  <c r="S299" i="5"/>
  <c r="T299" i="5"/>
  <c r="U299" i="5"/>
  <c r="V299" i="5"/>
  <c r="W299" i="5"/>
  <c r="X299" i="5"/>
  <c r="AB299" i="5"/>
  <c r="B300" i="5"/>
  <c r="AB300" i="5" s="1"/>
  <c r="C300" i="5"/>
  <c r="D300" i="5"/>
  <c r="E300" i="5"/>
  <c r="F300" i="5"/>
  <c r="G300" i="5"/>
  <c r="H300" i="5"/>
  <c r="I300" i="5"/>
  <c r="J300" i="5"/>
  <c r="K300" i="5"/>
  <c r="L300" i="5"/>
  <c r="M300" i="5"/>
  <c r="N300" i="5"/>
  <c r="O300" i="5"/>
  <c r="P300" i="5"/>
  <c r="AC300" i="5" s="1"/>
  <c r="Q300" i="5"/>
  <c r="R300" i="5"/>
  <c r="S300" i="5"/>
  <c r="T300" i="5"/>
  <c r="U300" i="5"/>
  <c r="V300" i="5"/>
  <c r="W300" i="5"/>
  <c r="X300" i="5"/>
  <c r="B301" i="5"/>
  <c r="C301" i="5"/>
  <c r="AB301" i="5" s="1"/>
  <c r="D301" i="5"/>
  <c r="E301" i="5"/>
  <c r="F301" i="5"/>
  <c r="G301" i="5"/>
  <c r="H301" i="5"/>
  <c r="I301" i="5"/>
  <c r="J301" i="5"/>
  <c r="K301" i="5"/>
  <c r="L301" i="5"/>
  <c r="M301" i="5"/>
  <c r="AC301" i="5" s="1"/>
  <c r="N301" i="5"/>
  <c r="O301" i="5"/>
  <c r="P301" i="5"/>
  <c r="Q301" i="5"/>
  <c r="R301" i="5"/>
  <c r="S301" i="5"/>
  <c r="T301" i="5"/>
  <c r="U301" i="5"/>
  <c r="V301" i="5"/>
  <c r="W301" i="5"/>
  <c r="X301" i="5"/>
  <c r="B302" i="5"/>
  <c r="AB302" i="5" s="1"/>
  <c r="C302" i="5"/>
  <c r="D302" i="5"/>
  <c r="E302" i="5"/>
  <c r="F302" i="5"/>
  <c r="G302" i="5"/>
  <c r="H302" i="5"/>
  <c r="I302" i="5"/>
  <c r="J302" i="5"/>
  <c r="K302" i="5"/>
  <c r="L302" i="5"/>
  <c r="M302" i="5"/>
  <c r="N302" i="5"/>
  <c r="O302" i="5"/>
  <c r="P302" i="5"/>
  <c r="Q302" i="5"/>
  <c r="R302" i="5"/>
  <c r="S302" i="5"/>
  <c r="T302" i="5"/>
  <c r="U302" i="5"/>
  <c r="V302" i="5"/>
  <c r="W302" i="5"/>
  <c r="X302" i="5"/>
  <c r="AC302" i="5"/>
  <c r="B303" i="5"/>
  <c r="C303" i="5"/>
  <c r="D303" i="5"/>
  <c r="E303" i="5"/>
  <c r="F303" i="5"/>
  <c r="G303" i="5"/>
  <c r="H303" i="5"/>
  <c r="I303" i="5"/>
  <c r="J303" i="5"/>
  <c r="K303" i="5"/>
  <c r="L303" i="5"/>
  <c r="M303" i="5"/>
  <c r="AC303" i="5" s="1"/>
  <c r="N303" i="5"/>
  <c r="O303" i="5"/>
  <c r="P303" i="5"/>
  <c r="Q303" i="5"/>
  <c r="R303" i="5"/>
  <c r="S303" i="5"/>
  <c r="T303" i="5"/>
  <c r="U303" i="5"/>
  <c r="V303" i="5"/>
  <c r="W303" i="5"/>
  <c r="X303" i="5"/>
  <c r="AB303" i="5"/>
  <c r="B304" i="5"/>
  <c r="AB304" i="5" s="1"/>
  <c r="C304" i="5"/>
  <c r="D304" i="5"/>
  <c r="E304" i="5"/>
  <c r="F304" i="5"/>
  <c r="G304" i="5"/>
  <c r="H304" i="5"/>
  <c r="I304" i="5"/>
  <c r="J304" i="5"/>
  <c r="K304" i="5"/>
  <c r="L304" i="5"/>
  <c r="M304" i="5"/>
  <c r="N304" i="5"/>
  <c r="O304" i="5"/>
  <c r="P304" i="5"/>
  <c r="AC304" i="5" s="1"/>
  <c r="Q304" i="5"/>
  <c r="R304" i="5"/>
  <c r="S304" i="5"/>
  <c r="T304" i="5"/>
  <c r="U304" i="5"/>
  <c r="V304" i="5"/>
  <c r="W304" i="5"/>
  <c r="X304" i="5"/>
  <c r="B305" i="5"/>
  <c r="C305" i="5"/>
  <c r="AB305" i="5" s="1"/>
  <c r="D305" i="5"/>
  <c r="E305" i="5"/>
  <c r="F305" i="5"/>
  <c r="G305" i="5"/>
  <c r="H305" i="5"/>
  <c r="I305" i="5"/>
  <c r="J305" i="5"/>
  <c r="K305" i="5"/>
  <c r="L305" i="5"/>
  <c r="M305" i="5"/>
  <c r="AC305" i="5" s="1"/>
  <c r="N305" i="5"/>
  <c r="O305" i="5"/>
  <c r="P305" i="5"/>
  <c r="Q305" i="5"/>
  <c r="R305" i="5"/>
  <c r="S305" i="5"/>
  <c r="T305" i="5"/>
  <c r="U305" i="5"/>
  <c r="V305" i="5"/>
  <c r="W305" i="5"/>
  <c r="X305" i="5"/>
  <c r="B306" i="5"/>
  <c r="AB306" i="5" s="1"/>
  <c r="C306" i="5"/>
  <c r="D306" i="5"/>
  <c r="E306" i="5"/>
  <c r="F306" i="5"/>
  <c r="G306" i="5"/>
  <c r="H306" i="5"/>
  <c r="I306" i="5"/>
  <c r="J306" i="5"/>
  <c r="K306" i="5"/>
  <c r="L306" i="5"/>
  <c r="M306" i="5"/>
  <c r="N306" i="5"/>
  <c r="O306" i="5"/>
  <c r="P306" i="5"/>
  <c r="Q306" i="5"/>
  <c r="R306" i="5"/>
  <c r="S306" i="5"/>
  <c r="T306" i="5"/>
  <c r="U306" i="5"/>
  <c r="V306" i="5"/>
  <c r="W306" i="5"/>
  <c r="X306" i="5"/>
  <c r="AC306" i="5"/>
  <c r="B307" i="5"/>
  <c r="C307" i="5"/>
  <c r="D307" i="5"/>
  <c r="E307" i="5"/>
  <c r="F307" i="5"/>
  <c r="G307" i="5"/>
  <c r="H307" i="5"/>
  <c r="I307" i="5"/>
  <c r="J307" i="5"/>
  <c r="K307" i="5"/>
  <c r="L307" i="5"/>
  <c r="M307" i="5"/>
  <c r="AC307" i="5" s="1"/>
  <c r="N307" i="5"/>
  <c r="O307" i="5"/>
  <c r="P307" i="5"/>
  <c r="Q307" i="5"/>
  <c r="R307" i="5"/>
  <c r="S307" i="5"/>
  <c r="T307" i="5"/>
  <c r="U307" i="5"/>
  <c r="V307" i="5"/>
  <c r="W307" i="5"/>
  <c r="X307" i="5"/>
  <c r="AB307" i="5"/>
  <c r="B308" i="5"/>
  <c r="AB308" i="5" s="1"/>
  <c r="C308" i="5"/>
  <c r="D308" i="5"/>
  <c r="E308" i="5"/>
  <c r="F308" i="5"/>
  <c r="G308" i="5"/>
  <c r="H308" i="5"/>
  <c r="I308" i="5"/>
  <c r="J308" i="5"/>
  <c r="K308" i="5"/>
  <c r="L308" i="5"/>
  <c r="M308" i="5"/>
  <c r="N308" i="5"/>
  <c r="O308" i="5"/>
  <c r="P308" i="5"/>
  <c r="AC308" i="5" s="1"/>
  <c r="Q308" i="5"/>
  <c r="R308" i="5"/>
  <c r="S308" i="5"/>
  <c r="T308" i="5"/>
  <c r="U308" i="5"/>
  <c r="V308" i="5"/>
  <c r="W308" i="5"/>
  <c r="X308" i="5"/>
  <c r="B309" i="5"/>
  <c r="C309" i="5"/>
  <c r="AB309" i="5" s="1"/>
  <c r="D309" i="5"/>
  <c r="E309" i="5"/>
  <c r="F309" i="5"/>
  <c r="G309" i="5"/>
  <c r="H309" i="5"/>
  <c r="I309" i="5"/>
  <c r="J309" i="5"/>
  <c r="K309" i="5"/>
  <c r="L309" i="5"/>
  <c r="M309" i="5"/>
  <c r="AC309" i="5" s="1"/>
  <c r="N309" i="5"/>
  <c r="O309" i="5"/>
  <c r="P309" i="5"/>
  <c r="Q309" i="5"/>
  <c r="R309" i="5"/>
  <c r="S309" i="5"/>
  <c r="T309" i="5"/>
  <c r="U309" i="5"/>
  <c r="V309" i="5"/>
  <c r="W309" i="5"/>
  <c r="X309" i="5"/>
  <c r="B310" i="5"/>
  <c r="AB310" i="5" s="1"/>
  <c r="C310" i="5"/>
  <c r="D310" i="5"/>
  <c r="E310" i="5"/>
  <c r="F310" i="5"/>
  <c r="G310" i="5"/>
  <c r="H310" i="5"/>
  <c r="I310" i="5"/>
  <c r="J310" i="5"/>
  <c r="K310" i="5"/>
  <c r="L310" i="5"/>
  <c r="M310" i="5"/>
  <c r="N310" i="5"/>
  <c r="O310" i="5"/>
  <c r="P310" i="5"/>
  <c r="Q310" i="5"/>
  <c r="R310" i="5"/>
  <c r="S310" i="5"/>
  <c r="T310" i="5"/>
  <c r="U310" i="5"/>
  <c r="V310" i="5"/>
  <c r="W310" i="5"/>
  <c r="X310" i="5"/>
  <c r="AC310" i="5"/>
  <c r="B311" i="5"/>
  <c r="C311" i="5"/>
  <c r="D311" i="5"/>
  <c r="E311" i="5"/>
  <c r="F311" i="5"/>
  <c r="G311" i="5"/>
  <c r="H311" i="5"/>
  <c r="I311" i="5"/>
  <c r="J311" i="5"/>
  <c r="K311" i="5"/>
  <c r="L311" i="5"/>
  <c r="M311" i="5"/>
  <c r="AC311" i="5" s="1"/>
  <c r="N311" i="5"/>
  <c r="O311" i="5"/>
  <c r="P311" i="5"/>
  <c r="Q311" i="5"/>
  <c r="R311" i="5"/>
  <c r="S311" i="5"/>
  <c r="T311" i="5"/>
  <c r="U311" i="5"/>
  <c r="V311" i="5"/>
  <c r="W311" i="5"/>
  <c r="X311" i="5"/>
  <c r="AB311" i="5"/>
  <c r="B312" i="5"/>
  <c r="AB312" i="5" s="1"/>
  <c r="C312" i="5"/>
  <c r="D312" i="5"/>
  <c r="E312" i="5"/>
  <c r="F312" i="5"/>
  <c r="G312" i="5"/>
  <c r="H312" i="5"/>
  <c r="I312" i="5"/>
  <c r="J312" i="5"/>
  <c r="K312" i="5"/>
  <c r="L312" i="5"/>
  <c r="M312" i="5"/>
  <c r="N312" i="5"/>
  <c r="O312" i="5"/>
  <c r="P312" i="5"/>
  <c r="AC312" i="5" s="1"/>
  <c r="Q312" i="5"/>
  <c r="R312" i="5"/>
  <c r="S312" i="5"/>
  <c r="T312" i="5"/>
  <c r="U312" i="5"/>
  <c r="V312" i="5"/>
  <c r="W312" i="5"/>
  <c r="X312" i="5"/>
  <c r="B313" i="5"/>
  <c r="C313" i="5"/>
  <c r="AB313" i="5" s="1"/>
  <c r="D313" i="5"/>
  <c r="E313" i="5"/>
  <c r="F313" i="5"/>
  <c r="G313" i="5"/>
  <c r="H313" i="5"/>
  <c r="I313" i="5"/>
  <c r="J313" i="5"/>
  <c r="K313" i="5"/>
  <c r="L313" i="5"/>
  <c r="M313" i="5"/>
  <c r="AC313" i="5" s="1"/>
  <c r="N313" i="5"/>
  <c r="O313" i="5"/>
  <c r="P313" i="5"/>
  <c r="Q313" i="5"/>
  <c r="R313" i="5"/>
  <c r="S313" i="5"/>
  <c r="T313" i="5"/>
  <c r="U313" i="5"/>
  <c r="V313" i="5"/>
  <c r="W313" i="5"/>
  <c r="X313" i="5"/>
  <c r="B314" i="5"/>
  <c r="AB314" i="5" s="1"/>
  <c r="C314" i="5"/>
  <c r="D314" i="5"/>
  <c r="E314" i="5"/>
  <c r="F314" i="5"/>
  <c r="G314" i="5"/>
  <c r="H314" i="5"/>
  <c r="I314" i="5"/>
  <c r="J314" i="5"/>
  <c r="K314" i="5"/>
  <c r="L314" i="5"/>
  <c r="M314" i="5"/>
  <c r="N314" i="5"/>
  <c r="O314" i="5"/>
  <c r="P314" i="5"/>
  <c r="Q314" i="5"/>
  <c r="R314" i="5"/>
  <c r="S314" i="5"/>
  <c r="T314" i="5"/>
  <c r="U314" i="5"/>
  <c r="V314" i="5"/>
  <c r="W314" i="5"/>
  <c r="X314" i="5"/>
  <c r="AC314" i="5"/>
  <c r="B315" i="5"/>
  <c r="C315" i="5"/>
  <c r="D315" i="5"/>
  <c r="E315" i="5"/>
  <c r="F315" i="5"/>
  <c r="G315" i="5"/>
  <c r="H315" i="5"/>
  <c r="I315" i="5"/>
  <c r="J315" i="5"/>
  <c r="K315" i="5"/>
  <c r="L315" i="5"/>
  <c r="M315" i="5"/>
  <c r="AC315" i="5" s="1"/>
  <c r="N315" i="5"/>
  <c r="O315" i="5"/>
  <c r="P315" i="5"/>
  <c r="Q315" i="5"/>
  <c r="R315" i="5"/>
  <c r="S315" i="5"/>
  <c r="T315" i="5"/>
  <c r="U315" i="5"/>
  <c r="V315" i="5"/>
  <c r="W315" i="5"/>
  <c r="X315" i="5"/>
  <c r="AB315" i="5"/>
  <c r="B316" i="5"/>
  <c r="AB316" i="5" s="1"/>
  <c r="C316" i="5"/>
  <c r="D316" i="5"/>
  <c r="E316" i="5"/>
  <c r="F316" i="5"/>
  <c r="G316" i="5"/>
  <c r="H316" i="5"/>
  <c r="I316" i="5"/>
  <c r="J316" i="5"/>
  <c r="K316" i="5"/>
  <c r="L316" i="5"/>
  <c r="M316" i="5"/>
  <c r="N316" i="5"/>
  <c r="O316" i="5"/>
  <c r="P316" i="5"/>
  <c r="AC316" i="5" s="1"/>
  <c r="Q316" i="5"/>
  <c r="R316" i="5"/>
  <c r="S316" i="5"/>
  <c r="T316" i="5"/>
  <c r="U316" i="5"/>
  <c r="V316" i="5"/>
  <c r="W316" i="5"/>
  <c r="X316" i="5"/>
  <c r="B317" i="5"/>
  <c r="C317" i="5"/>
  <c r="AB317" i="5" s="1"/>
  <c r="D317" i="5"/>
  <c r="E317" i="5"/>
  <c r="F317" i="5"/>
  <c r="G317" i="5"/>
  <c r="H317" i="5"/>
  <c r="I317" i="5"/>
  <c r="J317" i="5"/>
  <c r="K317" i="5"/>
  <c r="L317" i="5"/>
  <c r="M317" i="5"/>
  <c r="AC317" i="5" s="1"/>
  <c r="N317" i="5"/>
  <c r="O317" i="5"/>
  <c r="P317" i="5"/>
  <c r="Q317" i="5"/>
  <c r="R317" i="5"/>
  <c r="S317" i="5"/>
  <c r="T317" i="5"/>
  <c r="U317" i="5"/>
  <c r="V317" i="5"/>
  <c r="W317" i="5"/>
  <c r="X317" i="5"/>
  <c r="B318" i="5"/>
  <c r="AB318" i="5" s="1"/>
  <c r="C318" i="5"/>
  <c r="D318" i="5"/>
  <c r="E318" i="5"/>
  <c r="F318" i="5"/>
  <c r="G318" i="5"/>
  <c r="H318" i="5"/>
  <c r="I318" i="5"/>
  <c r="J318" i="5"/>
  <c r="K318" i="5"/>
  <c r="L318" i="5"/>
  <c r="M318" i="5"/>
  <c r="N318" i="5"/>
  <c r="O318" i="5"/>
  <c r="P318" i="5"/>
  <c r="Q318" i="5"/>
  <c r="R318" i="5"/>
  <c r="S318" i="5"/>
  <c r="T318" i="5"/>
  <c r="U318" i="5"/>
  <c r="V318" i="5"/>
  <c r="W318" i="5"/>
  <c r="X318" i="5"/>
  <c r="AC318" i="5"/>
  <c r="B319" i="5"/>
  <c r="C319" i="5"/>
  <c r="D319" i="5"/>
  <c r="E319" i="5"/>
  <c r="F319" i="5"/>
  <c r="G319" i="5"/>
  <c r="H319" i="5"/>
  <c r="I319" i="5"/>
  <c r="J319" i="5"/>
  <c r="K319" i="5"/>
  <c r="L319" i="5"/>
  <c r="M319" i="5"/>
  <c r="AC319" i="5" s="1"/>
  <c r="N319" i="5"/>
  <c r="O319" i="5"/>
  <c r="P319" i="5"/>
  <c r="Q319" i="5"/>
  <c r="R319" i="5"/>
  <c r="S319" i="5"/>
  <c r="T319" i="5"/>
  <c r="U319" i="5"/>
  <c r="V319" i="5"/>
  <c r="W319" i="5"/>
  <c r="X319" i="5"/>
  <c r="AB319" i="5"/>
  <c r="B320" i="5"/>
  <c r="AB320" i="5" s="1"/>
  <c r="C320" i="5"/>
  <c r="D320" i="5"/>
  <c r="E320" i="5"/>
  <c r="F320" i="5"/>
  <c r="G320" i="5"/>
  <c r="H320" i="5"/>
  <c r="I320" i="5"/>
  <c r="J320" i="5"/>
  <c r="K320" i="5"/>
  <c r="L320" i="5"/>
  <c r="M320" i="5"/>
  <c r="N320" i="5"/>
  <c r="O320" i="5"/>
  <c r="P320" i="5"/>
  <c r="AC320" i="5" s="1"/>
  <c r="Q320" i="5"/>
  <c r="R320" i="5"/>
  <c r="S320" i="5"/>
  <c r="T320" i="5"/>
  <c r="U320" i="5"/>
  <c r="V320" i="5"/>
  <c r="W320" i="5"/>
  <c r="X320" i="5"/>
  <c r="B321" i="5"/>
  <c r="C321" i="5"/>
  <c r="AB321" i="5" s="1"/>
  <c r="D321" i="5"/>
  <c r="E321" i="5"/>
  <c r="F321" i="5"/>
  <c r="G321" i="5"/>
  <c r="H321" i="5"/>
  <c r="I321" i="5"/>
  <c r="J321" i="5"/>
  <c r="K321" i="5"/>
  <c r="L321" i="5"/>
  <c r="M321" i="5"/>
  <c r="AC321" i="5" s="1"/>
  <c r="N321" i="5"/>
  <c r="O321" i="5"/>
  <c r="P321" i="5"/>
  <c r="Q321" i="5"/>
  <c r="R321" i="5"/>
  <c r="S321" i="5"/>
  <c r="T321" i="5"/>
  <c r="U321" i="5"/>
  <c r="V321" i="5"/>
  <c r="W321" i="5"/>
  <c r="X321" i="5"/>
  <c r="B322" i="5"/>
  <c r="AB322" i="5" s="1"/>
  <c r="C322" i="5"/>
  <c r="D322" i="5"/>
  <c r="E322" i="5"/>
  <c r="F322" i="5"/>
  <c r="G322" i="5"/>
  <c r="H322" i="5"/>
  <c r="I322" i="5"/>
  <c r="J322" i="5"/>
  <c r="K322" i="5"/>
  <c r="L322" i="5"/>
  <c r="M322" i="5"/>
  <c r="N322" i="5"/>
  <c r="O322" i="5"/>
  <c r="P322" i="5"/>
  <c r="Q322" i="5"/>
  <c r="R322" i="5"/>
  <c r="S322" i="5"/>
  <c r="T322" i="5"/>
  <c r="U322" i="5"/>
  <c r="V322" i="5"/>
  <c r="W322" i="5"/>
  <c r="X322" i="5"/>
  <c r="AC322" i="5"/>
  <c r="B323" i="5"/>
  <c r="C323" i="5"/>
  <c r="D323" i="5"/>
  <c r="E323" i="5"/>
  <c r="F323" i="5"/>
  <c r="G323" i="5"/>
  <c r="H323" i="5"/>
  <c r="I323" i="5"/>
  <c r="J323" i="5"/>
  <c r="K323" i="5"/>
  <c r="L323" i="5"/>
  <c r="M323" i="5"/>
  <c r="AC323" i="5" s="1"/>
  <c r="N323" i="5"/>
  <c r="O323" i="5"/>
  <c r="P323" i="5"/>
  <c r="Q323" i="5"/>
  <c r="R323" i="5"/>
  <c r="S323" i="5"/>
  <c r="T323" i="5"/>
  <c r="U323" i="5"/>
  <c r="V323" i="5"/>
  <c r="W323" i="5"/>
  <c r="X323" i="5"/>
  <c r="AB323" i="5"/>
  <c r="B324" i="5"/>
  <c r="AB324" i="5" s="1"/>
  <c r="C324" i="5"/>
  <c r="D324" i="5"/>
  <c r="E324" i="5"/>
  <c r="F324" i="5"/>
  <c r="G324" i="5"/>
  <c r="H324" i="5"/>
  <c r="I324" i="5"/>
  <c r="J324" i="5"/>
  <c r="K324" i="5"/>
  <c r="L324" i="5"/>
  <c r="M324" i="5"/>
  <c r="N324" i="5"/>
  <c r="O324" i="5"/>
  <c r="P324" i="5"/>
  <c r="AC324" i="5" s="1"/>
  <c r="Q324" i="5"/>
  <c r="R324" i="5"/>
  <c r="S324" i="5"/>
  <c r="T324" i="5"/>
  <c r="U324" i="5"/>
  <c r="V324" i="5"/>
  <c r="W324" i="5"/>
  <c r="X324" i="5"/>
  <c r="B325" i="5"/>
  <c r="C325" i="5"/>
  <c r="AB325" i="5" s="1"/>
  <c r="D325" i="5"/>
  <c r="E325" i="5"/>
  <c r="F325" i="5"/>
  <c r="G325" i="5"/>
  <c r="H325" i="5"/>
  <c r="I325" i="5"/>
  <c r="J325" i="5"/>
  <c r="K325" i="5"/>
  <c r="L325" i="5"/>
  <c r="M325" i="5"/>
  <c r="AC325" i="5" s="1"/>
  <c r="N325" i="5"/>
  <c r="O325" i="5"/>
  <c r="P325" i="5"/>
  <c r="Q325" i="5"/>
  <c r="R325" i="5"/>
  <c r="S325" i="5"/>
  <c r="T325" i="5"/>
  <c r="U325" i="5"/>
  <c r="V325" i="5"/>
  <c r="W325" i="5"/>
  <c r="X325" i="5"/>
  <c r="B326" i="5"/>
  <c r="AB326" i="5" s="1"/>
  <c r="C326" i="5"/>
  <c r="D326" i="5"/>
  <c r="E326" i="5"/>
  <c r="F326" i="5"/>
  <c r="G326" i="5"/>
  <c r="H326" i="5"/>
  <c r="I326" i="5"/>
  <c r="J326" i="5"/>
  <c r="K326" i="5"/>
  <c r="L326" i="5"/>
  <c r="M326" i="5"/>
  <c r="N326" i="5"/>
  <c r="O326" i="5"/>
  <c r="P326" i="5"/>
  <c r="Q326" i="5"/>
  <c r="R326" i="5"/>
  <c r="S326" i="5"/>
  <c r="T326" i="5"/>
  <c r="U326" i="5"/>
  <c r="V326" i="5"/>
  <c r="W326" i="5"/>
  <c r="X326" i="5"/>
  <c r="AC326" i="5"/>
  <c r="B327" i="5"/>
  <c r="C327" i="5"/>
  <c r="D327" i="5"/>
  <c r="E327" i="5"/>
  <c r="F327" i="5"/>
  <c r="G327" i="5"/>
  <c r="H327" i="5"/>
  <c r="I327" i="5"/>
  <c r="J327" i="5"/>
  <c r="K327" i="5"/>
  <c r="L327" i="5"/>
  <c r="M327" i="5"/>
  <c r="AC327" i="5" s="1"/>
  <c r="N327" i="5"/>
  <c r="O327" i="5"/>
  <c r="P327" i="5"/>
  <c r="Q327" i="5"/>
  <c r="R327" i="5"/>
  <c r="S327" i="5"/>
  <c r="T327" i="5"/>
  <c r="U327" i="5"/>
  <c r="V327" i="5"/>
  <c r="W327" i="5"/>
  <c r="X327" i="5"/>
  <c r="AB327" i="5"/>
  <c r="B328" i="5"/>
  <c r="AB328" i="5" s="1"/>
  <c r="C328" i="5"/>
  <c r="D328" i="5"/>
  <c r="E328" i="5"/>
  <c r="F328" i="5"/>
  <c r="G328" i="5"/>
  <c r="H328" i="5"/>
  <c r="I328" i="5"/>
  <c r="J328" i="5"/>
  <c r="K328" i="5"/>
  <c r="L328" i="5"/>
  <c r="M328" i="5"/>
  <c r="N328" i="5"/>
  <c r="O328" i="5"/>
  <c r="P328" i="5"/>
  <c r="AC328" i="5" s="1"/>
  <c r="Q328" i="5"/>
  <c r="R328" i="5"/>
  <c r="S328" i="5"/>
  <c r="T328" i="5"/>
  <c r="U328" i="5"/>
  <c r="V328" i="5"/>
  <c r="W328" i="5"/>
  <c r="X328" i="5"/>
  <c r="B329" i="5"/>
  <c r="C329" i="5"/>
  <c r="AB329" i="5" s="1"/>
  <c r="D329" i="5"/>
  <c r="E329" i="5"/>
  <c r="F329" i="5"/>
  <c r="G329" i="5"/>
  <c r="H329" i="5"/>
  <c r="I329" i="5"/>
  <c r="J329" i="5"/>
  <c r="K329" i="5"/>
  <c r="L329" i="5"/>
  <c r="M329" i="5"/>
  <c r="AC329" i="5" s="1"/>
  <c r="N329" i="5"/>
  <c r="O329" i="5"/>
  <c r="P329" i="5"/>
  <c r="Q329" i="5"/>
  <c r="R329" i="5"/>
  <c r="S329" i="5"/>
  <c r="T329" i="5"/>
  <c r="U329" i="5"/>
  <c r="V329" i="5"/>
  <c r="W329" i="5"/>
  <c r="X329" i="5"/>
  <c r="B330" i="5"/>
  <c r="AB330" i="5" s="1"/>
  <c r="C330" i="5"/>
  <c r="D330" i="5"/>
  <c r="E330" i="5"/>
  <c r="F330" i="5"/>
  <c r="G330" i="5"/>
  <c r="H330" i="5"/>
  <c r="I330" i="5"/>
  <c r="J330" i="5"/>
  <c r="K330" i="5"/>
  <c r="L330" i="5"/>
  <c r="M330" i="5"/>
  <c r="N330" i="5"/>
  <c r="O330" i="5"/>
  <c r="P330" i="5"/>
  <c r="Q330" i="5"/>
  <c r="R330" i="5"/>
  <c r="S330" i="5"/>
  <c r="T330" i="5"/>
  <c r="U330" i="5"/>
  <c r="V330" i="5"/>
  <c r="W330" i="5"/>
  <c r="X330" i="5"/>
  <c r="AC330" i="5"/>
  <c r="B331" i="5"/>
  <c r="C331" i="5"/>
  <c r="D331" i="5"/>
  <c r="E331" i="5"/>
  <c r="F331" i="5"/>
  <c r="G331" i="5"/>
  <c r="H331" i="5"/>
  <c r="I331" i="5"/>
  <c r="J331" i="5"/>
  <c r="K331" i="5"/>
  <c r="L331" i="5"/>
  <c r="M331" i="5"/>
  <c r="AC331" i="5" s="1"/>
  <c r="N331" i="5"/>
  <c r="O331" i="5"/>
  <c r="P331" i="5"/>
  <c r="Q331" i="5"/>
  <c r="R331" i="5"/>
  <c r="S331" i="5"/>
  <c r="T331" i="5"/>
  <c r="U331" i="5"/>
  <c r="V331" i="5"/>
  <c r="W331" i="5"/>
  <c r="X331" i="5"/>
  <c r="AB331" i="5"/>
  <c r="B332" i="5"/>
  <c r="AB332" i="5" s="1"/>
  <c r="C332" i="5"/>
  <c r="D332" i="5"/>
  <c r="E332" i="5"/>
  <c r="F332" i="5"/>
  <c r="G332" i="5"/>
  <c r="H332" i="5"/>
  <c r="I332" i="5"/>
  <c r="J332" i="5"/>
  <c r="K332" i="5"/>
  <c r="L332" i="5"/>
  <c r="M332" i="5"/>
  <c r="N332" i="5"/>
  <c r="O332" i="5"/>
  <c r="P332" i="5"/>
  <c r="AC332" i="5" s="1"/>
  <c r="Q332" i="5"/>
  <c r="R332" i="5"/>
  <c r="S332" i="5"/>
  <c r="T332" i="5"/>
  <c r="U332" i="5"/>
  <c r="V332" i="5"/>
  <c r="W332" i="5"/>
  <c r="X332" i="5"/>
  <c r="B333" i="5"/>
  <c r="C333" i="5"/>
  <c r="AB333" i="5" s="1"/>
  <c r="D333" i="5"/>
  <c r="E333" i="5"/>
  <c r="F333" i="5"/>
  <c r="G333" i="5"/>
  <c r="H333" i="5"/>
  <c r="I333" i="5"/>
  <c r="J333" i="5"/>
  <c r="K333" i="5"/>
  <c r="L333" i="5"/>
  <c r="M333" i="5"/>
  <c r="AC333" i="5" s="1"/>
  <c r="N333" i="5"/>
  <c r="O333" i="5"/>
  <c r="P333" i="5"/>
  <c r="Q333" i="5"/>
  <c r="R333" i="5"/>
  <c r="S333" i="5"/>
  <c r="T333" i="5"/>
  <c r="U333" i="5"/>
  <c r="V333" i="5"/>
  <c r="W333" i="5"/>
  <c r="X333" i="5"/>
  <c r="B334" i="5"/>
  <c r="AB334" i="5" s="1"/>
  <c r="C334" i="5"/>
  <c r="D334" i="5"/>
  <c r="E334" i="5"/>
  <c r="F334" i="5"/>
  <c r="G334" i="5"/>
  <c r="H334" i="5"/>
  <c r="I334" i="5"/>
  <c r="J334" i="5"/>
  <c r="K334" i="5"/>
  <c r="L334" i="5"/>
  <c r="M334" i="5"/>
  <c r="N334" i="5"/>
  <c r="O334" i="5"/>
  <c r="P334" i="5"/>
  <c r="Q334" i="5"/>
  <c r="R334" i="5"/>
  <c r="S334" i="5"/>
  <c r="T334" i="5"/>
  <c r="U334" i="5"/>
  <c r="V334" i="5"/>
  <c r="W334" i="5"/>
  <c r="X334" i="5"/>
  <c r="AC334" i="5"/>
  <c r="B335" i="5"/>
  <c r="C335" i="5"/>
  <c r="D335" i="5"/>
  <c r="E335" i="5"/>
  <c r="F335" i="5"/>
  <c r="G335" i="5"/>
  <c r="H335" i="5"/>
  <c r="I335" i="5"/>
  <c r="J335" i="5"/>
  <c r="K335" i="5"/>
  <c r="L335" i="5"/>
  <c r="M335" i="5"/>
  <c r="AC335" i="5" s="1"/>
  <c r="N335" i="5"/>
  <c r="O335" i="5"/>
  <c r="P335" i="5"/>
  <c r="Q335" i="5"/>
  <c r="R335" i="5"/>
  <c r="S335" i="5"/>
  <c r="T335" i="5"/>
  <c r="U335" i="5"/>
  <c r="V335" i="5"/>
  <c r="W335" i="5"/>
  <c r="X335" i="5"/>
  <c r="AB335" i="5"/>
  <c r="B336" i="5"/>
  <c r="AB336" i="5" s="1"/>
  <c r="C336" i="5"/>
  <c r="D336" i="5"/>
  <c r="E336" i="5"/>
  <c r="F336" i="5"/>
  <c r="G336" i="5"/>
  <c r="H336" i="5"/>
  <c r="I336" i="5"/>
  <c r="J336" i="5"/>
  <c r="K336" i="5"/>
  <c r="L336" i="5"/>
  <c r="M336" i="5"/>
  <c r="N336" i="5"/>
  <c r="O336" i="5"/>
  <c r="P336" i="5"/>
  <c r="AC336" i="5" s="1"/>
  <c r="Q336" i="5"/>
  <c r="R336" i="5"/>
  <c r="S336" i="5"/>
  <c r="T336" i="5"/>
  <c r="U336" i="5"/>
  <c r="V336" i="5"/>
  <c r="W336" i="5"/>
  <c r="X336" i="5"/>
  <c r="B337" i="5"/>
  <c r="C337" i="5"/>
  <c r="AB337" i="5" s="1"/>
  <c r="D337" i="5"/>
  <c r="E337" i="5"/>
  <c r="F337" i="5"/>
  <c r="G337" i="5"/>
  <c r="H337" i="5"/>
  <c r="I337" i="5"/>
  <c r="J337" i="5"/>
  <c r="K337" i="5"/>
  <c r="L337" i="5"/>
  <c r="M337" i="5"/>
  <c r="AC337" i="5" s="1"/>
  <c r="N337" i="5"/>
  <c r="O337" i="5"/>
  <c r="P337" i="5"/>
  <c r="Q337" i="5"/>
  <c r="R337" i="5"/>
  <c r="S337" i="5"/>
  <c r="T337" i="5"/>
  <c r="U337" i="5"/>
  <c r="V337" i="5"/>
  <c r="W337" i="5"/>
  <c r="X337" i="5"/>
  <c r="B338" i="5"/>
  <c r="AB338" i="5" s="1"/>
  <c r="C338" i="5"/>
  <c r="D338" i="5"/>
  <c r="E338" i="5"/>
  <c r="F338" i="5"/>
  <c r="G338" i="5"/>
  <c r="H338" i="5"/>
  <c r="I338" i="5"/>
  <c r="J338" i="5"/>
  <c r="K338" i="5"/>
  <c r="L338" i="5"/>
  <c r="M338" i="5"/>
  <c r="N338" i="5"/>
  <c r="O338" i="5"/>
  <c r="P338" i="5"/>
  <c r="Q338" i="5"/>
  <c r="R338" i="5"/>
  <c r="S338" i="5"/>
  <c r="T338" i="5"/>
  <c r="U338" i="5"/>
  <c r="V338" i="5"/>
  <c r="W338" i="5"/>
  <c r="X338" i="5"/>
  <c r="AC338" i="5"/>
  <c r="B339" i="5"/>
  <c r="C339" i="5"/>
  <c r="D339" i="5"/>
  <c r="E339" i="5"/>
  <c r="F339" i="5"/>
  <c r="G339" i="5"/>
  <c r="H339" i="5"/>
  <c r="I339" i="5"/>
  <c r="J339" i="5"/>
  <c r="K339" i="5"/>
  <c r="L339" i="5"/>
  <c r="M339" i="5"/>
  <c r="AC339" i="5" s="1"/>
  <c r="N339" i="5"/>
  <c r="O339" i="5"/>
  <c r="P339" i="5"/>
  <c r="Q339" i="5"/>
  <c r="R339" i="5"/>
  <c r="S339" i="5"/>
  <c r="T339" i="5"/>
  <c r="U339" i="5"/>
  <c r="V339" i="5"/>
  <c r="W339" i="5"/>
  <c r="X339" i="5"/>
  <c r="AB339" i="5"/>
  <c r="B340" i="5"/>
  <c r="AB340" i="5" s="1"/>
  <c r="C340" i="5"/>
  <c r="D340" i="5"/>
  <c r="E340" i="5"/>
  <c r="F340" i="5"/>
  <c r="G340" i="5"/>
  <c r="H340" i="5"/>
  <c r="I340" i="5"/>
  <c r="J340" i="5"/>
  <c r="K340" i="5"/>
  <c r="L340" i="5"/>
  <c r="M340" i="5"/>
  <c r="N340" i="5"/>
  <c r="O340" i="5"/>
  <c r="P340" i="5"/>
  <c r="AC340" i="5" s="1"/>
  <c r="Q340" i="5"/>
  <c r="R340" i="5"/>
  <c r="S340" i="5"/>
  <c r="T340" i="5"/>
  <c r="U340" i="5"/>
  <c r="V340" i="5"/>
  <c r="W340" i="5"/>
  <c r="X340" i="5"/>
  <c r="B341" i="5"/>
  <c r="C341" i="5"/>
  <c r="AB341" i="5" s="1"/>
  <c r="D341" i="5"/>
  <c r="E341" i="5"/>
  <c r="F341" i="5"/>
  <c r="G341" i="5"/>
  <c r="H341" i="5"/>
  <c r="I341" i="5"/>
  <c r="J341" i="5"/>
  <c r="K341" i="5"/>
  <c r="L341" i="5"/>
  <c r="M341" i="5"/>
  <c r="AC341" i="5" s="1"/>
  <c r="N341" i="5"/>
  <c r="O341" i="5"/>
  <c r="P341" i="5"/>
  <c r="Q341" i="5"/>
  <c r="R341" i="5"/>
  <c r="S341" i="5"/>
  <c r="T341" i="5"/>
  <c r="U341" i="5"/>
  <c r="V341" i="5"/>
  <c r="W341" i="5"/>
  <c r="X341" i="5"/>
  <c r="B342" i="5"/>
  <c r="AB342" i="5" s="1"/>
  <c r="C342" i="5"/>
  <c r="D342" i="5"/>
  <c r="E342" i="5"/>
  <c r="F342" i="5"/>
  <c r="G342" i="5"/>
  <c r="H342" i="5"/>
  <c r="I342" i="5"/>
  <c r="J342" i="5"/>
  <c r="K342" i="5"/>
  <c r="L342" i="5"/>
  <c r="M342" i="5"/>
  <c r="N342" i="5"/>
  <c r="O342" i="5"/>
  <c r="P342" i="5"/>
  <c r="Q342" i="5"/>
  <c r="R342" i="5"/>
  <c r="S342" i="5"/>
  <c r="T342" i="5"/>
  <c r="U342" i="5"/>
  <c r="V342" i="5"/>
  <c r="W342" i="5"/>
  <c r="X342" i="5"/>
  <c r="AC342" i="5"/>
  <c r="B343" i="5"/>
  <c r="C343" i="5"/>
  <c r="D343" i="5"/>
  <c r="E343" i="5"/>
  <c r="F343" i="5"/>
  <c r="G343" i="5"/>
  <c r="H343" i="5"/>
  <c r="I343" i="5"/>
  <c r="J343" i="5"/>
  <c r="K343" i="5"/>
  <c r="L343" i="5"/>
  <c r="M343" i="5"/>
  <c r="AC343" i="5" s="1"/>
  <c r="N343" i="5"/>
  <c r="O343" i="5"/>
  <c r="P343" i="5"/>
  <c r="Q343" i="5"/>
  <c r="R343" i="5"/>
  <c r="S343" i="5"/>
  <c r="T343" i="5"/>
  <c r="U343" i="5"/>
  <c r="V343" i="5"/>
  <c r="W343" i="5"/>
  <c r="X343" i="5"/>
  <c r="AB343" i="5"/>
  <c r="B344" i="5"/>
  <c r="AB344" i="5" s="1"/>
  <c r="C344" i="5"/>
  <c r="D344" i="5"/>
  <c r="E344" i="5"/>
  <c r="F344" i="5"/>
  <c r="G344" i="5"/>
  <c r="H344" i="5"/>
  <c r="I344" i="5"/>
  <c r="J344" i="5"/>
  <c r="K344" i="5"/>
  <c r="L344" i="5"/>
  <c r="M344" i="5"/>
  <c r="N344" i="5"/>
  <c r="O344" i="5"/>
  <c r="P344" i="5"/>
  <c r="AC344" i="5" s="1"/>
  <c r="Q344" i="5"/>
  <c r="R344" i="5"/>
  <c r="S344" i="5"/>
  <c r="T344" i="5"/>
  <c r="U344" i="5"/>
  <c r="V344" i="5"/>
  <c r="W344" i="5"/>
  <c r="X344" i="5"/>
  <c r="B345" i="5"/>
  <c r="C345" i="5"/>
  <c r="AB345" i="5" s="1"/>
  <c r="D345" i="5"/>
  <c r="E345" i="5"/>
  <c r="F345" i="5"/>
  <c r="G345" i="5"/>
  <c r="H345" i="5"/>
  <c r="I345" i="5"/>
  <c r="J345" i="5"/>
  <c r="K345" i="5"/>
  <c r="L345" i="5"/>
  <c r="M345" i="5"/>
  <c r="AC345" i="5" s="1"/>
  <c r="N345" i="5"/>
  <c r="O345" i="5"/>
  <c r="P345" i="5"/>
  <c r="Q345" i="5"/>
  <c r="R345" i="5"/>
  <c r="S345" i="5"/>
  <c r="T345" i="5"/>
  <c r="U345" i="5"/>
  <c r="V345" i="5"/>
  <c r="W345" i="5"/>
  <c r="X345" i="5"/>
  <c r="B346" i="5"/>
  <c r="AB346" i="5" s="1"/>
  <c r="C346" i="5"/>
  <c r="D346" i="5"/>
  <c r="E346" i="5"/>
  <c r="F346" i="5"/>
  <c r="G346" i="5"/>
  <c r="H346" i="5"/>
  <c r="I346" i="5"/>
  <c r="J346" i="5"/>
  <c r="K346" i="5"/>
  <c r="L346" i="5"/>
  <c r="M346" i="5"/>
  <c r="N346" i="5"/>
  <c r="O346" i="5"/>
  <c r="P346" i="5"/>
  <c r="Q346" i="5"/>
  <c r="R346" i="5"/>
  <c r="S346" i="5"/>
  <c r="T346" i="5"/>
  <c r="U346" i="5"/>
  <c r="V346" i="5"/>
  <c r="W346" i="5"/>
  <c r="X346" i="5"/>
  <c r="AC346" i="5"/>
  <c r="B347" i="5"/>
  <c r="C347" i="5"/>
  <c r="D347" i="5"/>
  <c r="E347" i="5"/>
  <c r="F347" i="5"/>
  <c r="G347" i="5"/>
  <c r="H347" i="5"/>
  <c r="I347" i="5"/>
  <c r="J347" i="5"/>
  <c r="K347" i="5"/>
  <c r="L347" i="5"/>
  <c r="M347" i="5"/>
  <c r="AC347" i="5" s="1"/>
  <c r="N347" i="5"/>
  <c r="O347" i="5"/>
  <c r="P347" i="5"/>
  <c r="Q347" i="5"/>
  <c r="R347" i="5"/>
  <c r="S347" i="5"/>
  <c r="T347" i="5"/>
  <c r="U347" i="5"/>
  <c r="V347" i="5"/>
  <c r="W347" i="5"/>
  <c r="X347" i="5"/>
  <c r="AB347" i="5"/>
  <c r="B348" i="5"/>
  <c r="AB348" i="5" s="1"/>
  <c r="C348" i="5"/>
  <c r="D348" i="5"/>
  <c r="E348" i="5"/>
  <c r="F348" i="5"/>
  <c r="G348" i="5"/>
  <c r="H348" i="5"/>
  <c r="I348" i="5"/>
  <c r="J348" i="5"/>
  <c r="K348" i="5"/>
  <c r="L348" i="5"/>
  <c r="M348" i="5"/>
  <c r="N348" i="5"/>
  <c r="O348" i="5"/>
  <c r="P348" i="5"/>
  <c r="AC348" i="5" s="1"/>
  <c r="Q348" i="5"/>
  <c r="R348" i="5"/>
  <c r="S348" i="5"/>
  <c r="T348" i="5"/>
  <c r="U348" i="5"/>
  <c r="V348" i="5"/>
  <c r="W348" i="5"/>
  <c r="X348" i="5"/>
  <c r="B349" i="5"/>
  <c r="C349" i="5"/>
  <c r="AB349" i="5" s="1"/>
  <c r="D349" i="5"/>
  <c r="E349" i="5"/>
  <c r="F349" i="5"/>
  <c r="G349" i="5"/>
  <c r="H349" i="5"/>
  <c r="I349" i="5"/>
  <c r="J349" i="5"/>
  <c r="K349" i="5"/>
  <c r="L349" i="5"/>
  <c r="M349" i="5"/>
  <c r="AC349" i="5" s="1"/>
  <c r="N349" i="5"/>
  <c r="O349" i="5"/>
  <c r="P349" i="5"/>
  <c r="Q349" i="5"/>
  <c r="R349" i="5"/>
  <c r="S349" i="5"/>
  <c r="T349" i="5"/>
  <c r="U349" i="5"/>
  <c r="V349" i="5"/>
  <c r="W349" i="5"/>
  <c r="X349" i="5"/>
  <c r="B350" i="5"/>
  <c r="AB350" i="5" s="1"/>
  <c r="C350" i="5"/>
  <c r="D350" i="5"/>
  <c r="E350" i="5"/>
  <c r="F350" i="5"/>
  <c r="G350" i="5"/>
  <c r="H350" i="5"/>
  <c r="I350" i="5"/>
  <c r="J350" i="5"/>
  <c r="K350" i="5"/>
  <c r="L350" i="5"/>
  <c r="M350" i="5"/>
  <c r="N350" i="5"/>
  <c r="O350" i="5"/>
  <c r="P350" i="5"/>
  <c r="Q350" i="5"/>
  <c r="R350" i="5"/>
  <c r="S350" i="5"/>
  <c r="T350" i="5"/>
  <c r="U350" i="5"/>
  <c r="V350" i="5"/>
  <c r="W350" i="5"/>
  <c r="X350" i="5"/>
  <c r="AC350" i="5"/>
  <c r="B351" i="5"/>
  <c r="C351" i="5"/>
  <c r="D351" i="5"/>
  <c r="E351" i="5"/>
  <c r="F351" i="5"/>
  <c r="G351" i="5"/>
  <c r="H351" i="5"/>
  <c r="I351" i="5"/>
  <c r="J351" i="5"/>
  <c r="K351" i="5"/>
  <c r="L351" i="5"/>
  <c r="M351" i="5"/>
  <c r="AC351" i="5" s="1"/>
  <c r="N351" i="5"/>
  <c r="O351" i="5"/>
  <c r="P351" i="5"/>
  <c r="Q351" i="5"/>
  <c r="R351" i="5"/>
  <c r="S351" i="5"/>
  <c r="T351" i="5"/>
  <c r="U351" i="5"/>
  <c r="V351" i="5"/>
  <c r="W351" i="5"/>
  <c r="X351" i="5"/>
  <c r="AB351" i="5"/>
  <c r="B352" i="5"/>
  <c r="AB352" i="5" s="1"/>
  <c r="C352" i="5"/>
  <c r="D352" i="5"/>
  <c r="E352" i="5"/>
  <c r="F352" i="5"/>
  <c r="G352" i="5"/>
  <c r="H352" i="5"/>
  <c r="I352" i="5"/>
  <c r="J352" i="5"/>
  <c r="K352" i="5"/>
  <c r="L352" i="5"/>
  <c r="M352" i="5"/>
  <c r="N352" i="5"/>
  <c r="O352" i="5"/>
  <c r="P352" i="5"/>
  <c r="AC352" i="5" s="1"/>
  <c r="Q352" i="5"/>
  <c r="R352" i="5"/>
  <c r="S352" i="5"/>
  <c r="T352" i="5"/>
  <c r="U352" i="5"/>
  <c r="V352" i="5"/>
  <c r="W352" i="5"/>
  <c r="X352" i="5"/>
  <c r="B353" i="5"/>
  <c r="C353" i="5"/>
  <c r="AB353" i="5" s="1"/>
  <c r="D353" i="5"/>
  <c r="E353" i="5"/>
  <c r="F353" i="5"/>
  <c r="G353" i="5"/>
  <c r="H353" i="5"/>
  <c r="I353" i="5"/>
  <c r="J353" i="5"/>
  <c r="K353" i="5"/>
  <c r="L353" i="5"/>
  <c r="M353" i="5"/>
  <c r="AC353" i="5" s="1"/>
  <c r="N353" i="5"/>
  <c r="O353" i="5"/>
  <c r="P353" i="5"/>
  <c r="Q353" i="5"/>
  <c r="R353" i="5"/>
  <c r="S353" i="5"/>
  <c r="T353" i="5"/>
  <c r="U353" i="5"/>
  <c r="V353" i="5"/>
  <c r="W353" i="5"/>
  <c r="X353" i="5"/>
  <c r="B354" i="5"/>
  <c r="AB354" i="5" s="1"/>
  <c r="C354" i="5"/>
  <c r="D354" i="5"/>
  <c r="E354" i="5"/>
  <c r="F354" i="5"/>
  <c r="G354" i="5"/>
  <c r="H354" i="5"/>
  <c r="I354" i="5"/>
  <c r="J354" i="5"/>
  <c r="K354" i="5"/>
  <c r="L354" i="5"/>
  <c r="M354" i="5"/>
  <c r="N354" i="5"/>
  <c r="O354" i="5"/>
  <c r="P354" i="5"/>
  <c r="Q354" i="5"/>
  <c r="R354" i="5"/>
  <c r="S354" i="5"/>
  <c r="T354" i="5"/>
  <c r="U354" i="5"/>
  <c r="V354" i="5"/>
  <c r="W354" i="5"/>
  <c r="X354" i="5"/>
  <c r="AC354" i="5"/>
  <c r="B355" i="5"/>
  <c r="C355" i="5"/>
  <c r="D355" i="5"/>
  <c r="E355" i="5"/>
  <c r="F355" i="5"/>
  <c r="G355" i="5"/>
  <c r="H355" i="5"/>
  <c r="I355" i="5"/>
  <c r="J355" i="5"/>
  <c r="K355" i="5"/>
  <c r="L355" i="5"/>
  <c r="M355" i="5"/>
  <c r="AC355" i="5" s="1"/>
  <c r="N355" i="5"/>
  <c r="O355" i="5"/>
  <c r="P355" i="5"/>
  <c r="Q355" i="5"/>
  <c r="R355" i="5"/>
  <c r="S355" i="5"/>
  <c r="T355" i="5"/>
  <c r="U355" i="5"/>
  <c r="V355" i="5"/>
  <c r="W355" i="5"/>
  <c r="X355" i="5"/>
  <c r="AB355" i="5"/>
  <c r="B356" i="5"/>
  <c r="C356" i="5"/>
  <c r="D356" i="5"/>
  <c r="E356" i="5"/>
  <c r="F356" i="5"/>
  <c r="G356" i="5"/>
  <c r="H356" i="5"/>
  <c r="I356" i="5"/>
  <c r="J356" i="5"/>
  <c r="K356" i="5"/>
  <c r="L356" i="5"/>
  <c r="M356" i="5"/>
  <c r="N356" i="5"/>
  <c r="O356" i="5"/>
  <c r="P356" i="5"/>
  <c r="AC356" i="5" s="1"/>
  <c r="Q356" i="5"/>
  <c r="R356" i="5"/>
  <c r="S356" i="5"/>
  <c r="T356" i="5"/>
  <c r="U356" i="5"/>
  <c r="V356" i="5"/>
  <c r="W356" i="5"/>
  <c r="X356" i="5"/>
  <c r="B357" i="5"/>
  <c r="C357" i="5"/>
  <c r="D357" i="5"/>
  <c r="E357" i="5"/>
  <c r="F357" i="5"/>
  <c r="G357" i="5"/>
  <c r="H357" i="5"/>
  <c r="I357" i="5"/>
  <c r="J357" i="5"/>
  <c r="K357" i="5"/>
  <c r="L357" i="5"/>
  <c r="M357" i="5"/>
  <c r="AC357" i="5" s="1"/>
  <c r="N357" i="5"/>
  <c r="O357" i="5"/>
  <c r="P357" i="5"/>
  <c r="Q357" i="5"/>
  <c r="R357" i="5"/>
  <c r="S357" i="5"/>
  <c r="T357" i="5"/>
  <c r="U357" i="5"/>
  <c r="V357" i="5"/>
  <c r="W357" i="5"/>
  <c r="X357" i="5"/>
  <c r="B358" i="5"/>
  <c r="C358" i="5"/>
  <c r="D358" i="5"/>
  <c r="E358" i="5"/>
  <c r="F358" i="5"/>
  <c r="G358" i="5"/>
  <c r="H358" i="5"/>
  <c r="I358" i="5"/>
  <c r="J358" i="5"/>
  <c r="K358" i="5"/>
  <c r="L358" i="5"/>
  <c r="M358" i="5"/>
  <c r="N358" i="5"/>
  <c r="AC358" i="5" s="1"/>
  <c r="AC630" i="5" s="1"/>
  <c r="O358" i="5"/>
  <c r="P358" i="5"/>
  <c r="Q358" i="5"/>
  <c r="R358" i="5"/>
  <c r="S358" i="5"/>
  <c r="T358" i="5"/>
  <c r="U358" i="5"/>
  <c r="V358" i="5"/>
  <c r="W358" i="5"/>
  <c r="X358" i="5"/>
  <c r="B359" i="5"/>
  <c r="C359" i="5"/>
  <c r="D359" i="5"/>
  <c r="E359" i="5"/>
  <c r="F359" i="5"/>
  <c r="G359" i="5"/>
  <c r="H359" i="5"/>
  <c r="I359" i="5"/>
  <c r="J359" i="5"/>
  <c r="K359" i="5"/>
  <c r="L359" i="5"/>
  <c r="M359" i="5"/>
  <c r="AC359" i="5" s="1"/>
  <c r="N359" i="5"/>
  <c r="O359" i="5"/>
  <c r="P359" i="5"/>
  <c r="Q359" i="5"/>
  <c r="R359" i="5"/>
  <c r="S359" i="5"/>
  <c r="T359" i="5"/>
  <c r="U359" i="5"/>
  <c r="V359" i="5"/>
  <c r="W359" i="5"/>
  <c r="X359" i="5"/>
  <c r="AB359" i="5"/>
  <c r="B360" i="5"/>
  <c r="AB360" i="5" s="1"/>
  <c r="C360" i="5"/>
  <c r="D360" i="5"/>
  <c r="E360" i="5"/>
  <c r="F360" i="5"/>
  <c r="G360" i="5"/>
  <c r="H360" i="5"/>
  <c r="I360" i="5"/>
  <c r="J360" i="5"/>
  <c r="K360" i="5"/>
  <c r="L360" i="5"/>
  <c r="M360" i="5"/>
  <c r="N360" i="5"/>
  <c r="O360" i="5"/>
  <c r="P360" i="5"/>
  <c r="AC360" i="5" s="1"/>
  <c r="Q360" i="5"/>
  <c r="R360" i="5"/>
  <c r="S360" i="5"/>
  <c r="T360" i="5"/>
  <c r="U360" i="5"/>
  <c r="V360" i="5"/>
  <c r="W360" i="5"/>
  <c r="X360" i="5"/>
  <c r="B361" i="5"/>
  <c r="C361" i="5"/>
  <c r="D361" i="5"/>
  <c r="E361" i="5"/>
  <c r="F361" i="5"/>
  <c r="G361" i="5"/>
  <c r="H361" i="5"/>
  <c r="I361" i="5"/>
  <c r="J361" i="5"/>
  <c r="K361" i="5"/>
  <c r="L361" i="5"/>
  <c r="M361" i="5"/>
  <c r="N361" i="5"/>
  <c r="O361" i="5"/>
  <c r="P361" i="5"/>
  <c r="Q361" i="5"/>
  <c r="R361" i="5"/>
  <c r="S361" i="5"/>
  <c r="T361" i="5"/>
  <c r="U361" i="5"/>
  <c r="V361" i="5"/>
  <c r="W361" i="5"/>
  <c r="X361" i="5"/>
  <c r="B362" i="5"/>
  <c r="C362" i="5"/>
  <c r="D362" i="5"/>
  <c r="E362" i="5"/>
  <c r="F362" i="5"/>
  <c r="G362" i="5"/>
  <c r="H362" i="5"/>
  <c r="I362" i="5"/>
  <c r="J362" i="5"/>
  <c r="K362" i="5"/>
  <c r="L362" i="5"/>
  <c r="M362" i="5"/>
  <c r="N362" i="5"/>
  <c r="AC362" i="5" s="1"/>
  <c r="O362" i="5"/>
  <c r="P362" i="5"/>
  <c r="Q362" i="5"/>
  <c r="R362" i="5"/>
  <c r="S362" i="5"/>
  <c r="T362" i="5"/>
  <c r="U362" i="5"/>
  <c r="V362" i="5"/>
  <c r="W362" i="5"/>
  <c r="X362" i="5"/>
  <c r="B363" i="5"/>
  <c r="C363" i="5"/>
  <c r="D363" i="5"/>
  <c r="E363" i="5"/>
  <c r="F363" i="5"/>
  <c r="G363" i="5"/>
  <c r="H363" i="5"/>
  <c r="I363" i="5"/>
  <c r="J363" i="5"/>
  <c r="K363" i="5"/>
  <c r="L363" i="5"/>
  <c r="M363" i="5"/>
  <c r="AC363" i="5" s="1"/>
  <c r="N363" i="5"/>
  <c r="O363" i="5"/>
  <c r="P363" i="5"/>
  <c r="Q363" i="5"/>
  <c r="R363" i="5"/>
  <c r="S363" i="5"/>
  <c r="T363" i="5"/>
  <c r="U363" i="5"/>
  <c r="V363" i="5"/>
  <c r="W363" i="5"/>
  <c r="X363" i="5"/>
  <c r="AB363" i="5"/>
  <c r="B364" i="5"/>
  <c r="C364" i="5"/>
  <c r="D364" i="5"/>
  <c r="E364" i="5"/>
  <c r="F364" i="5"/>
  <c r="G364" i="5"/>
  <c r="H364" i="5"/>
  <c r="I364" i="5"/>
  <c r="J364" i="5"/>
  <c r="K364" i="5"/>
  <c r="L364" i="5"/>
  <c r="M364" i="5"/>
  <c r="N364" i="5"/>
  <c r="O364" i="5"/>
  <c r="P364" i="5"/>
  <c r="AC364" i="5" s="1"/>
  <c r="Q364" i="5"/>
  <c r="R364" i="5"/>
  <c r="S364" i="5"/>
  <c r="T364" i="5"/>
  <c r="U364" i="5"/>
  <c r="V364" i="5"/>
  <c r="W364" i="5"/>
  <c r="X364" i="5"/>
  <c r="B365" i="5"/>
  <c r="C365" i="5"/>
  <c r="D365" i="5"/>
  <c r="E365" i="5"/>
  <c r="F365" i="5"/>
  <c r="G365" i="5"/>
  <c r="H365" i="5"/>
  <c r="I365" i="5"/>
  <c r="J365" i="5"/>
  <c r="K365" i="5"/>
  <c r="L365" i="5"/>
  <c r="M365" i="5"/>
  <c r="AC365" i="5" s="1"/>
  <c r="N365" i="5"/>
  <c r="O365" i="5"/>
  <c r="P365" i="5"/>
  <c r="Q365" i="5"/>
  <c r="R365" i="5"/>
  <c r="S365" i="5"/>
  <c r="T365" i="5"/>
  <c r="U365" i="5"/>
  <c r="V365" i="5"/>
  <c r="W365" i="5"/>
  <c r="X365" i="5"/>
  <c r="B366" i="5"/>
  <c r="C366" i="5"/>
  <c r="D366" i="5"/>
  <c r="E366" i="5"/>
  <c r="F366" i="5"/>
  <c r="G366" i="5"/>
  <c r="H366" i="5"/>
  <c r="I366" i="5"/>
  <c r="J366" i="5"/>
  <c r="K366" i="5"/>
  <c r="L366" i="5"/>
  <c r="M366" i="5"/>
  <c r="N366" i="5"/>
  <c r="AC366" i="5" s="1"/>
  <c r="O366" i="5"/>
  <c r="P366" i="5"/>
  <c r="Q366" i="5"/>
  <c r="R366" i="5"/>
  <c r="S366" i="5"/>
  <c r="T366" i="5"/>
  <c r="U366" i="5"/>
  <c r="V366" i="5"/>
  <c r="W366" i="5"/>
  <c r="X366" i="5"/>
  <c r="B367" i="5"/>
  <c r="C367" i="5"/>
  <c r="D367" i="5"/>
  <c r="E367" i="5"/>
  <c r="F367" i="5"/>
  <c r="G367" i="5"/>
  <c r="H367" i="5"/>
  <c r="I367" i="5"/>
  <c r="J367" i="5"/>
  <c r="K367" i="5"/>
  <c r="L367" i="5"/>
  <c r="M367" i="5"/>
  <c r="AC367" i="5" s="1"/>
  <c r="N367" i="5"/>
  <c r="O367" i="5"/>
  <c r="P367" i="5"/>
  <c r="Q367" i="5"/>
  <c r="R367" i="5"/>
  <c r="S367" i="5"/>
  <c r="T367" i="5"/>
  <c r="U367" i="5"/>
  <c r="V367" i="5"/>
  <c r="W367" i="5"/>
  <c r="X367" i="5"/>
  <c r="AB367" i="5"/>
  <c r="B368" i="5"/>
  <c r="AB368" i="5" s="1"/>
  <c r="C368" i="5"/>
  <c r="D368" i="5"/>
  <c r="E368" i="5"/>
  <c r="F368" i="5"/>
  <c r="G368" i="5"/>
  <c r="H368" i="5"/>
  <c r="I368" i="5"/>
  <c r="J368" i="5"/>
  <c r="K368" i="5"/>
  <c r="L368" i="5"/>
  <c r="M368" i="5"/>
  <c r="N368" i="5"/>
  <c r="O368" i="5"/>
  <c r="P368" i="5"/>
  <c r="AC368" i="5" s="1"/>
  <c r="Q368" i="5"/>
  <c r="R368" i="5"/>
  <c r="S368" i="5"/>
  <c r="T368" i="5"/>
  <c r="U368" i="5"/>
  <c r="V368" i="5"/>
  <c r="W368" i="5"/>
  <c r="X368" i="5"/>
  <c r="B369" i="5"/>
  <c r="C369" i="5"/>
  <c r="D369" i="5"/>
  <c r="E369" i="5"/>
  <c r="F369" i="5"/>
  <c r="G369" i="5"/>
  <c r="H369" i="5"/>
  <c r="I369" i="5"/>
  <c r="J369" i="5"/>
  <c r="K369" i="5"/>
  <c r="L369" i="5"/>
  <c r="M369" i="5"/>
  <c r="N369" i="5"/>
  <c r="O369" i="5"/>
  <c r="P369" i="5"/>
  <c r="Q369" i="5"/>
  <c r="R369" i="5"/>
  <c r="S369" i="5"/>
  <c r="T369" i="5"/>
  <c r="U369" i="5"/>
  <c r="V369" i="5"/>
  <c r="W369" i="5"/>
  <c r="X369" i="5"/>
  <c r="B370" i="5"/>
  <c r="C370" i="5"/>
  <c r="D370" i="5"/>
  <c r="E370" i="5"/>
  <c r="F370" i="5"/>
  <c r="G370" i="5"/>
  <c r="H370" i="5"/>
  <c r="I370" i="5"/>
  <c r="J370" i="5"/>
  <c r="K370" i="5"/>
  <c r="L370" i="5"/>
  <c r="M370" i="5"/>
  <c r="N370" i="5"/>
  <c r="AC370" i="5" s="1"/>
  <c r="O370" i="5"/>
  <c r="P370" i="5"/>
  <c r="Q370" i="5"/>
  <c r="R370" i="5"/>
  <c r="S370" i="5"/>
  <c r="T370" i="5"/>
  <c r="U370" i="5"/>
  <c r="V370" i="5"/>
  <c r="W370" i="5"/>
  <c r="X370" i="5"/>
  <c r="B371" i="5"/>
  <c r="C371" i="5"/>
  <c r="D371" i="5"/>
  <c r="E371" i="5"/>
  <c r="F371" i="5"/>
  <c r="G371" i="5"/>
  <c r="H371" i="5"/>
  <c r="I371" i="5"/>
  <c r="J371" i="5"/>
  <c r="K371" i="5"/>
  <c r="L371" i="5"/>
  <c r="M371" i="5"/>
  <c r="AC371" i="5" s="1"/>
  <c r="N371" i="5"/>
  <c r="O371" i="5"/>
  <c r="P371" i="5"/>
  <c r="Q371" i="5"/>
  <c r="R371" i="5"/>
  <c r="S371" i="5"/>
  <c r="T371" i="5"/>
  <c r="U371" i="5"/>
  <c r="V371" i="5"/>
  <c r="W371" i="5"/>
  <c r="X371" i="5"/>
  <c r="AB371" i="5"/>
  <c r="B372" i="5"/>
  <c r="C372" i="5"/>
  <c r="D372" i="5"/>
  <c r="E372" i="5"/>
  <c r="F372" i="5"/>
  <c r="G372" i="5"/>
  <c r="H372" i="5"/>
  <c r="I372" i="5"/>
  <c r="J372" i="5"/>
  <c r="K372" i="5"/>
  <c r="L372" i="5"/>
  <c r="M372" i="5"/>
  <c r="N372" i="5"/>
  <c r="O372" i="5"/>
  <c r="P372" i="5"/>
  <c r="AC372" i="5" s="1"/>
  <c r="Q372" i="5"/>
  <c r="R372" i="5"/>
  <c r="S372" i="5"/>
  <c r="T372" i="5"/>
  <c r="U372" i="5"/>
  <c r="V372" i="5"/>
  <c r="W372" i="5"/>
  <c r="X372" i="5"/>
  <c r="B373" i="5"/>
  <c r="C373" i="5"/>
  <c r="D373" i="5"/>
  <c r="E373" i="5"/>
  <c r="F373" i="5"/>
  <c r="G373" i="5"/>
  <c r="H373" i="5"/>
  <c r="I373" i="5"/>
  <c r="J373" i="5"/>
  <c r="K373" i="5"/>
  <c r="L373" i="5"/>
  <c r="M373" i="5"/>
  <c r="AC373" i="5" s="1"/>
  <c r="N373" i="5"/>
  <c r="O373" i="5"/>
  <c r="P373" i="5"/>
  <c r="Q373" i="5"/>
  <c r="R373" i="5"/>
  <c r="S373" i="5"/>
  <c r="T373" i="5"/>
  <c r="U373" i="5"/>
  <c r="V373" i="5"/>
  <c r="W373" i="5"/>
  <c r="X373" i="5"/>
  <c r="B374" i="5"/>
  <c r="C374" i="5"/>
  <c r="D374" i="5"/>
  <c r="E374" i="5"/>
  <c r="F374" i="5"/>
  <c r="G374" i="5"/>
  <c r="H374" i="5"/>
  <c r="I374" i="5"/>
  <c r="J374" i="5"/>
  <c r="K374" i="5"/>
  <c r="L374" i="5"/>
  <c r="M374" i="5"/>
  <c r="N374" i="5"/>
  <c r="AC374" i="5" s="1"/>
  <c r="O374" i="5"/>
  <c r="P374" i="5"/>
  <c r="Q374" i="5"/>
  <c r="R374" i="5"/>
  <c r="S374" i="5"/>
  <c r="T374" i="5"/>
  <c r="U374" i="5"/>
  <c r="V374" i="5"/>
  <c r="W374" i="5"/>
  <c r="X374" i="5"/>
  <c r="B375" i="5"/>
  <c r="C375" i="5"/>
  <c r="D375" i="5"/>
  <c r="E375" i="5"/>
  <c r="F375" i="5"/>
  <c r="G375" i="5"/>
  <c r="H375" i="5"/>
  <c r="I375" i="5"/>
  <c r="J375" i="5"/>
  <c r="K375" i="5"/>
  <c r="L375" i="5"/>
  <c r="M375" i="5"/>
  <c r="AC375" i="5" s="1"/>
  <c r="N375" i="5"/>
  <c r="O375" i="5"/>
  <c r="P375" i="5"/>
  <c r="Q375" i="5"/>
  <c r="R375" i="5"/>
  <c r="S375" i="5"/>
  <c r="T375" i="5"/>
  <c r="U375" i="5"/>
  <c r="V375" i="5"/>
  <c r="W375" i="5"/>
  <c r="X375" i="5"/>
  <c r="AB375" i="5"/>
  <c r="B376" i="5"/>
  <c r="AB376" i="5" s="1"/>
  <c r="C376" i="5"/>
  <c r="D376" i="5"/>
  <c r="E376" i="5"/>
  <c r="F376" i="5"/>
  <c r="G376" i="5"/>
  <c r="H376" i="5"/>
  <c r="I376" i="5"/>
  <c r="J376" i="5"/>
  <c r="K376" i="5"/>
  <c r="L376" i="5"/>
  <c r="M376" i="5"/>
  <c r="N376" i="5"/>
  <c r="O376" i="5"/>
  <c r="P376" i="5"/>
  <c r="AC376" i="5" s="1"/>
  <c r="Q376" i="5"/>
  <c r="R376" i="5"/>
  <c r="S376" i="5"/>
  <c r="T376" i="5"/>
  <c r="U376" i="5"/>
  <c r="V376" i="5"/>
  <c r="W376" i="5"/>
  <c r="X376" i="5"/>
  <c r="B377" i="5"/>
  <c r="C377" i="5"/>
  <c r="D377" i="5"/>
  <c r="E377" i="5"/>
  <c r="F377" i="5"/>
  <c r="G377" i="5"/>
  <c r="H377" i="5"/>
  <c r="I377" i="5"/>
  <c r="J377" i="5"/>
  <c r="K377" i="5"/>
  <c r="L377" i="5"/>
  <c r="M377" i="5"/>
  <c r="N377" i="5"/>
  <c r="O377" i="5"/>
  <c r="P377" i="5"/>
  <c r="Q377" i="5"/>
  <c r="R377" i="5"/>
  <c r="S377" i="5"/>
  <c r="T377" i="5"/>
  <c r="U377" i="5"/>
  <c r="V377" i="5"/>
  <c r="W377" i="5"/>
  <c r="X377" i="5"/>
  <c r="B378" i="5"/>
  <c r="C378" i="5"/>
  <c r="D378" i="5"/>
  <c r="E378" i="5"/>
  <c r="F378" i="5"/>
  <c r="G378" i="5"/>
  <c r="H378" i="5"/>
  <c r="I378" i="5"/>
  <c r="J378" i="5"/>
  <c r="K378" i="5"/>
  <c r="L378" i="5"/>
  <c r="M378" i="5"/>
  <c r="N378" i="5"/>
  <c r="AC378" i="5" s="1"/>
  <c r="O378" i="5"/>
  <c r="P378" i="5"/>
  <c r="Q378" i="5"/>
  <c r="R378" i="5"/>
  <c r="S378" i="5"/>
  <c r="T378" i="5"/>
  <c r="U378" i="5"/>
  <c r="V378" i="5"/>
  <c r="W378" i="5"/>
  <c r="X378" i="5"/>
  <c r="B379" i="5"/>
  <c r="C379" i="5"/>
  <c r="D379" i="5"/>
  <c r="E379" i="5"/>
  <c r="F379" i="5"/>
  <c r="G379" i="5"/>
  <c r="H379" i="5"/>
  <c r="I379" i="5"/>
  <c r="J379" i="5"/>
  <c r="K379" i="5"/>
  <c r="L379" i="5"/>
  <c r="M379" i="5"/>
  <c r="AC379" i="5" s="1"/>
  <c r="N379" i="5"/>
  <c r="O379" i="5"/>
  <c r="P379" i="5"/>
  <c r="Q379" i="5"/>
  <c r="R379" i="5"/>
  <c r="S379" i="5"/>
  <c r="T379" i="5"/>
  <c r="U379" i="5"/>
  <c r="V379" i="5"/>
  <c r="W379" i="5"/>
  <c r="X379" i="5"/>
  <c r="AB379" i="5"/>
  <c r="B380" i="5"/>
  <c r="C380" i="5"/>
  <c r="D380" i="5"/>
  <c r="E380" i="5"/>
  <c r="F380" i="5"/>
  <c r="G380" i="5"/>
  <c r="H380" i="5"/>
  <c r="I380" i="5"/>
  <c r="J380" i="5"/>
  <c r="K380" i="5"/>
  <c r="L380" i="5"/>
  <c r="M380" i="5"/>
  <c r="N380" i="5"/>
  <c r="O380" i="5"/>
  <c r="P380" i="5"/>
  <c r="AC380" i="5" s="1"/>
  <c r="Q380" i="5"/>
  <c r="R380" i="5"/>
  <c r="S380" i="5"/>
  <c r="T380" i="5"/>
  <c r="U380" i="5"/>
  <c r="V380" i="5"/>
  <c r="W380" i="5"/>
  <c r="X380" i="5"/>
  <c r="B381" i="5"/>
  <c r="C381" i="5"/>
  <c r="D381" i="5"/>
  <c r="E381" i="5"/>
  <c r="F381" i="5"/>
  <c r="G381" i="5"/>
  <c r="H381" i="5"/>
  <c r="I381" i="5"/>
  <c r="J381" i="5"/>
  <c r="K381" i="5"/>
  <c r="L381" i="5"/>
  <c r="M381" i="5"/>
  <c r="AC381" i="5" s="1"/>
  <c r="N381" i="5"/>
  <c r="O381" i="5"/>
  <c r="P381" i="5"/>
  <c r="Q381" i="5"/>
  <c r="R381" i="5"/>
  <c r="S381" i="5"/>
  <c r="T381" i="5"/>
  <c r="U381" i="5"/>
  <c r="V381" i="5"/>
  <c r="W381" i="5"/>
  <c r="X381" i="5"/>
  <c r="AB381" i="5"/>
  <c r="B382" i="5"/>
  <c r="C382" i="5"/>
  <c r="D382" i="5"/>
  <c r="E382" i="5"/>
  <c r="F382" i="5"/>
  <c r="G382" i="5"/>
  <c r="H382" i="5"/>
  <c r="I382" i="5"/>
  <c r="J382" i="5"/>
  <c r="K382" i="5"/>
  <c r="L382" i="5"/>
  <c r="M382" i="5"/>
  <c r="N382" i="5"/>
  <c r="O382" i="5"/>
  <c r="P382" i="5"/>
  <c r="Q382" i="5"/>
  <c r="R382" i="5"/>
  <c r="S382" i="5"/>
  <c r="T382" i="5"/>
  <c r="U382" i="5"/>
  <c r="V382" i="5"/>
  <c r="W382" i="5"/>
  <c r="X382" i="5"/>
  <c r="AC382" i="5"/>
  <c r="B383" i="5"/>
  <c r="C383" i="5"/>
  <c r="D383" i="5"/>
  <c r="E383" i="5"/>
  <c r="F383" i="5"/>
  <c r="G383" i="5"/>
  <c r="H383" i="5"/>
  <c r="I383" i="5"/>
  <c r="J383" i="5"/>
  <c r="K383" i="5"/>
  <c r="L383" i="5"/>
  <c r="M383" i="5"/>
  <c r="AC383" i="5" s="1"/>
  <c r="N383" i="5"/>
  <c r="O383" i="5"/>
  <c r="P383" i="5"/>
  <c r="Q383" i="5"/>
  <c r="R383" i="5"/>
  <c r="S383" i="5"/>
  <c r="T383" i="5"/>
  <c r="U383" i="5"/>
  <c r="V383" i="5"/>
  <c r="W383" i="5"/>
  <c r="X383" i="5"/>
  <c r="AB383" i="5"/>
  <c r="B384" i="5"/>
  <c r="C384" i="5"/>
  <c r="D384" i="5"/>
  <c r="E384" i="5"/>
  <c r="F384" i="5"/>
  <c r="G384" i="5"/>
  <c r="H384" i="5"/>
  <c r="I384" i="5"/>
  <c r="J384" i="5"/>
  <c r="K384" i="5"/>
  <c r="L384" i="5"/>
  <c r="M384" i="5"/>
  <c r="N384" i="5"/>
  <c r="O384" i="5"/>
  <c r="P384" i="5"/>
  <c r="Q384" i="5"/>
  <c r="R384" i="5"/>
  <c r="S384" i="5"/>
  <c r="T384" i="5"/>
  <c r="U384" i="5"/>
  <c r="V384" i="5"/>
  <c r="W384" i="5"/>
  <c r="X384" i="5"/>
  <c r="AC384" i="5"/>
  <c r="B385" i="5"/>
  <c r="C385" i="5"/>
  <c r="D385" i="5"/>
  <c r="E385" i="5"/>
  <c r="F385" i="5"/>
  <c r="G385" i="5"/>
  <c r="H385" i="5"/>
  <c r="I385" i="5"/>
  <c r="J385" i="5"/>
  <c r="K385" i="5"/>
  <c r="L385" i="5"/>
  <c r="M385" i="5"/>
  <c r="AC385" i="5" s="1"/>
  <c r="N385" i="5"/>
  <c r="O385" i="5"/>
  <c r="P385" i="5"/>
  <c r="Q385" i="5"/>
  <c r="R385" i="5"/>
  <c r="S385" i="5"/>
  <c r="T385" i="5"/>
  <c r="U385" i="5"/>
  <c r="V385" i="5"/>
  <c r="W385" i="5"/>
  <c r="X385" i="5"/>
  <c r="AB385" i="5"/>
  <c r="B386" i="5"/>
  <c r="C386" i="5"/>
  <c r="D386" i="5"/>
  <c r="E386" i="5"/>
  <c r="F386" i="5"/>
  <c r="G386" i="5"/>
  <c r="H386" i="5"/>
  <c r="I386" i="5"/>
  <c r="J386" i="5"/>
  <c r="K386" i="5"/>
  <c r="L386" i="5"/>
  <c r="M386" i="5"/>
  <c r="N386" i="5"/>
  <c r="O386" i="5"/>
  <c r="P386" i="5"/>
  <c r="Q386" i="5"/>
  <c r="R386" i="5"/>
  <c r="S386" i="5"/>
  <c r="T386" i="5"/>
  <c r="U386" i="5"/>
  <c r="V386" i="5"/>
  <c r="W386" i="5"/>
  <c r="X386" i="5"/>
  <c r="AC386" i="5"/>
  <c r="B387" i="5"/>
  <c r="C387" i="5"/>
  <c r="D387" i="5"/>
  <c r="E387" i="5"/>
  <c r="F387" i="5"/>
  <c r="G387" i="5"/>
  <c r="H387" i="5"/>
  <c r="I387" i="5"/>
  <c r="J387" i="5"/>
  <c r="K387" i="5"/>
  <c r="L387" i="5"/>
  <c r="M387" i="5"/>
  <c r="AC387" i="5" s="1"/>
  <c r="N387" i="5"/>
  <c r="O387" i="5"/>
  <c r="P387" i="5"/>
  <c r="Q387" i="5"/>
  <c r="R387" i="5"/>
  <c r="S387" i="5"/>
  <c r="T387" i="5"/>
  <c r="U387" i="5"/>
  <c r="V387" i="5"/>
  <c r="W387" i="5"/>
  <c r="X387" i="5"/>
  <c r="AB387" i="5"/>
  <c r="B388" i="5"/>
  <c r="C388" i="5"/>
  <c r="D388" i="5"/>
  <c r="E388" i="5"/>
  <c r="F388" i="5"/>
  <c r="G388" i="5"/>
  <c r="H388" i="5"/>
  <c r="I388" i="5"/>
  <c r="J388" i="5"/>
  <c r="K388" i="5"/>
  <c r="L388" i="5"/>
  <c r="M388" i="5"/>
  <c r="N388" i="5"/>
  <c r="O388" i="5"/>
  <c r="P388" i="5"/>
  <c r="Q388" i="5"/>
  <c r="R388" i="5"/>
  <c r="S388" i="5"/>
  <c r="T388" i="5"/>
  <c r="U388" i="5"/>
  <c r="V388" i="5"/>
  <c r="W388" i="5"/>
  <c r="X388" i="5"/>
  <c r="AC388" i="5"/>
  <c r="B389" i="5"/>
  <c r="C389" i="5"/>
  <c r="D389" i="5"/>
  <c r="E389" i="5"/>
  <c r="F389" i="5"/>
  <c r="G389" i="5"/>
  <c r="H389" i="5"/>
  <c r="I389" i="5"/>
  <c r="J389" i="5"/>
  <c r="K389" i="5"/>
  <c r="L389" i="5"/>
  <c r="M389" i="5"/>
  <c r="AC389" i="5" s="1"/>
  <c r="N389" i="5"/>
  <c r="O389" i="5"/>
  <c r="P389" i="5"/>
  <c r="Q389" i="5"/>
  <c r="R389" i="5"/>
  <c r="S389" i="5"/>
  <c r="T389" i="5"/>
  <c r="U389" i="5"/>
  <c r="V389" i="5"/>
  <c r="W389" i="5"/>
  <c r="X389" i="5"/>
  <c r="AB389" i="5"/>
  <c r="B390" i="5"/>
  <c r="C390" i="5"/>
  <c r="D390" i="5"/>
  <c r="E390" i="5"/>
  <c r="F390" i="5"/>
  <c r="G390" i="5"/>
  <c r="H390" i="5"/>
  <c r="I390" i="5"/>
  <c r="J390" i="5"/>
  <c r="K390" i="5"/>
  <c r="L390" i="5"/>
  <c r="M390" i="5"/>
  <c r="N390" i="5"/>
  <c r="O390" i="5"/>
  <c r="P390" i="5"/>
  <c r="Q390" i="5"/>
  <c r="R390" i="5"/>
  <c r="S390" i="5"/>
  <c r="T390" i="5"/>
  <c r="U390" i="5"/>
  <c r="V390" i="5"/>
  <c r="W390" i="5"/>
  <c r="X390" i="5"/>
  <c r="AC390" i="5"/>
  <c r="B391" i="5"/>
  <c r="C391" i="5"/>
  <c r="D391" i="5"/>
  <c r="E391" i="5"/>
  <c r="F391" i="5"/>
  <c r="G391" i="5"/>
  <c r="H391" i="5"/>
  <c r="I391" i="5"/>
  <c r="J391" i="5"/>
  <c r="K391" i="5"/>
  <c r="L391" i="5"/>
  <c r="M391" i="5"/>
  <c r="AC391" i="5" s="1"/>
  <c r="N391" i="5"/>
  <c r="O391" i="5"/>
  <c r="P391" i="5"/>
  <c r="Q391" i="5"/>
  <c r="R391" i="5"/>
  <c r="S391" i="5"/>
  <c r="T391" i="5"/>
  <c r="U391" i="5"/>
  <c r="V391" i="5"/>
  <c r="W391" i="5"/>
  <c r="X391" i="5"/>
  <c r="AB391" i="5"/>
  <c r="B392" i="5"/>
  <c r="C392" i="5"/>
  <c r="D392" i="5"/>
  <c r="E392" i="5"/>
  <c r="F392" i="5"/>
  <c r="G392" i="5"/>
  <c r="H392" i="5"/>
  <c r="I392" i="5"/>
  <c r="J392" i="5"/>
  <c r="K392" i="5"/>
  <c r="L392" i="5"/>
  <c r="M392" i="5"/>
  <c r="N392" i="5"/>
  <c r="O392" i="5"/>
  <c r="P392" i="5"/>
  <c r="Q392" i="5"/>
  <c r="R392" i="5"/>
  <c r="S392" i="5"/>
  <c r="T392" i="5"/>
  <c r="U392" i="5"/>
  <c r="V392" i="5"/>
  <c r="W392" i="5"/>
  <c r="X392" i="5"/>
  <c r="AC392" i="5"/>
  <c r="B393" i="5"/>
  <c r="C393" i="5"/>
  <c r="D393" i="5"/>
  <c r="E393" i="5"/>
  <c r="F393" i="5"/>
  <c r="G393" i="5"/>
  <c r="H393" i="5"/>
  <c r="I393" i="5"/>
  <c r="J393" i="5"/>
  <c r="K393" i="5"/>
  <c r="L393" i="5"/>
  <c r="M393" i="5"/>
  <c r="AC393" i="5" s="1"/>
  <c r="N393" i="5"/>
  <c r="O393" i="5"/>
  <c r="P393" i="5"/>
  <c r="Q393" i="5"/>
  <c r="R393" i="5"/>
  <c r="S393" i="5"/>
  <c r="T393" i="5"/>
  <c r="U393" i="5"/>
  <c r="V393" i="5"/>
  <c r="W393" i="5"/>
  <c r="X393" i="5"/>
  <c r="AB393" i="5"/>
  <c r="B394" i="5"/>
  <c r="C394" i="5"/>
  <c r="D394" i="5"/>
  <c r="E394" i="5"/>
  <c r="F394" i="5"/>
  <c r="G394" i="5"/>
  <c r="H394" i="5"/>
  <c r="I394" i="5"/>
  <c r="J394" i="5"/>
  <c r="K394" i="5"/>
  <c r="L394" i="5"/>
  <c r="M394" i="5"/>
  <c r="N394" i="5"/>
  <c r="O394" i="5"/>
  <c r="P394" i="5"/>
  <c r="Q394" i="5"/>
  <c r="R394" i="5"/>
  <c r="S394" i="5"/>
  <c r="T394" i="5"/>
  <c r="U394" i="5"/>
  <c r="V394" i="5"/>
  <c r="W394" i="5"/>
  <c r="X394" i="5"/>
  <c r="AC394" i="5"/>
  <c r="B395" i="5"/>
  <c r="C395" i="5"/>
  <c r="D395" i="5"/>
  <c r="E395" i="5"/>
  <c r="F395" i="5"/>
  <c r="G395" i="5"/>
  <c r="H395" i="5"/>
  <c r="I395" i="5"/>
  <c r="J395" i="5"/>
  <c r="K395" i="5"/>
  <c r="L395" i="5"/>
  <c r="M395" i="5"/>
  <c r="AC395" i="5" s="1"/>
  <c r="N395" i="5"/>
  <c r="O395" i="5"/>
  <c r="P395" i="5"/>
  <c r="Q395" i="5"/>
  <c r="R395" i="5"/>
  <c r="S395" i="5"/>
  <c r="T395" i="5"/>
  <c r="U395" i="5"/>
  <c r="V395" i="5"/>
  <c r="W395" i="5"/>
  <c r="X395" i="5"/>
  <c r="AB395" i="5"/>
  <c r="B396" i="5"/>
  <c r="C396" i="5"/>
  <c r="D396" i="5"/>
  <c r="E396" i="5"/>
  <c r="F396" i="5"/>
  <c r="G396" i="5"/>
  <c r="H396" i="5"/>
  <c r="I396" i="5"/>
  <c r="J396" i="5"/>
  <c r="K396" i="5"/>
  <c r="L396" i="5"/>
  <c r="M396" i="5"/>
  <c r="N396" i="5"/>
  <c r="O396" i="5"/>
  <c r="P396" i="5"/>
  <c r="Q396" i="5"/>
  <c r="R396" i="5"/>
  <c r="S396" i="5"/>
  <c r="T396" i="5"/>
  <c r="U396" i="5"/>
  <c r="V396" i="5"/>
  <c r="W396" i="5"/>
  <c r="X396" i="5"/>
  <c r="AC396" i="5"/>
  <c r="B397" i="5"/>
  <c r="C397" i="5"/>
  <c r="D397" i="5"/>
  <c r="E397" i="5"/>
  <c r="F397" i="5"/>
  <c r="G397" i="5"/>
  <c r="H397" i="5"/>
  <c r="I397" i="5"/>
  <c r="J397" i="5"/>
  <c r="K397" i="5"/>
  <c r="L397" i="5"/>
  <c r="M397" i="5"/>
  <c r="AC397" i="5" s="1"/>
  <c r="N397" i="5"/>
  <c r="O397" i="5"/>
  <c r="P397" i="5"/>
  <c r="Q397" i="5"/>
  <c r="R397" i="5"/>
  <c r="S397" i="5"/>
  <c r="T397" i="5"/>
  <c r="U397" i="5"/>
  <c r="V397" i="5"/>
  <c r="W397" i="5"/>
  <c r="X397" i="5"/>
  <c r="AB397" i="5"/>
  <c r="B398" i="5"/>
  <c r="C398" i="5"/>
  <c r="D398" i="5"/>
  <c r="E398" i="5"/>
  <c r="F398" i="5"/>
  <c r="G398" i="5"/>
  <c r="H398" i="5"/>
  <c r="I398" i="5"/>
  <c r="J398" i="5"/>
  <c r="K398" i="5"/>
  <c r="L398" i="5"/>
  <c r="M398" i="5"/>
  <c r="N398" i="5"/>
  <c r="O398" i="5"/>
  <c r="P398" i="5"/>
  <c r="Q398" i="5"/>
  <c r="R398" i="5"/>
  <c r="S398" i="5"/>
  <c r="T398" i="5"/>
  <c r="U398" i="5"/>
  <c r="V398" i="5"/>
  <c r="W398" i="5"/>
  <c r="X398" i="5"/>
  <c r="AC398" i="5"/>
  <c r="B399" i="5"/>
  <c r="C399" i="5"/>
  <c r="D399" i="5"/>
  <c r="E399" i="5"/>
  <c r="F399" i="5"/>
  <c r="G399" i="5"/>
  <c r="H399" i="5"/>
  <c r="I399" i="5"/>
  <c r="J399" i="5"/>
  <c r="K399" i="5"/>
  <c r="L399" i="5"/>
  <c r="M399" i="5"/>
  <c r="AC399" i="5" s="1"/>
  <c r="N399" i="5"/>
  <c r="O399" i="5"/>
  <c r="P399" i="5"/>
  <c r="Q399" i="5"/>
  <c r="R399" i="5"/>
  <c r="S399" i="5"/>
  <c r="T399" i="5"/>
  <c r="U399" i="5"/>
  <c r="V399" i="5"/>
  <c r="W399" i="5"/>
  <c r="X399" i="5"/>
  <c r="AB399" i="5"/>
  <c r="B400" i="5"/>
  <c r="AB400" i="5" s="1"/>
  <c r="C400" i="5"/>
  <c r="D400" i="5"/>
  <c r="E400" i="5"/>
  <c r="F400" i="5"/>
  <c r="G400" i="5"/>
  <c r="H400" i="5"/>
  <c r="I400" i="5"/>
  <c r="J400" i="5"/>
  <c r="K400" i="5"/>
  <c r="L400" i="5"/>
  <c r="M400" i="5"/>
  <c r="N400" i="5"/>
  <c r="O400" i="5"/>
  <c r="P400" i="5"/>
  <c r="AC400" i="5" s="1"/>
  <c r="Q400" i="5"/>
  <c r="R400" i="5"/>
  <c r="S400" i="5"/>
  <c r="T400" i="5"/>
  <c r="U400" i="5"/>
  <c r="V400" i="5"/>
  <c r="W400" i="5"/>
  <c r="X400" i="5"/>
  <c r="B401" i="5"/>
  <c r="C401" i="5"/>
  <c r="AB401" i="5" s="1"/>
  <c r="D401" i="5"/>
  <c r="E401" i="5"/>
  <c r="F401" i="5"/>
  <c r="G401" i="5"/>
  <c r="H401" i="5"/>
  <c r="I401" i="5"/>
  <c r="J401" i="5"/>
  <c r="K401" i="5"/>
  <c r="L401" i="5"/>
  <c r="M401" i="5"/>
  <c r="AC401" i="5" s="1"/>
  <c r="N401" i="5"/>
  <c r="O401" i="5"/>
  <c r="P401" i="5"/>
  <c r="Q401" i="5"/>
  <c r="R401" i="5"/>
  <c r="S401" i="5"/>
  <c r="T401" i="5"/>
  <c r="U401" i="5"/>
  <c r="V401" i="5"/>
  <c r="W401" i="5"/>
  <c r="X401" i="5"/>
  <c r="B402" i="5"/>
  <c r="AB402" i="5" s="1"/>
  <c r="C402" i="5"/>
  <c r="D402" i="5"/>
  <c r="E402" i="5"/>
  <c r="F402" i="5"/>
  <c r="G402" i="5"/>
  <c r="H402" i="5"/>
  <c r="I402" i="5"/>
  <c r="J402" i="5"/>
  <c r="K402" i="5"/>
  <c r="L402" i="5"/>
  <c r="M402" i="5"/>
  <c r="N402" i="5"/>
  <c r="O402" i="5"/>
  <c r="P402" i="5"/>
  <c r="Q402" i="5"/>
  <c r="R402" i="5"/>
  <c r="S402" i="5"/>
  <c r="T402" i="5"/>
  <c r="U402" i="5"/>
  <c r="V402" i="5"/>
  <c r="W402" i="5"/>
  <c r="X402" i="5"/>
  <c r="AC402" i="5"/>
  <c r="B403" i="5"/>
  <c r="C403" i="5"/>
  <c r="D403" i="5"/>
  <c r="E403" i="5"/>
  <c r="F403" i="5"/>
  <c r="G403" i="5"/>
  <c r="H403" i="5"/>
  <c r="I403" i="5"/>
  <c r="J403" i="5"/>
  <c r="K403" i="5"/>
  <c r="L403" i="5"/>
  <c r="M403" i="5"/>
  <c r="AC403" i="5" s="1"/>
  <c r="N403" i="5"/>
  <c r="O403" i="5"/>
  <c r="P403" i="5"/>
  <c r="Q403" i="5"/>
  <c r="R403" i="5"/>
  <c r="S403" i="5"/>
  <c r="T403" i="5"/>
  <c r="U403" i="5"/>
  <c r="V403" i="5"/>
  <c r="W403" i="5"/>
  <c r="X403" i="5"/>
  <c r="AB403" i="5"/>
  <c r="B404" i="5"/>
  <c r="AB404" i="5" s="1"/>
  <c r="C404" i="5"/>
  <c r="D404" i="5"/>
  <c r="E404" i="5"/>
  <c r="F404" i="5"/>
  <c r="G404" i="5"/>
  <c r="H404" i="5"/>
  <c r="I404" i="5"/>
  <c r="J404" i="5"/>
  <c r="K404" i="5"/>
  <c r="L404" i="5"/>
  <c r="M404" i="5"/>
  <c r="N404" i="5"/>
  <c r="O404" i="5"/>
  <c r="P404" i="5"/>
  <c r="AC404" i="5" s="1"/>
  <c r="Q404" i="5"/>
  <c r="R404" i="5"/>
  <c r="S404" i="5"/>
  <c r="T404" i="5"/>
  <c r="U404" i="5"/>
  <c r="V404" i="5"/>
  <c r="W404" i="5"/>
  <c r="X404" i="5"/>
  <c r="B405" i="5"/>
  <c r="C405" i="5"/>
  <c r="AB405" i="5" s="1"/>
  <c r="D405" i="5"/>
  <c r="E405" i="5"/>
  <c r="F405" i="5"/>
  <c r="G405" i="5"/>
  <c r="H405" i="5"/>
  <c r="I405" i="5"/>
  <c r="J405" i="5"/>
  <c r="K405" i="5"/>
  <c r="L405" i="5"/>
  <c r="M405" i="5"/>
  <c r="AC405" i="5" s="1"/>
  <c r="N405" i="5"/>
  <c r="O405" i="5"/>
  <c r="P405" i="5"/>
  <c r="Q405" i="5"/>
  <c r="R405" i="5"/>
  <c r="S405" i="5"/>
  <c r="T405" i="5"/>
  <c r="U405" i="5"/>
  <c r="V405" i="5"/>
  <c r="W405" i="5"/>
  <c r="X405" i="5"/>
  <c r="B406" i="5"/>
  <c r="AB406" i="5" s="1"/>
  <c r="C406" i="5"/>
  <c r="D406" i="5"/>
  <c r="E406" i="5"/>
  <c r="F406" i="5"/>
  <c r="G406" i="5"/>
  <c r="H406" i="5"/>
  <c r="I406" i="5"/>
  <c r="J406" i="5"/>
  <c r="K406" i="5"/>
  <c r="L406" i="5"/>
  <c r="M406" i="5"/>
  <c r="N406" i="5"/>
  <c r="O406" i="5"/>
  <c r="P406" i="5"/>
  <c r="Q406" i="5"/>
  <c r="R406" i="5"/>
  <c r="S406" i="5"/>
  <c r="T406" i="5"/>
  <c r="U406" i="5"/>
  <c r="V406" i="5"/>
  <c r="W406" i="5"/>
  <c r="X406" i="5"/>
  <c r="AC406" i="5"/>
  <c r="B407" i="5"/>
  <c r="C407" i="5"/>
  <c r="D407" i="5"/>
  <c r="E407" i="5"/>
  <c r="F407" i="5"/>
  <c r="G407" i="5"/>
  <c r="H407" i="5"/>
  <c r="I407" i="5"/>
  <c r="J407" i="5"/>
  <c r="K407" i="5"/>
  <c r="L407" i="5"/>
  <c r="M407" i="5"/>
  <c r="AC407" i="5" s="1"/>
  <c r="N407" i="5"/>
  <c r="O407" i="5"/>
  <c r="P407" i="5"/>
  <c r="Q407" i="5"/>
  <c r="R407" i="5"/>
  <c r="S407" i="5"/>
  <c r="T407" i="5"/>
  <c r="U407" i="5"/>
  <c r="V407" i="5"/>
  <c r="W407" i="5"/>
  <c r="X407" i="5"/>
  <c r="AB407" i="5"/>
  <c r="B408" i="5"/>
  <c r="AB408" i="5" s="1"/>
  <c r="C408" i="5"/>
  <c r="D408" i="5"/>
  <c r="E408" i="5"/>
  <c r="F408" i="5"/>
  <c r="G408" i="5"/>
  <c r="H408" i="5"/>
  <c r="I408" i="5"/>
  <c r="J408" i="5"/>
  <c r="K408" i="5"/>
  <c r="L408" i="5"/>
  <c r="M408" i="5"/>
  <c r="N408" i="5"/>
  <c r="O408" i="5"/>
  <c r="P408" i="5"/>
  <c r="AC408" i="5" s="1"/>
  <c r="Q408" i="5"/>
  <c r="R408" i="5"/>
  <c r="S408" i="5"/>
  <c r="T408" i="5"/>
  <c r="U408" i="5"/>
  <c r="V408" i="5"/>
  <c r="W408" i="5"/>
  <c r="X408" i="5"/>
  <c r="B409" i="5"/>
  <c r="C409" i="5"/>
  <c r="AB409" i="5" s="1"/>
  <c r="D409" i="5"/>
  <c r="E409" i="5"/>
  <c r="F409" i="5"/>
  <c r="G409" i="5"/>
  <c r="H409" i="5"/>
  <c r="I409" i="5"/>
  <c r="J409" i="5"/>
  <c r="K409" i="5"/>
  <c r="L409" i="5"/>
  <c r="M409" i="5"/>
  <c r="AC409" i="5" s="1"/>
  <c r="N409" i="5"/>
  <c r="O409" i="5"/>
  <c r="P409" i="5"/>
  <c r="Q409" i="5"/>
  <c r="R409" i="5"/>
  <c r="S409" i="5"/>
  <c r="T409" i="5"/>
  <c r="U409" i="5"/>
  <c r="V409" i="5"/>
  <c r="W409" i="5"/>
  <c r="X409" i="5"/>
  <c r="B410" i="5"/>
  <c r="AB410" i="5" s="1"/>
  <c r="C410" i="5"/>
  <c r="D410" i="5"/>
  <c r="E410" i="5"/>
  <c r="F410" i="5"/>
  <c r="G410" i="5"/>
  <c r="H410" i="5"/>
  <c r="I410" i="5"/>
  <c r="J410" i="5"/>
  <c r="K410" i="5"/>
  <c r="L410" i="5"/>
  <c r="M410" i="5"/>
  <c r="N410" i="5"/>
  <c r="O410" i="5"/>
  <c r="P410" i="5"/>
  <c r="Q410" i="5"/>
  <c r="R410" i="5"/>
  <c r="S410" i="5"/>
  <c r="T410" i="5"/>
  <c r="U410" i="5"/>
  <c r="V410" i="5"/>
  <c r="W410" i="5"/>
  <c r="X410" i="5"/>
  <c r="AC410" i="5"/>
  <c r="B411" i="5"/>
  <c r="C411" i="5"/>
  <c r="D411" i="5"/>
  <c r="E411" i="5"/>
  <c r="F411" i="5"/>
  <c r="G411" i="5"/>
  <c r="H411" i="5"/>
  <c r="I411" i="5"/>
  <c r="J411" i="5"/>
  <c r="K411" i="5"/>
  <c r="L411" i="5"/>
  <c r="M411" i="5"/>
  <c r="AC411" i="5" s="1"/>
  <c r="N411" i="5"/>
  <c r="O411" i="5"/>
  <c r="P411" i="5"/>
  <c r="Q411" i="5"/>
  <c r="R411" i="5"/>
  <c r="S411" i="5"/>
  <c r="T411" i="5"/>
  <c r="U411" i="5"/>
  <c r="V411" i="5"/>
  <c r="W411" i="5"/>
  <c r="X411" i="5"/>
  <c r="AB411" i="5"/>
  <c r="B412" i="5"/>
  <c r="AB412" i="5" s="1"/>
  <c r="C412" i="5"/>
  <c r="D412" i="5"/>
  <c r="E412" i="5"/>
  <c r="F412" i="5"/>
  <c r="G412" i="5"/>
  <c r="H412" i="5"/>
  <c r="I412" i="5"/>
  <c r="J412" i="5"/>
  <c r="K412" i="5"/>
  <c r="L412" i="5"/>
  <c r="M412" i="5"/>
  <c r="N412" i="5"/>
  <c r="O412" i="5"/>
  <c r="P412" i="5"/>
  <c r="AC412" i="5" s="1"/>
  <c r="Q412" i="5"/>
  <c r="R412" i="5"/>
  <c r="S412" i="5"/>
  <c r="T412" i="5"/>
  <c r="U412" i="5"/>
  <c r="V412" i="5"/>
  <c r="W412" i="5"/>
  <c r="X412" i="5"/>
  <c r="B413" i="5"/>
  <c r="C413" i="5"/>
  <c r="AB413" i="5" s="1"/>
  <c r="D413" i="5"/>
  <c r="E413" i="5"/>
  <c r="F413" i="5"/>
  <c r="G413" i="5"/>
  <c r="H413" i="5"/>
  <c r="I413" i="5"/>
  <c r="J413" i="5"/>
  <c r="K413" i="5"/>
  <c r="L413" i="5"/>
  <c r="M413" i="5"/>
  <c r="AC413" i="5" s="1"/>
  <c r="N413" i="5"/>
  <c r="O413" i="5"/>
  <c r="P413" i="5"/>
  <c r="Q413" i="5"/>
  <c r="R413" i="5"/>
  <c r="S413" i="5"/>
  <c r="T413" i="5"/>
  <c r="U413" i="5"/>
  <c r="V413" i="5"/>
  <c r="W413" i="5"/>
  <c r="X413" i="5"/>
  <c r="B414" i="5"/>
  <c r="AB414" i="5" s="1"/>
  <c r="C414" i="5"/>
  <c r="D414" i="5"/>
  <c r="E414" i="5"/>
  <c r="F414" i="5"/>
  <c r="G414" i="5"/>
  <c r="H414" i="5"/>
  <c r="I414" i="5"/>
  <c r="J414" i="5"/>
  <c r="K414" i="5"/>
  <c r="L414" i="5"/>
  <c r="M414" i="5"/>
  <c r="N414" i="5"/>
  <c r="O414" i="5"/>
  <c r="P414" i="5"/>
  <c r="Q414" i="5"/>
  <c r="R414" i="5"/>
  <c r="S414" i="5"/>
  <c r="T414" i="5"/>
  <c r="U414" i="5"/>
  <c r="V414" i="5"/>
  <c r="W414" i="5"/>
  <c r="X414" i="5"/>
  <c r="AC414" i="5"/>
  <c r="B415" i="5"/>
  <c r="C415" i="5"/>
  <c r="D415" i="5"/>
  <c r="E415" i="5"/>
  <c r="F415" i="5"/>
  <c r="G415" i="5"/>
  <c r="H415" i="5"/>
  <c r="I415" i="5"/>
  <c r="J415" i="5"/>
  <c r="K415" i="5"/>
  <c r="L415" i="5"/>
  <c r="M415" i="5"/>
  <c r="AC415" i="5" s="1"/>
  <c r="N415" i="5"/>
  <c r="O415" i="5"/>
  <c r="P415" i="5"/>
  <c r="Q415" i="5"/>
  <c r="R415" i="5"/>
  <c r="S415" i="5"/>
  <c r="T415" i="5"/>
  <c r="U415" i="5"/>
  <c r="V415" i="5"/>
  <c r="W415" i="5"/>
  <c r="X415" i="5"/>
  <c r="AB415" i="5"/>
  <c r="B416" i="5"/>
  <c r="AB416" i="5" s="1"/>
  <c r="C416" i="5"/>
  <c r="D416" i="5"/>
  <c r="E416" i="5"/>
  <c r="F416" i="5"/>
  <c r="G416" i="5"/>
  <c r="H416" i="5"/>
  <c r="I416" i="5"/>
  <c r="J416" i="5"/>
  <c r="K416" i="5"/>
  <c r="L416" i="5"/>
  <c r="M416" i="5"/>
  <c r="N416" i="5"/>
  <c r="O416" i="5"/>
  <c r="P416" i="5"/>
  <c r="AC416" i="5" s="1"/>
  <c r="Q416" i="5"/>
  <c r="R416" i="5"/>
  <c r="S416" i="5"/>
  <c r="T416" i="5"/>
  <c r="U416" i="5"/>
  <c r="V416" i="5"/>
  <c r="W416" i="5"/>
  <c r="X416" i="5"/>
  <c r="B417" i="5"/>
  <c r="C417" i="5"/>
  <c r="AB417" i="5" s="1"/>
  <c r="D417" i="5"/>
  <c r="E417" i="5"/>
  <c r="F417" i="5"/>
  <c r="G417" i="5"/>
  <c r="H417" i="5"/>
  <c r="I417" i="5"/>
  <c r="J417" i="5"/>
  <c r="K417" i="5"/>
  <c r="L417" i="5"/>
  <c r="M417" i="5"/>
  <c r="AC417" i="5" s="1"/>
  <c r="N417" i="5"/>
  <c r="O417" i="5"/>
  <c r="P417" i="5"/>
  <c r="Q417" i="5"/>
  <c r="R417" i="5"/>
  <c r="S417" i="5"/>
  <c r="T417" i="5"/>
  <c r="U417" i="5"/>
  <c r="V417" i="5"/>
  <c r="W417" i="5"/>
  <c r="X417" i="5"/>
  <c r="B418" i="5"/>
  <c r="AB418" i="5" s="1"/>
  <c r="C418" i="5"/>
  <c r="D418" i="5"/>
  <c r="E418" i="5"/>
  <c r="F418" i="5"/>
  <c r="G418" i="5"/>
  <c r="H418" i="5"/>
  <c r="I418" i="5"/>
  <c r="J418" i="5"/>
  <c r="K418" i="5"/>
  <c r="L418" i="5"/>
  <c r="M418" i="5"/>
  <c r="N418" i="5"/>
  <c r="O418" i="5"/>
  <c r="P418" i="5"/>
  <c r="Q418" i="5"/>
  <c r="R418" i="5"/>
  <c r="S418" i="5"/>
  <c r="T418" i="5"/>
  <c r="U418" i="5"/>
  <c r="V418" i="5"/>
  <c r="W418" i="5"/>
  <c r="X418" i="5"/>
  <c r="AC418" i="5"/>
  <c r="B419" i="5"/>
  <c r="C419" i="5"/>
  <c r="D419" i="5"/>
  <c r="E419" i="5"/>
  <c r="F419" i="5"/>
  <c r="G419" i="5"/>
  <c r="H419" i="5"/>
  <c r="I419" i="5"/>
  <c r="J419" i="5"/>
  <c r="K419" i="5"/>
  <c r="L419" i="5"/>
  <c r="M419" i="5"/>
  <c r="AC419" i="5" s="1"/>
  <c r="N419" i="5"/>
  <c r="O419" i="5"/>
  <c r="P419" i="5"/>
  <c r="Q419" i="5"/>
  <c r="R419" i="5"/>
  <c r="S419" i="5"/>
  <c r="T419" i="5"/>
  <c r="U419" i="5"/>
  <c r="V419" i="5"/>
  <c r="W419" i="5"/>
  <c r="X419" i="5"/>
  <c r="AB419" i="5"/>
  <c r="B420" i="5"/>
  <c r="AB420" i="5" s="1"/>
  <c r="C420" i="5"/>
  <c r="D420" i="5"/>
  <c r="E420" i="5"/>
  <c r="F420" i="5"/>
  <c r="G420" i="5"/>
  <c r="H420" i="5"/>
  <c r="I420" i="5"/>
  <c r="J420" i="5"/>
  <c r="K420" i="5"/>
  <c r="L420" i="5"/>
  <c r="M420" i="5"/>
  <c r="N420" i="5"/>
  <c r="O420" i="5"/>
  <c r="P420" i="5"/>
  <c r="AC420" i="5" s="1"/>
  <c r="Q420" i="5"/>
  <c r="R420" i="5"/>
  <c r="S420" i="5"/>
  <c r="T420" i="5"/>
  <c r="U420" i="5"/>
  <c r="V420" i="5"/>
  <c r="W420" i="5"/>
  <c r="X420" i="5"/>
  <c r="B421" i="5"/>
  <c r="C421" i="5"/>
  <c r="AB421" i="5" s="1"/>
  <c r="D421" i="5"/>
  <c r="E421" i="5"/>
  <c r="F421" i="5"/>
  <c r="G421" i="5"/>
  <c r="H421" i="5"/>
  <c r="I421" i="5"/>
  <c r="J421" i="5"/>
  <c r="K421" i="5"/>
  <c r="L421" i="5"/>
  <c r="M421" i="5"/>
  <c r="AC421" i="5" s="1"/>
  <c r="N421" i="5"/>
  <c r="O421" i="5"/>
  <c r="P421" i="5"/>
  <c r="Q421" i="5"/>
  <c r="R421" i="5"/>
  <c r="S421" i="5"/>
  <c r="T421" i="5"/>
  <c r="U421" i="5"/>
  <c r="V421" i="5"/>
  <c r="W421" i="5"/>
  <c r="X421" i="5"/>
  <c r="B422" i="5"/>
  <c r="AB422" i="5" s="1"/>
  <c r="C422" i="5"/>
  <c r="D422" i="5"/>
  <c r="E422" i="5"/>
  <c r="F422" i="5"/>
  <c r="G422" i="5"/>
  <c r="H422" i="5"/>
  <c r="I422" i="5"/>
  <c r="J422" i="5"/>
  <c r="K422" i="5"/>
  <c r="L422" i="5"/>
  <c r="M422" i="5"/>
  <c r="N422" i="5"/>
  <c r="O422" i="5"/>
  <c r="P422" i="5"/>
  <c r="Q422" i="5"/>
  <c r="R422" i="5"/>
  <c r="S422" i="5"/>
  <c r="T422" i="5"/>
  <c r="U422" i="5"/>
  <c r="V422" i="5"/>
  <c r="W422" i="5"/>
  <c r="X422" i="5"/>
  <c r="AC422" i="5"/>
  <c r="B423" i="5"/>
  <c r="C423" i="5"/>
  <c r="D423" i="5"/>
  <c r="E423" i="5"/>
  <c r="F423" i="5"/>
  <c r="G423" i="5"/>
  <c r="H423" i="5"/>
  <c r="I423" i="5"/>
  <c r="J423" i="5"/>
  <c r="K423" i="5"/>
  <c r="L423" i="5"/>
  <c r="M423" i="5"/>
  <c r="AC423" i="5" s="1"/>
  <c r="N423" i="5"/>
  <c r="O423" i="5"/>
  <c r="P423" i="5"/>
  <c r="Q423" i="5"/>
  <c r="R423" i="5"/>
  <c r="S423" i="5"/>
  <c r="T423" i="5"/>
  <c r="U423" i="5"/>
  <c r="V423" i="5"/>
  <c r="W423" i="5"/>
  <c r="X423" i="5"/>
  <c r="AB423" i="5"/>
  <c r="B424" i="5"/>
  <c r="AB424" i="5" s="1"/>
  <c r="C424" i="5"/>
  <c r="D424" i="5"/>
  <c r="E424" i="5"/>
  <c r="F424" i="5"/>
  <c r="G424" i="5"/>
  <c r="H424" i="5"/>
  <c r="I424" i="5"/>
  <c r="J424" i="5"/>
  <c r="K424" i="5"/>
  <c r="L424" i="5"/>
  <c r="M424" i="5"/>
  <c r="N424" i="5"/>
  <c r="O424" i="5"/>
  <c r="P424" i="5"/>
  <c r="AC424" i="5" s="1"/>
  <c r="Q424" i="5"/>
  <c r="R424" i="5"/>
  <c r="S424" i="5"/>
  <c r="T424" i="5"/>
  <c r="U424" i="5"/>
  <c r="V424" i="5"/>
  <c r="W424" i="5"/>
  <c r="X424" i="5"/>
  <c r="B425" i="5"/>
  <c r="C425" i="5"/>
  <c r="AB425" i="5" s="1"/>
  <c r="D425" i="5"/>
  <c r="E425" i="5"/>
  <c r="F425" i="5"/>
  <c r="G425" i="5"/>
  <c r="H425" i="5"/>
  <c r="I425" i="5"/>
  <c r="J425" i="5"/>
  <c r="K425" i="5"/>
  <c r="L425" i="5"/>
  <c r="M425" i="5"/>
  <c r="AC425" i="5" s="1"/>
  <c r="N425" i="5"/>
  <c r="O425" i="5"/>
  <c r="P425" i="5"/>
  <c r="Q425" i="5"/>
  <c r="R425" i="5"/>
  <c r="S425" i="5"/>
  <c r="T425" i="5"/>
  <c r="U425" i="5"/>
  <c r="V425" i="5"/>
  <c r="W425" i="5"/>
  <c r="X425" i="5"/>
  <c r="B426" i="5"/>
  <c r="AB426" i="5" s="1"/>
  <c r="C426" i="5"/>
  <c r="D426" i="5"/>
  <c r="E426" i="5"/>
  <c r="F426" i="5"/>
  <c r="G426" i="5"/>
  <c r="H426" i="5"/>
  <c r="I426" i="5"/>
  <c r="J426" i="5"/>
  <c r="K426" i="5"/>
  <c r="L426" i="5"/>
  <c r="M426" i="5"/>
  <c r="N426" i="5"/>
  <c r="O426" i="5"/>
  <c r="P426" i="5"/>
  <c r="Q426" i="5"/>
  <c r="R426" i="5"/>
  <c r="S426" i="5"/>
  <c r="T426" i="5"/>
  <c r="U426" i="5"/>
  <c r="V426" i="5"/>
  <c r="W426" i="5"/>
  <c r="X426" i="5"/>
  <c r="AC426" i="5"/>
  <c r="B427" i="5"/>
  <c r="C427" i="5"/>
  <c r="D427" i="5"/>
  <c r="E427" i="5"/>
  <c r="F427" i="5"/>
  <c r="G427" i="5"/>
  <c r="H427" i="5"/>
  <c r="I427" i="5"/>
  <c r="J427" i="5"/>
  <c r="K427" i="5"/>
  <c r="L427" i="5"/>
  <c r="M427" i="5"/>
  <c r="AC427" i="5" s="1"/>
  <c r="N427" i="5"/>
  <c r="O427" i="5"/>
  <c r="P427" i="5"/>
  <c r="Q427" i="5"/>
  <c r="R427" i="5"/>
  <c r="S427" i="5"/>
  <c r="T427" i="5"/>
  <c r="U427" i="5"/>
  <c r="V427" i="5"/>
  <c r="W427" i="5"/>
  <c r="X427" i="5"/>
  <c r="AB427" i="5"/>
  <c r="B428" i="5"/>
  <c r="AB428" i="5" s="1"/>
  <c r="C428" i="5"/>
  <c r="D428" i="5"/>
  <c r="E428" i="5"/>
  <c r="F428" i="5"/>
  <c r="G428" i="5"/>
  <c r="H428" i="5"/>
  <c r="I428" i="5"/>
  <c r="J428" i="5"/>
  <c r="K428" i="5"/>
  <c r="L428" i="5"/>
  <c r="M428" i="5"/>
  <c r="N428" i="5"/>
  <c r="O428" i="5"/>
  <c r="P428" i="5"/>
  <c r="AC428" i="5" s="1"/>
  <c r="Q428" i="5"/>
  <c r="R428" i="5"/>
  <c r="S428" i="5"/>
  <c r="T428" i="5"/>
  <c r="U428" i="5"/>
  <c r="V428" i="5"/>
  <c r="W428" i="5"/>
  <c r="X428" i="5"/>
  <c r="B429" i="5"/>
  <c r="C429" i="5"/>
  <c r="AB429" i="5" s="1"/>
  <c r="D429" i="5"/>
  <c r="E429" i="5"/>
  <c r="F429" i="5"/>
  <c r="G429" i="5"/>
  <c r="H429" i="5"/>
  <c r="I429" i="5"/>
  <c r="J429" i="5"/>
  <c r="K429" i="5"/>
  <c r="L429" i="5"/>
  <c r="M429" i="5"/>
  <c r="AC429" i="5" s="1"/>
  <c r="N429" i="5"/>
  <c r="O429" i="5"/>
  <c r="P429" i="5"/>
  <c r="Q429" i="5"/>
  <c r="R429" i="5"/>
  <c r="S429" i="5"/>
  <c r="T429" i="5"/>
  <c r="U429" i="5"/>
  <c r="V429" i="5"/>
  <c r="W429" i="5"/>
  <c r="X429" i="5"/>
  <c r="B430" i="5"/>
  <c r="AB430" i="5" s="1"/>
  <c r="C430" i="5"/>
  <c r="D430" i="5"/>
  <c r="E430" i="5"/>
  <c r="F430" i="5"/>
  <c r="G430" i="5"/>
  <c r="H430" i="5"/>
  <c r="I430" i="5"/>
  <c r="J430" i="5"/>
  <c r="K430" i="5"/>
  <c r="L430" i="5"/>
  <c r="M430" i="5"/>
  <c r="N430" i="5"/>
  <c r="O430" i="5"/>
  <c r="P430" i="5"/>
  <c r="Q430" i="5"/>
  <c r="R430" i="5"/>
  <c r="S430" i="5"/>
  <c r="T430" i="5"/>
  <c r="U430" i="5"/>
  <c r="V430" i="5"/>
  <c r="W430" i="5"/>
  <c r="X430" i="5"/>
  <c r="AC430" i="5"/>
  <c r="B431" i="5"/>
  <c r="C431" i="5"/>
  <c r="D431" i="5"/>
  <c r="E431" i="5"/>
  <c r="F431" i="5"/>
  <c r="G431" i="5"/>
  <c r="H431" i="5"/>
  <c r="I431" i="5"/>
  <c r="J431" i="5"/>
  <c r="K431" i="5"/>
  <c r="L431" i="5"/>
  <c r="M431" i="5"/>
  <c r="AC431" i="5" s="1"/>
  <c r="N431" i="5"/>
  <c r="O431" i="5"/>
  <c r="P431" i="5"/>
  <c r="Q431" i="5"/>
  <c r="R431" i="5"/>
  <c r="S431" i="5"/>
  <c r="T431" i="5"/>
  <c r="U431" i="5"/>
  <c r="V431" i="5"/>
  <c r="W431" i="5"/>
  <c r="X431" i="5"/>
  <c r="AB431" i="5"/>
  <c r="B432" i="5"/>
  <c r="AB432" i="5" s="1"/>
  <c r="C432" i="5"/>
  <c r="D432" i="5"/>
  <c r="E432" i="5"/>
  <c r="F432" i="5"/>
  <c r="G432" i="5"/>
  <c r="H432" i="5"/>
  <c r="I432" i="5"/>
  <c r="J432" i="5"/>
  <c r="K432" i="5"/>
  <c r="L432" i="5"/>
  <c r="M432" i="5"/>
  <c r="N432" i="5"/>
  <c r="O432" i="5"/>
  <c r="P432" i="5"/>
  <c r="AC432" i="5" s="1"/>
  <c r="Q432" i="5"/>
  <c r="R432" i="5"/>
  <c r="S432" i="5"/>
  <c r="T432" i="5"/>
  <c r="U432" i="5"/>
  <c r="V432" i="5"/>
  <c r="W432" i="5"/>
  <c r="X432" i="5"/>
  <c r="B433" i="5"/>
  <c r="C433" i="5"/>
  <c r="AB433" i="5" s="1"/>
  <c r="D433" i="5"/>
  <c r="E433" i="5"/>
  <c r="F433" i="5"/>
  <c r="G433" i="5"/>
  <c r="H433" i="5"/>
  <c r="I433" i="5"/>
  <c r="J433" i="5"/>
  <c r="K433" i="5"/>
  <c r="L433" i="5"/>
  <c r="M433" i="5"/>
  <c r="AC433" i="5" s="1"/>
  <c r="N433" i="5"/>
  <c r="O433" i="5"/>
  <c r="P433" i="5"/>
  <c r="Q433" i="5"/>
  <c r="R433" i="5"/>
  <c r="S433" i="5"/>
  <c r="T433" i="5"/>
  <c r="U433" i="5"/>
  <c r="V433" i="5"/>
  <c r="W433" i="5"/>
  <c r="X433" i="5"/>
  <c r="B434" i="5"/>
  <c r="AB434" i="5" s="1"/>
  <c r="C434" i="5"/>
  <c r="D434" i="5"/>
  <c r="E434" i="5"/>
  <c r="F434" i="5"/>
  <c r="G434" i="5"/>
  <c r="H434" i="5"/>
  <c r="I434" i="5"/>
  <c r="J434" i="5"/>
  <c r="K434" i="5"/>
  <c r="L434" i="5"/>
  <c r="M434" i="5"/>
  <c r="N434" i="5"/>
  <c r="O434" i="5"/>
  <c r="P434" i="5"/>
  <c r="Q434" i="5"/>
  <c r="R434" i="5"/>
  <c r="S434" i="5"/>
  <c r="T434" i="5"/>
  <c r="U434" i="5"/>
  <c r="V434" i="5"/>
  <c r="W434" i="5"/>
  <c r="X434" i="5"/>
  <c r="AC434" i="5"/>
  <c r="B435" i="5"/>
  <c r="C435" i="5"/>
  <c r="D435" i="5"/>
  <c r="E435" i="5"/>
  <c r="F435" i="5"/>
  <c r="G435" i="5"/>
  <c r="H435" i="5"/>
  <c r="I435" i="5"/>
  <c r="J435" i="5"/>
  <c r="K435" i="5"/>
  <c r="L435" i="5"/>
  <c r="M435" i="5"/>
  <c r="AC435" i="5" s="1"/>
  <c r="N435" i="5"/>
  <c r="O435" i="5"/>
  <c r="P435" i="5"/>
  <c r="Q435" i="5"/>
  <c r="R435" i="5"/>
  <c r="S435" i="5"/>
  <c r="T435" i="5"/>
  <c r="U435" i="5"/>
  <c r="V435" i="5"/>
  <c r="W435" i="5"/>
  <c r="X435" i="5"/>
  <c r="AB435" i="5"/>
  <c r="B436" i="5"/>
  <c r="AB436" i="5" s="1"/>
  <c r="C436" i="5"/>
  <c r="D436" i="5"/>
  <c r="E436" i="5"/>
  <c r="F436" i="5"/>
  <c r="G436" i="5"/>
  <c r="H436" i="5"/>
  <c r="I436" i="5"/>
  <c r="J436" i="5"/>
  <c r="K436" i="5"/>
  <c r="L436" i="5"/>
  <c r="M436" i="5"/>
  <c r="N436" i="5"/>
  <c r="O436" i="5"/>
  <c r="P436" i="5"/>
  <c r="AC436" i="5" s="1"/>
  <c r="Q436" i="5"/>
  <c r="R436" i="5"/>
  <c r="S436" i="5"/>
  <c r="T436" i="5"/>
  <c r="U436" i="5"/>
  <c r="V436" i="5"/>
  <c r="W436" i="5"/>
  <c r="X436" i="5"/>
  <c r="B437" i="5"/>
  <c r="C437" i="5"/>
  <c r="AB437" i="5" s="1"/>
  <c r="D437" i="5"/>
  <c r="E437" i="5"/>
  <c r="F437" i="5"/>
  <c r="G437" i="5"/>
  <c r="H437" i="5"/>
  <c r="I437" i="5"/>
  <c r="J437" i="5"/>
  <c r="K437" i="5"/>
  <c r="L437" i="5"/>
  <c r="M437" i="5"/>
  <c r="AC437" i="5" s="1"/>
  <c r="N437" i="5"/>
  <c r="O437" i="5"/>
  <c r="P437" i="5"/>
  <c r="Q437" i="5"/>
  <c r="R437" i="5"/>
  <c r="S437" i="5"/>
  <c r="T437" i="5"/>
  <c r="U437" i="5"/>
  <c r="V437" i="5"/>
  <c r="W437" i="5"/>
  <c r="X437" i="5"/>
  <c r="B438" i="5"/>
  <c r="AB438" i="5" s="1"/>
  <c r="C438" i="5"/>
  <c r="D438" i="5"/>
  <c r="E438" i="5"/>
  <c r="F438" i="5"/>
  <c r="G438" i="5"/>
  <c r="H438" i="5"/>
  <c r="I438" i="5"/>
  <c r="J438" i="5"/>
  <c r="K438" i="5"/>
  <c r="L438" i="5"/>
  <c r="M438" i="5"/>
  <c r="N438" i="5"/>
  <c r="O438" i="5"/>
  <c r="P438" i="5"/>
  <c r="Q438" i="5"/>
  <c r="R438" i="5"/>
  <c r="S438" i="5"/>
  <c r="T438" i="5"/>
  <c r="U438" i="5"/>
  <c r="V438" i="5"/>
  <c r="W438" i="5"/>
  <c r="X438" i="5"/>
  <c r="AC438" i="5"/>
  <c r="B439" i="5"/>
  <c r="C439" i="5"/>
  <c r="D439" i="5"/>
  <c r="E439" i="5"/>
  <c r="F439" i="5"/>
  <c r="G439" i="5"/>
  <c r="H439" i="5"/>
  <c r="I439" i="5"/>
  <c r="J439" i="5"/>
  <c r="K439" i="5"/>
  <c r="L439" i="5"/>
  <c r="M439" i="5"/>
  <c r="AC439" i="5" s="1"/>
  <c r="N439" i="5"/>
  <c r="O439" i="5"/>
  <c r="P439" i="5"/>
  <c r="Q439" i="5"/>
  <c r="R439" i="5"/>
  <c r="S439" i="5"/>
  <c r="T439" i="5"/>
  <c r="U439" i="5"/>
  <c r="V439" i="5"/>
  <c r="W439" i="5"/>
  <c r="X439" i="5"/>
  <c r="AB439" i="5"/>
  <c r="B440" i="5"/>
  <c r="C440" i="5"/>
  <c r="D440" i="5"/>
  <c r="E440" i="5"/>
  <c r="F440" i="5"/>
  <c r="G440" i="5"/>
  <c r="H440" i="5"/>
  <c r="I440" i="5"/>
  <c r="J440" i="5"/>
  <c r="K440" i="5"/>
  <c r="L440" i="5"/>
  <c r="M440" i="5"/>
  <c r="N440" i="5"/>
  <c r="O440" i="5"/>
  <c r="P440" i="5"/>
  <c r="Q440" i="5"/>
  <c r="R440" i="5"/>
  <c r="S440" i="5"/>
  <c r="T440" i="5"/>
  <c r="U440" i="5"/>
  <c r="V440" i="5"/>
  <c r="W440" i="5"/>
  <c r="X440" i="5"/>
  <c r="AC440" i="5"/>
  <c r="B441" i="5"/>
  <c r="C441" i="5"/>
  <c r="D441" i="5"/>
  <c r="E441" i="5"/>
  <c r="F441" i="5"/>
  <c r="G441" i="5"/>
  <c r="H441" i="5"/>
  <c r="I441" i="5"/>
  <c r="J441" i="5"/>
  <c r="K441" i="5"/>
  <c r="L441" i="5"/>
  <c r="M441" i="5"/>
  <c r="AC441" i="5" s="1"/>
  <c r="N441" i="5"/>
  <c r="O441" i="5"/>
  <c r="P441" i="5"/>
  <c r="Q441" i="5"/>
  <c r="R441" i="5"/>
  <c r="S441" i="5"/>
  <c r="T441" i="5"/>
  <c r="U441" i="5"/>
  <c r="V441" i="5"/>
  <c r="W441" i="5"/>
  <c r="X441" i="5"/>
  <c r="AB441" i="5"/>
  <c r="B442" i="5"/>
  <c r="C442" i="5"/>
  <c r="D442" i="5"/>
  <c r="E442" i="5"/>
  <c r="F442" i="5"/>
  <c r="G442" i="5"/>
  <c r="H442" i="5"/>
  <c r="I442" i="5"/>
  <c r="J442" i="5"/>
  <c r="K442" i="5"/>
  <c r="L442" i="5"/>
  <c r="M442" i="5"/>
  <c r="N442" i="5"/>
  <c r="O442" i="5"/>
  <c r="P442" i="5"/>
  <c r="Q442" i="5"/>
  <c r="R442" i="5"/>
  <c r="S442" i="5"/>
  <c r="T442" i="5"/>
  <c r="U442" i="5"/>
  <c r="V442" i="5"/>
  <c r="W442" i="5"/>
  <c r="X442" i="5"/>
  <c r="AC442" i="5"/>
  <c r="B443" i="5"/>
  <c r="C443" i="5"/>
  <c r="D443" i="5"/>
  <c r="E443" i="5"/>
  <c r="F443" i="5"/>
  <c r="G443" i="5"/>
  <c r="H443" i="5"/>
  <c r="I443" i="5"/>
  <c r="J443" i="5"/>
  <c r="K443" i="5"/>
  <c r="L443" i="5"/>
  <c r="M443" i="5"/>
  <c r="AC443" i="5" s="1"/>
  <c r="N443" i="5"/>
  <c r="O443" i="5"/>
  <c r="P443" i="5"/>
  <c r="Q443" i="5"/>
  <c r="R443" i="5"/>
  <c r="S443" i="5"/>
  <c r="T443" i="5"/>
  <c r="U443" i="5"/>
  <c r="V443" i="5"/>
  <c r="W443" i="5"/>
  <c r="X443" i="5"/>
  <c r="AB443" i="5"/>
  <c r="B444" i="5"/>
  <c r="C444" i="5"/>
  <c r="D444" i="5"/>
  <c r="E444" i="5"/>
  <c r="F444" i="5"/>
  <c r="G444" i="5"/>
  <c r="H444" i="5"/>
  <c r="I444" i="5"/>
  <c r="J444" i="5"/>
  <c r="K444" i="5"/>
  <c r="L444" i="5"/>
  <c r="M444" i="5"/>
  <c r="N444" i="5"/>
  <c r="O444" i="5"/>
  <c r="P444" i="5"/>
  <c r="Q444" i="5"/>
  <c r="R444" i="5"/>
  <c r="S444" i="5"/>
  <c r="T444" i="5"/>
  <c r="U444" i="5"/>
  <c r="V444" i="5"/>
  <c r="W444" i="5"/>
  <c r="X444" i="5"/>
  <c r="AC444" i="5"/>
  <c r="B445" i="5"/>
  <c r="C445" i="5"/>
  <c r="D445" i="5"/>
  <c r="E445" i="5"/>
  <c r="F445" i="5"/>
  <c r="G445" i="5"/>
  <c r="H445" i="5"/>
  <c r="I445" i="5"/>
  <c r="J445" i="5"/>
  <c r="K445" i="5"/>
  <c r="L445" i="5"/>
  <c r="M445" i="5"/>
  <c r="AC445" i="5" s="1"/>
  <c r="N445" i="5"/>
  <c r="O445" i="5"/>
  <c r="P445" i="5"/>
  <c r="Q445" i="5"/>
  <c r="R445" i="5"/>
  <c r="S445" i="5"/>
  <c r="T445" i="5"/>
  <c r="U445" i="5"/>
  <c r="V445" i="5"/>
  <c r="W445" i="5"/>
  <c r="X445" i="5"/>
  <c r="AB445" i="5"/>
  <c r="B446" i="5"/>
  <c r="C446" i="5"/>
  <c r="D446" i="5"/>
  <c r="E446" i="5"/>
  <c r="F446" i="5"/>
  <c r="G446" i="5"/>
  <c r="H446" i="5"/>
  <c r="I446" i="5"/>
  <c r="J446" i="5"/>
  <c r="K446" i="5"/>
  <c r="L446" i="5"/>
  <c r="M446" i="5"/>
  <c r="N446" i="5"/>
  <c r="O446" i="5"/>
  <c r="P446" i="5"/>
  <c r="Q446" i="5"/>
  <c r="R446" i="5"/>
  <c r="S446" i="5"/>
  <c r="T446" i="5"/>
  <c r="U446" i="5"/>
  <c r="V446" i="5"/>
  <c r="W446" i="5"/>
  <c r="X446" i="5"/>
  <c r="AC446" i="5"/>
  <c r="B447" i="5"/>
  <c r="C447" i="5"/>
  <c r="D447" i="5"/>
  <c r="E447" i="5"/>
  <c r="F447" i="5"/>
  <c r="G447" i="5"/>
  <c r="H447" i="5"/>
  <c r="I447" i="5"/>
  <c r="J447" i="5"/>
  <c r="K447" i="5"/>
  <c r="L447" i="5"/>
  <c r="M447" i="5"/>
  <c r="AC447" i="5" s="1"/>
  <c r="N447" i="5"/>
  <c r="O447" i="5"/>
  <c r="P447" i="5"/>
  <c r="Q447" i="5"/>
  <c r="R447" i="5"/>
  <c r="S447" i="5"/>
  <c r="T447" i="5"/>
  <c r="U447" i="5"/>
  <c r="V447" i="5"/>
  <c r="W447" i="5"/>
  <c r="X447" i="5"/>
  <c r="AB447" i="5"/>
  <c r="B448" i="5"/>
  <c r="C448" i="5"/>
  <c r="D448" i="5"/>
  <c r="E448" i="5"/>
  <c r="F448" i="5"/>
  <c r="G448" i="5"/>
  <c r="H448" i="5"/>
  <c r="I448" i="5"/>
  <c r="J448" i="5"/>
  <c r="K448" i="5"/>
  <c r="L448" i="5"/>
  <c r="M448" i="5"/>
  <c r="N448" i="5"/>
  <c r="O448" i="5"/>
  <c r="P448" i="5"/>
  <c r="Q448" i="5"/>
  <c r="R448" i="5"/>
  <c r="S448" i="5"/>
  <c r="T448" i="5"/>
  <c r="U448" i="5"/>
  <c r="V448" i="5"/>
  <c r="W448" i="5"/>
  <c r="X448" i="5"/>
  <c r="AC448" i="5"/>
  <c r="B449" i="5"/>
  <c r="C449" i="5"/>
  <c r="D449" i="5"/>
  <c r="E449" i="5"/>
  <c r="F449" i="5"/>
  <c r="G449" i="5"/>
  <c r="H449" i="5"/>
  <c r="I449" i="5"/>
  <c r="J449" i="5"/>
  <c r="K449" i="5"/>
  <c r="L449" i="5"/>
  <c r="M449" i="5"/>
  <c r="AC449" i="5" s="1"/>
  <c r="N449" i="5"/>
  <c r="O449" i="5"/>
  <c r="P449" i="5"/>
  <c r="Q449" i="5"/>
  <c r="R449" i="5"/>
  <c r="S449" i="5"/>
  <c r="T449" i="5"/>
  <c r="U449" i="5"/>
  <c r="V449" i="5"/>
  <c r="W449" i="5"/>
  <c r="X449" i="5"/>
  <c r="AB449" i="5"/>
  <c r="B450" i="5"/>
  <c r="C450" i="5"/>
  <c r="D450" i="5"/>
  <c r="E450" i="5"/>
  <c r="F450" i="5"/>
  <c r="G450" i="5"/>
  <c r="H450" i="5"/>
  <c r="I450" i="5"/>
  <c r="J450" i="5"/>
  <c r="K450" i="5"/>
  <c r="L450" i="5"/>
  <c r="M450" i="5"/>
  <c r="N450" i="5"/>
  <c r="O450" i="5"/>
  <c r="P450" i="5"/>
  <c r="Q450" i="5"/>
  <c r="R450" i="5"/>
  <c r="S450" i="5"/>
  <c r="T450" i="5"/>
  <c r="U450" i="5"/>
  <c r="V450" i="5"/>
  <c r="W450" i="5"/>
  <c r="X450" i="5"/>
  <c r="AC450" i="5"/>
  <c r="B451" i="5"/>
  <c r="C451" i="5"/>
  <c r="D451" i="5"/>
  <c r="E451" i="5"/>
  <c r="F451" i="5"/>
  <c r="G451" i="5"/>
  <c r="H451" i="5"/>
  <c r="I451" i="5"/>
  <c r="J451" i="5"/>
  <c r="K451" i="5"/>
  <c r="L451" i="5"/>
  <c r="M451" i="5"/>
  <c r="AC451" i="5" s="1"/>
  <c r="N451" i="5"/>
  <c r="O451" i="5"/>
  <c r="P451" i="5"/>
  <c r="Q451" i="5"/>
  <c r="R451" i="5"/>
  <c r="S451" i="5"/>
  <c r="T451" i="5"/>
  <c r="U451" i="5"/>
  <c r="V451" i="5"/>
  <c r="W451" i="5"/>
  <c r="X451" i="5"/>
  <c r="AB451" i="5"/>
  <c r="B452" i="5"/>
  <c r="C452" i="5"/>
  <c r="D452" i="5"/>
  <c r="E452" i="5"/>
  <c r="F452" i="5"/>
  <c r="G452" i="5"/>
  <c r="H452" i="5"/>
  <c r="I452" i="5"/>
  <c r="J452" i="5"/>
  <c r="K452" i="5"/>
  <c r="L452" i="5"/>
  <c r="M452" i="5"/>
  <c r="N452" i="5"/>
  <c r="O452" i="5"/>
  <c r="P452" i="5"/>
  <c r="Q452" i="5"/>
  <c r="R452" i="5"/>
  <c r="S452" i="5"/>
  <c r="T452" i="5"/>
  <c r="U452" i="5"/>
  <c r="V452" i="5"/>
  <c r="W452" i="5"/>
  <c r="X452" i="5"/>
  <c r="AC452" i="5"/>
  <c r="B453" i="5"/>
  <c r="C453" i="5"/>
  <c r="D453" i="5"/>
  <c r="E453" i="5"/>
  <c r="F453" i="5"/>
  <c r="G453" i="5"/>
  <c r="H453" i="5"/>
  <c r="I453" i="5"/>
  <c r="J453" i="5"/>
  <c r="K453" i="5"/>
  <c r="L453" i="5"/>
  <c r="M453" i="5"/>
  <c r="AC453" i="5" s="1"/>
  <c r="N453" i="5"/>
  <c r="O453" i="5"/>
  <c r="P453" i="5"/>
  <c r="Q453" i="5"/>
  <c r="R453" i="5"/>
  <c r="S453" i="5"/>
  <c r="T453" i="5"/>
  <c r="U453" i="5"/>
  <c r="V453" i="5"/>
  <c r="W453" i="5"/>
  <c r="X453" i="5"/>
  <c r="AB453" i="5"/>
  <c r="B454" i="5"/>
  <c r="C454" i="5"/>
  <c r="D454" i="5"/>
  <c r="E454" i="5"/>
  <c r="F454" i="5"/>
  <c r="G454" i="5"/>
  <c r="H454" i="5"/>
  <c r="I454" i="5"/>
  <c r="J454" i="5"/>
  <c r="K454" i="5"/>
  <c r="L454" i="5"/>
  <c r="M454" i="5"/>
  <c r="N454" i="5"/>
  <c r="O454" i="5"/>
  <c r="P454" i="5"/>
  <c r="Q454" i="5"/>
  <c r="R454" i="5"/>
  <c r="S454" i="5"/>
  <c r="T454" i="5"/>
  <c r="U454" i="5"/>
  <c r="V454" i="5"/>
  <c r="W454" i="5"/>
  <c r="X454" i="5"/>
  <c r="AC454" i="5"/>
  <c r="B455" i="5"/>
  <c r="C455" i="5"/>
  <c r="D455" i="5"/>
  <c r="E455" i="5"/>
  <c r="F455" i="5"/>
  <c r="G455" i="5"/>
  <c r="H455" i="5"/>
  <c r="I455" i="5"/>
  <c r="J455" i="5"/>
  <c r="K455" i="5"/>
  <c r="L455" i="5"/>
  <c r="M455" i="5"/>
  <c r="AC455" i="5" s="1"/>
  <c r="N455" i="5"/>
  <c r="O455" i="5"/>
  <c r="P455" i="5"/>
  <c r="Q455" i="5"/>
  <c r="R455" i="5"/>
  <c r="S455" i="5"/>
  <c r="T455" i="5"/>
  <c r="U455" i="5"/>
  <c r="V455" i="5"/>
  <c r="W455" i="5"/>
  <c r="X455" i="5"/>
  <c r="AB455" i="5"/>
  <c r="B456" i="5"/>
  <c r="C456" i="5"/>
  <c r="D456" i="5"/>
  <c r="E456" i="5"/>
  <c r="F456" i="5"/>
  <c r="G456" i="5"/>
  <c r="H456" i="5"/>
  <c r="I456" i="5"/>
  <c r="J456" i="5"/>
  <c r="K456" i="5"/>
  <c r="L456" i="5"/>
  <c r="M456" i="5"/>
  <c r="N456" i="5"/>
  <c r="O456" i="5"/>
  <c r="P456" i="5"/>
  <c r="Q456" i="5"/>
  <c r="R456" i="5"/>
  <c r="S456" i="5"/>
  <c r="T456" i="5"/>
  <c r="U456" i="5"/>
  <c r="V456" i="5"/>
  <c r="W456" i="5"/>
  <c r="X456" i="5"/>
  <c r="AC456" i="5"/>
  <c r="B457" i="5"/>
  <c r="C457" i="5"/>
  <c r="D457" i="5"/>
  <c r="E457" i="5"/>
  <c r="F457" i="5"/>
  <c r="G457" i="5"/>
  <c r="H457" i="5"/>
  <c r="I457" i="5"/>
  <c r="J457" i="5"/>
  <c r="K457" i="5"/>
  <c r="L457" i="5"/>
  <c r="M457" i="5"/>
  <c r="AC457" i="5" s="1"/>
  <c r="N457" i="5"/>
  <c r="O457" i="5"/>
  <c r="P457" i="5"/>
  <c r="Q457" i="5"/>
  <c r="R457" i="5"/>
  <c r="S457" i="5"/>
  <c r="T457" i="5"/>
  <c r="U457" i="5"/>
  <c r="V457" i="5"/>
  <c r="W457" i="5"/>
  <c r="X457" i="5"/>
  <c r="AB457" i="5"/>
  <c r="B458" i="5"/>
  <c r="C458" i="5"/>
  <c r="D458" i="5"/>
  <c r="E458" i="5"/>
  <c r="F458" i="5"/>
  <c r="G458" i="5"/>
  <c r="H458" i="5"/>
  <c r="I458" i="5"/>
  <c r="J458" i="5"/>
  <c r="K458" i="5"/>
  <c r="L458" i="5"/>
  <c r="M458" i="5"/>
  <c r="N458" i="5"/>
  <c r="O458" i="5"/>
  <c r="P458" i="5"/>
  <c r="Q458" i="5"/>
  <c r="R458" i="5"/>
  <c r="S458" i="5"/>
  <c r="T458" i="5"/>
  <c r="U458" i="5"/>
  <c r="V458" i="5"/>
  <c r="W458" i="5"/>
  <c r="X458" i="5"/>
  <c r="AC458" i="5"/>
  <c r="B459" i="5"/>
  <c r="C459" i="5"/>
  <c r="D459" i="5"/>
  <c r="E459" i="5"/>
  <c r="F459" i="5"/>
  <c r="G459" i="5"/>
  <c r="H459" i="5"/>
  <c r="I459" i="5"/>
  <c r="J459" i="5"/>
  <c r="K459" i="5"/>
  <c r="L459" i="5"/>
  <c r="M459" i="5"/>
  <c r="AC459" i="5" s="1"/>
  <c r="N459" i="5"/>
  <c r="O459" i="5"/>
  <c r="P459" i="5"/>
  <c r="Q459" i="5"/>
  <c r="R459" i="5"/>
  <c r="S459" i="5"/>
  <c r="T459" i="5"/>
  <c r="U459" i="5"/>
  <c r="V459" i="5"/>
  <c r="W459" i="5"/>
  <c r="X459" i="5"/>
  <c r="AB459" i="5"/>
  <c r="B460" i="5"/>
  <c r="C460" i="5"/>
  <c r="D460" i="5"/>
  <c r="E460" i="5"/>
  <c r="F460" i="5"/>
  <c r="G460" i="5"/>
  <c r="H460" i="5"/>
  <c r="I460" i="5"/>
  <c r="J460" i="5"/>
  <c r="K460" i="5"/>
  <c r="L460" i="5"/>
  <c r="M460" i="5"/>
  <c r="N460" i="5"/>
  <c r="O460" i="5"/>
  <c r="P460" i="5"/>
  <c r="Q460" i="5"/>
  <c r="R460" i="5"/>
  <c r="S460" i="5"/>
  <c r="T460" i="5"/>
  <c r="U460" i="5"/>
  <c r="V460" i="5"/>
  <c r="W460" i="5"/>
  <c r="X460" i="5"/>
  <c r="AC460" i="5"/>
  <c r="B461" i="5"/>
  <c r="C461" i="5"/>
  <c r="D461" i="5"/>
  <c r="E461" i="5"/>
  <c r="F461" i="5"/>
  <c r="G461" i="5"/>
  <c r="H461" i="5"/>
  <c r="I461" i="5"/>
  <c r="J461" i="5"/>
  <c r="K461" i="5"/>
  <c r="L461" i="5"/>
  <c r="M461" i="5"/>
  <c r="AC461" i="5" s="1"/>
  <c r="N461" i="5"/>
  <c r="O461" i="5"/>
  <c r="P461" i="5"/>
  <c r="Q461" i="5"/>
  <c r="R461" i="5"/>
  <c r="S461" i="5"/>
  <c r="T461" i="5"/>
  <c r="U461" i="5"/>
  <c r="V461" i="5"/>
  <c r="W461" i="5"/>
  <c r="X461" i="5"/>
  <c r="AB461" i="5"/>
  <c r="B462" i="5"/>
  <c r="C462" i="5"/>
  <c r="D462" i="5"/>
  <c r="E462" i="5"/>
  <c r="F462" i="5"/>
  <c r="G462" i="5"/>
  <c r="H462" i="5"/>
  <c r="I462" i="5"/>
  <c r="J462" i="5"/>
  <c r="K462" i="5"/>
  <c r="L462" i="5"/>
  <c r="M462" i="5"/>
  <c r="N462" i="5"/>
  <c r="O462" i="5"/>
  <c r="P462" i="5"/>
  <c r="Q462" i="5"/>
  <c r="R462" i="5"/>
  <c r="S462" i="5"/>
  <c r="T462" i="5"/>
  <c r="U462" i="5"/>
  <c r="V462" i="5"/>
  <c r="W462" i="5"/>
  <c r="X462" i="5"/>
  <c r="AC462" i="5"/>
  <c r="B463" i="5"/>
  <c r="C463" i="5"/>
  <c r="D463" i="5"/>
  <c r="E463" i="5"/>
  <c r="F463" i="5"/>
  <c r="G463" i="5"/>
  <c r="H463" i="5"/>
  <c r="I463" i="5"/>
  <c r="J463" i="5"/>
  <c r="K463" i="5"/>
  <c r="L463" i="5"/>
  <c r="M463" i="5"/>
  <c r="AC463" i="5" s="1"/>
  <c r="N463" i="5"/>
  <c r="O463" i="5"/>
  <c r="P463" i="5"/>
  <c r="Q463" i="5"/>
  <c r="R463" i="5"/>
  <c r="S463" i="5"/>
  <c r="T463" i="5"/>
  <c r="U463" i="5"/>
  <c r="V463" i="5"/>
  <c r="W463" i="5"/>
  <c r="X463" i="5"/>
  <c r="AB463" i="5"/>
  <c r="B464" i="5"/>
  <c r="C464" i="5"/>
  <c r="D464" i="5"/>
  <c r="E464" i="5"/>
  <c r="F464" i="5"/>
  <c r="G464" i="5"/>
  <c r="H464" i="5"/>
  <c r="I464" i="5"/>
  <c r="J464" i="5"/>
  <c r="K464" i="5"/>
  <c r="L464" i="5"/>
  <c r="M464" i="5"/>
  <c r="N464" i="5"/>
  <c r="O464" i="5"/>
  <c r="P464" i="5"/>
  <c r="Q464" i="5"/>
  <c r="R464" i="5"/>
  <c r="S464" i="5"/>
  <c r="T464" i="5"/>
  <c r="U464" i="5"/>
  <c r="V464" i="5"/>
  <c r="W464" i="5"/>
  <c r="X464" i="5"/>
  <c r="AC464" i="5"/>
  <c r="B465" i="5"/>
  <c r="C465" i="5"/>
  <c r="D465" i="5"/>
  <c r="E465" i="5"/>
  <c r="F465" i="5"/>
  <c r="G465" i="5"/>
  <c r="H465" i="5"/>
  <c r="I465" i="5"/>
  <c r="J465" i="5"/>
  <c r="K465" i="5"/>
  <c r="L465" i="5"/>
  <c r="M465" i="5"/>
  <c r="AC465" i="5" s="1"/>
  <c r="N465" i="5"/>
  <c r="O465" i="5"/>
  <c r="P465" i="5"/>
  <c r="Q465" i="5"/>
  <c r="R465" i="5"/>
  <c r="S465" i="5"/>
  <c r="T465" i="5"/>
  <c r="U465" i="5"/>
  <c r="V465" i="5"/>
  <c r="W465" i="5"/>
  <c r="X465" i="5"/>
  <c r="AB465" i="5"/>
  <c r="B466" i="5"/>
  <c r="C466" i="5"/>
  <c r="D466" i="5"/>
  <c r="E466" i="5"/>
  <c r="F466" i="5"/>
  <c r="G466" i="5"/>
  <c r="H466" i="5"/>
  <c r="I466" i="5"/>
  <c r="J466" i="5"/>
  <c r="K466" i="5"/>
  <c r="L466" i="5"/>
  <c r="M466" i="5"/>
  <c r="N466" i="5"/>
  <c r="O466" i="5"/>
  <c r="P466" i="5"/>
  <c r="Q466" i="5"/>
  <c r="R466" i="5"/>
  <c r="S466" i="5"/>
  <c r="T466" i="5"/>
  <c r="U466" i="5"/>
  <c r="V466" i="5"/>
  <c r="W466" i="5"/>
  <c r="X466" i="5"/>
  <c r="AC466" i="5"/>
  <c r="B467" i="5"/>
  <c r="C467" i="5"/>
  <c r="D467" i="5"/>
  <c r="E467" i="5"/>
  <c r="F467" i="5"/>
  <c r="G467" i="5"/>
  <c r="H467" i="5"/>
  <c r="I467" i="5"/>
  <c r="J467" i="5"/>
  <c r="K467" i="5"/>
  <c r="L467" i="5"/>
  <c r="M467" i="5"/>
  <c r="AC467" i="5" s="1"/>
  <c r="N467" i="5"/>
  <c r="O467" i="5"/>
  <c r="P467" i="5"/>
  <c r="Q467" i="5"/>
  <c r="R467" i="5"/>
  <c r="S467" i="5"/>
  <c r="T467" i="5"/>
  <c r="U467" i="5"/>
  <c r="V467" i="5"/>
  <c r="W467" i="5"/>
  <c r="X467" i="5"/>
  <c r="AB467" i="5"/>
  <c r="B468" i="5"/>
  <c r="C468" i="5"/>
  <c r="D468" i="5"/>
  <c r="E468" i="5"/>
  <c r="F468" i="5"/>
  <c r="G468" i="5"/>
  <c r="H468" i="5"/>
  <c r="I468" i="5"/>
  <c r="J468" i="5"/>
  <c r="K468" i="5"/>
  <c r="L468" i="5"/>
  <c r="M468" i="5"/>
  <c r="N468" i="5"/>
  <c r="O468" i="5"/>
  <c r="P468" i="5"/>
  <c r="Q468" i="5"/>
  <c r="R468" i="5"/>
  <c r="S468" i="5"/>
  <c r="T468" i="5"/>
  <c r="U468" i="5"/>
  <c r="V468" i="5"/>
  <c r="W468" i="5"/>
  <c r="X468" i="5"/>
  <c r="AC468" i="5"/>
  <c r="B469" i="5"/>
  <c r="C469" i="5"/>
  <c r="D469" i="5"/>
  <c r="E469" i="5"/>
  <c r="F469" i="5"/>
  <c r="G469" i="5"/>
  <c r="H469" i="5"/>
  <c r="I469" i="5"/>
  <c r="J469" i="5"/>
  <c r="K469" i="5"/>
  <c r="L469" i="5"/>
  <c r="M469" i="5"/>
  <c r="AC469" i="5" s="1"/>
  <c r="N469" i="5"/>
  <c r="O469" i="5"/>
  <c r="P469" i="5"/>
  <c r="Q469" i="5"/>
  <c r="R469" i="5"/>
  <c r="S469" i="5"/>
  <c r="T469" i="5"/>
  <c r="U469" i="5"/>
  <c r="V469" i="5"/>
  <c r="W469" i="5"/>
  <c r="X469" i="5"/>
  <c r="AB469" i="5"/>
  <c r="B470" i="5"/>
  <c r="C470" i="5"/>
  <c r="D470" i="5"/>
  <c r="E470" i="5"/>
  <c r="F470" i="5"/>
  <c r="G470" i="5"/>
  <c r="H470" i="5"/>
  <c r="I470" i="5"/>
  <c r="J470" i="5"/>
  <c r="K470" i="5"/>
  <c r="L470" i="5"/>
  <c r="M470" i="5"/>
  <c r="N470" i="5"/>
  <c r="O470" i="5"/>
  <c r="P470" i="5"/>
  <c r="Q470" i="5"/>
  <c r="R470" i="5"/>
  <c r="S470" i="5"/>
  <c r="T470" i="5"/>
  <c r="U470" i="5"/>
  <c r="V470" i="5"/>
  <c r="W470" i="5"/>
  <c r="X470" i="5"/>
  <c r="AC470" i="5"/>
  <c r="B471" i="5"/>
  <c r="C471" i="5"/>
  <c r="D471" i="5"/>
  <c r="E471" i="5"/>
  <c r="F471" i="5"/>
  <c r="G471" i="5"/>
  <c r="H471" i="5"/>
  <c r="I471" i="5"/>
  <c r="J471" i="5"/>
  <c r="K471" i="5"/>
  <c r="L471" i="5"/>
  <c r="M471" i="5"/>
  <c r="AC471" i="5" s="1"/>
  <c r="N471" i="5"/>
  <c r="O471" i="5"/>
  <c r="P471" i="5"/>
  <c r="Q471" i="5"/>
  <c r="R471" i="5"/>
  <c r="S471" i="5"/>
  <c r="T471" i="5"/>
  <c r="U471" i="5"/>
  <c r="V471" i="5"/>
  <c r="W471" i="5"/>
  <c r="X471" i="5"/>
  <c r="AB471" i="5"/>
  <c r="B472" i="5"/>
  <c r="C472" i="5"/>
  <c r="D472" i="5"/>
  <c r="E472" i="5"/>
  <c r="F472" i="5"/>
  <c r="G472" i="5"/>
  <c r="H472" i="5"/>
  <c r="I472" i="5"/>
  <c r="J472" i="5"/>
  <c r="K472" i="5"/>
  <c r="L472" i="5"/>
  <c r="M472" i="5"/>
  <c r="N472" i="5"/>
  <c r="O472" i="5"/>
  <c r="P472" i="5"/>
  <c r="Q472" i="5"/>
  <c r="R472" i="5"/>
  <c r="S472" i="5"/>
  <c r="T472" i="5"/>
  <c r="U472" i="5"/>
  <c r="V472" i="5"/>
  <c r="W472" i="5"/>
  <c r="X472" i="5"/>
  <c r="AC472" i="5"/>
  <c r="B473" i="5"/>
  <c r="C473" i="5"/>
  <c r="D473" i="5"/>
  <c r="E473" i="5"/>
  <c r="F473" i="5"/>
  <c r="G473" i="5"/>
  <c r="H473" i="5"/>
  <c r="I473" i="5"/>
  <c r="J473" i="5"/>
  <c r="K473" i="5"/>
  <c r="L473" i="5"/>
  <c r="M473" i="5"/>
  <c r="AC473" i="5" s="1"/>
  <c r="N473" i="5"/>
  <c r="O473" i="5"/>
  <c r="P473" i="5"/>
  <c r="Q473" i="5"/>
  <c r="R473" i="5"/>
  <c r="S473" i="5"/>
  <c r="T473" i="5"/>
  <c r="U473" i="5"/>
  <c r="V473" i="5"/>
  <c r="W473" i="5"/>
  <c r="X473" i="5"/>
  <c r="AB473" i="5"/>
  <c r="B474" i="5"/>
  <c r="C474" i="5"/>
  <c r="D474" i="5"/>
  <c r="E474" i="5"/>
  <c r="F474" i="5"/>
  <c r="G474" i="5"/>
  <c r="H474" i="5"/>
  <c r="I474" i="5"/>
  <c r="J474" i="5"/>
  <c r="K474" i="5"/>
  <c r="L474" i="5"/>
  <c r="M474" i="5"/>
  <c r="N474" i="5"/>
  <c r="O474" i="5"/>
  <c r="P474" i="5"/>
  <c r="Q474" i="5"/>
  <c r="R474" i="5"/>
  <c r="S474" i="5"/>
  <c r="T474" i="5"/>
  <c r="U474" i="5"/>
  <c r="V474" i="5"/>
  <c r="W474" i="5"/>
  <c r="X474" i="5"/>
  <c r="AC474" i="5"/>
  <c r="B475" i="5"/>
  <c r="C475" i="5"/>
  <c r="D475" i="5"/>
  <c r="E475" i="5"/>
  <c r="F475" i="5"/>
  <c r="G475" i="5"/>
  <c r="H475" i="5"/>
  <c r="I475" i="5"/>
  <c r="J475" i="5"/>
  <c r="K475" i="5"/>
  <c r="L475" i="5"/>
  <c r="M475" i="5"/>
  <c r="AC475" i="5" s="1"/>
  <c r="N475" i="5"/>
  <c r="O475" i="5"/>
  <c r="P475" i="5"/>
  <c r="Q475" i="5"/>
  <c r="R475" i="5"/>
  <c r="S475" i="5"/>
  <c r="T475" i="5"/>
  <c r="U475" i="5"/>
  <c r="V475" i="5"/>
  <c r="W475" i="5"/>
  <c r="X475" i="5"/>
  <c r="AB475" i="5"/>
  <c r="B476" i="5"/>
  <c r="C476" i="5"/>
  <c r="D476" i="5"/>
  <c r="E476" i="5"/>
  <c r="F476" i="5"/>
  <c r="G476" i="5"/>
  <c r="H476" i="5"/>
  <c r="I476" i="5"/>
  <c r="J476" i="5"/>
  <c r="K476" i="5"/>
  <c r="L476" i="5"/>
  <c r="M476" i="5"/>
  <c r="N476" i="5"/>
  <c r="O476" i="5"/>
  <c r="P476" i="5"/>
  <c r="Q476" i="5"/>
  <c r="R476" i="5"/>
  <c r="S476" i="5"/>
  <c r="T476" i="5"/>
  <c r="U476" i="5"/>
  <c r="V476" i="5"/>
  <c r="W476" i="5"/>
  <c r="X476" i="5"/>
  <c r="AC476" i="5"/>
  <c r="B477" i="5"/>
  <c r="C477" i="5"/>
  <c r="D477" i="5"/>
  <c r="E477" i="5"/>
  <c r="F477" i="5"/>
  <c r="G477" i="5"/>
  <c r="H477" i="5"/>
  <c r="I477" i="5"/>
  <c r="J477" i="5"/>
  <c r="K477" i="5"/>
  <c r="L477" i="5"/>
  <c r="M477" i="5"/>
  <c r="AC477" i="5" s="1"/>
  <c r="N477" i="5"/>
  <c r="O477" i="5"/>
  <c r="P477" i="5"/>
  <c r="Q477" i="5"/>
  <c r="R477" i="5"/>
  <c r="S477" i="5"/>
  <c r="T477" i="5"/>
  <c r="U477" i="5"/>
  <c r="V477" i="5"/>
  <c r="W477" i="5"/>
  <c r="X477" i="5"/>
  <c r="AB477" i="5"/>
  <c r="B478" i="5"/>
  <c r="C478" i="5"/>
  <c r="D478" i="5"/>
  <c r="E478" i="5"/>
  <c r="F478" i="5"/>
  <c r="G478" i="5"/>
  <c r="H478" i="5"/>
  <c r="I478" i="5"/>
  <c r="J478" i="5"/>
  <c r="K478" i="5"/>
  <c r="L478" i="5"/>
  <c r="M478" i="5"/>
  <c r="N478" i="5"/>
  <c r="O478" i="5"/>
  <c r="P478" i="5"/>
  <c r="Q478" i="5"/>
  <c r="R478" i="5"/>
  <c r="S478" i="5"/>
  <c r="T478" i="5"/>
  <c r="U478" i="5"/>
  <c r="V478" i="5"/>
  <c r="W478" i="5"/>
  <c r="X478" i="5"/>
  <c r="AC478" i="5"/>
  <c r="B479" i="5"/>
  <c r="C479" i="5"/>
  <c r="D479" i="5"/>
  <c r="E479" i="5"/>
  <c r="F479" i="5"/>
  <c r="G479" i="5"/>
  <c r="H479" i="5"/>
  <c r="I479" i="5"/>
  <c r="J479" i="5"/>
  <c r="K479" i="5"/>
  <c r="L479" i="5"/>
  <c r="M479" i="5"/>
  <c r="AC479" i="5" s="1"/>
  <c r="N479" i="5"/>
  <c r="O479" i="5"/>
  <c r="P479" i="5"/>
  <c r="Q479" i="5"/>
  <c r="R479" i="5"/>
  <c r="S479" i="5"/>
  <c r="T479" i="5"/>
  <c r="U479" i="5"/>
  <c r="V479" i="5"/>
  <c r="W479" i="5"/>
  <c r="X479" i="5"/>
  <c r="AB479" i="5"/>
  <c r="B480" i="5"/>
  <c r="C480" i="5"/>
  <c r="D480" i="5"/>
  <c r="E480" i="5"/>
  <c r="F480" i="5"/>
  <c r="G480" i="5"/>
  <c r="H480" i="5"/>
  <c r="I480" i="5"/>
  <c r="J480" i="5"/>
  <c r="K480" i="5"/>
  <c r="L480" i="5"/>
  <c r="M480" i="5"/>
  <c r="N480" i="5"/>
  <c r="O480" i="5"/>
  <c r="P480" i="5"/>
  <c r="Q480" i="5"/>
  <c r="R480" i="5"/>
  <c r="S480" i="5"/>
  <c r="T480" i="5"/>
  <c r="U480" i="5"/>
  <c r="V480" i="5"/>
  <c r="W480" i="5"/>
  <c r="X480" i="5"/>
  <c r="AC480" i="5"/>
  <c r="B481" i="5"/>
  <c r="C481" i="5"/>
  <c r="D481" i="5"/>
  <c r="E481" i="5"/>
  <c r="F481" i="5"/>
  <c r="G481" i="5"/>
  <c r="H481" i="5"/>
  <c r="I481" i="5"/>
  <c r="J481" i="5"/>
  <c r="K481" i="5"/>
  <c r="L481" i="5"/>
  <c r="M481" i="5"/>
  <c r="AC481" i="5" s="1"/>
  <c r="N481" i="5"/>
  <c r="O481" i="5"/>
  <c r="P481" i="5"/>
  <c r="Q481" i="5"/>
  <c r="R481" i="5"/>
  <c r="S481" i="5"/>
  <c r="T481" i="5"/>
  <c r="U481" i="5"/>
  <c r="V481" i="5"/>
  <c r="W481" i="5"/>
  <c r="X481" i="5"/>
  <c r="AB481" i="5"/>
  <c r="B482" i="5"/>
  <c r="C482" i="5"/>
  <c r="D482" i="5"/>
  <c r="E482" i="5"/>
  <c r="F482" i="5"/>
  <c r="G482" i="5"/>
  <c r="H482" i="5"/>
  <c r="I482" i="5"/>
  <c r="J482" i="5"/>
  <c r="K482" i="5"/>
  <c r="L482" i="5"/>
  <c r="M482" i="5"/>
  <c r="N482" i="5"/>
  <c r="O482" i="5"/>
  <c r="P482" i="5"/>
  <c r="Q482" i="5"/>
  <c r="R482" i="5"/>
  <c r="S482" i="5"/>
  <c r="T482" i="5"/>
  <c r="U482" i="5"/>
  <c r="V482" i="5"/>
  <c r="W482" i="5"/>
  <c r="X482" i="5"/>
  <c r="AC482" i="5"/>
  <c r="B483" i="5"/>
  <c r="C483" i="5"/>
  <c r="D483" i="5"/>
  <c r="E483" i="5"/>
  <c r="F483" i="5"/>
  <c r="G483" i="5"/>
  <c r="H483" i="5"/>
  <c r="I483" i="5"/>
  <c r="J483" i="5"/>
  <c r="K483" i="5"/>
  <c r="L483" i="5"/>
  <c r="M483" i="5"/>
  <c r="AC483" i="5" s="1"/>
  <c r="N483" i="5"/>
  <c r="O483" i="5"/>
  <c r="P483" i="5"/>
  <c r="Q483" i="5"/>
  <c r="R483" i="5"/>
  <c r="S483" i="5"/>
  <c r="T483" i="5"/>
  <c r="U483" i="5"/>
  <c r="V483" i="5"/>
  <c r="W483" i="5"/>
  <c r="X483" i="5"/>
  <c r="AB483" i="5"/>
  <c r="B484" i="5"/>
  <c r="C484" i="5"/>
  <c r="D484" i="5"/>
  <c r="E484" i="5"/>
  <c r="F484" i="5"/>
  <c r="G484" i="5"/>
  <c r="H484" i="5"/>
  <c r="I484" i="5"/>
  <c r="J484" i="5"/>
  <c r="K484" i="5"/>
  <c r="L484" i="5"/>
  <c r="M484" i="5"/>
  <c r="N484" i="5"/>
  <c r="O484" i="5"/>
  <c r="P484" i="5"/>
  <c r="Q484" i="5"/>
  <c r="R484" i="5"/>
  <c r="S484" i="5"/>
  <c r="T484" i="5"/>
  <c r="U484" i="5"/>
  <c r="V484" i="5"/>
  <c r="W484" i="5"/>
  <c r="X484" i="5"/>
  <c r="AC484" i="5"/>
  <c r="B485" i="5"/>
  <c r="C485" i="5"/>
  <c r="D485" i="5"/>
  <c r="E485" i="5"/>
  <c r="F485" i="5"/>
  <c r="G485" i="5"/>
  <c r="H485" i="5"/>
  <c r="I485" i="5"/>
  <c r="J485" i="5"/>
  <c r="K485" i="5"/>
  <c r="L485" i="5"/>
  <c r="M485" i="5"/>
  <c r="AC485" i="5" s="1"/>
  <c r="N485" i="5"/>
  <c r="O485" i="5"/>
  <c r="P485" i="5"/>
  <c r="Q485" i="5"/>
  <c r="R485" i="5"/>
  <c r="S485" i="5"/>
  <c r="T485" i="5"/>
  <c r="U485" i="5"/>
  <c r="V485" i="5"/>
  <c r="W485" i="5"/>
  <c r="X485" i="5"/>
  <c r="AB485" i="5"/>
  <c r="B486" i="5"/>
  <c r="C486" i="5"/>
  <c r="D486" i="5"/>
  <c r="E486" i="5"/>
  <c r="F486" i="5"/>
  <c r="G486" i="5"/>
  <c r="H486" i="5"/>
  <c r="I486" i="5"/>
  <c r="J486" i="5"/>
  <c r="K486" i="5"/>
  <c r="L486" i="5"/>
  <c r="M486" i="5"/>
  <c r="N486" i="5"/>
  <c r="O486" i="5"/>
  <c r="P486" i="5"/>
  <c r="Q486" i="5"/>
  <c r="R486" i="5"/>
  <c r="S486" i="5"/>
  <c r="T486" i="5"/>
  <c r="U486" i="5"/>
  <c r="V486" i="5"/>
  <c r="W486" i="5"/>
  <c r="X486" i="5"/>
  <c r="AC486" i="5"/>
  <c r="B487" i="5"/>
  <c r="C487" i="5"/>
  <c r="D487" i="5"/>
  <c r="E487" i="5"/>
  <c r="F487" i="5"/>
  <c r="G487" i="5"/>
  <c r="H487" i="5"/>
  <c r="I487" i="5"/>
  <c r="J487" i="5"/>
  <c r="K487" i="5"/>
  <c r="L487" i="5"/>
  <c r="M487" i="5"/>
  <c r="AC487" i="5" s="1"/>
  <c r="N487" i="5"/>
  <c r="O487" i="5"/>
  <c r="P487" i="5"/>
  <c r="Q487" i="5"/>
  <c r="R487" i="5"/>
  <c r="S487" i="5"/>
  <c r="T487" i="5"/>
  <c r="U487" i="5"/>
  <c r="V487" i="5"/>
  <c r="W487" i="5"/>
  <c r="X487" i="5"/>
  <c r="AB487" i="5"/>
  <c r="B488" i="5"/>
  <c r="C488" i="5"/>
  <c r="D488" i="5"/>
  <c r="E488" i="5"/>
  <c r="F488" i="5"/>
  <c r="G488" i="5"/>
  <c r="H488" i="5"/>
  <c r="I488" i="5"/>
  <c r="J488" i="5"/>
  <c r="K488" i="5"/>
  <c r="L488" i="5"/>
  <c r="M488" i="5"/>
  <c r="N488" i="5"/>
  <c r="O488" i="5"/>
  <c r="P488" i="5"/>
  <c r="Q488" i="5"/>
  <c r="R488" i="5"/>
  <c r="S488" i="5"/>
  <c r="T488" i="5"/>
  <c r="U488" i="5"/>
  <c r="V488" i="5"/>
  <c r="W488" i="5"/>
  <c r="X488" i="5"/>
  <c r="AC488" i="5"/>
  <c r="B489" i="5"/>
  <c r="C489" i="5"/>
  <c r="D489" i="5"/>
  <c r="E489" i="5"/>
  <c r="F489" i="5"/>
  <c r="G489" i="5"/>
  <c r="H489" i="5"/>
  <c r="I489" i="5"/>
  <c r="J489" i="5"/>
  <c r="K489" i="5"/>
  <c r="L489" i="5"/>
  <c r="M489" i="5"/>
  <c r="AC489" i="5" s="1"/>
  <c r="N489" i="5"/>
  <c r="O489" i="5"/>
  <c r="P489" i="5"/>
  <c r="Q489" i="5"/>
  <c r="R489" i="5"/>
  <c r="S489" i="5"/>
  <c r="T489" i="5"/>
  <c r="U489" i="5"/>
  <c r="V489" i="5"/>
  <c r="W489" i="5"/>
  <c r="X489" i="5"/>
  <c r="AB489" i="5"/>
  <c r="B490" i="5"/>
  <c r="C490" i="5"/>
  <c r="D490" i="5"/>
  <c r="E490" i="5"/>
  <c r="F490" i="5"/>
  <c r="G490" i="5"/>
  <c r="H490" i="5"/>
  <c r="I490" i="5"/>
  <c r="J490" i="5"/>
  <c r="K490" i="5"/>
  <c r="L490" i="5"/>
  <c r="M490" i="5"/>
  <c r="N490" i="5"/>
  <c r="O490" i="5"/>
  <c r="P490" i="5"/>
  <c r="Q490" i="5"/>
  <c r="R490" i="5"/>
  <c r="S490" i="5"/>
  <c r="T490" i="5"/>
  <c r="U490" i="5"/>
  <c r="V490" i="5"/>
  <c r="W490" i="5"/>
  <c r="X490" i="5"/>
  <c r="AC490" i="5"/>
  <c r="B491" i="5"/>
  <c r="C491" i="5"/>
  <c r="D491" i="5"/>
  <c r="E491" i="5"/>
  <c r="F491" i="5"/>
  <c r="G491" i="5"/>
  <c r="H491" i="5"/>
  <c r="I491" i="5"/>
  <c r="J491" i="5"/>
  <c r="K491" i="5"/>
  <c r="L491" i="5"/>
  <c r="M491" i="5"/>
  <c r="AC491" i="5" s="1"/>
  <c r="N491" i="5"/>
  <c r="O491" i="5"/>
  <c r="P491" i="5"/>
  <c r="Q491" i="5"/>
  <c r="R491" i="5"/>
  <c r="S491" i="5"/>
  <c r="T491" i="5"/>
  <c r="U491" i="5"/>
  <c r="V491" i="5"/>
  <c r="W491" i="5"/>
  <c r="X491" i="5"/>
  <c r="AB491" i="5"/>
  <c r="B492" i="5"/>
  <c r="C492" i="5"/>
  <c r="D492" i="5"/>
  <c r="E492" i="5"/>
  <c r="F492" i="5"/>
  <c r="G492" i="5"/>
  <c r="H492" i="5"/>
  <c r="I492" i="5"/>
  <c r="J492" i="5"/>
  <c r="K492" i="5"/>
  <c r="L492" i="5"/>
  <c r="M492" i="5"/>
  <c r="N492" i="5"/>
  <c r="O492" i="5"/>
  <c r="P492" i="5"/>
  <c r="Q492" i="5"/>
  <c r="R492" i="5"/>
  <c r="S492" i="5"/>
  <c r="T492" i="5"/>
  <c r="U492" i="5"/>
  <c r="V492" i="5"/>
  <c r="W492" i="5"/>
  <c r="X492" i="5"/>
  <c r="AC492" i="5"/>
  <c r="B493" i="5"/>
  <c r="C493" i="5"/>
  <c r="D493" i="5"/>
  <c r="E493" i="5"/>
  <c r="F493" i="5"/>
  <c r="G493" i="5"/>
  <c r="H493" i="5"/>
  <c r="I493" i="5"/>
  <c r="J493" i="5"/>
  <c r="K493" i="5"/>
  <c r="L493" i="5"/>
  <c r="M493" i="5"/>
  <c r="AC493" i="5" s="1"/>
  <c r="N493" i="5"/>
  <c r="O493" i="5"/>
  <c r="P493" i="5"/>
  <c r="Q493" i="5"/>
  <c r="R493" i="5"/>
  <c r="S493" i="5"/>
  <c r="T493" i="5"/>
  <c r="U493" i="5"/>
  <c r="V493" i="5"/>
  <c r="W493" i="5"/>
  <c r="X493" i="5"/>
  <c r="AB493" i="5"/>
  <c r="B494" i="5"/>
  <c r="C494" i="5"/>
  <c r="D494" i="5"/>
  <c r="E494" i="5"/>
  <c r="F494" i="5"/>
  <c r="G494" i="5"/>
  <c r="H494" i="5"/>
  <c r="I494" i="5"/>
  <c r="J494" i="5"/>
  <c r="K494" i="5"/>
  <c r="L494" i="5"/>
  <c r="M494" i="5"/>
  <c r="N494" i="5"/>
  <c r="O494" i="5"/>
  <c r="P494" i="5"/>
  <c r="Q494" i="5"/>
  <c r="R494" i="5"/>
  <c r="S494" i="5"/>
  <c r="T494" i="5"/>
  <c r="U494" i="5"/>
  <c r="V494" i="5"/>
  <c r="W494" i="5"/>
  <c r="X494" i="5"/>
  <c r="AC494" i="5"/>
  <c r="B495" i="5"/>
  <c r="C495" i="5"/>
  <c r="D495" i="5"/>
  <c r="E495" i="5"/>
  <c r="F495" i="5"/>
  <c r="G495" i="5"/>
  <c r="H495" i="5"/>
  <c r="I495" i="5"/>
  <c r="J495" i="5"/>
  <c r="K495" i="5"/>
  <c r="L495" i="5"/>
  <c r="M495" i="5"/>
  <c r="AC495" i="5" s="1"/>
  <c r="N495" i="5"/>
  <c r="O495" i="5"/>
  <c r="P495" i="5"/>
  <c r="Q495" i="5"/>
  <c r="R495" i="5"/>
  <c r="S495" i="5"/>
  <c r="T495" i="5"/>
  <c r="U495" i="5"/>
  <c r="V495" i="5"/>
  <c r="W495" i="5"/>
  <c r="X495" i="5"/>
  <c r="AB495" i="5"/>
  <c r="B496" i="5"/>
  <c r="C496" i="5"/>
  <c r="D496" i="5"/>
  <c r="E496" i="5"/>
  <c r="F496" i="5"/>
  <c r="G496" i="5"/>
  <c r="H496" i="5"/>
  <c r="I496" i="5"/>
  <c r="J496" i="5"/>
  <c r="K496" i="5"/>
  <c r="L496" i="5"/>
  <c r="M496" i="5"/>
  <c r="N496" i="5"/>
  <c r="O496" i="5"/>
  <c r="P496" i="5"/>
  <c r="Q496" i="5"/>
  <c r="R496" i="5"/>
  <c r="S496" i="5"/>
  <c r="T496" i="5"/>
  <c r="U496" i="5"/>
  <c r="V496" i="5"/>
  <c r="W496" i="5"/>
  <c r="X496" i="5"/>
  <c r="AC496" i="5"/>
  <c r="B497" i="5"/>
  <c r="C497" i="5"/>
  <c r="D497" i="5"/>
  <c r="E497" i="5"/>
  <c r="F497" i="5"/>
  <c r="G497" i="5"/>
  <c r="H497" i="5"/>
  <c r="I497" i="5"/>
  <c r="J497" i="5"/>
  <c r="K497" i="5"/>
  <c r="L497" i="5"/>
  <c r="M497" i="5"/>
  <c r="AC497" i="5" s="1"/>
  <c r="N497" i="5"/>
  <c r="O497" i="5"/>
  <c r="P497" i="5"/>
  <c r="Q497" i="5"/>
  <c r="R497" i="5"/>
  <c r="S497" i="5"/>
  <c r="T497" i="5"/>
  <c r="U497" i="5"/>
  <c r="V497" i="5"/>
  <c r="W497" i="5"/>
  <c r="X497" i="5"/>
  <c r="AB497" i="5"/>
  <c r="B498" i="5"/>
  <c r="C498" i="5"/>
  <c r="D498" i="5"/>
  <c r="E498" i="5"/>
  <c r="F498" i="5"/>
  <c r="G498" i="5"/>
  <c r="H498" i="5"/>
  <c r="I498" i="5"/>
  <c r="J498" i="5"/>
  <c r="K498" i="5"/>
  <c r="L498" i="5"/>
  <c r="M498" i="5"/>
  <c r="N498" i="5"/>
  <c r="O498" i="5"/>
  <c r="P498" i="5"/>
  <c r="Q498" i="5"/>
  <c r="R498" i="5"/>
  <c r="S498" i="5"/>
  <c r="T498" i="5"/>
  <c r="U498" i="5"/>
  <c r="V498" i="5"/>
  <c r="W498" i="5"/>
  <c r="X498" i="5"/>
  <c r="AC498" i="5"/>
  <c r="B499" i="5"/>
  <c r="C499" i="5"/>
  <c r="D499" i="5"/>
  <c r="E499" i="5"/>
  <c r="F499" i="5"/>
  <c r="G499" i="5"/>
  <c r="H499" i="5"/>
  <c r="I499" i="5"/>
  <c r="J499" i="5"/>
  <c r="K499" i="5"/>
  <c r="L499" i="5"/>
  <c r="M499" i="5"/>
  <c r="AC499" i="5" s="1"/>
  <c r="N499" i="5"/>
  <c r="O499" i="5"/>
  <c r="P499" i="5"/>
  <c r="Q499" i="5"/>
  <c r="R499" i="5"/>
  <c r="S499" i="5"/>
  <c r="T499" i="5"/>
  <c r="U499" i="5"/>
  <c r="V499" i="5"/>
  <c r="W499" i="5"/>
  <c r="X499" i="5"/>
  <c r="AB499" i="5"/>
  <c r="B500" i="5"/>
  <c r="C500" i="5"/>
  <c r="D500" i="5"/>
  <c r="E500" i="5"/>
  <c r="F500" i="5"/>
  <c r="G500" i="5"/>
  <c r="H500" i="5"/>
  <c r="I500" i="5"/>
  <c r="J500" i="5"/>
  <c r="K500" i="5"/>
  <c r="L500" i="5"/>
  <c r="M500" i="5"/>
  <c r="N500" i="5"/>
  <c r="O500" i="5"/>
  <c r="P500" i="5"/>
  <c r="Q500" i="5"/>
  <c r="R500" i="5"/>
  <c r="S500" i="5"/>
  <c r="T500" i="5"/>
  <c r="U500" i="5"/>
  <c r="V500" i="5"/>
  <c r="W500" i="5"/>
  <c r="X500" i="5"/>
  <c r="AC500" i="5"/>
  <c r="B501" i="5"/>
  <c r="C501" i="5"/>
  <c r="D501" i="5"/>
  <c r="E501" i="5"/>
  <c r="F501" i="5"/>
  <c r="G501" i="5"/>
  <c r="H501" i="5"/>
  <c r="I501" i="5"/>
  <c r="J501" i="5"/>
  <c r="K501" i="5"/>
  <c r="L501" i="5"/>
  <c r="M501" i="5"/>
  <c r="AC501" i="5" s="1"/>
  <c r="N501" i="5"/>
  <c r="O501" i="5"/>
  <c r="P501" i="5"/>
  <c r="Q501" i="5"/>
  <c r="R501" i="5"/>
  <c r="S501" i="5"/>
  <c r="T501" i="5"/>
  <c r="U501" i="5"/>
  <c r="V501" i="5"/>
  <c r="W501" i="5"/>
  <c r="X501" i="5"/>
  <c r="AB501" i="5"/>
  <c r="B502" i="5"/>
  <c r="C502" i="5"/>
  <c r="D502" i="5"/>
  <c r="E502" i="5"/>
  <c r="F502" i="5"/>
  <c r="G502" i="5"/>
  <c r="H502" i="5"/>
  <c r="I502" i="5"/>
  <c r="J502" i="5"/>
  <c r="K502" i="5"/>
  <c r="L502" i="5"/>
  <c r="M502" i="5"/>
  <c r="N502" i="5"/>
  <c r="O502" i="5"/>
  <c r="P502" i="5"/>
  <c r="Q502" i="5"/>
  <c r="R502" i="5"/>
  <c r="S502" i="5"/>
  <c r="T502" i="5"/>
  <c r="U502" i="5"/>
  <c r="V502" i="5"/>
  <c r="W502" i="5"/>
  <c r="X502" i="5"/>
  <c r="AC502" i="5"/>
  <c r="B503" i="5"/>
  <c r="C503" i="5"/>
  <c r="D503" i="5"/>
  <c r="E503" i="5"/>
  <c r="F503" i="5"/>
  <c r="G503" i="5"/>
  <c r="H503" i="5"/>
  <c r="I503" i="5"/>
  <c r="J503" i="5"/>
  <c r="K503" i="5"/>
  <c r="L503" i="5"/>
  <c r="M503" i="5"/>
  <c r="AC503" i="5" s="1"/>
  <c r="N503" i="5"/>
  <c r="O503" i="5"/>
  <c r="P503" i="5"/>
  <c r="Q503" i="5"/>
  <c r="R503" i="5"/>
  <c r="S503" i="5"/>
  <c r="T503" i="5"/>
  <c r="U503" i="5"/>
  <c r="V503" i="5"/>
  <c r="W503" i="5"/>
  <c r="X503" i="5"/>
  <c r="AB503" i="5"/>
  <c r="B504" i="5"/>
  <c r="C504" i="5"/>
  <c r="D504" i="5"/>
  <c r="E504" i="5"/>
  <c r="F504" i="5"/>
  <c r="G504" i="5"/>
  <c r="H504" i="5"/>
  <c r="I504" i="5"/>
  <c r="J504" i="5"/>
  <c r="K504" i="5"/>
  <c r="L504" i="5"/>
  <c r="M504" i="5"/>
  <c r="N504" i="5"/>
  <c r="O504" i="5"/>
  <c r="P504" i="5"/>
  <c r="Q504" i="5"/>
  <c r="R504" i="5"/>
  <c r="S504" i="5"/>
  <c r="T504" i="5"/>
  <c r="U504" i="5"/>
  <c r="V504" i="5"/>
  <c r="W504" i="5"/>
  <c r="X504" i="5"/>
  <c r="AC504" i="5"/>
  <c r="B505" i="5"/>
  <c r="C505" i="5"/>
  <c r="D505" i="5"/>
  <c r="E505" i="5"/>
  <c r="F505" i="5"/>
  <c r="G505" i="5"/>
  <c r="H505" i="5"/>
  <c r="I505" i="5"/>
  <c r="J505" i="5"/>
  <c r="K505" i="5"/>
  <c r="L505" i="5"/>
  <c r="M505" i="5"/>
  <c r="AC505" i="5" s="1"/>
  <c r="N505" i="5"/>
  <c r="O505" i="5"/>
  <c r="P505" i="5"/>
  <c r="Q505" i="5"/>
  <c r="R505" i="5"/>
  <c r="S505" i="5"/>
  <c r="T505" i="5"/>
  <c r="U505" i="5"/>
  <c r="V505" i="5"/>
  <c r="W505" i="5"/>
  <c r="X505" i="5"/>
  <c r="AB505" i="5"/>
  <c r="B506" i="5"/>
  <c r="C506" i="5"/>
  <c r="D506" i="5"/>
  <c r="E506" i="5"/>
  <c r="F506" i="5"/>
  <c r="G506" i="5"/>
  <c r="H506" i="5"/>
  <c r="I506" i="5"/>
  <c r="J506" i="5"/>
  <c r="K506" i="5"/>
  <c r="L506" i="5"/>
  <c r="M506" i="5"/>
  <c r="N506" i="5"/>
  <c r="O506" i="5"/>
  <c r="P506" i="5"/>
  <c r="Q506" i="5"/>
  <c r="R506" i="5"/>
  <c r="S506" i="5"/>
  <c r="T506" i="5"/>
  <c r="U506" i="5"/>
  <c r="V506" i="5"/>
  <c r="W506" i="5"/>
  <c r="X506" i="5"/>
  <c r="AC506" i="5"/>
  <c r="B507" i="5"/>
  <c r="C507" i="5"/>
  <c r="D507" i="5"/>
  <c r="E507" i="5"/>
  <c r="F507" i="5"/>
  <c r="G507" i="5"/>
  <c r="H507" i="5"/>
  <c r="I507" i="5"/>
  <c r="J507" i="5"/>
  <c r="K507" i="5"/>
  <c r="L507" i="5"/>
  <c r="M507" i="5"/>
  <c r="AC507" i="5" s="1"/>
  <c r="N507" i="5"/>
  <c r="O507" i="5"/>
  <c r="P507" i="5"/>
  <c r="Q507" i="5"/>
  <c r="R507" i="5"/>
  <c r="S507" i="5"/>
  <c r="T507" i="5"/>
  <c r="U507" i="5"/>
  <c r="V507" i="5"/>
  <c r="W507" i="5"/>
  <c r="X507" i="5"/>
  <c r="AB507" i="5"/>
  <c r="B508" i="5"/>
  <c r="C508" i="5"/>
  <c r="D508" i="5"/>
  <c r="E508" i="5"/>
  <c r="F508" i="5"/>
  <c r="G508" i="5"/>
  <c r="H508" i="5"/>
  <c r="I508" i="5"/>
  <c r="J508" i="5"/>
  <c r="K508" i="5"/>
  <c r="L508" i="5"/>
  <c r="M508" i="5"/>
  <c r="N508" i="5"/>
  <c r="O508" i="5"/>
  <c r="P508" i="5"/>
  <c r="Q508" i="5"/>
  <c r="R508" i="5"/>
  <c r="S508" i="5"/>
  <c r="T508" i="5"/>
  <c r="U508" i="5"/>
  <c r="V508" i="5"/>
  <c r="W508" i="5"/>
  <c r="X508" i="5"/>
  <c r="AC508" i="5"/>
  <c r="B509" i="5"/>
  <c r="C509" i="5"/>
  <c r="D509" i="5"/>
  <c r="E509" i="5"/>
  <c r="F509" i="5"/>
  <c r="G509" i="5"/>
  <c r="H509" i="5"/>
  <c r="I509" i="5"/>
  <c r="J509" i="5"/>
  <c r="K509" i="5"/>
  <c r="L509" i="5"/>
  <c r="M509" i="5"/>
  <c r="AC509" i="5" s="1"/>
  <c r="N509" i="5"/>
  <c r="O509" i="5"/>
  <c r="P509" i="5"/>
  <c r="Q509" i="5"/>
  <c r="R509" i="5"/>
  <c r="S509" i="5"/>
  <c r="T509" i="5"/>
  <c r="U509" i="5"/>
  <c r="V509" i="5"/>
  <c r="W509" i="5"/>
  <c r="X509" i="5"/>
  <c r="AB509" i="5"/>
  <c r="B510" i="5"/>
  <c r="C510" i="5"/>
  <c r="D510" i="5"/>
  <c r="E510" i="5"/>
  <c r="F510" i="5"/>
  <c r="G510" i="5"/>
  <c r="H510" i="5"/>
  <c r="I510" i="5"/>
  <c r="J510" i="5"/>
  <c r="K510" i="5"/>
  <c r="L510" i="5"/>
  <c r="M510" i="5"/>
  <c r="N510" i="5"/>
  <c r="O510" i="5"/>
  <c r="P510" i="5"/>
  <c r="Q510" i="5"/>
  <c r="R510" i="5"/>
  <c r="S510" i="5"/>
  <c r="T510" i="5"/>
  <c r="U510" i="5"/>
  <c r="V510" i="5"/>
  <c r="W510" i="5"/>
  <c r="X510" i="5"/>
  <c r="AC510" i="5"/>
  <c r="B511" i="5"/>
  <c r="C511" i="5"/>
  <c r="D511" i="5"/>
  <c r="E511" i="5"/>
  <c r="F511" i="5"/>
  <c r="G511" i="5"/>
  <c r="H511" i="5"/>
  <c r="I511" i="5"/>
  <c r="J511" i="5"/>
  <c r="K511" i="5"/>
  <c r="L511" i="5"/>
  <c r="M511" i="5"/>
  <c r="AC511" i="5" s="1"/>
  <c r="N511" i="5"/>
  <c r="O511" i="5"/>
  <c r="P511" i="5"/>
  <c r="Q511" i="5"/>
  <c r="R511" i="5"/>
  <c r="S511" i="5"/>
  <c r="T511" i="5"/>
  <c r="U511" i="5"/>
  <c r="V511" i="5"/>
  <c r="W511" i="5"/>
  <c r="X511" i="5"/>
  <c r="AB511" i="5"/>
  <c r="B512" i="5"/>
  <c r="C512" i="5"/>
  <c r="D512" i="5"/>
  <c r="E512" i="5"/>
  <c r="F512" i="5"/>
  <c r="G512" i="5"/>
  <c r="H512" i="5"/>
  <c r="I512" i="5"/>
  <c r="J512" i="5"/>
  <c r="K512" i="5"/>
  <c r="L512" i="5"/>
  <c r="M512" i="5"/>
  <c r="N512" i="5"/>
  <c r="O512" i="5"/>
  <c r="P512" i="5"/>
  <c r="Q512" i="5"/>
  <c r="R512" i="5"/>
  <c r="S512" i="5"/>
  <c r="T512" i="5"/>
  <c r="U512" i="5"/>
  <c r="V512" i="5"/>
  <c r="W512" i="5"/>
  <c r="X512" i="5"/>
  <c r="AC512" i="5"/>
  <c r="B513" i="5"/>
  <c r="C513" i="5"/>
  <c r="D513" i="5"/>
  <c r="E513" i="5"/>
  <c r="F513" i="5"/>
  <c r="G513" i="5"/>
  <c r="H513" i="5"/>
  <c r="I513" i="5"/>
  <c r="J513" i="5"/>
  <c r="K513" i="5"/>
  <c r="L513" i="5"/>
  <c r="M513" i="5"/>
  <c r="AC513" i="5" s="1"/>
  <c r="N513" i="5"/>
  <c r="O513" i="5"/>
  <c r="P513" i="5"/>
  <c r="Q513" i="5"/>
  <c r="R513" i="5"/>
  <c r="S513" i="5"/>
  <c r="T513" i="5"/>
  <c r="U513" i="5"/>
  <c r="V513" i="5"/>
  <c r="W513" i="5"/>
  <c r="X513" i="5"/>
  <c r="AB513" i="5"/>
  <c r="B514" i="5"/>
  <c r="C514" i="5"/>
  <c r="D514" i="5"/>
  <c r="E514" i="5"/>
  <c r="F514" i="5"/>
  <c r="G514" i="5"/>
  <c r="H514" i="5"/>
  <c r="I514" i="5"/>
  <c r="J514" i="5"/>
  <c r="K514" i="5"/>
  <c r="L514" i="5"/>
  <c r="M514" i="5"/>
  <c r="N514" i="5"/>
  <c r="O514" i="5"/>
  <c r="P514" i="5"/>
  <c r="Q514" i="5"/>
  <c r="R514" i="5"/>
  <c r="S514" i="5"/>
  <c r="T514" i="5"/>
  <c r="U514" i="5"/>
  <c r="V514" i="5"/>
  <c r="W514" i="5"/>
  <c r="X514" i="5"/>
  <c r="AC514" i="5"/>
  <c r="B515" i="5"/>
  <c r="C515" i="5"/>
  <c r="D515" i="5"/>
  <c r="E515" i="5"/>
  <c r="F515" i="5"/>
  <c r="G515" i="5"/>
  <c r="H515" i="5"/>
  <c r="I515" i="5"/>
  <c r="J515" i="5"/>
  <c r="K515" i="5"/>
  <c r="L515" i="5"/>
  <c r="M515" i="5"/>
  <c r="AC515" i="5" s="1"/>
  <c r="N515" i="5"/>
  <c r="O515" i="5"/>
  <c r="P515" i="5"/>
  <c r="Q515" i="5"/>
  <c r="R515" i="5"/>
  <c r="S515" i="5"/>
  <c r="T515" i="5"/>
  <c r="U515" i="5"/>
  <c r="V515" i="5"/>
  <c r="W515" i="5"/>
  <c r="X515" i="5"/>
  <c r="AB515" i="5"/>
  <c r="B516" i="5"/>
  <c r="C516" i="5"/>
  <c r="D516" i="5"/>
  <c r="E516" i="5"/>
  <c r="F516" i="5"/>
  <c r="G516" i="5"/>
  <c r="H516" i="5"/>
  <c r="I516" i="5"/>
  <c r="J516" i="5"/>
  <c r="K516" i="5"/>
  <c r="L516" i="5"/>
  <c r="M516" i="5"/>
  <c r="N516" i="5"/>
  <c r="O516" i="5"/>
  <c r="P516" i="5"/>
  <c r="Q516" i="5"/>
  <c r="R516" i="5"/>
  <c r="S516" i="5"/>
  <c r="T516" i="5"/>
  <c r="U516" i="5"/>
  <c r="V516" i="5"/>
  <c r="W516" i="5"/>
  <c r="X516" i="5"/>
  <c r="AC516" i="5"/>
  <c r="B517" i="5"/>
  <c r="C517" i="5"/>
  <c r="D517" i="5"/>
  <c r="E517" i="5"/>
  <c r="F517" i="5"/>
  <c r="G517" i="5"/>
  <c r="H517" i="5"/>
  <c r="I517" i="5"/>
  <c r="J517" i="5"/>
  <c r="K517" i="5"/>
  <c r="L517" i="5"/>
  <c r="M517" i="5"/>
  <c r="AC517" i="5" s="1"/>
  <c r="N517" i="5"/>
  <c r="O517" i="5"/>
  <c r="P517" i="5"/>
  <c r="Q517" i="5"/>
  <c r="R517" i="5"/>
  <c r="S517" i="5"/>
  <c r="T517" i="5"/>
  <c r="U517" i="5"/>
  <c r="V517" i="5"/>
  <c r="W517" i="5"/>
  <c r="X517" i="5"/>
  <c r="AB517" i="5"/>
  <c r="B518" i="5"/>
  <c r="C518" i="5"/>
  <c r="D518" i="5"/>
  <c r="E518" i="5"/>
  <c r="F518" i="5"/>
  <c r="G518" i="5"/>
  <c r="H518" i="5"/>
  <c r="I518" i="5"/>
  <c r="J518" i="5"/>
  <c r="K518" i="5"/>
  <c r="L518" i="5"/>
  <c r="M518" i="5"/>
  <c r="N518" i="5"/>
  <c r="O518" i="5"/>
  <c r="P518" i="5"/>
  <c r="Q518" i="5"/>
  <c r="R518" i="5"/>
  <c r="S518" i="5"/>
  <c r="T518" i="5"/>
  <c r="U518" i="5"/>
  <c r="V518" i="5"/>
  <c r="W518" i="5"/>
  <c r="X518" i="5"/>
  <c r="AC518" i="5"/>
  <c r="B519" i="5"/>
  <c r="C519" i="5"/>
  <c r="D519" i="5"/>
  <c r="E519" i="5"/>
  <c r="F519" i="5"/>
  <c r="G519" i="5"/>
  <c r="H519" i="5"/>
  <c r="I519" i="5"/>
  <c r="J519" i="5"/>
  <c r="K519" i="5"/>
  <c r="L519" i="5"/>
  <c r="M519" i="5"/>
  <c r="AC519" i="5" s="1"/>
  <c r="N519" i="5"/>
  <c r="O519" i="5"/>
  <c r="P519" i="5"/>
  <c r="Q519" i="5"/>
  <c r="R519" i="5"/>
  <c r="S519" i="5"/>
  <c r="T519" i="5"/>
  <c r="U519" i="5"/>
  <c r="V519" i="5"/>
  <c r="W519" i="5"/>
  <c r="X519" i="5"/>
  <c r="AB519" i="5"/>
  <c r="B520" i="5"/>
  <c r="C520" i="5"/>
  <c r="D520" i="5"/>
  <c r="E520" i="5"/>
  <c r="F520" i="5"/>
  <c r="G520" i="5"/>
  <c r="H520" i="5"/>
  <c r="I520" i="5"/>
  <c r="J520" i="5"/>
  <c r="K520" i="5"/>
  <c r="L520" i="5"/>
  <c r="M520" i="5"/>
  <c r="N520" i="5"/>
  <c r="O520" i="5"/>
  <c r="P520" i="5"/>
  <c r="Q520" i="5"/>
  <c r="R520" i="5"/>
  <c r="S520" i="5"/>
  <c r="T520" i="5"/>
  <c r="U520" i="5"/>
  <c r="V520" i="5"/>
  <c r="W520" i="5"/>
  <c r="X520" i="5"/>
  <c r="AC520" i="5"/>
  <c r="B521" i="5"/>
  <c r="C521" i="5"/>
  <c r="D521" i="5"/>
  <c r="E521" i="5"/>
  <c r="F521" i="5"/>
  <c r="G521" i="5"/>
  <c r="H521" i="5"/>
  <c r="I521" i="5"/>
  <c r="J521" i="5"/>
  <c r="K521" i="5"/>
  <c r="L521" i="5"/>
  <c r="M521" i="5"/>
  <c r="AC521" i="5" s="1"/>
  <c r="N521" i="5"/>
  <c r="O521" i="5"/>
  <c r="P521" i="5"/>
  <c r="Q521" i="5"/>
  <c r="R521" i="5"/>
  <c r="S521" i="5"/>
  <c r="T521" i="5"/>
  <c r="U521" i="5"/>
  <c r="V521" i="5"/>
  <c r="W521" i="5"/>
  <c r="X521" i="5"/>
  <c r="AB521" i="5"/>
  <c r="B522" i="5"/>
  <c r="C522" i="5"/>
  <c r="D522" i="5"/>
  <c r="E522" i="5"/>
  <c r="F522" i="5"/>
  <c r="G522" i="5"/>
  <c r="H522" i="5"/>
  <c r="I522" i="5"/>
  <c r="J522" i="5"/>
  <c r="K522" i="5"/>
  <c r="L522" i="5"/>
  <c r="M522" i="5"/>
  <c r="N522" i="5"/>
  <c r="O522" i="5"/>
  <c r="P522" i="5"/>
  <c r="Q522" i="5"/>
  <c r="R522" i="5"/>
  <c r="S522" i="5"/>
  <c r="T522" i="5"/>
  <c r="U522" i="5"/>
  <c r="V522" i="5"/>
  <c r="W522" i="5"/>
  <c r="X522" i="5"/>
  <c r="AC522" i="5"/>
  <c r="B523" i="5"/>
  <c r="C523" i="5"/>
  <c r="D523" i="5"/>
  <c r="E523" i="5"/>
  <c r="F523" i="5"/>
  <c r="G523" i="5"/>
  <c r="H523" i="5"/>
  <c r="I523" i="5"/>
  <c r="J523" i="5"/>
  <c r="K523" i="5"/>
  <c r="L523" i="5"/>
  <c r="M523" i="5"/>
  <c r="AC523" i="5" s="1"/>
  <c r="N523" i="5"/>
  <c r="O523" i="5"/>
  <c r="P523" i="5"/>
  <c r="Q523" i="5"/>
  <c r="R523" i="5"/>
  <c r="S523" i="5"/>
  <c r="T523" i="5"/>
  <c r="U523" i="5"/>
  <c r="V523" i="5"/>
  <c r="W523" i="5"/>
  <c r="X523" i="5"/>
  <c r="AB523" i="5"/>
  <c r="B524" i="5"/>
  <c r="C524" i="5"/>
  <c r="D524" i="5"/>
  <c r="E524" i="5"/>
  <c r="F524" i="5"/>
  <c r="G524" i="5"/>
  <c r="H524" i="5"/>
  <c r="I524" i="5"/>
  <c r="J524" i="5"/>
  <c r="K524" i="5"/>
  <c r="L524" i="5"/>
  <c r="M524" i="5"/>
  <c r="N524" i="5"/>
  <c r="O524" i="5"/>
  <c r="P524" i="5"/>
  <c r="Q524" i="5"/>
  <c r="R524" i="5"/>
  <c r="S524" i="5"/>
  <c r="T524" i="5"/>
  <c r="U524" i="5"/>
  <c r="V524" i="5"/>
  <c r="W524" i="5"/>
  <c r="X524" i="5"/>
  <c r="AC524" i="5"/>
  <c r="B525" i="5"/>
  <c r="C525" i="5"/>
  <c r="D525" i="5"/>
  <c r="E525" i="5"/>
  <c r="F525" i="5"/>
  <c r="G525" i="5"/>
  <c r="H525" i="5"/>
  <c r="I525" i="5"/>
  <c r="J525" i="5"/>
  <c r="K525" i="5"/>
  <c r="L525" i="5"/>
  <c r="M525" i="5"/>
  <c r="AC525" i="5" s="1"/>
  <c r="N525" i="5"/>
  <c r="O525" i="5"/>
  <c r="P525" i="5"/>
  <c r="Q525" i="5"/>
  <c r="R525" i="5"/>
  <c r="S525" i="5"/>
  <c r="T525" i="5"/>
  <c r="U525" i="5"/>
  <c r="V525" i="5"/>
  <c r="W525" i="5"/>
  <c r="X525" i="5"/>
  <c r="AB525" i="5"/>
  <c r="B526" i="5"/>
  <c r="C526" i="5"/>
  <c r="D526" i="5"/>
  <c r="E526" i="5"/>
  <c r="F526" i="5"/>
  <c r="G526" i="5"/>
  <c r="H526" i="5"/>
  <c r="I526" i="5"/>
  <c r="J526" i="5"/>
  <c r="K526" i="5"/>
  <c r="L526" i="5"/>
  <c r="M526" i="5"/>
  <c r="N526" i="5"/>
  <c r="O526" i="5"/>
  <c r="P526" i="5"/>
  <c r="Q526" i="5"/>
  <c r="R526" i="5"/>
  <c r="S526" i="5"/>
  <c r="T526" i="5"/>
  <c r="U526" i="5"/>
  <c r="V526" i="5"/>
  <c r="W526" i="5"/>
  <c r="X526" i="5"/>
  <c r="AC526" i="5"/>
  <c r="B527" i="5"/>
  <c r="C527" i="5"/>
  <c r="D527" i="5"/>
  <c r="E527" i="5"/>
  <c r="F527" i="5"/>
  <c r="G527" i="5"/>
  <c r="H527" i="5"/>
  <c r="I527" i="5"/>
  <c r="J527" i="5"/>
  <c r="K527" i="5"/>
  <c r="L527" i="5"/>
  <c r="M527" i="5"/>
  <c r="AC527" i="5" s="1"/>
  <c r="N527" i="5"/>
  <c r="O527" i="5"/>
  <c r="P527" i="5"/>
  <c r="Q527" i="5"/>
  <c r="R527" i="5"/>
  <c r="S527" i="5"/>
  <c r="T527" i="5"/>
  <c r="U527" i="5"/>
  <c r="V527" i="5"/>
  <c r="W527" i="5"/>
  <c r="X527" i="5"/>
  <c r="AB527" i="5"/>
  <c r="B528" i="5"/>
  <c r="C528" i="5"/>
  <c r="D528" i="5"/>
  <c r="E528" i="5"/>
  <c r="F528" i="5"/>
  <c r="G528" i="5"/>
  <c r="H528" i="5"/>
  <c r="I528" i="5"/>
  <c r="J528" i="5"/>
  <c r="K528" i="5"/>
  <c r="L528" i="5"/>
  <c r="M528" i="5"/>
  <c r="N528" i="5"/>
  <c r="O528" i="5"/>
  <c r="P528" i="5"/>
  <c r="Q528" i="5"/>
  <c r="R528" i="5"/>
  <c r="S528" i="5"/>
  <c r="T528" i="5"/>
  <c r="U528" i="5"/>
  <c r="V528" i="5"/>
  <c r="W528" i="5"/>
  <c r="X528" i="5"/>
  <c r="AC528" i="5"/>
  <c r="B529" i="5"/>
  <c r="C529" i="5"/>
  <c r="D529" i="5"/>
  <c r="E529" i="5"/>
  <c r="F529" i="5"/>
  <c r="G529" i="5"/>
  <c r="H529" i="5"/>
  <c r="I529" i="5"/>
  <c r="J529" i="5"/>
  <c r="K529" i="5"/>
  <c r="L529" i="5"/>
  <c r="M529" i="5"/>
  <c r="AC529" i="5" s="1"/>
  <c r="N529" i="5"/>
  <c r="O529" i="5"/>
  <c r="P529" i="5"/>
  <c r="Q529" i="5"/>
  <c r="R529" i="5"/>
  <c r="S529" i="5"/>
  <c r="T529" i="5"/>
  <c r="U529" i="5"/>
  <c r="V529" i="5"/>
  <c r="W529" i="5"/>
  <c r="X529" i="5"/>
  <c r="AB529" i="5"/>
  <c r="B530" i="5"/>
  <c r="C530" i="5"/>
  <c r="D530" i="5"/>
  <c r="E530" i="5"/>
  <c r="F530" i="5"/>
  <c r="G530" i="5"/>
  <c r="H530" i="5"/>
  <c r="I530" i="5"/>
  <c r="J530" i="5"/>
  <c r="K530" i="5"/>
  <c r="L530" i="5"/>
  <c r="M530" i="5"/>
  <c r="N530" i="5"/>
  <c r="O530" i="5"/>
  <c r="P530" i="5"/>
  <c r="Q530" i="5"/>
  <c r="R530" i="5"/>
  <c r="S530" i="5"/>
  <c r="T530" i="5"/>
  <c r="U530" i="5"/>
  <c r="V530" i="5"/>
  <c r="W530" i="5"/>
  <c r="X530" i="5"/>
  <c r="AC530" i="5"/>
  <c r="B531" i="5"/>
  <c r="C531" i="5"/>
  <c r="D531" i="5"/>
  <c r="E531" i="5"/>
  <c r="F531" i="5"/>
  <c r="G531" i="5"/>
  <c r="H531" i="5"/>
  <c r="I531" i="5"/>
  <c r="J531" i="5"/>
  <c r="K531" i="5"/>
  <c r="L531" i="5"/>
  <c r="M531" i="5"/>
  <c r="AC531" i="5" s="1"/>
  <c r="N531" i="5"/>
  <c r="O531" i="5"/>
  <c r="P531" i="5"/>
  <c r="Q531" i="5"/>
  <c r="R531" i="5"/>
  <c r="S531" i="5"/>
  <c r="T531" i="5"/>
  <c r="U531" i="5"/>
  <c r="V531" i="5"/>
  <c r="W531" i="5"/>
  <c r="X531" i="5"/>
  <c r="AB531" i="5"/>
  <c r="B532" i="5"/>
  <c r="C532" i="5"/>
  <c r="D532" i="5"/>
  <c r="E532" i="5"/>
  <c r="F532" i="5"/>
  <c r="G532" i="5"/>
  <c r="H532" i="5"/>
  <c r="I532" i="5"/>
  <c r="J532" i="5"/>
  <c r="K532" i="5"/>
  <c r="L532" i="5"/>
  <c r="M532" i="5"/>
  <c r="N532" i="5"/>
  <c r="O532" i="5"/>
  <c r="P532" i="5"/>
  <c r="Q532" i="5"/>
  <c r="R532" i="5"/>
  <c r="S532" i="5"/>
  <c r="T532" i="5"/>
  <c r="U532" i="5"/>
  <c r="V532" i="5"/>
  <c r="W532" i="5"/>
  <c r="X532" i="5"/>
  <c r="AC532" i="5"/>
  <c r="B533" i="5"/>
  <c r="C533" i="5"/>
  <c r="D533" i="5"/>
  <c r="E533" i="5"/>
  <c r="F533" i="5"/>
  <c r="G533" i="5"/>
  <c r="H533" i="5"/>
  <c r="I533" i="5"/>
  <c r="J533" i="5"/>
  <c r="K533" i="5"/>
  <c r="L533" i="5"/>
  <c r="M533" i="5"/>
  <c r="AC533" i="5" s="1"/>
  <c r="N533" i="5"/>
  <c r="O533" i="5"/>
  <c r="P533" i="5"/>
  <c r="Q533" i="5"/>
  <c r="R533" i="5"/>
  <c r="S533" i="5"/>
  <c r="T533" i="5"/>
  <c r="U533" i="5"/>
  <c r="V533" i="5"/>
  <c r="W533" i="5"/>
  <c r="X533" i="5"/>
  <c r="AB533" i="5"/>
  <c r="B534" i="5"/>
  <c r="C534" i="5"/>
  <c r="D534" i="5"/>
  <c r="E534" i="5"/>
  <c r="F534" i="5"/>
  <c r="G534" i="5"/>
  <c r="H534" i="5"/>
  <c r="I534" i="5"/>
  <c r="J534" i="5"/>
  <c r="K534" i="5"/>
  <c r="L534" i="5"/>
  <c r="M534" i="5"/>
  <c r="N534" i="5"/>
  <c r="O534" i="5"/>
  <c r="P534" i="5"/>
  <c r="Q534" i="5"/>
  <c r="R534" i="5"/>
  <c r="S534" i="5"/>
  <c r="T534" i="5"/>
  <c r="U534" i="5"/>
  <c r="V534" i="5"/>
  <c r="W534" i="5"/>
  <c r="X534" i="5"/>
  <c r="AC534" i="5"/>
  <c r="B535" i="5"/>
  <c r="C535" i="5"/>
  <c r="D535" i="5"/>
  <c r="E535" i="5"/>
  <c r="F535" i="5"/>
  <c r="G535" i="5"/>
  <c r="H535" i="5"/>
  <c r="I535" i="5"/>
  <c r="J535" i="5"/>
  <c r="K535" i="5"/>
  <c r="L535" i="5"/>
  <c r="M535" i="5"/>
  <c r="AC535" i="5" s="1"/>
  <c r="N535" i="5"/>
  <c r="O535" i="5"/>
  <c r="P535" i="5"/>
  <c r="Q535" i="5"/>
  <c r="R535" i="5"/>
  <c r="S535" i="5"/>
  <c r="T535" i="5"/>
  <c r="U535" i="5"/>
  <c r="V535" i="5"/>
  <c r="W535" i="5"/>
  <c r="X535" i="5"/>
  <c r="AB535" i="5"/>
  <c r="B536" i="5"/>
  <c r="C536" i="5"/>
  <c r="D536" i="5"/>
  <c r="E536" i="5"/>
  <c r="F536" i="5"/>
  <c r="G536" i="5"/>
  <c r="H536" i="5"/>
  <c r="I536" i="5"/>
  <c r="J536" i="5"/>
  <c r="K536" i="5"/>
  <c r="L536" i="5"/>
  <c r="M536" i="5"/>
  <c r="N536" i="5"/>
  <c r="O536" i="5"/>
  <c r="P536" i="5"/>
  <c r="Q536" i="5"/>
  <c r="R536" i="5"/>
  <c r="S536" i="5"/>
  <c r="T536" i="5"/>
  <c r="U536" i="5"/>
  <c r="V536" i="5"/>
  <c r="W536" i="5"/>
  <c r="X536" i="5"/>
  <c r="AC536" i="5"/>
  <c r="B537" i="5"/>
  <c r="C537" i="5"/>
  <c r="D537" i="5"/>
  <c r="E537" i="5"/>
  <c r="F537" i="5"/>
  <c r="G537" i="5"/>
  <c r="H537" i="5"/>
  <c r="I537" i="5"/>
  <c r="J537" i="5"/>
  <c r="K537" i="5"/>
  <c r="L537" i="5"/>
  <c r="M537" i="5"/>
  <c r="AC537" i="5" s="1"/>
  <c r="N537" i="5"/>
  <c r="O537" i="5"/>
  <c r="P537" i="5"/>
  <c r="Q537" i="5"/>
  <c r="R537" i="5"/>
  <c r="S537" i="5"/>
  <c r="T537" i="5"/>
  <c r="U537" i="5"/>
  <c r="V537" i="5"/>
  <c r="W537" i="5"/>
  <c r="X537" i="5"/>
  <c r="AB537" i="5"/>
  <c r="B538" i="5"/>
  <c r="C538" i="5"/>
  <c r="D538" i="5"/>
  <c r="E538" i="5"/>
  <c r="F538" i="5"/>
  <c r="G538" i="5"/>
  <c r="H538" i="5"/>
  <c r="I538" i="5"/>
  <c r="J538" i="5"/>
  <c r="K538" i="5"/>
  <c r="L538" i="5"/>
  <c r="M538" i="5"/>
  <c r="N538" i="5"/>
  <c r="O538" i="5"/>
  <c r="P538" i="5"/>
  <c r="Q538" i="5"/>
  <c r="R538" i="5"/>
  <c r="S538" i="5"/>
  <c r="T538" i="5"/>
  <c r="U538" i="5"/>
  <c r="V538" i="5"/>
  <c r="W538" i="5"/>
  <c r="X538" i="5"/>
  <c r="AC538" i="5"/>
  <c r="B539" i="5"/>
  <c r="C539" i="5"/>
  <c r="D539" i="5"/>
  <c r="E539" i="5"/>
  <c r="F539" i="5"/>
  <c r="G539" i="5"/>
  <c r="H539" i="5"/>
  <c r="I539" i="5"/>
  <c r="J539" i="5"/>
  <c r="K539" i="5"/>
  <c r="L539" i="5"/>
  <c r="M539" i="5"/>
  <c r="AC539" i="5" s="1"/>
  <c r="N539" i="5"/>
  <c r="O539" i="5"/>
  <c r="P539" i="5"/>
  <c r="Q539" i="5"/>
  <c r="R539" i="5"/>
  <c r="S539" i="5"/>
  <c r="T539" i="5"/>
  <c r="U539" i="5"/>
  <c r="V539" i="5"/>
  <c r="W539" i="5"/>
  <c r="X539" i="5"/>
  <c r="AB539" i="5"/>
  <c r="B540" i="5"/>
  <c r="C540" i="5"/>
  <c r="D540" i="5"/>
  <c r="E540" i="5"/>
  <c r="F540" i="5"/>
  <c r="G540" i="5"/>
  <c r="H540" i="5"/>
  <c r="I540" i="5"/>
  <c r="J540" i="5"/>
  <c r="K540" i="5"/>
  <c r="L540" i="5"/>
  <c r="M540" i="5"/>
  <c r="N540" i="5"/>
  <c r="O540" i="5"/>
  <c r="P540" i="5"/>
  <c r="Q540" i="5"/>
  <c r="R540" i="5"/>
  <c r="S540" i="5"/>
  <c r="T540" i="5"/>
  <c r="U540" i="5"/>
  <c r="V540" i="5"/>
  <c r="W540" i="5"/>
  <c r="X540" i="5"/>
  <c r="AC540" i="5"/>
  <c r="B541" i="5"/>
  <c r="C541" i="5"/>
  <c r="D541" i="5"/>
  <c r="E541" i="5"/>
  <c r="F541" i="5"/>
  <c r="G541" i="5"/>
  <c r="H541" i="5"/>
  <c r="I541" i="5"/>
  <c r="J541" i="5"/>
  <c r="K541" i="5"/>
  <c r="L541" i="5"/>
  <c r="M541" i="5"/>
  <c r="AC541" i="5" s="1"/>
  <c r="N541" i="5"/>
  <c r="O541" i="5"/>
  <c r="P541" i="5"/>
  <c r="Q541" i="5"/>
  <c r="Q646" i="5" s="1"/>
  <c r="R541" i="5"/>
  <c r="S541" i="5"/>
  <c r="T541" i="5"/>
  <c r="U541" i="5"/>
  <c r="U646" i="5" s="1"/>
  <c r="V541" i="5"/>
  <c r="W541" i="5"/>
  <c r="X541" i="5"/>
  <c r="AB541" i="5"/>
  <c r="B542" i="5"/>
  <c r="C542" i="5"/>
  <c r="D542" i="5"/>
  <c r="E542" i="5"/>
  <c r="E646" i="5" s="1"/>
  <c r="F542" i="5"/>
  <c r="G542" i="5"/>
  <c r="H542" i="5"/>
  <c r="I542" i="5"/>
  <c r="I646" i="5" s="1"/>
  <c r="J542" i="5"/>
  <c r="K542" i="5"/>
  <c r="L542" i="5"/>
  <c r="M542" i="5"/>
  <c r="M646" i="5" s="1"/>
  <c r="N542" i="5"/>
  <c r="O542" i="5"/>
  <c r="P542" i="5"/>
  <c r="Q542" i="5"/>
  <c r="R542" i="5"/>
  <c r="S542" i="5"/>
  <c r="T542" i="5"/>
  <c r="U542" i="5"/>
  <c r="V542" i="5"/>
  <c r="W542" i="5"/>
  <c r="X542" i="5"/>
  <c r="AC542" i="5"/>
  <c r="B543" i="5"/>
  <c r="C543" i="5"/>
  <c r="D543" i="5"/>
  <c r="E543" i="5"/>
  <c r="F543" i="5"/>
  <c r="G543" i="5"/>
  <c r="H543" i="5"/>
  <c r="I543" i="5"/>
  <c r="J543" i="5"/>
  <c r="K543" i="5"/>
  <c r="L543" i="5"/>
  <c r="M543" i="5"/>
  <c r="AC543" i="5" s="1"/>
  <c r="N543" i="5"/>
  <c r="O543" i="5"/>
  <c r="P543" i="5"/>
  <c r="Q543" i="5"/>
  <c r="R543" i="5"/>
  <c r="S543" i="5"/>
  <c r="T543" i="5"/>
  <c r="U543" i="5"/>
  <c r="V543" i="5"/>
  <c r="W543" i="5"/>
  <c r="X543" i="5"/>
  <c r="AB543" i="5"/>
  <c r="B544" i="5"/>
  <c r="C544" i="5"/>
  <c r="D544" i="5"/>
  <c r="E544" i="5"/>
  <c r="F544" i="5"/>
  <c r="G544" i="5"/>
  <c r="H544" i="5"/>
  <c r="I544" i="5"/>
  <c r="J544" i="5"/>
  <c r="K544" i="5"/>
  <c r="L544" i="5"/>
  <c r="M544" i="5"/>
  <c r="N544" i="5"/>
  <c r="O544" i="5"/>
  <c r="P544" i="5"/>
  <c r="Q544" i="5"/>
  <c r="R544" i="5"/>
  <c r="S544" i="5"/>
  <c r="T544" i="5"/>
  <c r="U544" i="5"/>
  <c r="V544" i="5"/>
  <c r="W544" i="5"/>
  <c r="X544" i="5"/>
  <c r="AC544" i="5"/>
  <c r="B545" i="5"/>
  <c r="C545" i="5"/>
  <c r="D545" i="5"/>
  <c r="E545" i="5"/>
  <c r="F545" i="5"/>
  <c r="G545" i="5"/>
  <c r="H545" i="5"/>
  <c r="I545" i="5"/>
  <c r="J545" i="5"/>
  <c r="K545" i="5"/>
  <c r="L545" i="5"/>
  <c r="M545" i="5"/>
  <c r="AC545" i="5" s="1"/>
  <c r="N545" i="5"/>
  <c r="O545" i="5"/>
  <c r="P545" i="5"/>
  <c r="Q545" i="5"/>
  <c r="R545" i="5"/>
  <c r="S545" i="5"/>
  <c r="T545" i="5"/>
  <c r="U545" i="5"/>
  <c r="V545" i="5"/>
  <c r="W545" i="5"/>
  <c r="X545" i="5"/>
  <c r="AB545" i="5"/>
  <c r="B546" i="5"/>
  <c r="C546" i="5"/>
  <c r="D546" i="5"/>
  <c r="E546" i="5"/>
  <c r="F546" i="5"/>
  <c r="G546" i="5"/>
  <c r="H546" i="5"/>
  <c r="I546" i="5"/>
  <c r="J546" i="5"/>
  <c r="K546" i="5"/>
  <c r="L546" i="5"/>
  <c r="M546" i="5"/>
  <c r="N546" i="5"/>
  <c r="O546" i="5"/>
  <c r="P546" i="5"/>
  <c r="Q546" i="5"/>
  <c r="R546" i="5"/>
  <c r="S546" i="5"/>
  <c r="T546" i="5"/>
  <c r="U546" i="5"/>
  <c r="V546" i="5"/>
  <c r="W546" i="5"/>
  <c r="X546" i="5"/>
  <c r="AC546" i="5"/>
  <c r="B547" i="5"/>
  <c r="C547" i="5"/>
  <c r="D547" i="5"/>
  <c r="E547" i="5"/>
  <c r="F547" i="5"/>
  <c r="G547" i="5"/>
  <c r="H547" i="5"/>
  <c r="I547" i="5"/>
  <c r="J547" i="5"/>
  <c r="K547" i="5"/>
  <c r="L547" i="5"/>
  <c r="M547" i="5"/>
  <c r="AC547" i="5" s="1"/>
  <c r="N547" i="5"/>
  <c r="O547" i="5"/>
  <c r="P547" i="5"/>
  <c r="Q547" i="5"/>
  <c r="R547" i="5"/>
  <c r="S547" i="5"/>
  <c r="T547" i="5"/>
  <c r="U547" i="5"/>
  <c r="V547" i="5"/>
  <c r="W547" i="5"/>
  <c r="X547" i="5"/>
  <c r="AB547" i="5"/>
  <c r="B548" i="5"/>
  <c r="C548" i="5"/>
  <c r="D548" i="5"/>
  <c r="E548" i="5"/>
  <c r="F548" i="5"/>
  <c r="G548" i="5"/>
  <c r="H548" i="5"/>
  <c r="I548" i="5"/>
  <c r="J548" i="5"/>
  <c r="K548" i="5"/>
  <c r="L548" i="5"/>
  <c r="M548" i="5"/>
  <c r="N548" i="5"/>
  <c r="O548" i="5"/>
  <c r="P548" i="5"/>
  <c r="Q548" i="5"/>
  <c r="R548" i="5"/>
  <c r="S548" i="5"/>
  <c r="T548" i="5"/>
  <c r="U548" i="5"/>
  <c r="V548" i="5"/>
  <c r="W548" i="5"/>
  <c r="X548" i="5"/>
  <c r="AC548" i="5"/>
  <c r="B549" i="5"/>
  <c r="C549" i="5"/>
  <c r="D549" i="5"/>
  <c r="E549" i="5"/>
  <c r="F549" i="5"/>
  <c r="G549" i="5"/>
  <c r="H549" i="5"/>
  <c r="I549" i="5"/>
  <c r="J549" i="5"/>
  <c r="K549" i="5"/>
  <c r="L549" i="5"/>
  <c r="M549" i="5"/>
  <c r="AC549" i="5" s="1"/>
  <c r="N549" i="5"/>
  <c r="O549" i="5"/>
  <c r="P549" i="5"/>
  <c r="Q549" i="5"/>
  <c r="R549" i="5"/>
  <c r="S549" i="5"/>
  <c r="T549" i="5"/>
  <c r="U549" i="5"/>
  <c r="V549" i="5"/>
  <c r="W549" i="5"/>
  <c r="X549" i="5"/>
  <c r="AB549" i="5"/>
  <c r="B550" i="5"/>
  <c r="C550" i="5"/>
  <c r="D550" i="5"/>
  <c r="E550" i="5"/>
  <c r="F550" i="5"/>
  <c r="G550" i="5"/>
  <c r="H550" i="5"/>
  <c r="I550" i="5"/>
  <c r="J550" i="5"/>
  <c r="K550" i="5"/>
  <c r="L550" i="5"/>
  <c r="M550" i="5"/>
  <c r="N550" i="5"/>
  <c r="O550" i="5"/>
  <c r="P550" i="5"/>
  <c r="Q550" i="5"/>
  <c r="R550" i="5"/>
  <c r="S550" i="5"/>
  <c r="T550" i="5"/>
  <c r="U550" i="5"/>
  <c r="V550" i="5"/>
  <c r="W550" i="5"/>
  <c r="X550" i="5"/>
  <c r="AC550" i="5"/>
  <c r="B551" i="5"/>
  <c r="C551" i="5"/>
  <c r="D551" i="5"/>
  <c r="E551" i="5"/>
  <c r="F551" i="5"/>
  <c r="G551" i="5"/>
  <c r="H551" i="5"/>
  <c r="I551" i="5"/>
  <c r="J551" i="5"/>
  <c r="K551" i="5"/>
  <c r="L551" i="5"/>
  <c r="M551" i="5"/>
  <c r="AC551" i="5" s="1"/>
  <c r="N551" i="5"/>
  <c r="O551" i="5"/>
  <c r="P551" i="5"/>
  <c r="Q551" i="5"/>
  <c r="R551" i="5"/>
  <c r="S551" i="5"/>
  <c r="T551" i="5"/>
  <c r="U551" i="5"/>
  <c r="V551" i="5"/>
  <c r="W551" i="5"/>
  <c r="X551" i="5"/>
  <c r="AB551" i="5"/>
  <c r="B552" i="5"/>
  <c r="C552" i="5"/>
  <c r="D552" i="5"/>
  <c r="E552" i="5"/>
  <c r="F552" i="5"/>
  <c r="G552" i="5"/>
  <c r="H552" i="5"/>
  <c r="I552" i="5"/>
  <c r="J552" i="5"/>
  <c r="K552" i="5"/>
  <c r="L552" i="5"/>
  <c r="M552" i="5"/>
  <c r="N552" i="5"/>
  <c r="O552" i="5"/>
  <c r="P552" i="5"/>
  <c r="Q552" i="5"/>
  <c r="R552" i="5"/>
  <c r="S552" i="5"/>
  <c r="T552" i="5"/>
  <c r="U552" i="5"/>
  <c r="V552" i="5"/>
  <c r="W552" i="5"/>
  <c r="X552" i="5"/>
  <c r="AC552" i="5"/>
  <c r="B553" i="5"/>
  <c r="C553" i="5"/>
  <c r="D553" i="5"/>
  <c r="E553" i="5"/>
  <c r="E647" i="5" s="1"/>
  <c r="F553" i="5"/>
  <c r="G553" i="5"/>
  <c r="H553" i="5"/>
  <c r="I553" i="5"/>
  <c r="I647" i="5" s="1"/>
  <c r="J553" i="5"/>
  <c r="K553" i="5"/>
  <c r="L553" i="5"/>
  <c r="M553" i="5"/>
  <c r="AC553" i="5" s="1"/>
  <c r="N553" i="5"/>
  <c r="O553" i="5"/>
  <c r="P553" i="5"/>
  <c r="Q553" i="5"/>
  <c r="Q647" i="5" s="1"/>
  <c r="R553" i="5"/>
  <c r="S553" i="5"/>
  <c r="T553" i="5"/>
  <c r="U553" i="5"/>
  <c r="U647" i="5" s="1"/>
  <c r="V553" i="5"/>
  <c r="W553" i="5"/>
  <c r="X553" i="5"/>
  <c r="AB553" i="5"/>
  <c r="B554" i="5"/>
  <c r="C554" i="5"/>
  <c r="D554" i="5"/>
  <c r="E554" i="5"/>
  <c r="F554" i="5"/>
  <c r="G554" i="5"/>
  <c r="H554" i="5"/>
  <c r="I554" i="5"/>
  <c r="J554" i="5"/>
  <c r="K554" i="5"/>
  <c r="L554" i="5"/>
  <c r="M554" i="5"/>
  <c r="N554" i="5"/>
  <c r="O554" i="5"/>
  <c r="P554" i="5"/>
  <c r="Q554" i="5"/>
  <c r="R554" i="5"/>
  <c r="S554" i="5"/>
  <c r="T554" i="5"/>
  <c r="U554" i="5"/>
  <c r="V554" i="5"/>
  <c r="W554" i="5"/>
  <c r="X554" i="5"/>
  <c r="AC554" i="5"/>
  <c r="B555" i="5"/>
  <c r="C555" i="5"/>
  <c r="D555" i="5"/>
  <c r="E555" i="5"/>
  <c r="F555" i="5"/>
  <c r="G555" i="5"/>
  <c r="H555" i="5"/>
  <c r="I555" i="5"/>
  <c r="J555" i="5"/>
  <c r="K555" i="5"/>
  <c r="L555" i="5"/>
  <c r="M555" i="5"/>
  <c r="AC555" i="5" s="1"/>
  <c r="N555" i="5"/>
  <c r="O555" i="5"/>
  <c r="P555" i="5"/>
  <c r="Q555" i="5"/>
  <c r="R555" i="5"/>
  <c r="S555" i="5"/>
  <c r="T555" i="5"/>
  <c r="U555" i="5"/>
  <c r="V555" i="5"/>
  <c r="W555" i="5"/>
  <c r="X555" i="5"/>
  <c r="AB555" i="5"/>
  <c r="B556" i="5"/>
  <c r="C556" i="5"/>
  <c r="D556" i="5"/>
  <c r="E556" i="5"/>
  <c r="F556" i="5"/>
  <c r="G556" i="5"/>
  <c r="H556" i="5"/>
  <c r="I556" i="5"/>
  <c r="J556" i="5"/>
  <c r="K556" i="5"/>
  <c r="L556" i="5"/>
  <c r="M556" i="5"/>
  <c r="N556" i="5"/>
  <c r="O556" i="5"/>
  <c r="P556" i="5"/>
  <c r="Q556" i="5"/>
  <c r="R556" i="5"/>
  <c r="S556" i="5"/>
  <c r="T556" i="5"/>
  <c r="U556" i="5"/>
  <c r="V556" i="5"/>
  <c r="W556" i="5"/>
  <c r="X556" i="5"/>
  <c r="AC556" i="5"/>
  <c r="B557" i="5"/>
  <c r="C557" i="5"/>
  <c r="D557" i="5"/>
  <c r="E557" i="5"/>
  <c r="F557" i="5"/>
  <c r="G557" i="5"/>
  <c r="H557" i="5"/>
  <c r="I557" i="5"/>
  <c r="J557" i="5"/>
  <c r="K557" i="5"/>
  <c r="L557" i="5"/>
  <c r="M557" i="5"/>
  <c r="AC557" i="5" s="1"/>
  <c r="N557" i="5"/>
  <c r="O557" i="5"/>
  <c r="P557" i="5"/>
  <c r="Q557" i="5"/>
  <c r="R557" i="5"/>
  <c r="S557" i="5"/>
  <c r="T557" i="5"/>
  <c r="U557" i="5"/>
  <c r="V557" i="5"/>
  <c r="W557" i="5"/>
  <c r="X557" i="5"/>
  <c r="AB557" i="5"/>
  <c r="B558" i="5"/>
  <c r="C558" i="5"/>
  <c r="D558" i="5"/>
  <c r="E558" i="5"/>
  <c r="F558" i="5"/>
  <c r="G558" i="5"/>
  <c r="H558" i="5"/>
  <c r="I558" i="5"/>
  <c r="J558" i="5"/>
  <c r="K558" i="5"/>
  <c r="L558" i="5"/>
  <c r="M558" i="5"/>
  <c r="N558" i="5"/>
  <c r="O558" i="5"/>
  <c r="P558" i="5"/>
  <c r="Q558" i="5"/>
  <c r="R558" i="5"/>
  <c r="S558" i="5"/>
  <c r="T558" i="5"/>
  <c r="U558" i="5"/>
  <c r="V558" i="5"/>
  <c r="W558" i="5"/>
  <c r="X558" i="5"/>
  <c r="AC558" i="5"/>
  <c r="B559" i="5"/>
  <c r="C559" i="5"/>
  <c r="D559" i="5"/>
  <c r="E559" i="5"/>
  <c r="F559" i="5"/>
  <c r="G559" i="5"/>
  <c r="H559" i="5"/>
  <c r="I559" i="5"/>
  <c r="J559" i="5"/>
  <c r="K559" i="5"/>
  <c r="L559" i="5"/>
  <c r="M559" i="5"/>
  <c r="AC559" i="5" s="1"/>
  <c r="N559" i="5"/>
  <c r="O559" i="5"/>
  <c r="P559" i="5"/>
  <c r="Q559" i="5"/>
  <c r="R559" i="5"/>
  <c r="S559" i="5"/>
  <c r="T559" i="5"/>
  <c r="U559" i="5"/>
  <c r="V559" i="5"/>
  <c r="W559" i="5"/>
  <c r="X559" i="5"/>
  <c r="AB559" i="5"/>
  <c r="B560" i="5"/>
  <c r="C560" i="5"/>
  <c r="D560" i="5"/>
  <c r="E560" i="5"/>
  <c r="F560" i="5"/>
  <c r="G560" i="5"/>
  <c r="H560" i="5"/>
  <c r="I560" i="5"/>
  <c r="J560" i="5"/>
  <c r="K560" i="5"/>
  <c r="L560" i="5"/>
  <c r="M560" i="5"/>
  <c r="N560" i="5"/>
  <c r="O560" i="5"/>
  <c r="P560" i="5"/>
  <c r="Q560" i="5"/>
  <c r="R560" i="5"/>
  <c r="S560" i="5"/>
  <c r="T560" i="5"/>
  <c r="U560" i="5"/>
  <c r="V560" i="5"/>
  <c r="W560" i="5"/>
  <c r="X560" i="5"/>
  <c r="AC560" i="5"/>
  <c r="B561" i="5"/>
  <c r="C561" i="5"/>
  <c r="D561" i="5"/>
  <c r="E561" i="5"/>
  <c r="F561" i="5"/>
  <c r="G561" i="5"/>
  <c r="H561" i="5"/>
  <c r="I561" i="5"/>
  <c r="J561" i="5"/>
  <c r="K561" i="5"/>
  <c r="L561" i="5"/>
  <c r="M561" i="5"/>
  <c r="AC561" i="5" s="1"/>
  <c r="N561" i="5"/>
  <c r="O561" i="5"/>
  <c r="P561" i="5"/>
  <c r="Q561" i="5"/>
  <c r="R561" i="5"/>
  <c r="S561" i="5"/>
  <c r="T561" i="5"/>
  <c r="U561" i="5"/>
  <c r="V561" i="5"/>
  <c r="W561" i="5"/>
  <c r="X561" i="5"/>
  <c r="AB561" i="5"/>
  <c r="B562" i="5"/>
  <c r="C562" i="5"/>
  <c r="D562" i="5"/>
  <c r="E562" i="5"/>
  <c r="F562" i="5"/>
  <c r="G562" i="5"/>
  <c r="H562" i="5"/>
  <c r="I562" i="5"/>
  <c r="J562" i="5"/>
  <c r="K562" i="5"/>
  <c r="L562" i="5"/>
  <c r="M562" i="5"/>
  <c r="N562" i="5"/>
  <c r="O562" i="5"/>
  <c r="P562" i="5"/>
  <c r="Q562" i="5"/>
  <c r="R562" i="5"/>
  <c r="S562" i="5"/>
  <c r="T562" i="5"/>
  <c r="U562" i="5"/>
  <c r="V562" i="5"/>
  <c r="W562" i="5"/>
  <c r="X562" i="5"/>
  <c r="AC562" i="5"/>
  <c r="B563" i="5"/>
  <c r="C563" i="5"/>
  <c r="D563" i="5"/>
  <c r="E563" i="5"/>
  <c r="F563" i="5"/>
  <c r="G563" i="5"/>
  <c r="H563" i="5"/>
  <c r="I563" i="5"/>
  <c r="J563" i="5"/>
  <c r="K563" i="5"/>
  <c r="L563" i="5"/>
  <c r="M563" i="5"/>
  <c r="AC563" i="5" s="1"/>
  <c r="N563" i="5"/>
  <c r="O563" i="5"/>
  <c r="P563" i="5"/>
  <c r="Q563" i="5"/>
  <c r="R563" i="5"/>
  <c r="S563" i="5"/>
  <c r="T563" i="5"/>
  <c r="U563" i="5"/>
  <c r="V563" i="5"/>
  <c r="W563" i="5"/>
  <c r="X563" i="5"/>
  <c r="AB563" i="5"/>
  <c r="B564" i="5"/>
  <c r="C564" i="5"/>
  <c r="D564" i="5"/>
  <c r="E564" i="5"/>
  <c r="F564" i="5"/>
  <c r="G564" i="5"/>
  <c r="H564" i="5"/>
  <c r="I564" i="5"/>
  <c r="J564" i="5"/>
  <c r="K564" i="5"/>
  <c r="L564" i="5"/>
  <c r="M564" i="5"/>
  <c r="N564" i="5"/>
  <c r="O564" i="5"/>
  <c r="P564" i="5"/>
  <c r="Q564" i="5"/>
  <c r="R564" i="5"/>
  <c r="S564" i="5"/>
  <c r="T564" i="5"/>
  <c r="U564" i="5"/>
  <c r="V564" i="5"/>
  <c r="W564" i="5"/>
  <c r="X564" i="5"/>
  <c r="AC564" i="5"/>
  <c r="B565" i="5"/>
  <c r="C565" i="5"/>
  <c r="D565" i="5"/>
  <c r="E565" i="5"/>
  <c r="E648" i="5" s="1"/>
  <c r="F565" i="5"/>
  <c r="G565" i="5"/>
  <c r="H565" i="5"/>
  <c r="I565" i="5"/>
  <c r="I648" i="5" s="1"/>
  <c r="J565" i="5"/>
  <c r="K565" i="5"/>
  <c r="L565" i="5"/>
  <c r="M565" i="5"/>
  <c r="AC565" i="5" s="1"/>
  <c r="N565" i="5"/>
  <c r="O565" i="5"/>
  <c r="P565" i="5"/>
  <c r="Q565" i="5"/>
  <c r="Q648" i="5" s="1"/>
  <c r="R565" i="5"/>
  <c r="S565" i="5"/>
  <c r="T565" i="5"/>
  <c r="U565" i="5"/>
  <c r="U648" i="5" s="1"/>
  <c r="V565" i="5"/>
  <c r="W565" i="5"/>
  <c r="X565" i="5"/>
  <c r="AB565" i="5"/>
  <c r="B566" i="5"/>
  <c r="C566" i="5"/>
  <c r="D566" i="5"/>
  <c r="E566" i="5"/>
  <c r="F566" i="5"/>
  <c r="G566" i="5"/>
  <c r="H566" i="5"/>
  <c r="I566" i="5"/>
  <c r="J566" i="5"/>
  <c r="K566" i="5"/>
  <c r="L566" i="5"/>
  <c r="M566" i="5"/>
  <c r="N566" i="5"/>
  <c r="O566" i="5"/>
  <c r="P566" i="5"/>
  <c r="Q566" i="5"/>
  <c r="R566" i="5"/>
  <c r="S566" i="5"/>
  <c r="T566" i="5"/>
  <c r="U566" i="5"/>
  <c r="V566" i="5"/>
  <c r="W566" i="5"/>
  <c r="X566" i="5"/>
  <c r="AC566" i="5"/>
  <c r="B567" i="5"/>
  <c r="C567" i="5"/>
  <c r="D567" i="5"/>
  <c r="E567" i="5"/>
  <c r="F567" i="5"/>
  <c r="G567" i="5"/>
  <c r="H567" i="5"/>
  <c r="I567" i="5"/>
  <c r="J567" i="5"/>
  <c r="K567" i="5"/>
  <c r="L567" i="5"/>
  <c r="M567" i="5"/>
  <c r="AC567" i="5" s="1"/>
  <c r="N567" i="5"/>
  <c r="O567" i="5"/>
  <c r="P567" i="5"/>
  <c r="Q567" i="5"/>
  <c r="R567" i="5"/>
  <c r="S567" i="5"/>
  <c r="T567" i="5"/>
  <c r="U567" i="5"/>
  <c r="V567" i="5"/>
  <c r="W567" i="5"/>
  <c r="X567" i="5"/>
  <c r="AB567" i="5"/>
  <c r="B568" i="5"/>
  <c r="C568" i="5"/>
  <c r="D568" i="5"/>
  <c r="E568" i="5"/>
  <c r="F568" i="5"/>
  <c r="G568" i="5"/>
  <c r="H568" i="5"/>
  <c r="I568" i="5"/>
  <c r="J568" i="5"/>
  <c r="K568" i="5"/>
  <c r="L568" i="5"/>
  <c r="M568" i="5"/>
  <c r="N568" i="5"/>
  <c r="O568" i="5"/>
  <c r="P568" i="5"/>
  <c r="Q568" i="5"/>
  <c r="R568" i="5"/>
  <c r="S568" i="5"/>
  <c r="T568" i="5"/>
  <c r="U568" i="5"/>
  <c r="V568" i="5"/>
  <c r="W568" i="5"/>
  <c r="X568" i="5"/>
  <c r="AC568" i="5"/>
  <c r="B569" i="5"/>
  <c r="C569" i="5"/>
  <c r="D569" i="5"/>
  <c r="E569" i="5"/>
  <c r="F569" i="5"/>
  <c r="G569" i="5"/>
  <c r="H569" i="5"/>
  <c r="I569" i="5"/>
  <c r="J569" i="5"/>
  <c r="K569" i="5"/>
  <c r="L569" i="5"/>
  <c r="M569" i="5"/>
  <c r="AC569" i="5" s="1"/>
  <c r="N569" i="5"/>
  <c r="O569" i="5"/>
  <c r="P569" i="5"/>
  <c r="Q569" i="5"/>
  <c r="R569" i="5"/>
  <c r="S569" i="5"/>
  <c r="T569" i="5"/>
  <c r="U569" i="5"/>
  <c r="V569" i="5"/>
  <c r="W569" i="5"/>
  <c r="X569" i="5"/>
  <c r="AB569" i="5"/>
  <c r="B570" i="5"/>
  <c r="C570" i="5"/>
  <c r="D570" i="5"/>
  <c r="E570" i="5"/>
  <c r="F570" i="5"/>
  <c r="G570" i="5"/>
  <c r="H570" i="5"/>
  <c r="I570" i="5"/>
  <c r="J570" i="5"/>
  <c r="K570" i="5"/>
  <c r="L570" i="5"/>
  <c r="M570" i="5"/>
  <c r="N570" i="5"/>
  <c r="O570" i="5"/>
  <c r="P570" i="5"/>
  <c r="Q570" i="5"/>
  <c r="R570" i="5"/>
  <c r="S570" i="5"/>
  <c r="T570" i="5"/>
  <c r="U570" i="5"/>
  <c r="V570" i="5"/>
  <c r="W570" i="5"/>
  <c r="X570" i="5"/>
  <c r="AC570" i="5"/>
  <c r="B571" i="5"/>
  <c r="C571" i="5"/>
  <c r="D571" i="5"/>
  <c r="E571" i="5"/>
  <c r="F571" i="5"/>
  <c r="G571" i="5"/>
  <c r="H571" i="5"/>
  <c r="I571" i="5"/>
  <c r="J571" i="5"/>
  <c r="K571" i="5"/>
  <c r="L571" i="5"/>
  <c r="M571" i="5"/>
  <c r="AC571" i="5" s="1"/>
  <c r="N571" i="5"/>
  <c r="O571" i="5"/>
  <c r="P571" i="5"/>
  <c r="Q571" i="5"/>
  <c r="R571" i="5"/>
  <c r="S571" i="5"/>
  <c r="T571" i="5"/>
  <c r="U571" i="5"/>
  <c r="V571" i="5"/>
  <c r="W571" i="5"/>
  <c r="X571" i="5"/>
  <c r="AB571" i="5"/>
  <c r="B572" i="5"/>
  <c r="C572" i="5"/>
  <c r="D572" i="5"/>
  <c r="E572" i="5"/>
  <c r="F572" i="5"/>
  <c r="G572" i="5"/>
  <c r="H572" i="5"/>
  <c r="I572" i="5"/>
  <c r="J572" i="5"/>
  <c r="K572" i="5"/>
  <c r="L572" i="5"/>
  <c r="M572" i="5"/>
  <c r="N572" i="5"/>
  <c r="O572" i="5"/>
  <c r="P572" i="5"/>
  <c r="Q572" i="5"/>
  <c r="R572" i="5"/>
  <c r="S572" i="5"/>
  <c r="T572" i="5"/>
  <c r="U572" i="5"/>
  <c r="V572" i="5"/>
  <c r="W572" i="5"/>
  <c r="X572" i="5"/>
  <c r="AC572" i="5"/>
  <c r="B573" i="5"/>
  <c r="C573" i="5"/>
  <c r="D573" i="5"/>
  <c r="E573" i="5"/>
  <c r="F573" i="5"/>
  <c r="G573" i="5"/>
  <c r="H573" i="5"/>
  <c r="I573" i="5"/>
  <c r="J573" i="5"/>
  <c r="K573" i="5"/>
  <c r="L573" i="5"/>
  <c r="M573" i="5"/>
  <c r="AC573" i="5" s="1"/>
  <c r="N573" i="5"/>
  <c r="O573" i="5"/>
  <c r="P573" i="5"/>
  <c r="Q573" i="5"/>
  <c r="R573" i="5"/>
  <c r="S573" i="5"/>
  <c r="T573" i="5"/>
  <c r="U573" i="5"/>
  <c r="V573" i="5"/>
  <c r="W573" i="5"/>
  <c r="X573" i="5"/>
  <c r="AB573" i="5"/>
  <c r="B574" i="5"/>
  <c r="C574" i="5"/>
  <c r="D574" i="5"/>
  <c r="E574" i="5"/>
  <c r="F574" i="5"/>
  <c r="G574" i="5"/>
  <c r="H574" i="5"/>
  <c r="I574" i="5"/>
  <c r="J574" i="5"/>
  <c r="K574" i="5"/>
  <c r="L574" i="5"/>
  <c r="M574" i="5"/>
  <c r="N574" i="5"/>
  <c r="O574" i="5"/>
  <c r="P574" i="5"/>
  <c r="Q574" i="5"/>
  <c r="R574" i="5"/>
  <c r="S574" i="5"/>
  <c r="T574" i="5"/>
  <c r="U574" i="5"/>
  <c r="V574" i="5"/>
  <c r="W574" i="5"/>
  <c r="X574" i="5"/>
  <c r="AC574" i="5"/>
  <c r="B575" i="5"/>
  <c r="C575" i="5"/>
  <c r="D575" i="5"/>
  <c r="E575" i="5"/>
  <c r="F575" i="5"/>
  <c r="G575" i="5"/>
  <c r="H575" i="5"/>
  <c r="I575" i="5"/>
  <c r="J575" i="5"/>
  <c r="K575" i="5"/>
  <c r="L575" i="5"/>
  <c r="M575" i="5"/>
  <c r="AC575" i="5" s="1"/>
  <c r="N575" i="5"/>
  <c r="O575" i="5"/>
  <c r="P575" i="5"/>
  <c r="Q575" i="5"/>
  <c r="R575" i="5"/>
  <c r="S575" i="5"/>
  <c r="T575" i="5"/>
  <c r="U575" i="5"/>
  <c r="V575" i="5"/>
  <c r="W575" i="5"/>
  <c r="X575" i="5"/>
  <c r="AB575" i="5"/>
  <c r="B576" i="5"/>
  <c r="C576" i="5"/>
  <c r="D576" i="5"/>
  <c r="E576" i="5"/>
  <c r="F576" i="5"/>
  <c r="G576" i="5"/>
  <c r="H576" i="5"/>
  <c r="I576" i="5"/>
  <c r="J576" i="5"/>
  <c r="K576" i="5"/>
  <c r="L576" i="5"/>
  <c r="M576" i="5"/>
  <c r="N576" i="5"/>
  <c r="O576" i="5"/>
  <c r="P576" i="5"/>
  <c r="Q576" i="5"/>
  <c r="R576" i="5"/>
  <c r="S576" i="5"/>
  <c r="T576" i="5"/>
  <c r="U576" i="5"/>
  <c r="V576" i="5"/>
  <c r="W576" i="5"/>
  <c r="X576" i="5"/>
  <c r="AC576" i="5"/>
  <c r="B577" i="5"/>
  <c r="C577" i="5"/>
  <c r="D577" i="5"/>
  <c r="E577" i="5"/>
  <c r="E649" i="5" s="1"/>
  <c r="F577" i="5"/>
  <c r="G577" i="5"/>
  <c r="H577" i="5"/>
  <c r="I577" i="5"/>
  <c r="I649" i="5" s="1"/>
  <c r="J577" i="5"/>
  <c r="K577" i="5"/>
  <c r="L577" i="5"/>
  <c r="M577" i="5"/>
  <c r="AC577" i="5" s="1"/>
  <c r="N577" i="5"/>
  <c r="O577" i="5"/>
  <c r="P577" i="5"/>
  <c r="Q577" i="5"/>
  <c r="Q649" i="5" s="1"/>
  <c r="R577" i="5"/>
  <c r="S577" i="5"/>
  <c r="T577" i="5"/>
  <c r="U577" i="5"/>
  <c r="U649" i="5" s="1"/>
  <c r="V577" i="5"/>
  <c r="W577" i="5"/>
  <c r="X577" i="5"/>
  <c r="AB577" i="5"/>
  <c r="B578" i="5"/>
  <c r="C578" i="5"/>
  <c r="D578" i="5"/>
  <c r="E578" i="5"/>
  <c r="F578" i="5"/>
  <c r="G578" i="5"/>
  <c r="H578" i="5"/>
  <c r="I578" i="5"/>
  <c r="J578" i="5"/>
  <c r="K578" i="5"/>
  <c r="L578" i="5"/>
  <c r="M578" i="5"/>
  <c r="N578" i="5"/>
  <c r="O578" i="5"/>
  <c r="P578" i="5"/>
  <c r="Q578" i="5"/>
  <c r="R578" i="5"/>
  <c r="S578" i="5"/>
  <c r="T578" i="5"/>
  <c r="U578" i="5"/>
  <c r="V578" i="5"/>
  <c r="W578" i="5"/>
  <c r="X578" i="5"/>
  <c r="AC578" i="5"/>
  <c r="B579" i="5"/>
  <c r="C579" i="5"/>
  <c r="D579" i="5"/>
  <c r="E579" i="5"/>
  <c r="F579" i="5"/>
  <c r="G579" i="5"/>
  <c r="H579" i="5"/>
  <c r="I579" i="5"/>
  <c r="J579" i="5"/>
  <c r="K579" i="5"/>
  <c r="L579" i="5"/>
  <c r="M579" i="5"/>
  <c r="AC579" i="5" s="1"/>
  <c r="N579" i="5"/>
  <c r="O579" i="5"/>
  <c r="P579" i="5"/>
  <c r="Q579" i="5"/>
  <c r="R579" i="5"/>
  <c r="S579" i="5"/>
  <c r="T579" i="5"/>
  <c r="U579" i="5"/>
  <c r="V579" i="5"/>
  <c r="W579" i="5"/>
  <c r="X579" i="5"/>
  <c r="AB579" i="5"/>
  <c r="B580" i="5"/>
  <c r="C580" i="5"/>
  <c r="D580" i="5"/>
  <c r="E580" i="5"/>
  <c r="F580" i="5"/>
  <c r="G580" i="5"/>
  <c r="H580" i="5"/>
  <c r="I580" i="5"/>
  <c r="J580" i="5"/>
  <c r="K580" i="5"/>
  <c r="L580" i="5"/>
  <c r="M580" i="5"/>
  <c r="N580" i="5"/>
  <c r="O580" i="5"/>
  <c r="P580" i="5"/>
  <c r="Q580" i="5"/>
  <c r="R580" i="5"/>
  <c r="S580" i="5"/>
  <c r="T580" i="5"/>
  <c r="U580" i="5"/>
  <c r="V580" i="5"/>
  <c r="W580" i="5"/>
  <c r="X580" i="5"/>
  <c r="AC580" i="5"/>
  <c r="B581" i="5"/>
  <c r="C581" i="5"/>
  <c r="D581" i="5"/>
  <c r="E581" i="5"/>
  <c r="F581" i="5"/>
  <c r="G581" i="5"/>
  <c r="H581" i="5"/>
  <c r="I581" i="5"/>
  <c r="J581" i="5"/>
  <c r="K581" i="5"/>
  <c r="L581" i="5"/>
  <c r="M581" i="5"/>
  <c r="AC581" i="5" s="1"/>
  <c r="N581" i="5"/>
  <c r="O581" i="5"/>
  <c r="P581" i="5"/>
  <c r="Q581" i="5"/>
  <c r="R581" i="5"/>
  <c r="S581" i="5"/>
  <c r="T581" i="5"/>
  <c r="U581" i="5"/>
  <c r="V581" i="5"/>
  <c r="W581" i="5"/>
  <c r="X581" i="5"/>
  <c r="AB581" i="5"/>
  <c r="B582" i="5"/>
  <c r="C582" i="5"/>
  <c r="D582" i="5"/>
  <c r="E582" i="5"/>
  <c r="F582" i="5"/>
  <c r="G582" i="5"/>
  <c r="H582" i="5"/>
  <c r="I582" i="5"/>
  <c r="J582" i="5"/>
  <c r="K582" i="5"/>
  <c r="L582" i="5"/>
  <c r="M582" i="5"/>
  <c r="N582" i="5"/>
  <c r="O582" i="5"/>
  <c r="P582" i="5"/>
  <c r="Q582" i="5"/>
  <c r="R582" i="5"/>
  <c r="S582" i="5"/>
  <c r="T582" i="5"/>
  <c r="U582" i="5"/>
  <c r="V582" i="5"/>
  <c r="W582" i="5"/>
  <c r="X582" i="5"/>
  <c r="AC582" i="5"/>
  <c r="B583" i="5"/>
  <c r="C583" i="5"/>
  <c r="D583" i="5"/>
  <c r="E583" i="5"/>
  <c r="F583" i="5"/>
  <c r="G583" i="5"/>
  <c r="H583" i="5"/>
  <c r="I583" i="5"/>
  <c r="J583" i="5"/>
  <c r="K583" i="5"/>
  <c r="L583" i="5"/>
  <c r="M583" i="5"/>
  <c r="AC583" i="5" s="1"/>
  <c r="N583" i="5"/>
  <c r="O583" i="5"/>
  <c r="P583" i="5"/>
  <c r="Q583" i="5"/>
  <c r="R583" i="5"/>
  <c r="S583" i="5"/>
  <c r="T583" i="5"/>
  <c r="U583" i="5"/>
  <c r="V583" i="5"/>
  <c r="W583" i="5"/>
  <c r="X583" i="5"/>
  <c r="AB583" i="5"/>
  <c r="B584" i="5"/>
  <c r="C584" i="5"/>
  <c r="D584" i="5"/>
  <c r="E584" i="5"/>
  <c r="F584" i="5"/>
  <c r="G584" i="5"/>
  <c r="H584" i="5"/>
  <c r="I584" i="5"/>
  <c r="J584" i="5"/>
  <c r="K584" i="5"/>
  <c r="L584" i="5"/>
  <c r="M584" i="5"/>
  <c r="N584" i="5"/>
  <c r="O584" i="5"/>
  <c r="P584" i="5"/>
  <c r="Q584" i="5"/>
  <c r="R584" i="5"/>
  <c r="S584" i="5"/>
  <c r="T584" i="5"/>
  <c r="U584" i="5"/>
  <c r="V584" i="5"/>
  <c r="W584" i="5"/>
  <c r="X584" i="5"/>
  <c r="AC584" i="5"/>
  <c r="B585" i="5"/>
  <c r="C585" i="5"/>
  <c r="D585" i="5"/>
  <c r="E585" i="5"/>
  <c r="F585" i="5"/>
  <c r="G585" i="5"/>
  <c r="H585" i="5"/>
  <c r="I585" i="5"/>
  <c r="J585" i="5"/>
  <c r="K585" i="5"/>
  <c r="L585" i="5"/>
  <c r="M585" i="5"/>
  <c r="AC585" i="5" s="1"/>
  <c r="N585" i="5"/>
  <c r="O585" i="5"/>
  <c r="P585" i="5"/>
  <c r="Q585" i="5"/>
  <c r="R585" i="5"/>
  <c r="S585" i="5"/>
  <c r="T585" i="5"/>
  <c r="U585" i="5"/>
  <c r="V585" i="5"/>
  <c r="W585" i="5"/>
  <c r="X585" i="5"/>
  <c r="AB585" i="5"/>
  <c r="B586" i="5"/>
  <c r="C586" i="5"/>
  <c r="D586" i="5"/>
  <c r="E586" i="5"/>
  <c r="F586" i="5"/>
  <c r="G586" i="5"/>
  <c r="H586" i="5"/>
  <c r="I586" i="5"/>
  <c r="J586" i="5"/>
  <c r="K586" i="5"/>
  <c r="L586" i="5"/>
  <c r="M586" i="5"/>
  <c r="N586" i="5"/>
  <c r="O586" i="5"/>
  <c r="P586" i="5"/>
  <c r="Q586" i="5"/>
  <c r="R586" i="5"/>
  <c r="S586" i="5"/>
  <c r="T586" i="5"/>
  <c r="U586" i="5"/>
  <c r="V586" i="5"/>
  <c r="W586" i="5"/>
  <c r="X586" i="5"/>
  <c r="AC586" i="5"/>
  <c r="B587" i="5"/>
  <c r="C587" i="5"/>
  <c r="D587" i="5"/>
  <c r="E587" i="5"/>
  <c r="F587" i="5"/>
  <c r="G587" i="5"/>
  <c r="H587" i="5"/>
  <c r="I587" i="5"/>
  <c r="J587" i="5"/>
  <c r="K587" i="5"/>
  <c r="L587" i="5"/>
  <c r="M587" i="5"/>
  <c r="AC587" i="5" s="1"/>
  <c r="N587" i="5"/>
  <c r="O587" i="5"/>
  <c r="P587" i="5"/>
  <c r="Q587" i="5"/>
  <c r="R587" i="5"/>
  <c r="S587" i="5"/>
  <c r="T587" i="5"/>
  <c r="U587" i="5"/>
  <c r="V587" i="5"/>
  <c r="W587" i="5"/>
  <c r="X587" i="5"/>
  <c r="AB587" i="5"/>
  <c r="B588" i="5"/>
  <c r="C588" i="5"/>
  <c r="D588" i="5"/>
  <c r="E588" i="5"/>
  <c r="F588" i="5"/>
  <c r="G588" i="5"/>
  <c r="H588" i="5"/>
  <c r="I588" i="5"/>
  <c r="J588" i="5"/>
  <c r="K588" i="5"/>
  <c r="L588" i="5"/>
  <c r="M588" i="5"/>
  <c r="N588" i="5"/>
  <c r="O588" i="5"/>
  <c r="P588" i="5"/>
  <c r="Q588" i="5"/>
  <c r="R588" i="5"/>
  <c r="S588" i="5"/>
  <c r="T588" i="5"/>
  <c r="U588" i="5"/>
  <c r="V588" i="5"/>
  <c r="W588" i="5"/>
  <c r="X588" i="5"/>
  <c r="AC588" i="5"/>
  <c r="B589" i="5"/>
  <c r="C589" i="5"/>
  <c r="D589" i="5"/>
  <c r="E589" i="5"/>
  <c r="E650" i="5" s="1"/>
  <c r="F589" i="5"/>
  <c r="G589" i="5"/>
  <c r="H589" i="5"/>
  <c r="I589" i="5"/>
  <c r="I650" i="5" s="1"/>
  <c r="J589" i="5"/>
  <c r="K589" i="5"/>
  <c r="L589" i="5"/>
  <c r="M589" i="5"/>
  <c r="AC589" i="5" s="1"/>
  <c r="N589" i="5"/>
  <c r="O589" i="5"/>
  <c r="P589" i="5"/>
  <c r="Q589" i="5"/>
  <c r="Q650" i="5" s="1"/>
  <c r="R589" i="5"/>
  <c r="S589" i="5"/>
  <c r="T589" i="5"/>
  <c r="U589" i="5"/>
  <c r="U650" i="5" s="1"/>
  <c r="V589" i="5"/>
  <c r="W589" i="5"/>
  <c r="X589" i="5"/>
  <c r="AB589" i="5"/>
  <c r="B590" i="5"/>
  <c r="C590" i="5"/>
  <c r="D590" i="5"/>
  <c r="E590" i="5"/>
  <c r="F590" i="5"/>
  <c r="G590" i="5"/>
  <c r="H590" i="5"/>
  <c r="I590" i="5"/>
  <c r="J590" i="5"/>
  <c r="K590" i="5"/>
  <c r="L590" i="5"/>
  <c r="M590" i="5"/>
  <c r="N590" i="5"/>
  <c r="O590" i="5"/>
  <c r="P590" i="5"/>
  <c r="Q590" i="5"/>
  <c r="R590" i="5"/>
  <c r="S590" i="5"/>
  <c r="T590" i="5"/>
  <c r="U590" i="5"/>
  <c r="V590" i="5"/>
  <c r="W590" i="5"/>
  <c r="X590" i="5"/>
  <c r="AC590" i="5"/>
  <c r="B591" i="5"/>
  <c r="C591" i="5"/>
  <c r="D591" i="5"/>
  <c r="E591" i="5"/>
  <c r="F591" i="5"/>
  <c r="G591" i="5"/>
  <c r="H591" i="5"/>
  <c r="I591" i="5"/>
  <c r="J591" i="5"/>
  <c r="K591" i="5"/>
  <c r="L591" i="5"/>
  <c r="M591" i="5"/>
  <c r="AC591" i="5" s="1"/>
  <c r="N591" i="5"/>
  <c r="O591" i="5"/>
  <c r="P591" i="5"/>
  <c r="Q591" i="5"/>
  <c r="R591" i="5"/>
  <c r="S591" i="5"/>
  <c r="T591" i="5"/>
  <c r="U591" i="5"/>
  <c r="V591" i="5"/>
  <c r="W591" i="5"/>
  <c r="X591" i="5"/>
  <c r="AB591" i="5"/>
  <c r="B592" i="5"/>
  <c r="C592" i="5"/>
  <c r="D592" i="5"/>
  <c r="E592" i="5"/>
  <c r="F592" i="5"/>
  <c r="G592" i="5"/>
  <c r="H592" i="5"/>
  <c r="I592" i="5"/>
  <c r="J592" i="5"/>
  <c r="K592" i="5"/>
  <c r="L592" i="5"/>
  <c r="M592" i="5"/>
  <c r="N592" i="5"/>
  <c r="O592" i="5"/>
  <c r="P592" i="5"/>
  <c r="Q592" i="5"/>
  <c r="R592" i="5"/>
  <c r="S592" i="5"/>
  <c r="T592" i="5"/>
  <c r="U592" i="5"/>
  <c r="V592" i="5"/>
  <c r="W592" i="5"/>
  <c r="X592" i="5"/>
  <c r="AC592" i="5"/>
  <c r="B593" i="5"/>
  <c r="C593" i="5"/>
  <c r="D593" i="5"/>
  <c r="E593" i="5"/>
  <c r="F593" i="5"/>
  <c r="G593" i="5"/>
  <c r="H593" i="5"/>
  <c r="I593" i="5"/>
  <c r="J593" i="5"/>
  <c r="K593" i="5"/>
  <c r="L593" i="5"/>
  <c r="M593" i="5"/>
  <c r="AC593" i="5" s="1"/>
  <c r="N593" i="5"/>
  <c r="O593" i="5"/>
  <c r="P593" i="5"/>
  <c r="Q593" i="5"/>
  <c r="R593" i="5"/>
  <c r="S593" i="5"/>
  <c r="T593" i="5"/>
  <c r="U593" i="5"/>
  <c r="V593" i="5"/>
  <c r="W593" i="5"/>
  <c r="X593" i="5"/>
  <c r="AB593" i="5"/>
  <c r="B594" i="5"/>
  <c r="C594" i="5"/>
  <c r="D594" i="5"/>
  <c r="E594" i="5"/>
  <c r="F594" i="5"/>
  <c r="G594" i="5"/>
  <c r="H594" i="5"/>
  <c r="I594" i="5"/>
  <c r="J594" i="5"/>
  <c r="K594" i="5"/>
  <c r="L594" i="5"/>
  <c r="M594" i="5"/>
  <c r="N594" i="5"/>
  <c r="O594" i="5"/>
  <c r="P594" i="5"/>
  <c r="Q594" i="5"/>
  <c r="R594" i="5"/>
  <c r="S594" i="5"/>
  <c r="T594" i="5"/>
  <c r="U594" i="5"/>
  <c r="V594" i="5"/>
  <c r="W594" i="5"/>
  <c r="X594" i="5"/>
  <c r="AC594" i="5"/>
  <c r="B595" i="5"/>
  <c r="C595" i="5"/>
  <c r="D595" i="5"/>
  <c r="E595" i="5"/>
  <c r="F595" i="5"/>
  <c r="G595" i="5"/>
  <c r="H595" i="5"/>
  <c r="I595" i="5"/>
  <c r="J595" i="5"/>
  <c r="K595" i="5"/>
  <c r="L595" i="5"/>
  <c r="M595" i="5"/>
  <c r="AC595" i="5" s="1"/>
  <c r="N595" i="5"/>
  <c r="O595" i="5"/>
  <c r="P595" i="5"/>
  <c r="Q595" i="5"/>
  <c r="R595" i="5"/>
  <c r="S595" i="5"/>
  <c r="T595" i="5"/>
  <c r="U595" i="5"/>
  <c r="V595" i="5"/>
  <c r="W595" i="5"/>
  <c r="X595" i="5"/>
  <c r="AB595" i="5"/>
  <c r="B596" i="5"/>
  <c r="C596" i="5"/>
  <c r="D596" i="5"/>
  <c r="E596" i="5"/>
  <c r="F596" i="5"/>
  <c r="G596" i="5"/>
  <c r="H596" i="5"/>
  <c r="I596" i="5"/>
  <c r="J596" i="5"/>
  <c r="K596" i="5"/>
  <c r="L596" i="5"/>
  <c r="M596" i="5"/>
  <c r="N596" i="5"/>
  <c r="O596" i="5"/>
  <c r="P596" i="5"/>
  <c r="Q596" i="5"/>
  <c r="R596" i="5"/>
  <c r="S596" i="5"/>
  <c r="T596" i="5"/>
  <c r="U596" i="5"/>
  <c r="V596" i="5"/>
  <c r="W596" i="5"/>
  <c r="X596" i="5"/>
  <c r="AC596" i="5"/>
  <c r="B597" i="5"/>
  <c r="C597" i="5"/>
  <c r="D597" i="5"/>
  <c r="E597" i="5"/>
  <c r="F597" i="5"/>
  <c r="G597" i="5"/>
  <c r="H597" i="5"/>
  <c r="I597" i="5"/>
  <c r="J597" i="5"/>
  <c r="K597" i="5"/>
  <c r="L597" i="5"/>
  <c r="M597" i="5"/>
  <c r="AC597" i="5" s="1"/>
  <c r="N597" i="5"/>
  <c r="O597" i="5"/>
  <c r="P597" i="5"/>
  <c r="Q597" i="5"/>
  <c r="R597" i="5"/>
  <c r="S597" i="5"/>
  <c r="T597" i="5"/>
  <c r="U597" i="5"/>
  <c r="V597" i="5"/>
  <c r="W597" i="5"/>
  <c r="X597" i="5"/>
  <c r="AB597" i="5"/>
  <c r="B598" i="5"/>
  <c r="C598" i="5"/>
  <c r="D598" i="5"/>
  <c r="E598" i="5"/>
  <c r="F598" i="5"/>
  <c r="G598" i="5"/>
  <c r="H598" i="5"/>
  <c r="I598" i="5"/>
  <c r="J598" i="5"/>
  <c r="K598" i="5"/>
  <c r="L598" i="5"/>
  <c r="M598" i="5"/>
  <c r="N598" i="5"/>
  <c r="O598" i="5"/>
  <c r="P598" i="5"/>
  <c r="Q598" i="5"/>
  <c r="R598" i="5"/>
  <c r="S598" i="5"/>
  <c r="T598" i="5"/>
  <c r="U598" i="5"/>
  <c r="V598" i="5"/>
  <c r="W598" i="5"/>
  <c r="X598" i="5"/>
  <c r="AC598" i="5"/>
  <c r="B599" i="5"/>
  <c r="C599" i="5"/>
  <c r="D599" i="5"/>
  <c r="E599" i="5"/>
  <c r="F599" i="5"/>
  <c r="G599" i="5"/>
  <c r="H599" i="5"/>
  <c r="I599" i="5"/>
  <c r="J599" i="5"/>
  <c r="K599" i="5"/>
  <c r="L599" i="5"/>
  <c r="M599" i="5"/>
  <c r="AC599" i="5" s="1"/>
  <c r="N599" i="5"/>
  <c r="O599" i="5"/>
  <c r="P599" i="5"/>
  <c r="Q599" i="5"/>
  <c r="R599" i="5"/>
  <c r="S599" i="5"/>
  <c r="T599" i="5"/>
  <c r="U599" i="5"/>
  <c r="V599" i="5"/>
  <c r="W599" i="5"/>
  <c r="X599" i="5"/>
  <c r="AB599" i="5"/>
  <c r="B600" i="5"/>
  <c r="C600" i="5"/>
  <c r="D600" i="5"/>
  <c r="E600" i="5"/>
  <c r="F600" i="5"/>
  <c r="G600" i="5"/>
  <c r="H600" i="5"/>
  <c r="I600" i="5"/>
  <c r="J600" i="5"/>
  <c r="K600" i="5"/>
  <c r="L600" i="5"/>
  <c r="M600" i="5"/>
  <c r="N600" i="5"/>
  <c r="O600" i="5"/>
  <c r="P600" i="5"/>
  <c r="Q600" i="5"/>
  <c r="R600" i="5"/>
  <c r="S600" i="5"/>
  <c r="T600" i="5"/>
  <c r="U600" i="5"/>
  <c r="V600" i="5"/>
  <c r="W600" i="5"/>
  <c r="X600" i="5"/>
  <c r="AC600" i="5"/>
  <c r="B602" i="5"/>
  <c r="C602" i="5"/>
  <c r="D602" i="5"/>
  <c r="E602" i="5"/>
  <c r="F602" i="5"/>
  <c r="G602" i="5"/>
  <c r="H602" i="5"/>
  <c r="I602" i="5"/>
  <c r="J602" i="5"/>
  <c r="L602" i="5"/>
  <c r="M602" i="5"/>
  <c r="N602" i="5"/>
  <c r="O602" i="5"/>
  <c r="P602" i="5"/>
  <c r="Q602" i="5"/>
  <c r="R602" i="5"/>
  <c r="S602" i="5"/>
  <c r="T602" i="5"/>
  <c r="U602" i="5"/>
  <c r="V602" i="5"/>
  <c r="W602" i="5"/>
  <c r="X602" i="5"/>
  <c r="Y602" i="5"/>
  <c r="Z602" i="5"/>
  <c r="AA602" i="5"/>
  <c r="AB602" i="5"/>
  <c r="AC602" i="5"/>
  <c r="B603" i="5"/>
  <c r="C603" i="5"/>
  <c r="D603" i="5"/>
  <c r="E603" i="5"/>
  <c r="F603" i="5"/>
  <c r="G603" i="5"/>
  <c r="H603" i="5"/>
  <c r="I603" i="5"/>
  <c r="J603" i="5"/>
  <c r="L603" i="5"/>
  <c r="M603" i="5"/>
  <c r="N603" i="5"/>
  <c r="O603" i="5"/>
  <c r="P603" i="5"/>
  <c r="Q603" i="5"/>
  <c r="R603" i="5"/>
  <c r="S603" i="5"/>
  <c r="T603" i="5"/>
  <c r="U603" i="5"/>
  <c r="V603" i="5"/>
  <c r="W603" i="5"/>
  <c r="X603" i="5"/>
  <c r="Z603" i="5"/>
  <c r="AA603" i="5"/>
  <c r="AB603" i="5"/>
  <c r="AC603" i="5"/>
  <c r="B604" i="5"/>
  <c r="C604" i="5"/>
  <c r="D604" i="5"/>
  <c r="E604" i="5"/>
  <c r="F604" i="5"/>
  <c r="G604" i="5"/>
  <c r="H604" i="5"/>
  <c r="I604" i="5"/>
  <c r="J604" i="5"/>
  <c r="L604" i="5"/>
  <c r="M604" i="5"/>
  <c r="N604" i="5"/>
  <c r="O604" i="5"/>
  <c r="P604" i="5"/>
  <c r="Q604" i="5"/>
  <c r="R604" i="5"/>
  <c r="S604" i="5"/>
  <c r="T604" i="5"/>
  <c r="U604" i="5"/>
  <c r="V604" i="5"/>
  <c r="W604" i="5"/>
  <c r="X604" i="5"/>
  <c r="Z604" i="5"/>
  <c r="AA604" i="5"/>
  <c r="AB604" i="5"/>
  <c r="AC604" i="5"/>
  <c r="B605" i="5"/>
  <c r="C605" i="5"/>
  <c r="D605" i="5"/>
  <c r="E605" i="5"/>
  <c r="F605" i="5"/>
  <c r="G605" i="5"/>
  <c r="H605" i="5"/>
  <c r="I605" i="5"/>
  <c r="J605" i="5"/>
  <c r="L605" i="5"/>
  <c r="M605" i="5"/>
  <c r="N605" i="5"/>
  <c r="O605" i="5"/>
  <c r="P605" i="5"/>
  <c r="Q605" i="5"/>
  <c r="R605" i="5"/>
  <c r="S605" i="5"/>
  <c r="T605" i="5"/>
  <c r="U605" i="5"/>
  <c r="V605" i="5"/>
  <c r="W605" i="5"/>
  <c r="X605" i="5"/>
  <c r="AB605" i="5"/>
  <c r="AC605" i="5"/>
  <c r="B606" i="5"/>
  <c r="C606" i="5"/>
  <c r="D606" i="5"/>
  <c r="E606" i="5"/>
  <c r="F606" i="5"/>
  <c r="G606" i="5"/>
  <c r="H606" i="5"/>
  <c r="I606" i="5"/>
  <c r="J606" i="5"/>
  <c r="K606" i="5"/>
  <c r="L606" i="5"/>
  <c r="M606" i="5"/>
  <c r="N606" i="5"/>
  <c r="O606" i="5"/>
  <c r="P606" i="5"/>
  <c r="Q606" i="5"/>
  <c r="R606" i="5"/>
  <c r="S606" i="5"/>
  <c r="T606" i="5"/>
  <c r="U606" i="5"/>
  <c r="V606" i="5"/>
  <c r="W606" i="5"/>
  <c r="X606" i="5"/>
  <c r="AB606" i="5"/>
  <c r="AC606" i="5"/>
  <c r="B607" i="5"/>
  <c r="C607" i="5"/>
  <c r="D607" i="5"/>
  <c r="E607" i="5"/>
  <c r="F607" i="5"/>
  <c r="G607" i="5"/>
  <c r="H607" i="5"/>
  <c r="I607" i="5"/>
  <c r="J607" i="5"/>
  <c r="K607" i="5"/>
  <c r="L607" i="5"/>
  <c r="M607" i="5"/>
  <c r="N607" i="5"/>
  <c r="O607" i="5"/>
  <c r="P607" i="5"/>
  <c r="Q607" i="5"/>
  <c r="R607" i="5"/>
  <c r="S607" i="5"/>
  <c r="T607" i="5"/>
  <c r="U607" i="5"/>
  <c r="V607" i="5"/>
  <c r="W607" i="5"/>
  <c r="X607" i="5"/>
  <c r="AB607" i="5"/>
  <c r="AC607" i="5"/>
  <c r="B608" i="5"/>
  <c r="C608" i="5"/>
  <c r="D608" i="5"/>
  <c r="E608" i="5"/>
  <c r="F608" i="5"/>
  <c r="G608" i="5"/>
  <c r="H608" i="5"/>
  <c r="I608" i="5"/>
  <c r="J608" i="5"/>
  <c r="K608" i="5"/>
  <c r="L608" i="5"/>
  <c r="M608" i="5"/>
  <c r="N608" i="5"/>
  <c r="O608" i="5"/>
  <c r="P608" i="5"/>
  <c r="Q608" i="5"/>
  <c r="R608" i="5"/>
  <c r="S608" i="5"/>
  <c r="T608" i="5"/>
  <c r="U608" i="5"/>
  <c r="V608" i="5"/>
  <c r="W608" i="5"/>
  <c r="X608" i="5"/>
  <c r="AB608" i="5"/>
  <c r="AC608" i="5"/>
  <c r="B609" i="5"/>
  <c r="C609" i="5"/>
  <c r="D609" i="5"/>
  <c r="E609" i="5"/>
  <c r="F609" i="5"/>
  <c r="G609" i="5"/>
  <c r="H609" i="5"/>
  <c r="I609" i="5"/>
  <c r="J609" i="5"/>
  <c r="K609" i="5"/>
  <c r="L609" i="5"/>
  <c r="M609" i="5"/>
  <c r="N609" i="5"/>
  <c r="O609" i="5"/>
  <c r="P609" i="5"/>
  <c r="Q609" i="5"/>
  <c r="R609" i="5"/>
  <c r="S609" i="5"/>
  <c r="T609" i="5"/>
  <c r="U609" i="5"/>
  <c r="V609" i="5"/>
  <c r="W609" i="5"/>
  <c r="X609" i="5"/>
  <c r="AB609" i="5"/>
  <c r="AC609" i="5"/>
  <c r="B610" i="5"/>
  <c r="C610" i="5"/>
  <c r="D610" i="5"/>
  <c r="E610" i="5"/>
  <c r="F610" i="5"/>
  <c r="G610" i="5"/>
  <c r="H610" i="5"/>
  <c r="I610" i="5"/>
  <c r="J610" i="5"/>
  <c r="K610" i="5"/>
  <c r="L610" i="5"/>
  <c r="M610" i="5"/>
  <c r="N610" i="5"/>
  <c r="O610" i="5"/>
  <c r="P610" i="5"/>
  <c r="Q610" i="5"/>
  <c r="R610" i="5"/>
  <c r="S610" i="5"/>
  <c r="T610" i="5"/>
  <c r="U610" i="5"/>
  <c r="V610" i="5"/>
  <c r="W610" i="5"/>
  <c r="X610" i="5"/>
  <c r="AB610" i="5"/>
  <c r="AC610" i="5"/>
  <c r="B611" i="5"/>
  <c r="C611" i="5"/>
  <c r="D611" i="5"/>
  <c r="E611" i="5"/>
  <c r="F611" i="5"/>
  <c r="G611" i="5"/>
  <c r="H611" i="5"/>
  <c r="I611" i="5"/>
  <c r="J611" i="5"/>
  <c r="K611" i="5"/>
  <c r="L611" i="5"/>
  <c r="M611" i="5"/>
  <c r="N611" i="5"/>
  <c r="O611" i="5"/>
  <c r="P611" i="5"/>
  <c r="Q611" i="5"/>
  <c r="R611" i="5"/>
  <c r="S611" i="5"/>
  <c r="T611" i="5"/>
  <c r="U611" i="5"/>
  <c r="V611" i="5"/>
  <c r="W611" i="5"/>
  <c r="X611" i="5"/>
  <c r="AB611" i="5"/>
  <c r="AC611" i="5"/>
  <c r="B612" i="5"/>
  <c r="C612" i="5"/>
  <c r="D612" i="5"/>
  <c r="E612" i="5"/>
  <c r="F612" i="5"/>
  <c r="G612" i="5"/>
  <c r="H612" i="5"/>
  <c r="I612" i="5"/>
  <c r="J612" i="5"/>
  <c r="K612" i="5"/>
  <c r="L612" i="5"/>
  <c r="M612" i="5"/>
  <c r="N612" i="5"/>
  <c r="O612" i="5"/>
  <c r="P612" i="5"/>
  <c r="Q612" i="5"/>
  <c r="R612" i="5"/>
  <c r="S612" i="5"/>
  <c r="T612" i="5"/>
  <c r="U612" i="5"/>
  <c r="V612" i="5"/>
  <c r="W612" i="5"/>
  <c r="X612" i="5"/>
  <c r="AB612" i="5"/>
  <c r="AC612" i="5"/>
  <c r="B613" i="5"/>
  <c r="C613" i="5"/>
  <c r="D613" i="5"/>
  <c r="E613" i="5"/>
  <c r="F613" i="5"/>
  <c r="G613" i="5"/>
  <c r="H613" i="5"/>
  <c r="I613" i="5"/>
  <c r="J613" i="5"/>
  <c r="K613" i="5"/>
  <c r="L613" i="5"/>
  <c r="M613" i="5"/>
  <c r="N613" i="5"/>
  <c r="O613" i="5"/>
  <c r="P613" i="5"/>
  <c r="Q613" i="5"/>
  <c r="R613" i="5"/>
  <c r="S613" i="5"/>
  <c r="T613" i="5"/>
  <c r="U613" i="5"/>
  <c r="V613" i="5"/>
  <c r="W613" i="5"/>
  <c r="X613" i="5"/>
  <c r="AB613" i="5"/>
  <c r="AC613" i="5"/>
  <c r="B614" i="5"/>
  <c r="C614" i="5"/>
  <c r="D614" i="5"/>
  <c r="E614" i="5"/>
  <c r="F614" i="5"/>
  <c r="G614" i="5"/>
  <c r="H614" i="5"/>
  <c r="I614" i="5"/>
  <c r="J614" i="5"/>
  <c r="K614" i="5"/>
  <c r="L614" i="5"/>
  <c r="M614" i="5"/>
  <c r="N614" i="5"/>
  <c r="O614" i="5"/>
  <c r="P614" i="5"/>
  <c r="Q614" i="5"/>
  <c r="R614" i="5"/>
  <c r="S614" i="5"/>
  <c r="T614" i="5"/>
  <c r="U614" i="5"/>
  <c r="V614" i="5"/>
  <c r="W614" i="5"/>
  <c r="X614" i="5"/>
  <c r="AB614" i="5"/>
  <c r="AC614" i="5"/>
  <c r="B615" i="5"/>
  <c r="C615" i="5"/>
  <c r="D615" i="5"/>
  <c r="E615" i="5"/>
  <c r="F615" i="5"/>
  <c r="G615" i="5"/>
  <c r="H615" i="5"/>
  <c r="I615" i="5"/>
  <c r="J615" i="5"/>
  <c r="K615" i="5"/>
  <c r="L615" i="5"/>
  <c r="M615" i="5"/>
  <c r="N615" i="5"/>
  <c r="O615" i="5"/>
  <c r="P615" i="5"/>
  <c r="Q615" i="5"/>
  <c r="R615" i="5"/>
  <c r="S615" i="5"/>
  <c r="T615" i="5"/>
  <c r="U615" i="5"/>
  <c r="V615" i="5"/>
  <c r="W615" i="5"/>
  <c r="X615" i="5"/>
  <c r="AB615" i="5"/>
  <c r="AC615" i="5"/>
  <c r="B616" i="5"/>
  <c r="C616" i="5"/>
  <c r="D616" i="5"/>
  <c r="E616" i="5"/>
  <c r="F616" i="5"/>
  <c r="G616" i="5"/>
  <c r="H616" i="5"/>
  <c r="I616" i="5"/>
  <c r="J616" i="5"/>
  <c r="K616" i="5"/>
  <c r="L616" i="5"/>
  <c r="M616" i="5"/>
  <c r="N616" i="5"/>
  <c r="O616" i="5"/>
  <c r="P616" i="5"/>
  <c r="Q616" i="5"/>
  <c r="R616" i="5"/>
  <c r="S616" i="5"/>
  <c r="T616" i="5"/>
  <c r="U616" i="5"/>
  <c r="V616" i="5"/>
  <c r="W616" i="5"/>
  <c r="X616" i="5"/>
  <c r="AB616" i="5"/>
  <c r="AC616" i="5"/>
  <c r="B617" i="5"/>
  <c r="C617" i="5"/>
  <c r="D617" i="5"/>
  <c r="E617" i="5"/>
  <c r="F617" i="5"/>
  <c r="G617" i="5"/>
  <c r="H617" i="5"/>
  <c r="I617" i="5"/>
  <c r="J617" i="5"/>
  <c r="K617" i="5"/>
  <c r="L617" i="5"/>
  <c r="M617" i="5"/>
  <c r="N617" i="5"/>
  <c r="O617" i="5"/>
  <c r="P617" i="5"/>
  <c r="Q617" i="5"/>
  <c r="R617" i="5"/>
  <c r="S617" i="5"/>
  <c r="T617" i="5"/>
  <c r="U617" i="5"/>
  <c r="V617" i="5"/>
  <c r="W617" i="5"/>
  <c r="X617" i="5"/>
  <c r="AB617" i="5"/>
  <c r="AC617" i="5"/>
  <c r="B618" i="5"/>
  <c r="C618" i="5"/>
  <c r="D618" i="5"/>
  <c r="E618" i="5"/>
  <c r="F618" i="5"/>
  <c r="G618" i="5"/>
  <c r="H618" i="5"/>
  <c r="I618" i="5"/>
  <c r="J618" i="5"/>
  <c r="K618" i="5"/>
  <c r="L618" i="5"/>
  <c r="M618" i="5"/>
  <c r="N618" i="5"/>
  <c r="O618" i="5"/>
  <c r="P618" i="5"/>
  <c r="Q618" i="5"/>
  <c r="R618" i="5"/>
  <c r="S618" i="5"/>
  <c r="T618" i="5"/>
  <c r="U618" i="5"/>
  <c r="V618" i="5"/>
  <c r="W618" i="5"/>
  <c r="X618" i="5"/>
  <c r="AB618" i="5"/>
  <c r="AC618" i="5"/>
  <c r="B619" i="5"/>
  <c r="C619" i="5"/>
  <c r="D619" i="5"/>
  <c r="E619" i="5"/>
  <c r="F619" i="5"/>
  <c r="G619" i="5"/>
  <c r="H619" i="5"/>
  <c r="I619" i="5"/>
  <c r="J619" i="5"/>
  <c r="K619" i="5"/>
  <c r="L619" i="5"/>
  <c r="M619" i="5"/>
  <c r="N619" i="5"/>
  <c r="O619" i="5"/>
  <c r="P619" i="5"/>
  <c r="Q619" i="5"/>
  <c r="R619" i="5"/>
  <c r="S619" i="5"/>
  <c r="T619" i="5"/>
  <c r="U619" i="5"/>
  <c r="V619" i="5"/>
  <c r="W619" i="5"/>
  <c r="X619" i="5"/>
  <c r="AC619" i="5"/>
  <c r="B620" i="5"/>
  <c r="C620" i="5"/>
  <c r="D620" i="5"/>
  <c r="E620" i="5"/>
  <c r="F620" i="5"/>
  <c r="G620" i="5"/>
  <c r="H620" i="5"/>
  <c r="I620" i="5"/>
  <c r="J620" i="5"/>
  <c r="K620" i="5"/>
  <c r="L620" i="5"/>
  <c r="M620" i="5"/>
  <c r="N620" i="5"/>
  <c r="O620" i="5"/>
  <c r="P620" i="5"/>
  <c r="Q620" i="5"/>
  <c r="R620" i="5"/>
  <c r="S620" i="5"/>
  <c r="T620" i="5"/>
  <c r="U620" i="5"/>
  <c r="V620" i="5"/>
  <c r="W620" i="5"/>
  <c r="X620" i="5"/>
  <c r="AC620" i="5"/>
  <c r="B621" i="5"/>
  <c r="C621" i="5"/>
  <c r="D621" i="5"/>
  <c r="E621" i="5"/>
  <c r="F621" i="5"/>
  <c r="G621" i="5"/>
  <c r="H621" i="5"/>
  <c r="I621" i="5"/>
  <c r="J621" i="5"/>
  <c r="K621" i="5"/>
  <c r="L621" i="5"/>
  <c r="M621" i="5"/>
  <c r="N621" i="5"/>
  <c r="O621" i="5"/>
  <c r="P621" i="5"/>
  <c r="Q621" i="5"/>
  <c r="R621" i="5"/>
  <c r="S621" i="5"/>
  <c r="T621" i="5"/>
  <c r="U621" i="5"/>
  <c r="V621" i="5"/>
  <c r="W621" i="5"/>
  <c r="X621" i="5"/>
  <c r="AB621" i="5"/>
  <c r="AC621" i="5"/>
  <c r="B622" i="5"/>
  <c r="C622" i="5"/>
  <c r="D622" i="5"/>
  <c r="E622" i="5"/>
  <c r="F622" i="5"/>
  <c r="G622" i="5"/>
  <c r="H622" i="5"/>
  <c r="I622" i="5"/>
  <c r="J622" i="5"/>
  <c r="K622" i="5"/>
  <c r="L622" i="5"/>
  <c r="M622" i="5"/>
  <c r="N622" i="5"/>
  <c r="O622" i="5"/>
  <c r="P622" i="5"/>
  <c r="Q622" i="5"/>
  <c r="R622" i="5"/>
  <c r="S622" i="5"/>
  <c r="T622" i="5"/>
  <c r="U622" i="5"/>
  <c r="V622" i="5"/>
  <c r="W622" i="5"/>
  <c r="X622" i="5"/>
  <c r="AB622" i="5"/>
  <c r="AC622" i="5"/>
  <c r="B623" i="5"/>
  <c r="C623" i="5"/>
  <c r="D623" i="5"/>
  <c r="E623" i="5"/>
  <c r="F623" i="5"/>
  <c r="G623" i="5"/>
  <c r="H623" i="5"/>
  <c r="I623" i="5"/>
  <c r="J623" i="5"/>
  <c r="K623" i="5"/>
  <c r="L623" i="5"/>
  <c r="M623" i="5"/>
  <c r="N623" i="5"/>
  <c r="O623" i="5"/>
  <c r="P623" i="5"/>
  <c r="Q623" i="5"/>
  <c r="R623" i="5"/>
  <c r="S623" i="5"/>
  <c r="T623" i="5"/>
  <c r="U623" i="5"/>
  <c r="V623" i="5"/>
  <c r="W623" i="5"/>
  <c r="X623" i="5"/>
  <c r="AB623" i="5"/>
  <c r="AC623" i="5"/>
  <c r="B624" i="5"/>
  <c r="C624" i="5"/>
  <c r="D624" i="5"/>
  <c r="E624" i="5"/>
  <c r="F624" i="5"/>
  <c r="G624" i="5"/>
  <c r="H624" i="5"/>
  <c r="I624" i="5"/>
  <c r="J624" i="5"/>
  <c r="K624" i="5"/>
  <c r="L624" i="5"/>
  <c r="M624" i="5"/>
  <c r="N624" i="5"/>
  <c r="O624" i="5"/>
  <c r="P624" i="5"/>
  <c r="Q624" i="5"/>
  <c r="R624" i="5"/>
  <c r="S624" i="5"/>
  <c r="T624" i="5"/>
  <c r="U624" i="5"/>
  <c r="V624" i="5"/>
  <c r="W624" i="5"/>
  <c r="X624" i="5"/>
  <c r="AB624" i="5"/>
  <c r="AC624" i="5"/>
  <c r="B625" i="5"/>
  <c r="C625" i="5"/>
  <c r="D625" i="5"/>
  <c r="E625" i="5"/>
  <c r="F625" i="5"/>
  <c r="G625" i="5"/>
  <c r="H625" i="5"/>
  <c r="I625" i="5"/>
  <c r="J625" i="5"/>
  <c r="K625" i="5"/>
  <c r="L625" i="5"/>
  <c r="M625" i="5"/>
  <c r="N625" i="5"/>
  <c r="O625" i="5"/>
  <c r="P625" i="5"/>
  <c r="Q625" i="5"/>
  <c r="R625" i="5"/>
  <c r="S625" i="5"/>
  <c r="T625" i="5"/>
  <c r="U625" i="5"/>
  <c r="V625" i="5"/>
  <c r="W625" i="5"/>
  <c r="X625" i="5"/>
  <c r="AB625" i="5"/>
  <c r="AC625" i="5"/>
  <c r="B626" i="5"/>
  <c r="C626" i="5"/>
  <c r="D626" i="5"/>
  <c r="E626" i="5"/>
  <c r="F626" i="5"/>
  <c r="G626" i="5"/>
  <c r="H626" i="5"/>
  <c r="I626" i="5"/>
  <c r="J626" i="5"/>
  <c r="K626" i="5"/>
  <c r="L626" i="5"/>
  <c r="M626" i="5"/>
  <c r="N626" i="5"/>
  <c r="O626" i="5"/>
  <c r="P626" i="5"/>
  <c r="Q626" i="5"/>
  <c r="R626" i="5"/>
  <c r="S626" i="5"/>
  <c r="T626" i="5"/>
  <c r="U626" i="5"/>
  <c r="V626" i="5"/>
  <c r="W626" i="5"/>
  <c r="X626" i="5"/>
  <c r="AB626" i="5"/>
  <c r="AC626" i="5"/>
  <c r="A627" i="5"/>
  <c r="B627" i="5"/>
  <c r="C627" i="5"/>
  <c r="D627" i="5"/>
  <c r="E627" i="5"/>
  <c r="F627" i="5"/>
  <c r="G627" i="5"/>
  <c r="H627" i="5"/>
  <c r="I627" i="5"/>
  <c r="J627" i="5"/>
  <c r="K627" i="5"/>
  <c r="L627" i="5"/>
  <c r="M627" i="5"/>
  <c r="N627" i="5"/>
  <c r="O627" i="5"/>
  <c r="P627" i="5"/>
  <c r="Q627" i="5"/>
  <c r="R627" i="5"/>
  <c r="S627" i="5"/>
  <c r="T627" i="5"/>
  <c r="U627" i="5"/>
  <c r="V627" i="5"/>
  <c r="W627" i="5"/>
  <c r="X627" i="5"/>
  <c r="AB627" i="5"/>
  <c r="AC627" i="5"/>
  <c r="A628" i="5"/>
  <c r="B628" i="5"/>
  <c r="C628" i="5"/>
  <c r="D628" i="5"/>
  <c r="E628" i="5"/>
  <c r="F628" i="5"/>
  <c r="G628" i="5"/>
  <c r="H628" i="5"/>
  <c r="I628" i="5"/>
  <c r="J628" i="5"/>
  <c r="K628" i="5"/>
  <c r="L628" i="5"/>
  <c r="M628" i="5"/>
  <c r="N628" i="5"/>
  <c r="O628" i="5"/>
  <c r="P628" i="5"/>
  <c r="Q628" i="5"/>
  <c r="R628" i="5"/>
  <c r="S628" i="5"/>
  <c r="T628" i="5"/>
  <c r="U628" i="5"/>
  <c r="V628" i="5"/>
  <c r="W628" i="5"/>
  <c r="X628" i="5"/>
  <c r="AB628" i="5"/>
  <c r="AC628" i="5"/>
  <c r="A629" i="5"/>
  <c r="B629" i="5"/>
  <c r="C629" i="5"/>
  <c r="D629" i="5"/>
  <c r="E629" i="5"/>
  <c r="F629" i="5"/>
  <c r="G629" i="5"/>
  <c r="H629" i="5"/>
  <c r="I629" i="5"/>
  <c r="J629" i="5"/>
  <c r="K629" i="5"/>
  <c r="L629" i="5"/>
  <c r="M629" i="5"/>
  <c r="N629" i="5"/>
  <c r="O629" i="5"/>
  <c r="P629" i="5"/>
  <c r="Q629" i="5"/>
  <c r="R629" i="5"/>
  <c r="S629" i="5"/>
  <c r="T629" i="5"/>
  <c r="U629" i="5"/>
  <c r="V629" i="5"/>
  <c r="W629" i="5"/>
  <c r="X629" i="5"/>
  <c r="AB629" i="5"/>
  <c r="AC629" i="5"/>
  <c r="A630" i="5"/>
  <c r="B630" i="5"/>
  <c r="C630" i="5"/>
  <c r="D630" i="5"/>
  <c r="E630" i="5"/>
  <c r="F630" i="5"/>
  <c r="G630" i="5"/>
  <c r="H630" i="5"/>
  <c r="I630" i="5"/>
  <c r="J630" i="5"/>
  <c r="K630" i="5"/>
  <c r="L630" i="5"/>
  <c r="M630" i="5"/>
  <c r="N630" i="5"/>
  <c r="O630" i="5"/>
  <c r="P630" i="5"/>
  <c r="Q630" i="5"/>
  <c r="R630" i="5"/>
  <c r="S630" i="5"/>
  <c r="T630" i="5"/>
  <c r="U630" i="5"/>
  <c r="V630" i="5"/>
  <c r="W630" i="5"/>
  <c r="X630" i="5"/>
  <c r="A631" i="5"/>
  <c r="B631" i="5"/>
  <c r="C631" i="5"/>
  <c r="D631" i="5"/>
  <c r="E631" i="5"/>
  <c r="F631" i="5"/>
  <c r="G631" i="5"/>
  <c r="H631" i="5"/>
  <c r="I631" i="5"/>
  <c r="J631" i="5"/>
  <c r="K631" i="5"/>
  <c r="L631" i="5"/>
  <c r="M631" i="5"/>
  <c r="N631" i="5"/>
  <c r="O631" i="5"/>
  <c r="P631" i="5"/>
  <c r="Q631" i="5"/>
  <c r="R631" i="5"/>
  <c r="S631" i="5"/>
  <c r="T631" i="5"/>
  <c r="U631" i="5"/>
  <c r="V631" i="5"/>
  <c r="W631" i="5"/>
  <c r="X631" i="5"/>
  <c r="A632" i="5"/>
  <c r="B632" i="5"/>
  <c r="C632" i="5"/>
  <c r="D632" i="5"/>
  <c r="E632" i="5"/>
  <c r="F632" i="5"/>
  <c r="G632" i="5"/>
  <c r="H632" i="5"/>
  <c r="I632" i="5"/>
  <c r="J632" i="5"/>
  <c r="K632" i="5"/>
  <c r="L632" i="5"/>
  <c r="M632" i="5"/>
  <c r="N632" i="5"/>
  <c r="O632" i="5"/>
  <c r="P632" i="5"/>
  <c r="Q632" i="5"/>
  <c r="R632" i="5"/>
  <c r="S632" i="5"/>
  <c r="T632" i="5"/>
  <c r="U632" i="5"/>
  <c r="V632" i="5"/>
  <c r="W632" i="5"/>
  <c r="X632" i="5"/>
  <c r="A633" i="5"/>
  <c r="B633" i="5"/>
  <c r="C633" i="5"/>
  <c r="D633" i="5"/>
  <c r="E633" i="5"/>
  <c r="F633" i="5"/>
  <c r="G633" i="5"/>
  <c r="H633" i="5"/>
  <c r="I633" i="5"/>
  <c r="J633" i="5"/>
  <c r="K633" i="5"/>
  <c r="L633" i="5"/>
  <c r="M633" i="5"/>
  <c r="N633" i="5"/>
  <c r="O633" i="5"/>
  <c r="P633" i="5"/>
  <c r="Q633" i="5"/>
  <c r="R633" i="5"/>
  <c r="S633" i="5"/>
  <c r="T633" i="5"/>
  <c r="U633" i="5"/>
  <c r="V633" i="5"/>
  <c r="W633" i="5"/>
  <c r="X633" i="5"/>
  <c r="AC633" i="5"/>
  <c r="A634" i="5"/>
  <c r="B634" i="5"/>
  <c r="C634" i="5"/>
  <c r="D634" i="5"/>
  <c r="E634" i="5"/>
  <c r="F634" i="5"/>
  <c r="G634" i="5"/>
  <c r="H634" i="5"/>
  <c r="I634" i="5"/>
  <c r="J634" i="5"/>
  <c r="K634" i="5"/>
  <c r="L634" i="5"/>
  <c r="M634" i="5"/>
  <c r="N634" i="5"/>
  <c r="O634" i="5"/>
  <c r="P634" i="5"/>
  <c r="Q634" i="5"/>
  <c r="R634" i="5"/>
  <c r="S634" i="5"/>
  <c r="T634" i="5"/>
  <c r="U634" i="5"/>
  <c r="V634" i="5"/>
  <c r="W634" i="5"/>
  <c r="X634" i="5"/>
  <c r="A635" i="5"/>
  <c r="B635" i="5"/>
  <c r="C635" i="5"/>
  <c r="D635" i="5"/>
  <c r="E635" i="5"/>
  <c r="F635" i="5"/>
  <c r="G635" i="5"/>
  <c r="H635" i="5"/>
  <c r="I635" i="5"/>
  <c r="J635" i="5"/>
  <c r="K635" i="5"/>
  <c r="L635" i="5"/>
  <c r="M635" i="5"/>
  <c r="N635" i="5"/>
  <c r="O635" i="5"/>
  <c r="P635" i="5"/>
  <c r="Q635" i="5"/>
  <c r="R635" i="5"/>
  <c r="S635" i="5"/>
  <c r="T635" i="5"/>
  <c r="U635" i="5"/>
  <c r="V635" i="5"/>
  <c r="W635" i="5"/>
  <c r="X635" i="5"/>
  <c r="A636" i="5"/>
  <c r="B636" i="5"/>
  <c r="C636" i="5"/>
  <c r="D636" i="5"/>
  <c r="E636" i="5"/>
  <c r="F636" i="5"/>
  <c r="G636" i="5"/>
  <c r="H636" i="5"/>
  <c r="I636" i="5"/>
  <c r="J636" i="5"/>
  <c r="K636" i="5"/>
  <c r="L636" i="5"/>
  <c r="M636" i="5"/>
  <c r="N636" i="5"/>
  <c r="O636" i="5"/>
  <c r="P636" i="5"/>
  <c r="Q636" i="5"/>
  <c r="R636" i="5"/>
  <c r="S636" i="5"/>
  <c r="T636" i="5"/>
  <c r="U636" i="5"/>
  <c r="V636" i="5"/>
  <c r="W636" i="5"/>
  <c r="X636" i="5"/>
  <c r="A637" i="5"/>
  <c r="B637" i="5"/>
  <c r="C637" i="5"/>
  <c r="D637" i="5"/>
  <c r="E637" i="5"/>
  <c r="F637" i="5"/>
  <c r="G637" i="5"/>
  <c r="H637" i="5"/>
  <c r="I637" i="5"/>
  <c r="J637" i="5"/>
  <c r="K637" i="5"/>
  <c r="L637" i="5"/>
  <c r="M637" i="5"/>
  <c r="N637" i="5"/>
  <c r="O637" i="5"/>
  <c r="P637" i="5"/>
  <c r="Q637" i="5"/>
  <c r="R637" i="5"/>
  <c r="S637" i="5"/>
  <c r="T637" i="5"/>
  <c r="U637" i="5"/>
  <c r="V637" i="5"/>
  <c r="W637" i="5"/>
  <c r="X637" i="5"/>
  <c r="A638" i="5"/>
  <c r="B638" i="5"/>
  <c r="C638" i="5"/>
  <c r="D638" i="5"/>
  <c r="E638" i="5"/>
  <c r="F638" i="5"/>
  <c r="G638" i="5"/>
  <c r="H638" i="5"/>
  <c r="I638" i="5"/>
  <c r="J638" i="5"/>
  <c r="K638" i="5"/>
  <c r="L638" i="5"/>
  <c r="M638" i="5"/>
  <c r="N638" i="5"/>
  <c r="O638" i="5"/>
  <c r="P638" i="5"/>
  <c r="Q638" i="5"/>
  <c r="R638" i="5"/>
  <c r="S638" i="5"/>
  <c r="T638" i="5"/>
  <c r="U638" i="5"/>
  <c r="V638" i="5"/>
  <c r="W638" i="5"/>
  <c r="X638" i="5"/>
  <c r="A639" i="5"/>
  <c r="B639" i="5"/>
  <c r="C639" i="5"/>
  <c r="D639" i="5"/>
  <c r="E639" i="5"/>
  <c r="F639" i="5"/>
  <c r="G639" i="5"/>
  <c r="H639" i="5"/>
  <c r="I639" i="5"/>
  <c r="J639" i="5"/>
  <c r="K639" i="5"/>
  <c r="L639" i="5"/>
  <c r="M639" i="5"/>
  <c r="N639" i="5"/>
  <c r="O639" i="5"/>
  <c r="P639" i="5"/>
  <c r="Q639" i="5"/>
  <c r="R639" i="5"/>
  <c r="S639" i="5"/>
  <c r="T639" i="5"/>
  <c r="U639" i="5"/>
  <c r="V639" i="5"/>
  <c r="W639" i="5"/>
  <c r="X639" i="5"/>
  <c r="A640" i="5"/>
  <c r="B640" i="5"/>
  <c r="C640" i="5"/>
  <c r="D640" i="5"/>
  <c r="E640" i="5"/>
  <c r="F640" i="5"/>
  <c r="G640" i="5"/>
  <c r="H640" i="5"/>
  <c r="I640" i="5"/>
  <c r="J640" i="5"/>
  <c r="K640" i="5"/>
  <c r="L640" i="5"/>
  <c r="M640" i="5"/>
  <c r="N640" i="5"/>
  <c r="O640" i="5"/>
  <c r="P640" i="5"/>
  <c r="Q640" i="5"/>
  <c r="R640" i="5"/>
  <c r="S640" i="5"/>
  <c r="T640" i="5"/>
  <c r="U640" i="5"/>
  <c r="V640" i="5"/>
  <c r="W640" i="5"/>
  <c r="X640" i="5"/>
  <c r="A641" i="5"/>
  <c r="B641" i="5"/>
  <c r="C641" i="5"/>
  <c r="D641" i="5"/>
  <c r="E641" i="5"/>
  <c r="F641" i="5"/>
  <c r="G641" i="5"/>
  <c r="H641" i="5"/>
  <c r="I641" i="5"/>
  <c r="J641" i="5"/>
  <c r="K641" i="5"/>
  <c r="L641" i="5"/>
  <c r="M641" i="5"/>
  <c r="N641" i="5"/>
  <c r="O641" i="5"/>
  <c r="P641" i="5"/>
  <c r="Q641" i="5"/>
  <c r="R641" i="5"/>
  <c r="S641" i="5"/>
  <c r="T641" i="5"/>
  <c r="U641" i="5"/>
  <c r="V641" i="5"/>
  <c r="W641" i="5"/>
  <c r="X641" i="5"/>
  <c r="A642" i="5"/>
  <c r="B642" i="5"/>
  <c r="C642" i="5"/>
  <c r="D642" i="5"/>
  <c r="E642" i="5"/>
  <c r="F642" i="5"/>
  <c r="G642" i="5"/>
  <c r="H642" i="5"/>
  <c r="I642" i="5"/>
  <c r="J642" i="5"/>
  <c r="K642" i="5"/>
  <c r="L642" i="5"/>
  <c r="M642" i="5"/>
  <c r="N642" i="5"/>
  <c r="O642" i="5"/>
  <c r="P642" i="5"/>
  <c r="Q642" i="5"/>
  <c r="R642" i="5"/>
  <c r="S642" i="5"/>
  <c r="T642" i="5"/>
  <c r="U642" i="5"/>
  <c r="V642" i="5"/>
  <c r="W642" i="5"/>
  <c r="X642" i="5"/>
  <c r="A643" i="5"/>
  <c r="B643" i="5"/>
  <c r="C643" i="5"/>
  <c r="D643" i="5"/>
  <c r="E643" i="5"/>
  <c r="F643" i="5"/>
  <c r="G643" i="5"/>
  <c r="H643" i="5"/>
  <c r="I643" i="5"/>
  <c r="J643" i="5"/>
  <c r="K643" i="5"/>
  <c r="L643" i="5"/>
  <c r="M643" i="5"/>
  <c r="N643" i="5"/>
  <c r="O643" i="5"/>
  <c r="P643" i="5"/>
  <c r="Q643" i="5"/>
  <c r="R643" i="5"/>
  <c r="S643" i="5"/>
  <c r="T643" i="5"/>
  <c r="U643" i="5"/>
  <c r="V643" i="5"/>
  <c r="W643" i="5"/>
  <c r="X643" i="5"/>
  <c r="A644" i="5"/>
  <c r="B644" i="5"/>
  <c r="C644" i="5"/>
  <c r="D644" i="5"/>
  <c r="E644" i="5"/>
  <c r="F644" i="5"/>
  <c r="G644" i="5"/>
  <c r="H644" i="5"/>
  <c r="I644" i="5"/>
  <c r="J644" i="5"/>
  <c r="K644" i="5"/>
  <c r="L644" i="5"/>
  <c r="M644" i="5"/>
  <c r="N644" i="5"/>
  <c r="O644" i="5"/>
  <c r="P644" i="5"/>
  <c r="Q644" i="5"/>
  <c r="R644" i="5"/>
  <c r="S644" i="5"/>
  <c r="T644" i="5"/>
  <c r="U644" i="5"/>
  <c r="V644" i="5"/>
  <c r="W644" i="5"/>
  <c r="X644" i="5"/>
  <c r="A645" i="5"/>
  <c r="B645" i="5"/>
  <c r="C645" i="5"/>
  <c r="D645" i="5"/>
  <c r="E645" i="5"/>
  <c r="F645" i="5"/>
  <c r="G645" i="5"/>
  <c r="H645" i="5"/>
  <c r="I645" i="5"/>
  <c r="J645" i="5"/>
  <c r="K645" i="5"/>
  <c r="L645" i="5"/>
  <c r="M645" i="5"/>
  <c r="N645" i="5"/>
  <c r="O645" i="5"/>
  <c r="P645" i="5"/>
  <c r="Q645" i="5"/>
  <c r="R645" i="5"/>
  <c r="S645" i="5"/>
  <c r="T645" i="5"/>
  <c r="U645" i="5"/>
  <c r="V645" i="5"/>
  <c r="W645" i="5"/>
  <c r="X645" i="5"/>
  <c r="A646" i="5"/>
  <c r="B646" i="5"/>
  <c r="C646" i="5"/>
  <c r="D646" i="5"/>
  <c r="F646" i="5"/>
  <c r="G646" i="5"/>
  <c r="H646" i="5"/>
  <c r="J646" i="5"/>
  <c r="K646" i="5"/>
  <c r="L646" i="5"/>
  <c r="N646" i="5"/>
  <c r="O646" i="5"/>
  <c r="P646" i="5"/>
  <c r="R646" i="5"/>
  <c r="S646" i="5"/>
  <c r="T646" i="5"/>
  <c r="V646" i="5"/>
  <c r="W646" i="5"/>
  <c r="X646" i="5"/>
  <c r="A647" i="5"/>
  <c r="B647" i="5"/>
  <c r="C647" i="5"/>
  <c r="D647" i="5"/>
  <c r="F647" i="5"/>
  <c r="G647" i="5"/>
  <c r="H647" i="5"/>
  <c r="J647" i="5"/>
  <c r="K647" i="5"/>
  <c r="L647" i="5"/>
  <c r="N647" i="5"/>
  <c r="O647" i="5"/>
  <c r="P647" i="5"/>
  <c r="R647" i="5"/>
  <c r="S647" i="5"/>
  <c r="T647" i="5"/>
  <c r="V647" i="5"/>
  <c r="W647" i="5"/>
  <c r="X647" i="5"/>
  <c r="A648" i="5"/>
  <c r="B648" i="5"/>
  <c r="C648" i="5"/>
  <c r="D648" i="5"/>
  <c r="F648" i="5"/>
  <c r="G648" i="5"/>
  <c r="H648" i="5"/>
  <c r="J648" i="5"/>
  <c r="K648" i="5"/>
  <c r="L648" i="5"/>
  <c r="N648" i="5"/>
  <c r="O648" i="5"/>
  <c r="P648" i="5"/>
  <c r="R648" i="5"/>
  <c r="S648" i="5"/>
  <c r="T648" i="5"/>
  <c r="V648" i="5"/>
  <c r="W648" i="5"/>
  <c r="X648" i="5"/>
  <c r="A649" i="5"/>
  <c r="B649" i="5"/>
  <c r="C649" i="5"/>
  <c r="D649" i="5"/>
  <c r="F649" i="5"/>
  <c r="G649" i="5"/>
  <c r="H649" i="5"/>
  <c r="J649" i="5"/>
  <c r="K649" i="5"/>
  <c r="L649" i="5"/>
  <c r="N649" i="5"/>
  <c r="O649" i="5"/>
  <c r="P649" i="5"/>
  <c r="R649" i="5"/>
  <c r="S649" i="5"/>
  <c r="T649" i="5"/>
  <c r="V649" i="5"/>
  <c r="W649" i="5"/>
  <c r="X649" i="5"/>
  <c r="A650" i="5"/>
  <c r="B650" i="5"/>
  <c r="C650" i="5"/>
  <c r="D650" i="5"/>
  <c r="F650" i="5"/>
  <c r="G650" i="5"/>
  <c r="H650" i="5"/>
  <c r="J650" i="5"/>
  <c r="K650" i="5"/>
  <c r="L650" i="5"/>
  <c r="N650" i="5"/>
  <c r="O650" i="5"/>
  <c r="P650" i="5"/>
  <c r="R650" i="5"/>
  <c r="S650" i="5"/>
  <c r="T650" i="5"/>
  <c r="V650" i="5"/>
  <c r="W650" i="5"/>
  <c r="X650" i="5"/>
  <c r="E9" i="4"/>
  <c r="J12" i="4"/>
  <c r="B13" i="4"/>
  <c r="C13" i="4"/>
  <c r="D13" i="4"/>
  <c r="E13" i="4"/>
  <c r="F13" i="4"/>
  <c r="G13" i="4"/>
  <c r="H13" i="4"/>
  <c r="I13" i="4"/>
  <c r="J13" i="4"/>
  <c r="B14" i="4"/>
  <c r="C14" i="4"/>
  <c r="D14" i="4"/>
  <c r="E14" i="4"/>
  <c r="F14" i="4"/>
  <c r="G14" i="4"/>
  <c r="H14" i="4"/>
  <c r="I14" i="4"/>
  <c r="J14" i="4"/>
  <c r="B15" i="4"/>
  <c r="C15" i="4"/>
  <c r="D15" i="4"/>
  <c r="E15" i="4"/>
  <c r="F15" i="4"/>
  <c r="G15" i="4"/>
  <c r="H15" i="4"/>
  <c r="I15" i="4"/>
  <c r="J15" i="4"/>
  <c r="B16" i="4"/>
  <c r="C16" i="4"/>
  <c r="D16" i="4"/>
  <c r="E16" i="4"/>
  <c r="F16" i="4"/>
  <c r="G16" i="4"/>
  <c r="H16" i="4"/>
  <c r="I16" i="4"/>
  <c r="J16" i="4"/>
  <c r="B17" i="4"/>
  <c r="C17" i="4"/>
  <c r="D17" i="4"/>
  <c r="E17" i="4"/>
  <c r="F17" i="4"/>
  <c r="G17" i="4"/>
  <c r="H17" i="4"/>
  <c r="I17" i="4"/>
  <c r="J17" i="4"/>
  <c r="B18" i="4"/>
  <c r="C18" i="4"/>
  <c r="D18" i="4"/>
  <c r="E18" i="4"/>
  <c r="F18" i="4"/>
  <c r="G18" i="4"/>
  <c r="H18" i="4"/>
  <c r="I18" i="4"/>
  <c r="J18" i="4"/>
  <c r="B19" i="4"/>
  <c r="C19" i="4"/>
  <c r="D19" i="4"/>
  <c r="E19" i="4"/>
  <c r="F19" i="4"/>
  <c r="G19" i="4"/>
  <c r="H19" i="4"/>
  <c r="I19" i="4"/>
  <c r="J19" i="4"/>
  <c r="B20" i="4"/>
  <c r="C20" i="4"/>
  <c r="D20" i="4"/>
  <c r="E20" i="4"/>
  <c r="F20" i="4"/>
  <c r="G20" i="4"/>
  <c r="H20" i="4"/>
  <c r="I20" i="4"/>
  <c r="J20" i="4"/>
  <c r="B21" i="4"/>
  <c r="C21" i="4"/>
  <c r="D21" i="4"/>
  <c r="E21" i="4"/>
  <c r="F21" i="4"/>
  <c r="G21" i="4"/>
  <c r="H21" i="4"/>
  <c r="I21" i="4"/>
  <c r="J21" i="4"/>
  <c r="B22" i="4"/>
  <c r="C22" i="4"/>
  <c r="D22" i="4"/>
  <c r="E22" i="4"/>
  <c r="F22" i="4"/>
  <c r="G22" i="4"/>
  <c r="H22" i="4"/>
  <c r="I22" i="4"/>
  <c r="J22" i="4"/>
  <c r="B23" i="4"/>
  <c r="C23" i="4"/>
  <c r="D23" i="4"/>
  <c r="E23" i="4"/>
  <c r="F23" i="4"/>
  <c r="G23" i="4"/>
  <c r="H23" i="4"/>
  <c r="I23" i="4"/>
  <c r="J23" i="4"/>
  <c r="B24" i="4"/>
  <c r="C24" i="4"/>
  <c r="D24" i="4"/>
  <c r="E24" i="4"/>
  <c r="F24" i="4"/>
  <c r="G24" i="4"/>
  <c r="H24" i="4"/>
  <c r="I24" i="4"/>
  <c r="J24" i="4"/>
  <c r="B25" i="4"/>
  <c r="C25" i="4"/>
  <c r="D25" i="4"/>
  <c r="E25" i="4"/>
  <c r="F25" i="4"/>
  <c r="G25" i="4"/>
  <c r="H25" i="4"/>
  <c r="I25" i="4"/>
  <c r="J25" i="4"/>
  <c r="B26" i="4"/>
  <c r="C26" i="4"/>
  <c r="D26" i="4"/>
  <c r="E26" i="4"/>
  <c r="F26" i="4"/>
  <c r="G26" i="4"/>
  <c r="H26" i="4"/>
  <c r="I26" i="4"/>
  <c r="J26" i="4"/>
  <c r="B27" i="4"/>
  <c r="C27" i="4"/>
  <c r="D27" i="4"/>
  <c r="E27" i="4"/>
  <c r="F27" i="4"/>
  <c r="G27" i="4"/>
  <c r="H27" i="4"/>
  <c r="I27" i="4"/>
  <c r="J27" i="4"/>
  <c r="B28" i="4"/>
  <c r="C28" i="4"/>
  <c r="D28" i="4"/>
  <c r="E28" i="4"/>
  <c r="F28" i="4"/>
  <c r="G28" i="4"/>
  <c r="H28" i="4"/>
  <c r="I28" i="4"/>
  <c r="J28" i="4"/>
  <c r="B29" i="4"/>
  <c r="C29" i="4"/>
  <c r="D29" i="4"/>
  <c r="E29" i="4"/>
  <c r="F29" i="4"/>
  <c r="G29" i="4"/>
  <c r="H29" i="4"/>
  <c r="I29" i="4"/>
  <c r="J29" i="4"/>
  <c r="B30" i="4"/>
  <c r="C30" i="4"/>
  <c r="D30" i="4"/>
  <c r="E30" i="4"/>
  <c r="F30" i="4"/>
  <c r="G30" i="4"/>
  <c r="H30" i="4"/>
  <c r="I30" i="4"/>
  <c r="J30" i="4"/>
  <c r="B31" i="4"/>
  <c r="C31" i="4"/>
  <c r="D31" i="4"/>
  <c r="E31" i="4"/>
  <c r="F31" i="4"/>
  <c r="G31" i="4"/>
  <c r="H31" i="4"/>
  <c r="I31" i="4"/>
  <c r="J31" i="4"/>
  <c r="B32" i="4"/>
  <c r="C32" i="4"/>
  <c r="D32" i="4"/>
  <c r="E32" i="4"/>
  <c r="F32" i="4"/>
  <c r="G32" i="4"/>
  <c r="H32" i="4"/>
  <c r="I32" i="4"/>
  <c r="J32" i="4"/>
  <c r="B33" i="4"/>
  <c r="C33" i="4"/>
  <c r="D33" i="4"/>
  <c r="E33" i="4"/>
  <c r="F33" i="4"/>
  <c r="G33" i="4"/>
  <c r="H33" i="4"/>
  <c r="I33" i="4"/>
  <c r="J33" i="4"/>
  <c r="B34" i="4"/>
  <c r="C34" i="4"/>
  <c r="D34" i="4"/>
  <c r="E34" i="4"/>
  <c r="F34" i="4"/>
  <c r="G34" i="4"/>
  <c r="H34" i="4"/>
  <c r="I34" i="4"/>
  <c r="J34" i="4"/>
  <c r="B35" i="4"/>
  <c r="C35" i="4"/>
  <c r="D35" i="4"/>
  <c r="E35" i="4"/>
  <c r="F35" i="4"/>
  <c r="G35" i="4"/>
  <c r="H35" i="4"/>
  <c r="I35" i="4"/>
  <c r="J35" i="4"/>
  <c r="B36" i="4"/>
  <c r="C36" i="4"/>
  <c r="D36" i="4"/>
  <c r="E36" i="4"/>
  <c r="F36" i="4"/>
  <c r="G36" i="4"/>
  <c r="H36" i="4"/>
  <c r="I36" i="4"/>
  <c r="J36" i="4"/>
  <c r="B37" i="4"/>
  <c r="C37" i="4"/>
  <c r="D37" i="4"/>
  <c r="E37" i="4"/>
  <c r="F37" i="4"/>
  <c r="G37" i="4"/>
  <c r="H37" i="4"/>
  <c r="I37" i="4"/>
  <c r="J37" i="4"/>
  <c r="B38" i="4"/>
  <c r="C38" i="4"/>
  <c r="D38" i="4"/>
  <c r="E38" i="4"/>
  <c r="F38" i="4"/>
  <c r="G38" i="4"/>
  <c r="H38" i="4"/>
  <c r="I38" i="4"/>
  <c r="J38" i="4"/>
  <c r="B39" i="4"/>
  <c r="C39" i="4"/>
  <c r="D39" i="4"/>
  <c r="E39" i="4"/>
  <c r="F39" i="4"/>
  <c r="G39" i="4"/>
  <c r="H39" i="4"/>
  <c r="I39" i="4"/>
  <c r="J39" i="4"/>
  <c r="B40" i="4"/>
  <c r="C40" i="4"/>
  <c r="D40" i="4"/>
  <c r="E40" i="4"/>
  <c r="F40" i="4"/>
  <c r="G40" i="4"/>
  <c r="H40" i="4"/>
  <c r="I40" i="4"/>
  <c r="J40" i="4"/>
  <c r="B41" i="4"/>
  <c r="C41" i="4"/>
  <c r="D41" i="4"/>
  <c r="E41" i="4"/>
  <c r="F41" i="4"/>
  <c r="G41" i="4"/>
  <c r="H41" i="4"/>
  <c r="I41" i="4"/>
  <c r="J41" i="4"/>
  <c r="B42" i="4"/>
  <c r="C42" i="4"/>
  <c r="D42" i="4"/>
  <c r="E42" i="4"/>
  <c r="F42" i="4"/>
  <c r="G42" i="4"/>
  <c r="H42" i="4"/>
  <c r="I42" i="4"/>
  <c r="J42" i="4"/>
  <c r="B43" i="4"/>
  <c r="C43" i="4"/>
  <c r="D43" i="4"/>
  <c r="E43" i="4"/>
  <c r="F43" i="4"/>
  <c r="G43" i="4"/>
  <c r="H43" i="4"/>
  <c r="I43" i="4"/>
  <c r="J43" i="4"/>
  <c r="B44" i="4"/>
  <c r="C44" i="4"/>
  <c r="D44" i="4"/>
  <c r="E44" i="4"/>
  <c r="F44" i="4"/>
  <c r="G44" i="4"/>
  <c r="H44" i="4"/>
  <c r="I44" i="4"/>
  <c r="J44" i="4"/>
  <c r="B45" i="4"/>
  <c r="C45" i="4"/>
  <c r="D45" i="4"/>
  <c r="E45" i="4"/>
  <c r="F45" i="4"/>
  <c r="G45" i="4"/>
  <c r="H45" i="4"/>
  <c r="I45" i="4"/>
  <c r="J45" i="4"/>
  <c r="B46" i="4"/>
  <c r="C46" i="4"/>
  <c r="D46" i="4"/>
  <c r="E46" i="4"/>
  <c r="F46" i="4"/>
  <c r="G46" i="4"/>
  <c r="H46" i="4"/>
  <c r="I46" i="4"/>
  <c r="J46" i="4"/>
  <c r="B47" i="4"/>
  <c r="C47" i="4"/>
  <c r="D47" i="4"/>
  <c r="E47" i="4"/>
  <c r="F47" i="4"/>
  <c r="G47" i="4"/>
  <c r="H47" i="4"/>
  <c r="I47" i="4"/>
  <c r="J47" i="4"/>
  <c r="B48" i="4"/>
  <c r="C48" i="4"/>
  <c r="D48" i="4"/>
  <c r="E48" i="4"/>
  <c r="F48" i="4"/>
  <c r="G48" i="4"/>
  <c r="H48" i="4"/>
  <c r="I48" i="4"/>
  <c r="J48" i="4"/>
  <c r="B49" i="4"/>
  <c r="C49" i="4"/>
  <c r="D49" i="4"/>
  <c r="E49" i="4"/>
  <c r="F49" i="4"/>
  <c r="G49" i="4"/>
  <c r="H49" i="4"/>
  <c r="I49" i="4"/>
  <c r="J49" i="4"/>
  <c r="B50" i="4"/>
  <c r="C50" i="4"/>
  <c r="D50" i="4"/>
  <c r="E50" i="4"/>
  <c r="F50" i="4"/>
  <c r="G50" i="4"/>
  <c r="H50" i="4"/>
  <c r="I50" i="4"/>
  <c r="J50" i="4"/>
  <c r="B51" i="4"/>
  <c r="C51" i="4"/>
  <c r="D51" i="4"/>
  <c r="E51" i="4"/>
  <c r="F51" i="4"/>
  <c r="G51" i="4"/>
  <c r="H51" i="4"/>
  <c r="I51" i="4"/>
  <c r="J51" i="4"/>
  <c r="B52" i="4"/>
  <c r="C52" i="4"/>
  <c r="D52" i="4"/>
  <c r="E52" i="4"/>
  <c r="F52" i="4"/>
  <c r="G52" i="4"/>
  <c r="H52" i="4"/>
  <c r="I52" i="4"/>
  <c r="J52" i="4"/>
  <c r="B53" i="4"/>
  <c r="C53" i="4"/>
  <c r="D53" i="4"/>
  <c r="E53" i="4"/>
  <c r="F53" i="4"/>
  <c r="G53" i="4"/>
  <c r="H53" i="4"/>
  <c r="I53" i="4"/>
  <c r="J53" i="4"/>
  <c r="B54" i="4"/>
  <c r="C54" i="4"/>
  <c r="D54" i="4"/>
  <c r="E54" i="4"/>
  <c r="F54" i="4"/>
  <c r="G54" i="4"/>
  <c r="H54" i="4"/>
  <c r="I54" i="4"/>
  <c r="J54" i="4"/>
  <c r="B55" i="4"/>
  <c r="C55" i="4"/>
  <c r="D55" i="4"/>
  <c r="E55" i="4"/>
  <c r="F55" i="4"/>
  <c r="G55" i="4"/>
  <c r="H55" i="4"/>
  <c r="I55" i="4"/>
  <c r="J55" i="4"/>
  <c r="B56" i="4"/>
  <c r="C56" i="4"/>
  <c r="D56" i="4"/>
  <c r="E56" i="4"/>
  <c r="F56" i="4"/>
  <c r="G56" i="4"/>
  <c r="H56" i="4"/>
  <c r="I56" i="4"/>
  <c r="J56" i="4"/>
  <c r="B57" i="4"/>
  <c r="C57" i="4"/>
  <c r="D57" i="4"/>
  <c r="E57" i="4"/>
  <c r="F57" i="4"/>
  <c r="G57" i="4"/>
  <c r="H57" i="4"/>
  <c r="I57" i="4"/>
  <c r="J57" i="4"/>
  <c r="B58" i="4"/>
  <c r="C58" i="4"/>
  <c r="D58" i="4"/>
  <c r="E58" i="4"/>
  <c r="F58" i="4"/>
  <c r="G58" i="4"/>
  <c r="H58" i="4"/>
  <c r="I58" i="4"/>
  <c r="J58" i="4"/>
  <c r="B59" i="4"/>
  <c r="C59" i="4"/>
  <c r="D59" i="4"/>
  <c r="E59" i="4"/>
  <c r="F59" i="4"/>
  <c r="G59" i="4"/>
  <c r="H59" i="4"/>
  <c r="I59" i="4"/>
  <c r="J59" i="4"/>
  <c r="B60" i="4"/>
  <c r="C60" i="4"/>
  <c r="D60" i="4"/>
  <c r="E60" i="4"/>
  <c r="F60" i="4"/>
  <c r="G60" i="4"/>
  <c r="H60" i="4"/>
  <c r="I60" i="4"/>
  <c r="J60" i="4"/>
  <c r="B61" i="4"/>
  <c r="C61" i="4"/>
  <c r="D61" i="4"/>
  <c r="E61" i="4"/>
  <c r="F61" i="4"/>
  <c r="G61" i="4"/>
  <c r="H61" i="4"/>
  <c r="I61" i="4"/>
  <c r="J61" i="4"/>
  <c r="B62" i="4"/>
  <c r="C62" i="4"/>
  <c r="D62" i="4"/>
  <c r="E62" i="4"/>
  <c r="F62" i="4"/>
  <c r="G62" i="4"/>
  <c r="H62" i="4"/>
  <c r="I62" i="4"/>
  <c r="J62" i="4"/>
  <c r="B63" i="4"/>
  <c r="C63" i="4"/>
  <c r="D63" i="4"/>
  <c r="E63" i="4"/>
  <c r="F63" i="4"/>
  <c r="G63" i="4"/>
  <c r="H63" i="4"/>
  <c r="I63" i="4"/>
  <c r="J63" i="4"/>
  <c r="B64" i="4"/>
  <c r="C64" i="4"/>
  <c r="D64" i="4"/>
  <c r="E64" i="4"/>
  <c r="F64" i="4"/>
  <c r="G64" i="4"/>
  <c r="H64" i="4"/>
  <c r="I64" i="4"/>
  <c r="J64" i="4"/>
  <c r="B65" i="4"/>
  <c r="C65" i="4"/>
  <c r="D65" i="4"/>
  <c r="E65" i="4"/>
  <c r="F65" i="4"/>
  <c r="G65" i="4"/>
  <c r="H65" i="4"/>
  <c r="I65" i="4"/>
  <c r="J65" i="4"/>
  <c r="B66" i="4"/>
  <c r="C66" i="4"/>
  <c r="D66" i="4"/>
  <c r="E66" i="4"/>
  <c r="F66" i="4"/>
  <c r="G66" i="4"/>
  <c r="H66" i="4"/>
  <c r="I66" i="4"/>
  <c r="J66" i="4"/>
  <c r="B67" i="4"/>
  <c r="C67" i="4"/>
  <c r="D67" i="4"/>
  <c r="E67" i="4"/>
  <c r="F67" i="4"/>
  <c r="G67" i="4"/>
  <c r="H67" i="4"/>
  <c r="I67" i="4"/>
  <c r="J67" i="4"/>
  <c r="B68" i="4"/>
  <c r="C68" i="4"/>
  <c r="D68" i="4"/>
  <c r="E68" i="4"/>
  <c r="F68" i="4"/>
  <c r="G68" i="4"/>
  <c r="H68" i="4"/>
  <c r="I68" i="4"/>
  <c r="J68" i="4"/>
  <c r="B69" i="4"/>
  <c r="C69" i="4"/>
  <c r="D69" i="4"/>
  <c r="E69" i="4"/>
  <c r="F69" i="4"/>
  <c r="G69" i="4"/>
  <c r="H69" i="4"/>
  <c r="I69" i="4"/>
  <c r="J69" i="4"/>
  <c r="B70" i="4"/>
  <c r="C70" i="4"/>
  <c r="D70" i="4"/>
  <c r="E70" i="4"/>
  <c r="F70" i="4"/>
  <c r="G70" i="4"/>
  <c r="H70" i="4"/>
  <c r="I70" i="4"/>
  <c r="J70" i="4"/>
  <c r="B71" i="4"/>
  <c r="C71" i="4"/>
  <c r="D71" i="4"/>
  <c r="E71" i="4"/>
  <c r="F71" i="4"/>
  <c r="G71" i="4"/>
  <c r="H71" i="4"/>
  <c r="I71" i="4"/>
  <c r="J71" i="4"/>
  <c r="B72" i="4"/>
  <c r="C72" i="4"/>
  <c r="D72" i="4"/>
  <c r="E72" i="4"/>
  <c r="F72" i="4"/>
  <c r="G72" i="4"/>
  <c r="H72" i="4"/>
  <c r="I72" i="4"/>
  <c r="J72" i="4"/>
  <c r="B73" i="4"/>
  <c r="C73" i="4"/>
  <c r="D73" i="4"/>
  <c r="E73" i="4"/>
  <c r="F73" i="4"/>
  <c r="G73" i="4"/>
  <c r="H73" i="4"/>
  <c r="I73" i="4"/>
  <c r="J73" i="4"/>
  <c r="B74" i="4"/>
  <c r="C74" i="4"/>
  <c r="D74" i="4"/>
  <c r="E74" i="4"/>
  <c r="F74" i="4"/>
  <c r="G74" i="4"/>
  <c r="H74" i="4"/>
  <c r="I74" i="4"/>
  <c r="J74" i="4"/>
  <c r="B75" i="4"/>
  <c r="C75" i="4"/>
  <c r="D75" i="4"/>
  <c r="E75" i="4"/>
  <c r="F75" i="4"/>
  <c r="G75" i="4"/>
  <c r="H75" i="4"/>
  <c r="I75" i="4"/>
  <c r="J75" i="4"/>
  <c r="B76" i="4"/>
  <c r="C76" i="4"/>
  <c r="D76" i="4"/>
  <c r="E76" i="4"/>
  <c r="F76" i="4"/>
  <c r="G76" i="4"/>
  <c r="H76" i="4"/>
  <c r="I76" i="4"/>
  <c r="J76" i="4"/>
  <c r="B77" i="4"/>
  <c r="C77" i="4"/>
  <c r="D77" i="4"/>
  <c r="E77" i="4"/>
  <c r="F77" i="4"/>
  <c r="G77" i="4"/>
  <c r="H77" i="4"/>
  <c r="I77" i="4"/>
  <c r="J77" i="4"/>
  <c r="B78" i="4"/>
  <c r="C78" i="4"/>
  <c r="D78" i="4"/>
  <c r="E78" i="4"/>
  <c r="F78" i="4"/>
  <c r="G78" i="4"/>
  <c r="H78" i="4"/>
  <c r="I78" i="4"/>
  <c r="J78" i="4"/>
  <c r="B79" i="4"/>
  <c r="C79" i="4"/>
  <c r="D79" i="4"/>
  <c r="E79" i="4"/>
  <c r="F79" i="4"/>
  <c r="G79" i="4"/>
  <c r="H79" i="4"/>
  <c r="I79" i="4"/>
  <c r="J79" i="4"/>
  <c r="B80" i="4"/>
  <c r="C80" i="4"/>
  <c r="D80" i="4"/>
  <c r="E80" i="4"/>
  <c r="F80" i="4"/>
  <c r="G80" i="4"/>
  <c r="H80" i="4"/>
  <c r="I80" i="4"/>
  <c r="J80" i="4"/>
  <c r="B81" i="4"/>
  <c r="C81" i="4"/>
  <c r="D81" i="4"/>
  <c r="E81" i="4"/>
  <c r="F81" i="4"/>
  <c r="G81" i="4"/>
  <c r="H81" i="4"/>
  <c r="I81" i="4"/>
  <c r="J81" i="4"/>
  <c r="B82" i="4"/>
  <c r="C82" i="4"/>
  <c r="D82" i="4"/>
  <c r="E82" i="4"/>
  <c r="F82" i="4"/>
  <c r="G82" i="4"/>
  <c r="H82" i="4"/>
  <c r="I82" i="4"/>
  <c r="J82" i="4"/>
  <c r="B83" i="4"/>
  <c r="C83" i="4"/>
  <c r="D83" i="4"/>
  <c r="E83" i="4"/>
  <c r="F83" i="4"/>
  <c r="G83" i="4"/>
  <c r="H83" i="4"/>
  <c r="I83" i="4"/>
  <c r="J83" i="4"/>
  <c r="B84" i="4"/>
  <c r="C84" i="4"/>
  <c r="D84" i="4"/>
  <c r="E84" i="4"/>
  <c r="F84" i="4"/>
  <c r="G84" i="4"/>
  <c r="H84" i="4"/>
  <c r="I84" i="4"/>
  <c r="J84" i="4"/>
  <c r="B85" i="4"/>
  <c r="C85" i="4"/>
  <c r="D85" i="4"/>
  <c r="E85" i="4"/>
  <c r="F85" i="4"/>
  <c r="G85" i="4"/>
  <c r="H85" i="4"/>
  <c r="I85" i="4"/>
  <c r="J85" i="4"/>
  <c r="B86" i="4"/>
  <c r="C86" i="4"/>
  <c r="D86" i="4"/>
  <c r="E86" i="4"/>
  <c r="F86" i="4"/>
  <c r="G86" i="4"/>
  <c r="H86" i="4"/>
  <c r="I86" i="4"/>
  <c r="J86" i="4"/>
  <c r="B87" i="4"/>
  <c r="C87" i="4"/>
  <c r="D87" i="4"/>
  <c r="E87" i="4"/>
  <c r="F87" i="4"/>
  <c r="G87" i="4"/>
  <c r="H87" i="4"/>
  <c r="I87" i="4"/>
  <c r="J87" i="4"/>
  <c r="B88" i="4"/>
  <c r="C88" i="4"/>
  <c r="D88" i="4"/>
  <c r="E88" i="4"/>
  <c r="F88" i="4"/>
  <c r="G88" i="4"/>
  <c r="H88" i="4"/>
  <c r="I88" i="4"/>
  <c r="J88" i="4"/>
  <c r="B89" i="4"/>
  <c r="C89" i="4"/>
  <c r="D89" i="4"/>
  <c r="E89" i="4"/>
  <c r="F89" i="4"/>
  <c r="G89" i="4"/>
  <c r="H89" i="4"/>
  <c r="I89" i="4"/>
  <c r="J89" i="4"/>
  <c r="B90" i="4"/>
  <c r="C90" i="4"/>
  <c r="D90" i="4"/>
  <c r="E90" i="4"/>
  <c r="F90" i="4"/>
  <c r="G90" i="4"/>
  <c r="H90" i="4"/>
  <c r="I90" i="4"/>
  <c r="J90" i="4"/>
  <c r="B91" i="4"/>
  <c r="C91" i="4"/>
  <c r="D91" i="4"/>
  <c r="E91" i="4"/>
  <c r="F91" i="4"/>
  <c r="G91" i="4"/>
  <c r="H91" i="4"/>
  <c r="I91" i="4"/>
  <c r="J91" i="4"/>
  <c r="B92" i="4"/>
  <c r="C92" i="4"/>
  <c r="D92" i="4"/>
  <c r="E92" i="4"/>
  <c r="F92" i="4"/>
  <c r="G92" i="4"/>
  <c r="H92" i="4"/>
  <c r="I92" i="4"/>
  <c r="J92" i="4"/>
  <c r="B93" i="4"/>
  <c r="C93" i="4"/>
  <c r="D93" i="4"/>
  <c r="E93" i="4"/>
  <c r="F93" i="4"/>
  <c r="G93" i="4"/>
  <c r="H93" i="4"/>
  <c r="I93" i="4"/>
  <c r="J93" i="4"/>
  <c r="B94" i="4"/>
  <c r="C94" i="4"/>
  <c r="D94" i="4"/>
  <c r="E94" i="4"/>
  <c r="F94" i="4"/>
  <c r="G94" i="4"/>
  <c r="H94" i="4"/>
  <c r="I94" i="4"/>
  <c r="J94" i="4"/>
  <c r="B95" i="4"/>
  <c r="C95" i="4"/>
  <c r="D95" i="4"/>
  <c r="E95" i="4"/>
  <c r="F95" i="4"/>
  <c r="G95" i="4"/>
  <c r="H95" i="4"/>
  <c r="I95" i="4"/>
  <c r="J95" i="4"/>
  <c r="B96" i="4"/>
  <c r="C96" i="4"/>
  <c r="D96" i="4"/>
  <c r="E96" i="4"/>
  <c r="F96" i="4"/>
  <c r="G96" i="4"/>
  <c r="H96" i="4"/>
  <c r="I96" i="4"/>
  <c r="J96" i="4"/>
  <c r="B97" i="4"/>
  <c r="C97" i="4"/>
  <c r="D97" i="4"/>
  <c r="E97" i="4"/>
  <c r="F97" i="4"/>
  <c r="G97" i="4"/>
  <c r="H97" i="4"/>
  <c r="I97" i="4"/>
  <c r="J97" i="4"/>
  <c r="B98" i="4"/>
  <c r="C98" i="4"/>
  <c r="D98" i="4"/>
  <c r="E98" i="4"/>
  <c r="F98" i="4"/>
  <c r="G98" i="4"/>
  <c r="H98" i="4"/>
  <c r="I98" i="4"/>
  <c r="J98" i="4"/>
  <c r="B99" i="4"/>
  <c r="C99" i="4"/>
  <c r="D99" i="4"/>
  <c r="E99" i="4"/>
  <c r="F99" i="4"/>
  <c r="G99" i="4"/>
  <c r="H99" i="4"/>
  <c r="I99" i="4"/>
  <c r="J99" i="4"/>
  <c r="B100" i="4"/>
  <c r="C100" i="4"/>
  <c r="D100" i="4"/>
  <c r="E100" i="4"/>
  <c r="F100" i="4"/>
  <c r="G100" i="4"/>
  <c r="H100" i="4"/>
  <c r="I100" i="4"/>
  <c r="J100" i="4"/>
  <c r="B101" i="4"/>
  <c r="C101" i="4"/>
  <c r="D101" i="4"/>
  <c r="E101" i="4"/>
  <c r="F101" i="4"/>
  <c r="G101" i="4"/>
  <c r="H101" i="4"/>
  <c r="I101" i="4"/>
  <c r="J101" i="4"/>
  <c r="B102" i="4"/>
  <c r="C102" i="4"/>
  <c r="D102" i="4"/>
  <c r="E102" i="4"/>
  <c r="F102" i="4"/>
  <c r="G102" i="4"/>
  <c r="H102" i="4"/>
  <c r="I102" i="4"/>
  <c r="J102" i="4"/>
  <c r="B103" i="4"/>
  <c r="C103" i="4"/>
  <c r="D103" i="4"/>
  <c r="E103" i="4"/>
  <c r="F103" i="4"/>
  <c r="G103" i="4"/>
  <c r="H103" i="4"/>
  <c r="I103" i="4"/>
  <c r="J103" i="4"/>
  <c r="B104" i="4"/>
  <c r="C104" i="4"/>
  <c r="D104" i="4"/>
  <c r="E104" i="4"/>
  <c r="F104" i="4"/>
  <c r="G104" i="4"/>
  <c r="H104" i="4"/>
  <c r="I104" i="4"/>
  <c r="J104" i="4"/>
  <c r="B105" i="4"/>
  <c r="C105" i="4"/>
  <c r="D105" i="4"/>
  <c r="E105" i="4"/>
  <c r="F105" i="4"/>
  <c r="G105" i="4"/>
  <c r="H105" i="4"/>
  <c r="I105" i="4"/>
  <c r="J105" i="4"/>
  <c r="B106" i="4"/>
  <c r="C106" i="4"/>
  <c r="D106" i="4"/>
  <c r="E106" i="4"/>
  <c r="F106" i="4"/>
  <c r="G106" i="4"/>
  <c r="H106" i="4"/>
  <c r="I106" i="4"/>
  <c r="J106" i="4"/>
  <c r="B107" i="4"/>
  <c r="C107" i="4"/>
  <c r="D107" i="4"/>
  <c r="E107" i="4"/>
  <c r="F107" i="4"/>
  <c r="G107" i="4"/>
  <c r="H107" i="4"/>
  <c r="I107" i="4"/>
  <c r="J107" i="4"/>
  <c r="B108" i="4"/>
  <c r="C108" i="4"/>
  <c r="D108" i="4"/>
  <c r="E108" i="4"/>
  <c r="F108" i="4"/>
  <c r="G108" i="4"/>
  <c r="H108" i="4"/>
  <c r="I108" i="4"/>
  <c r="J108" i="4"/>
  <c r="B109" i="4"/>
  <c r="C109" i="4"/>
  <c r="D109" i="4"/>
  <c r="E109" i="4"/>
  <c r="F109" i="4"/>
  <c r="G109" i="4"/>
  <c r="H109" i="4"/>
  <c r="I109" i="4"/>
  <c r="J109" i="4"/>
  <c r="B110" i="4"/>
  <c r="C110" i="4"/>
  <c r="D110" i="4"/>
  <c r="E110" i="4"/>
  <c r="F110" i="4"/>
  <c r="G110" i="4"/>
  <c r="H110" i="4"/>
  <c r="I110" i="4"/>
  <c r="J110" i="4"/>
  <c r="B111" i="4"/>
  <c r="C111" i="4"/>
  <c r="D111" i="4"/>
  <c r="E111" i="4"/>
  <c r="F111" i="4"/>
  <c r="G111" i="4"/>
  <c r="H111" i="4"/>
  <c r="I111" i="4"/>
  <c r="J111" i="4"/>
  <c r="B112" i="4"/>
  <c r="C112" i="4"/>
  <c r="D112" i="4"/>
  <c r="E112" i="4"/>
  <c r="F112" i="4"/>
  <c r="G112" i="4"/>
  <c r="H112" i="4"/>
  <c r="I112" i="4"/>
  <c r="J112" i="4"/>
  <c r="B113" i="4"/>
  <c r="C113" i="4"/>
  <c r="D113" i="4"/>
  <c r="E113" i="4"/>
  <c r="F113" i="4"/>
  <c r="G113" i="4"/>
  <c r="H113" i="4"/>
  <c r="I113" i="4"/>
  <c r="J113" i="4"/>
  <c r="B114" i="4"/>
  <c r="C114" i="4"/>
  <c r="D114" i="4"/>
  <c r="E114" i="4"/>
  <c r="F114" i="4"/>
  <c r="G114" i="4"/>
  <c r="H114" i="4"/>
  <c r="I114" i="4"/>
  <c r="J114" i="4"/>
  <c r="B115" i="4"/>
  <c r="C115" i="4"/>
  <c r="D115" i="4"/>
  <c r="E115" i="4"/>
  <c r="F115" i="4"/>
  <c r="G115" i="4"/>
  <c r="H115" i="4"/>
  <c r="I115" i="4"/>
  <c r="J115" i="4"/>
  <c r="B116" i="4"/>
  <c r="C116" i="4"/>
  <c r="D116" i="4"/>
  <c r="E116" i="4"/>
  <c r="F116" i="4"/>
  <c r="G116" i="4"/>
  <c r="H116" i="4"/>
  <c r="I116" i="4"/>
  <c r="J116" i="4"/>
  <c r="B117" i="4"/>
  <c r="C117" i="4"/>
  <c r="D117" i="4"/>
  <c r="E117" i="4"/>
  <c r="F117" i="4"/>
  <c r="G117" i="4"/>
  <c r="H117" i="4"/>
  <c r="I117" i="4"/>
  <c r="J117" i="4"/>
  <c r="B118" i="4"/>
  <c r="C118" i="4"/>
  <c r="D118" i="4"/>
  <c r="E118" i="4"/>
  <c r="F118" i="4"/>
  <c r="G118" i="4"/>
  <c r="H118" i="4"/>
  <c r="I118" i="4"/>
  <c r="J118" i="4"/>
  <c r="B119" i="4"/>
  <c r="C119" i="4"/>
  <c r="D119" i="4"/>
  <c r="E119" i="4"/>
  <c r="F119" i="4"/>
  <c r="G119" i="4"/>
  <c r="H119" i="4"/>
  <c r="I119" i="4"/>
  <c r="J119" i="4"/>
  <c r="B120" i="4"/>
  <c r="C120" i="4"/>
  <c r="D120" i="4"/>
  <c r="E120" i="4"/>
  <c r="F120" i="4"/>
  <c r="G120" i="4"/>
  <c r="H120" i="4"/>
  <c r="I120" i="4"/>
  <c r="J120" i="4"/>
  <c r="B121" i="4"/>
  <c r="C121" i="4"/>
  <c r="D121" i="4"/>
  <c r="E121" i="4"/>
  <c r="F121" i="4"/>
  <c r="G121" i="4"/>
  <c r="H121" i="4"/>
  <c r="I121" i="4"/>
  <c r="J121" i="4"/>
  <c r="B122" i="4"/>
  <c r="C122" i="4"/>
  <c r="D122" i="4"/>
  <c r="E122" i="4"/>
  <c r="F122" i="4"/>
  <c r="G122" i="4"/>
  <c r="H122" i="4"/>
  <c r="I122" i="4"/>
  <c r="J122" i="4"/>
  <c r="B123" i="4"/>
  <c r="C123" i="4"/>
  <c r="D123" i="4"/>
  <c r="E123" i="4"/>
  <c r="F123" i="4"/>
  <c r="G123" i="4"/>
  <c r="H123" i="4"/>
  <c r="I123" i="4"/>
  <c r="J123" i="4"/>
  <c r="B124" i="4"/>
  <c r="C124" i="4"/>
  <c r="D124" i="4"/>
  <c r="E124" i="4"/>
  <c r="F124" i="4"/>
  <c r="G124" i="4"/>
  <c r="H124" i="4"/>
  <c r="I124" i="4"/>
  <c r="J124" i="4"/>
  <c r="B125" i="4"/>
  <c r="C125" i="4"/>
  <c r="D125" i="4"/>
  <c r="E125" i="4"/>
  <c r="F125" i="4"/>
  <c r="G125" i="4"/>
  <c r="H125" i="4"/>
  <c r="I125" i="4"/>
  <c r="J125" i="4"/>
  <c r="B126" i="4"/>
  <c r="C126" i="4"/>
  <c r="D126" i="4"/>
  <c r="E126" i="4"/>
  <c r="F126" i="4"/>
  <c r="G126" i="4"/>
  <c r="H126" i="4"/>
  <c r="I126" i="4"/>
  <c r="J126" i="4"/>
  <c r="B127" i="4"/>
  <c r="C127" i="4"/>
  <c r="D127" i="4"/>
  <c r="E127" i="4"/>
  <c r="F127" i="4"/>
  <c r="G127" i="4"/>
  <c r="H127" i="4"/>
  <c r="I127" i="4"/>
  <c r="J127" i="4"/>
  <c r="B128" i="4"/>
  <c r="C128" i="4"/>
  <c r="D128" i="4"/>
  <c r="E128" i="4"/>
  <c r="F128" i="4"/>
  <c r="G128" i="4"/>
  <c r="H128" i="4"/>
  <c r="I128" i="4"/>
  <c r="J128" i="4"/>
  <c r="B129" i="4"/>
  <c r="C129" i="4"/>
  <c r="D129" i="4"/>
  <c r="E129" i="4"/>
  <c r="F129" i="4"/>
  <c r="G129" i="4"/>
  <c r="H129" i="4"/>
  <c r="I129" i="4"/>
  <c r="J129" i="4"/>
  <c r="B130" i="4"/>
  <c r="C130" i="4"/>
  <c r="D130" i="4"/>
  <c r="E130" i="4"/>
  <c r="F130" i="4"/>
  <c r="G130" i="4"/>
  <c r="H130" i="4"/>
  <c r="I130" i="4"/>
  <c r="J130" i="4"/>
  <c r="B131" i="4"/>
  <c r="C131" i="4"/>
  <c r="D131" i="4"/>
  <c r="E131" i="4"/>
  <c r="F131" i="4"/>
  <c r="G131" i="4"/>
  <c r="H131" i="4"/>
  <c r="I131" i="4"/>
  <c r="J131" i="4"/>
  <c r="B132" i="4"/>
  <c r="C132" i="4"/>
  <c r="D132" i="4"/>
  <c r="E132" i="4"/>
  <c r="F132" i="4"/>
  <c r="G132" i="4"/>
  <c r="H132" i="4"/>
  <c r="I132" i="4"/>
  <c r="J132" i="4"/>
  <c r="B133" i="4"/>
  <c r="C133" i="4"/>
  <c r="D133" i="4"/>
  <c r="E133" i="4"/>
  <c r="F133" i="4"/>
  <c r="G133" i="4"/>
  <c r="H133" i="4"/>
  <c r="I133" i="4"/>
  <c r="J133" i="4"/>
  <c r="B134" i="4"/>
  <c r="C134" i="4"/>
  <c r="D134" i="4"/>
  <c r="E134" i="4"/>
  <c r="F134" i="4"/>
  <c r="G134" i="4"/>
  <c r="H134" i="4"/>
  <c r="I134" i="4"/>
  <c r="J134" i="4"/>
  <c r="B135" i="4"/>
  <c r="C135" i="4"/>
  <c r="D135" i="4"/>
  <c r="E135" i="4"/>
  <c r="F135" i="4"/>
  <c r="G135" i="4"/>
  <c r="H135" i="4"/>
  <c r="I135" i="4"/>
  <c r="J135" i="4"/>
  <c r="B136" i="4"/>
  <c r="C136" i="4"/>
  <c r="D136" i="4"/>
  <c r="E136" i="4"/>
  <c r="F136" i="4"/>
  <c r="G136" i="4"/>
  <c r="H136" i="4"/>
  <c r="I136" i="4"/>
  <c r="J136" i="4"/>
  <c r="B137" i="4"/>
  <c r="C137" i="4"/>
  <c r="D137" i="4"/>
  <c r="E137" i="4"/>
  <c r="F137" i="4"/>
  <c r="G137" i="4"/>
  <c r="H137" i="4"/>
  <c r="I137" i="4"/>
  <c r="J137" i="4"/>
  <c r="B138" i="4"/>
  <c r="C138" i="4"/>
  <c r="D138" i="4"/>
  <c r="E138" i="4"/>
  <c r="F138" i="4"/>
  <c r="G138" i="4"/>
  <c r="H138" i="4"/>
  <c r="I138" i="4"/>
  <c r="J138" i="4"/>
  <c r="B139" i="4"/>
  <c r="C139" i="4"/>
  <c r="D139" i="4"/>
  <c r="E139" i="4"/>
  <c r="F139" i="4"/>
  <c r="G139" i="4"/>
  <c r="H139" i="4"/>
  <c r="I139" i="4"/>
  <c r="J139" i="4"/>
  <c r="B140" i="4"/>
  <c r="C140" i="4"/>
  <c r="D140" i="4"/>
  <c r="E140" i="4"/>
  <c r="F140" i="4"/>
  <c r="G140" i="4"/>
  <c r="H140" i="4"/>
  <c r="I140" i="4"/>
  <c r="J140" i="4"/>
  <c r="B141" i="4"/>
  <c r="C141" i="4"/>
  <c r="D141" i="4"/>
  <c r="E141" i="4"/>
  <c r="F141" i="4"/>
  <c r="G141" i="4"/>
  <c r="H141" i="4"/>
  <c r="I141" i="4"/>
  <c r="J141" i="4"/>
  <c r="B142" i="4"/>
  <c r="C142" i="4"/>
  <c r="D142" i="4"/>
  <c r="E142" i="4"/>
  <c r="F142" i="4"/>
  <c r="G142" i="4"/>
  <c r="H142" i="4"/>
  <c r="I142" i="4"/>
  <c r="J142" i="4"/>
  <c r="B143" i="4"/>
  <c r="C143" i="4"/>
  <c r="D143" i="4"/>
  <c r="E143" i="4"/>
  <c r="F143" i="4"/>
  <c r="G143" i="4"/>
  <c r="H143" i="4"/>
  <c r="I143" i="4"/>
  <c r="J143" i="4"/>
  <c r="B144" i="4"/>
  <c r="C144" i="4"/>
  <c r="D144" i="4"/>
  <c r="E144" i="4"/>
  <c r="F144" i="4"/>
  <c r="G144" i="4"/>
  <c r="H144" i="4"/>
  <c r="I144" i="4"/>
  <c r="J144" i="4"/>
  <c r="B145" i="4"/>
  <c r="C145" i="4"/>
  <c r="D145" i="4"/>
  <c r="E145" i="4"/>
  <c r="F145" i="4"/>
  <c r="G145" i="4"/>
  <c r="H145" i="4"/>
  <c r="I145" i="4"/>
  <c r="J145" i="4"/>
  <c r="B146" i="4"/>
  <c r="C146" i="4"/>
  <c r="D146" i="4"/>
  <c r="E146" i="4"/>
  <c r="F146" i="4"/>
  <c r="G146" i="4"/>
  <c r="H146" i="4"/>
  <c r="I146" i="4"/>
  <c r="J146" i="4"/>
  <c r="B147" i="4"/>
  <c r="C147" i="4"/>
  <c r="D147" i="4"/>
  <c r="E147" i="4"/>
  <c r="F147" i="4"/>
  <c r="G147" i="4"/>
  <c r="H147" i="4"/>
  <c r="I147" i="4"/>
  <c r="J147" i="4"/>
  <c r="B148" i="4"/>
  <c r="C148" i="4"/>
  <c r="D148" i="4"/>
  <c r="E148" i="4"/>
  <c r="F148" i="4"/>
  <c r="G148" i="4"/>
  <c r="H148" i="4"/>
  <c r="I148" i="4"/>
  <c r="J148" i="4"/>
  <c r="B149" i="4"/>
  <c r="C149" i="4"/>
  <c r="D149" i="4"/>
  <c r="E149" i="4"/>
  <c r="F149" i="4"/>
  <c r="G149" i="4"/>
  <c r="H149" i="4"/>
  <c r="I149" i="4"/>
  <c r="J149" i="4"/>
  <c r="B150" i="4"/>
  <c r="C150" i="4"/>
  <c r="D150" i="4"/>
  <c r="E150" i="4"/>
  <c r="F150" i="4"/>
  <c r="G150" i="4"/>
  <c r="H150" i="4"/>
  <c r="I150" i="4"/>
  <c r="J150" i="4"/>
  <c r="B151" i="4"/>
  <c r="C151" i="4"/>
  <c r="D151" i="4"/>
  <c r="E151" i="4"/>
  <c r="F151" i="4"/>
  <c r="G151" i="4"/>
  <c r="H151" i="4"/>
  <c r="I151" i="4"/>
  <c r="J151" i="4"/>
  <c r="B152" i="4"/>
  <c r="C152" i="4"/>
  <c r="D152" i="4"/>
  <c r="E152" i="4"/>
  <c r="F152" i="4"/>
  <c r="G152" i="4"/>
  <c r="H152" i="4"/>
  <c r="I152" i="4"/>
  <c r="J152" i="4"/>
  <c r="B153" i="4"/>
  <c r="C153" i="4"/>
  <c r="D153" i="4"/>
  <c r="E153" i="4"/>
  <c r="F153" i="4"/>
  <c r="G153" i="4"/>
  <c r="H153" i="4"/>
  <c r="I153" i="4"/>
  <c r="J153" i="4"/>
  <c r="B154" i="4"/>
  <c r="C154" i="4"/>
  <c r="D154" i="4"/>
  <c r="E154" i="4"/>
  <c r="F154" i="4"/>
  <c r="G154" i="4"/>
  <c r="H154" i="4"/>
  <c r="I154" i="4"/>
  <c r="J154" i="4"/>
  <c r="B155" i="4"/>
  <c r="C155" i="4"/>
  <c r="D155" i="4"/>
  <c r="E155" i="4"/>
  <c r="F155" i="4"/>
  <c r="G155" i="4"/>
  <c r="H155" i="4"/>
  <c r="I155" i="4"/>
  <c r="J155" i="4"/>
  <c r="B156" i="4"/>
  <c r="C156" i="4"/>
  <c r="D156" i="4"/>
  <c r="E156" i="4"/>
  <c r="F156" i="4"/>
  <c r="G156" i="4"/>
  <c r="H156" i="4"/>
  <c r="I156" i="4"/>
  <c r="J156" i="4"/>
  <c r="B157" i="4"/>
  <c r="C157" i="4"/>
  <c r="D157" i="4"/>
  <c r="E157" i="4"/>
  <c r="F157" i="4"/>
  <c r="G157" i="4"/>
  <c r="H157" i="4"/>
  <c r="I157" i="4"/>
  <c r="J157" i="4"/>
  <c r="B158" i="4"/>
  <c r="C158" i="4"/>
  <c r="D158" i="4"/>
  <c r="E158" i="4"/>
  <c r="F158" i="4"/>
  <c r="G158" i="4"/>
  <c r="H158" i="4"/>
  <c r="I158" i="4"/>
  <c r="J158" i="4"/>
  <c r="B159" i="4"/>
  <c r="C159" i="4"/>
  <c r="D159" i="4"/>
  <c r="E159" i="4"/>
  <c r="F159" i="4"/>
  <c r="G159" i="4"/>
  <c r="H159" i="4"/>
  <c r="I159" i="4"/>
  <c r="J159" i="4"/>
  <c r="B160" i="4"/>
  <c r="C160" i="4"/>
  <c r="D160" i="4"/>
  <c r="E160" i="4"/>
  <c r="F160" i="4"/>
  <c r="G160" i="4"/>
  <c r="H160" i="4"/>
  <c r="I160" i="4"/>
  <c r="J160" i="4"/>
  <c r="B161" i="4"/>
  <c r="C161" i="4"/>
  <c r="D161" i="4"/>
  <c r="E161" i="4"/>
  <c r="F161" i="4"/>
  <c r="G161" i="4"/>
  <c r="H161" i="4"/>
  <c r="I161" i="4"/>
  <c r="J161" i="4"/>
  <c r="B162" i="4"/>
  <c r="C162" i="4"/>
  <c r="D162" i="4"/>
  <c r="E162" i="4"/>
  <c r="F162" i="4"/>
  <c r="G162" i="4"/>
  <c r="H162" i="4"/>
  <c r="I162" i="4"/>
  <c r="J162" i="4"/>
  <c r="B163" i="4"/>
  <c r="C163" i="4"/>
  <c r="D163" i="4"/>
  <c r="E163" i="4"/>
  <c r="F163" i="4"/>
  <c r="G163" i="4"/>
  <c r="H163" i="4"/>
  <c r="I163" i="4"/>
  <c r="J163" i="4"/>
  <c r="B164" i="4"/>
  <c r="C164" i="4"/>
  <c r="D164" i="4"/>
  <c r="E164" i="4"/>
  <c r="F164" i="4"/>
  <c r="G164" i="4"/>
  <c r="H164" i="4"/>
  <c r="I164" i="4"/>
  <c r="J164" i="4"/>
  <c r="B165" i="4"/>
  <c r="C165" i="4"/>
  <c r="D165" i="4"/>
  <c r="E165" i="4"/>
  <c r="F165" i="4"/>
  <c r="G165" i="4"/>
  <c r="H165" i="4"/>
  <c r="I165" i="4"/>
  <c r="J165" i="4"/>
  <c r="B166" i="4"/>
  <c r="C166" i="4"/>
  <c r="D166" i="4"/>
  <c r="E166" i="4"/>
  <c r="F166" i="4"/>
  <c r="G166" i="4"/>
  <c r="H166" i="4"/>
  <c r="I166" i="4"/>
  <c r="J166" i="4"/>
  <c r="B167" i="4"/>
  <c r="C167" i="4"/>
  <c r="D167" i="4"/>
  <c r="E167" i="4"/>
  <c r="F167" i="4"/>
  <c r="G167" i="4"/>
  <c r="H167" i="4"/>
  <c r="I167" i="4"/>
  <c r="J167" i="4"/>
  <c r="B168" i="4"/>
  <c r="C168" i="4"/>
  <c r="D168" i="4"/>
  <c r="E168" i="4"/>
  <c r="F168" i="4"/>
  <c r="G168" i="4"/>
  <c r="H168" i="4"/>
  <c r="I168" i="4"/>
  <c r="J168" i="4"/>
  <c r="B169" i="4"/>
  <c r="C169" i="4"/>
  <c r="D169" i="4"/>
  <c r="E169" i="4"/>
  <c r="F169" i="4"/>
  <c r="G169" i="4"/>
  <c r="H169" i="4"/>
  <c r="I169" i="4"/>
  <c r="J169" i="4"/>
  <c r="B170" i="4"/>
  <c r="C170" i="4"/>
  <c r="D170" i="4"/>
  <c r="E170" i="4"/>
  <c r="F170" i="4"/>
  <c r="G170" i="4"/>
  <c r="H170" i="4"/>
  <c r="I170" i="4"/>
  <c r="J170" i="4"/>
  <c r="B171" i="4"/>
  <c r="C171" i="4"/>
  <c r="D171" i="4"/>
  <c r="E171" i="4"/>
  <c r="F171" i="4"/>
  <c r="G171" i="4"/>
  <c r="H171" i="4"/>
  <c r="I171" i="4"/>
  <c r="J171" i="4"/>
  <c r="B172" i="4"/>
  <c r="C172" i="4"/>
  <c r="D172" i="4"/>
  <c r="E172" i="4"/>
  <c r="F172" i="4"/>
  <c r="G172" i="4"/>
  <c r="H172" i="4"/>
  <c r="I172" i="4"/>
  <c r="J172" i="4"/>
  <c r="B173" i="4"/>
  <c r="C173" i="4"/>
  <c r="D173" i="4"/>
  <c r="E173" i="4"/>
  <c r="F173" i="4"/>
  <c r="G173" i="4"/>
  <c r="H173" i="4"/>
  <c r="I173" i="4"/>
  <c r="J173" i="4"/>
  <c r="B174" i="4"/>
  <c r="C174" i="4"/>
  <c r="D174" i="4"/>
  <c r="E174" i="4"/>
  <c r="F174" i="4"/>
  <c r="G174" i="4"/>
  <c r="H174" i="4"/>
  <c r="I174" i="4"/>
  <c r="J174" i="4"/>
  <c r="B175" i="4"/>
  <c r="C175" i="4"/>
  <c r="D175" i="4"/>
  <c r="E175" i="4"/>
  <c r="F175" i="4"/>
  <c r="G175" i="4"/>
  <c r="H175" i="4"/>
  <c r="I175" i="4"/>
  <c r="J175" i="4"/>
  <c r="B176" i="4"/>
  <c r="C176" i="4"/>
  <c r="D176" i="4"/>
  <c r="E176" i="4"/>
  <c r="F176" i="4"/>
  <c r="G176" i="4"/>
  <c r="H176" i="4"/>
  <c r="I176" i="4"/>
  <c r="J176" i="4"/>
  <c r="B177" i="4"/>
  <c r="C177" i="4"/>
  <c r="D177" i="4"/>
  <c r="E177" i="4"/>
  <c r="F177" i="4"/>
  <c r="G177" i="4"/>
  <c r="H177" i="4"/>
  <c r="I177" i="4"/>
  <c r="J177" i="4"/>
  <c r="B178" i="4"/>
  <c r="C178" i="4"/>
  <c r="D178" i="4"/>
  <c r="E178" i="4"/>
  <c r="F178" i="4"/>
  <c r="G178" i="4"/>
  <c r="H178" i="4"/>
  <c r="I178" i="4"/>
  <c r="J178" i="4"/>
  <c r="B179" i="4"/>
  <c r="C179" i="4"/>
  <c r="D179" i="4"/>
  <c r="E179" i="4"/>
  <c r="F179" i="4"/>
  <c r="G179" i="4"/>
  <c r="H179" i="4"/>
  <c r="I179" i="4"/>
  <c r="J179" i="4"/>
  <c r="B180" i="4"/>
  <c r="C180" i="4"/>
  <c r="D180" i="4"/>
  <c r="E180" i="4"/>
  <c r="F180" i="4"/>
  <c r="G180" i="4"/>
  <c r="H180" i="4"/>
  <c r="I180" i="4"/>
  <c r="J180" i="4"/>
  <c r="B181" i="4"/>
  <c r="C181" i="4"/>
  <c r="D181" i="4"/>
  <c r="E181" i="4"/>
  <c r="F181" i="4"/>
  <c r="G181" i="4"/>
  <c r="H181" i="4"/>
  <c r="I181" i="4"/>
  <c r="J181" i="4"/>
  <c r="B182" i="4"/>
  <c r="C182" i="4"/>
  <c r="D182" i="4"/>
  <c r="E182" i="4"/>
  <c r="F182" i="4"/>
  <c r="G182" i="4"/>
  <c r="H182" i="4"/>
  <c r="I182" i="4"/>
  <c r="J182" i="4"/>
  <c r="B183" i="4"/>
  <c r="C183" i="4"/>
  <c r="D183" i="4"/>
  <c r="E183" i="4"/>
  <c r="F183" i="4"/>
  <c r="G183" i="4"/>
  <c r="H183" i="4"/>
  <c r="I183" i="4"/>
  <c r="J183" i="4"/>
  <c r="B184" i="4"/>
  <c r="C184" i="4"/>
  <c r="D184" i="4"/>
  <c r="E184" i="4"/>
  <c r="F184" i="4"/>
  <c r="G184" i="4"/>
  <c r="H184" i="4"/>
  <c r="I184" i="4"/>
  <c r="J184" i="4"/>
  <c r="B185" i="4"/>
  <c r="C185" i="4"/>
  <c r="D185" i="4"/>
  <c r="E185" i="4"/>
  <c r="F185" i="4"/>
  <c r="G185" i="4"/>
  <c r="H185" i="4"/>
  <c r="I185" i="4"/>
  <c r="J185" i="4"/>
  <c r="B186" i="4"/>
  <c r="C186" i="4"/>
  <c r="D186" i="4"/>
  <c r="E186" i="4"/>
  <c r="F186" i="4"/>
  <c r="G186" i="4"/>
  <c r="H186" i="4"/>
  <c r="I186" i="4"/>
  <c r="J186" i="4"/>
  <c r="B187" i="4"/>
  <c r="C187" i="4"/>
  <c r="D187" i="4"/>
  <c r="E187" i="4"/>
  <c r="F187" i="4"/>
  <c r="G187" i="4"/>
  <c r="H187" i="4"/>
  <c r="I187" i="4"/>
  <c r="J187" i="4"/>
  <c r="B188" i="4"/>
  <c r="C188" i="4"/>
  <c r="D188" i="4"/>
  <c r="E188" i="4"/>
  <c r="F188" i="4"/>
  <c r="G188" i="4"/>
  <c r="H188" i="4"/>
  <c r="I188" i="4"/>
  <c r="J188" i="4"/>
  <c r="B189" i="4"/>
  <c r="C189" i="4"/>
  <c r="D189" i="4"/>
  <c r="E189" i="4"/>
  <c r="F189" i="4"/>
  <c r="G189" i="4"/>
  <c r="H189" i="4"/>
  <c r="I189" i="4"/>
  <c r="J189" i="4"/>
  <c r="B190" i="4"/>
  <c r="C190" i="4"/>
  <c r="D190" i="4"/>
  <c r="E190" i="4"/>
  <c r="F190" i="4"/>
  <c r="G190" i="4"/>
  <c r="H190" i="4"/>
  <c r="I190" i="4"/>
  <c r="J190" i="4"/>
  <c r="B191" i="4"/>
  <c r="C191" i="4"/>
  <c r="D191" i="4"/>
  <c r="E191" i="4"/>
  <c r="F191" i="4"/>
  <c r="G191" i="4"/>
  <c r="H191" i="4"/>
  <c r="I191" i="4"/>
  <c r="J191" i="4"/>
  <c r="B192" i="4"/>
  <c r="C192" i="4"/>
  <c r="D192" i="4"/>
  <c r="E192" i="4"/>
  <c r="F192" i="4"/>
  <c r="G192" i="4"/>
  <c r="H192" i="4"/>
  <c r="I192" i="4"/>
  <c r="J192" i="4"/>
  <c r="B193" i="4"/>
  <c r="C193" i="4"/>
  <c r="D193" i="4"/>
  <c r="E193" i="4"/>
  <c r="F193" i="4"/>
  <c r="G193" i="4"/>
  <c r="H193" i="4"/>
  <c r="I193" i="4"/>
  <c r="J193" i="4"/>
  <c r="B194" i="4"/>
  <c r="C194" i="4"/>
  <c r="D194" i="4"/>
  <c r="E194" i="4"/>
  <c r="F194" i="4"/>
  <c r="G194" i="4"/>
  <c r="H194" i="4"/>
  <c r="I194" i="4"/>
  <c r="J194" i="4"/>
  <c r="B195" i="4"/>
  <c r="C195" i="4"/>
  <c r="D195" i="4"/>
  <c r="E195" i="4"/>
  <c r="F195" i="4"/>
  <c r="G195" i="4"/>
  <c r="H195" i="4"/>
  <c r="I195" i="4"/>
  <c r="J195" i="4"/>
  <c r="B196" i="4"/>
  <c r="C196" i="4"/>
  <c r="D196" i="4"/>
  <c r="E196" i="4"/>
  <c r="F196" i="4"/>
  <c r="G196" i="4"/>
  <c r="H196" i="4"/>
  <c r="I196" i="4"/>
  <c r="J196" i="4"/>
  <c r="B197" i="4"/>
  <c r="C197" i="4"/>
  <c r="D197" i="4"/>
  <c r="E197" i="4"/>
  <c r="F197" i="4"/>
  <c r="G197" i="4"/>
  <c r="H197" i="4"/>
  <c r="I197" i="4"/>
  <c r="J197" i="4"/>
  <c r="B198" i="4"/>
  <c r="C198" i="4"/>
  <c r="D198" i="4"/>
  <c r="E198" i="4"/>
  <c r="F198" i="4"/>
  <c r="G198" i="4"/>
  <c r="H198" i="4"/>
  <c r="I198" i="4"/>
  <c r="J198" i="4"/>
  <c r="B199" i="4"/>
  <c r="C199" i="4"/>
  <c r="D199" i="4"/>
  <c r="E199" i="4"/>
  <c r="F199" i="4"/>
  <c r="G199" i="4"/>
  <c r="H199" i="4"/>
  <c r="I199" i="4"/>
  <c r="J199" i="4"/>
  <c r="B200" i="4"/>
  <c r="C200" i="4"/>
  <c r="D200" i="4"/>
  <c r="E200" i="4"/>
  <c r="F200" i="4"/>
  <c r="G200" i="4"/>
  <c r="H200" i="4"/>
  <c r="I200" i="4"/>
  <c r="J200" i="4"/>
  <c r="B201" i="4"/>
  <c r="C201" i="4"/>
  <c r="D201" i="4"/>
  <c r="E201" i="4"/>
  <c r="F201" i="4"/>
  <c r="G201" i="4"/>
  <c r="H201" i="4"/>
  <c r="I201" i="4"/>
  <c r="J201" i="4"/>
  <c r="B202" i="4"/>
  <c r="C202" i="4"/>
  <c r="D202" i="4"/>
  <c r="E202" i="4"/>
  <c r="F202" i="4"/>
  <c r="G202" i="4"/>
  <c r="H202" i="4"/>
  <c r="I202" i="4"/>
  <c r="J202" i="4"/>
  <c r="B203" i="4"/>
  <c r="C203" i="4"/>
  <c r="D203" i="4"/>
  <c r="E203" i="4"/>
  <c r="F203" i="4"/>
  <c r="G203" i="4"/>
  <c r="H203" i="4"/>
  <c r="I203" i="4"/>
  <c r="J203" i="4"/>
  <c r="B204" i="4"/>
  <c r="C204" i="4"/>
  <c r="D204" i="4"/>
  <c r="E204" i="4"/>
  <c r="F204" i="4"/>
  <c r="G204" i="4"/>
  <c r="H204" i="4"/>
  <c r="I204" i="4"/>
  <c r="J204" i="4"/>
  <c r="B205" i="4"/>
  <c r="C205" i="4"/>
  <c r="D205" i="4"/>
  <c r="E205" i="4"/>
  <c r="F205" i="4"/>
  <c r="G205" i="4"/>
  <c r="H205" i="4"/>
  <c r="I205" i="4"/>
  <c r="J205" i="4"/>
  <c r="B206" i="4"/>
  <c r="C206" i="4"/>
  <c r="D206" i="4"/>
  <c r="E206" i="4"/>
  <c r="F206" i="4"/>
  <c r="G206" i="4"/>
  <c r="H206" i="4"/>
  <c r="I206" i="4"/>
  <c r="J206" i="4"/>
  <c r="B207" i="4"/>
  <c r="C207" i="4"/>
  <c r="D207" i="4"/>
  <c r="E207" i="4"/>
  <c r="F207" i="4"/>
  <c r="G207" i="4"/>
  <c r="H207" i="4"/>
  <c r="I207" i="4"/>
  <c r="J207" i="4"/>
  <c r="B208" i="4"/>
  <c r="C208" i="4"/>
  <c r="D208" i="4"/>
  <c r="E208" i="4"/>
  <c r="F208" i="4"/>
  <c r="G208" i="4"/>
  <c r="H208" i="4"/>
  <c r="I208" i="4"/>
  <c r="J208" i="4"/>
  <c r="B209" i="4"/>
  <c r="C209" i="4"/>
  <c r="D209" i="4"/>
  <c r="E209" i="4"/>
  <c r="F209" i="4"/>
  <c r="G209" i="4"/>
  <c r="H209" i="4"/>
  <c r="I209" i="4"/>
  <c r="J209" i="4"/>
  <c r="B210" i="4"/>
  <c r="C210" i="4"/>
  <c r="D210" i="4"/>
  <c r="E210" i="4"/>
  <c r="F210" i="4"/>
  <c r="G210" i="4"/>
  <c r="H210" i="4"/>
  <c r="I210" i="4"/>
  <c r="J210" i="4"/>
  <c r="B211" i="4"/>
  <c r="C211" i="4"/>
  <c r="D211" i="4"/>
  <c r="E211" i="4"/>
  <c r="F211" i="4"/>
  <c r="G211" i="4"/>
  <c r="H211" i="4"/>
  <c r="I211" i="4"/>
  <c r="J211" i="4"/>
  <c r="B212" i="4"/>
  <c r="C212" i="4"/>
  <c r="D212" i="4"/>
  <c r="E212" i="4"/>
  <c r="F212" i="4"/>
  <c r="G212" i="4"/>
  <c r="H212" i="4"/>
  <c r="I212" i="4"/>
  <c r="J212" i="4"/>
  <c r="B213" i="4"/>
  <c r="C213" i="4"/>
  <c r="D213" i="4"/>
  <c r="E213" i="4"/>
  <c r="F213" i="4"/>
  <c r="G213" i="4"/>
  <c r="H213" i="4"/>
  <c r="I213" i="4"/>
  <c r="J213" i="4"/>
  <c r="B214" i="4"/>
  <c r="C214" i="4"/>
  <c r="D214" i="4"/>
  <c r="E214" i="4"/>
  <c r="F214" i="4"/>
  <c r="G214" i="4"/>
  <c r="H214" i="4"/>
  <c r="I214" i="4"/>
  <c r="J214" i="4"/>
  <c r="B215" i="4"/>
  <c r="C215" i="4"/>
  <c r="D215" i="4"/>
  <c r="E215" i="4"/>
  <c r="F215" i="4"/>
  <c r="G215" i="4"/>
  <c r="H215" i="4"/>
  <c r="I215" i="4"/>
  <c r="J215" i="4"/>
  <c r="B216" i="4"/>
  <c r="C216" i="4"/>
  <c r="D216" i="4"/>
  <c r="E216" i="4"/>
  <c r="F216" i="4"/>
  <c r="G216" i="4"/>
  <c r="H216" i="4"/>
  <c r="I216" i="4"/>
  <c r="J216" i="4"/>
  <c r="B217" i="4"/>
  <c r="C217" i="4"/>
  <c r="D217" i="4"/>
  <c r="E217" i="4"/>
  <c r="F217" i="4"/>
  <c r="G217" i="4"/>
  <c r="H217" i="4"/>
  <c r="I217" i="4"/>
  <c r="J217" i="4"/>
  <c r="B218" i="4"/>
  <c r="C218" i="4"/>
  <c r="D218" i="4"/>
  <c r="E218" i="4"/>
  <c r="F218" i="4"/>
  <c r="G218" i="4"/>
  <c r="H218" i="4"/>
  <c r="I218" i="4"/>
  <c r="J218" i="4"/>
  <c r="B219" i="4"/>
  <c r="C219" i="4"/>
  <c r="D219" i="4"/>
  <c r="E219" i="4"/>
  <c r="F219" i="4"/>
  <c r="G219" i="4"/>
  <c r="H219" i="4"/>
  <c r="I219" i="4"/>
  <c r="J219" i="4"/>
  <c r="B220" i="4"/>
  <c r="C220" i="4"/>
  <c r="D220" i="4"/>
  <c r="E220" i="4"/>
  <c r="F220" i="4"/>
  <c r="G220" i="4"/>
  <c r="H220" i="4"/>
  <c r="I220" i="4"/>
  <c r="J220" i="4"/>
  <c r="B221" i="4"/>
  <c r="C221" i="4"/>
  <c r="D221" i="4"/>
  <c r="E221" i="4"/>
  <c r="F221" i="4"/>
  <c r="G221" i="4"/>
  <c r="H221" i="4"/>
  <c r="I221" i="4"/>
  <c r="J221" i="4"/>
  <c r="B222" i="4"/>
  <c r="C222" i="4"/>
  <c r="D222" i="4"/>
  <c r="E222" i="4"/>
  <c r="F222" i="4"/>
  <c r="G222" i="4"/>
  <c r="H222" i="4"/>
  <c r="I222" i="4"/>
  <c r="J222" i="4"/>
  <c r="B223" i="4"/>
  <c r="C223" i="4"/>
  <c r="D223" i="4"/>
  <c r="E223" i="4"/>
  <c r="F223" i="4"/>
  <c r="G223" i="4"/>
  <c r="H223" i="4"/>
  <c r="I223" i="4"/>
  <c r="J223" i="4"/>
  <c r="B224" i="4"/>
  <c r="C224" i="4"/>
  <c r="D224" i="4"/>
  <c r="E224" i="4"/>
  <c r="F224" i="4"/>
  <c r="G224" i="4"/>
  <c r="H224" i="4"/>
  <c r="I224" i="4"/>
  <c r="J224" i="4"/>
  <c r="B225" i="4"/>
  <c r="C225" i="4"/>
  <c r="D225" i="4"/>
  <c r="E225" i="4"/>
  <c r="F225" i="4"/>
  <c r="G225" i="4"/>
  <c r="H225" i="4"/>
  <c r="I225" i="4"/>
  <c r="J225" i="4"/>
  <c r="B226" i="4"/>
  <c r="C226" i="4"/>
  <c r="D226" i="4"/>
  <c r="E226" i="4"/>
  <c r="F226" i="4"/>
  <c r="G226" i="4"/>
  <c r="H226" i="4"/>
  <c r="I226" i="4"/>
  <c r="J226" i="4"/>
  <c r="B227" i="4"/>
  <c r="C227" i="4"/>
  <c r="D227" i="4"/>
  <c r="E227" i="4"/>
  <c r="F227" i="4"/>
  <c r="G227" i="4"/>
  <c r="H227" i="4"/>
  <c r="I227" i="4"/>
  <c r="J227" i="4"/>
  <c r="B228" i="4"/>
  <c r="C228" i="4"/>
  <c r="D228" i="4"/>
  <c r="E228" i="4"/>
  <c r="F228" i="4"/>
  <c r="G228" i="4"/>
  <c r="H228" i="4"/>
  <c r="I228" i="4"/>
  <c r="J228" i="4"/>
  <c r="B229" i="4"/>
  <c r="C229" i="4"/>
  <c r="D229" i="4"/>
  <c r="E229" i="4"/>
  <c r="F229" i="4"/>
  <c r="G229" i="4"/>
  <c r="H229" i="4"/>
  <c r="I229" i="4"/>
  <c r="J229" i="4"/>
  <c r="B230" i="4"/>
  <c r="C230" i="4"/>
  <c r="D230" i="4"/>
  <c r="E230" i="4"/>
  <c r="F230" i="4"/>
  <c r="G230" i="4"/>
  <c r="H230" i="4"/>
  <c r="I230" i="4"/>
  <c r="J230" i="4"/>
  <c r="B231" i="4"/>
  <c r="C231" i="4"/>
  <c r="D231" i="4"/>
  <c r="E231" i="4"/>
  <c r="F231" i="4"/>
  <c r="G231" i="4"/>
  <c r="H231" i="4"/>
  <c r="I231" i="4"/>
  <c r="J231" i="4"/>
  <c r="B232" i="4"/>
  <c r="C232" i="4"/>
  <c r="D232" i="4"/>
  <c r="E232" i="4"/>
  <c r="F232" i="4"/>
  <c r="G232" i="4"/>
  <c r="H232" i="4"/>
  <c r="I232" i="4"/>
  <c r="J232" i="4"/>
  <c r="B233" i="4"/>
  <c r="C233" i="4"/>
  <c r="D233" i="4"/>
  <c r="E233" i="4"/>
  <c r="F233" i="4"/>
  <c r="G233" i="4"/>
  <c r="H233" i="4"/>
  <c r="I233" i="4"/>
  <c r="J233" i="4"/>
  <c r="B234" i="4"/>
  <c r="C234" i="4"/>
  <c r="D234" i="4"/>
  <c r="E234" i="4"/>
  <c r="F234" i="4"/>
  <c r="G234" i="4"/>
  <c r="H234" i="4"/>
  <c r="I234" i="4"/>
  <c r="J234" i="4"/>
  <c r="B235" i="4"/>
  <c r="C235" i="4"/>
  <c r="D235" i="4"/>
  <c r="E235" i="4"/>
  <c r="F235" i="4"/>
  <c r="G235" i="4"/>
  <c r="H235" i="4"/>
  <c r="I235" i="4"/>
  <c r="J235" i="4"/>
  <c r="B236" i="4"/>
  <c r="C236" i="4"/>
  <c r="D236" i="4"/>
  <c r="E236" i="4"/>
  <c r="F236" i="4"/>
  <c r="G236" i="4"/>
  <c r="H236" i="4"/>
  <c r="I236" i="4"/>
  <c r="J236" i="4"/>
  <c r="B237" i="4"/>
  <c r="C237" i="4"/>
  <c r="D237" i="4"/>
  <c r="E237" i="4"/>
  <c r="F237" i="4"/>
  <c r="G237" i="4"/>
  <c r="H237" i="4"/>
  <c r="I237" i="4"/>
  <c r="J237" i="4"/>
  <c r="B238" i="4"/>
  <c r="C238" i="4"/>
  <c r="D238" i="4"/>
  <c r="E238" i="4"/>
  <c r="F238" i="4"/>
  <c r="G238" i="4"/>
  <c r="H238" i="4"/>
  <c r="I238" i="4"/>
  <c r="J238" i="4"/>
  <c r="B239" i="4"/>
  <c r="C239" i="4"/>
  <c r="D239" i="4"/>
  <c r="E239" i="4"/>
  <c r="F239" i="4"/>
  <c r="G239" i="4"/>
  <c r="H239" i="4"/>
  <c r="I239" i="4"/>
  <c r="J239" i="4"/>
  <c r="B240" i="4"/>
  <c r="C240" i="4"/>
  <c r="D240" i="4"/>
  <c r="E240" i="4"/>
  <c r="F240" i="4"/>
  <c r="G240" i="4"/>
  <c r="H240" i="4"/>
  <c r="I240" i="4"/>
  <c r="J240" i="4"/>
  <c r="B241" i="4"/>
  <c r="C241" i="4"/>
  <c r="D241" i="4"/>
  <c r="E241" i="4"/>
  <c r="F241" i="4"/>
  <c r="G241" i="4"/>
  <c r="H241" i="4"/>
  <c r="I241" i="4"/>
  <c r="J241" i="4"/>
  <c r="B242" i="4"/>
  <c r="C242" i="4"/>
  <c r="D242" i="4"/>
  <c r="E242" i="4"/>
  <c r="F242" i="4"/>
  <c r="G242" i="4"/>
  <c r="H242" i="4"/>
  <c r="I242" i="4"/>
  <c r="J242" i="4"/>
  <c r="B243" i="4"/>
  <c r="C243" i="4"/>
  <c r="D243" i="4"/>
  <c r="E243" i="4"/>
  <c r="F243" i="4"/>
  <c r="G243" i="4"/>
  <c r="H243" i="4"/>
  <c r="I243" i="4"/>
  <c r="J243" i="4"/>
  <c r="B244" i="4"/>
  <c r="C244" i="4"/>
  <c r="D244" i="4"/>
  <c r="E244" i="4"/>
  <c r="F244" i="4"/>
  <c r="G244" i="4"/>
  <c r="H244" i="4"/>
  <c r="I244" i="4"/>
  <c r="J244" i="4"/>
  <c r="B245" i="4"/>
  <c r="C245" i="4"/>
  <c r="D245" i="4"/>
  <c r="E245" i="4"/>
  <c r="F245" i="4"/>
  <c r="G245" i="4"/>
  <c r="H245" i="4"/>
  <c r="I245" i="4"/>
  <c r="J245" i="4"/>
  <c r="B246" i="4"/>
  <c r="C246" i="4"/>
  <c r="D246" i="4"/>
  <c r="E246" i="4"/>
  <c r="F246" i="4"/>
  <c r="G246" i="4"/>
  <c r="H246" i="4"/>
  <c r="I246" i="4"/>
  <c r="J246" i="4"/>
  <c r="B247" i="4"/>
  <c r="C247" i="4"/>
  <c r="D247" i="4"/>
  <c r="E247" i="4"/>
  <c r="F247" i="4"/>
  <c r="G247" i="4"/>
  <c r="H247" i="4"/>
  <c r="I247" i="4"/>
  <c r="J247" i="4"/>
  <c r="B248" i="4"/>
  <c r="C248" i="4"/>
  <c r="D248" i="4"/>
  <c r="E248" i="4"/>
  <c r="F248" i="4"/>
  <c r="G248" i="4"/>
  <c r="H248" i="4"/>
  <c r="I248" i="4"/>
  <c r="J248" i="4"/>
  <c r="B249" i="4"/>
  <c r="C249" i="4"/>
  <c r="D249" i="4"/>
  <c r="E249" i="4"/>
  <c r="F249" i="4"/>
  <c r="G249" i="4"/>
  <c r="H249" i="4"/>
  <c r="I249" i="4"/>
  <c r="J249" i="4"/>
  <c r="B250" i="4"/>
  <c r="C250" i="4"/>
  <c r="D250" i="4"/>
  <c r="E250" i="4"/>
  <c r="F250" i="4"/>
  <c r="G250" i="4"/>
  <c r="H250" i="4"/>
  <c r="I250" i="4"/>
  <c r="J250" i="4"/>
  <c r="B251" i="4"/>
  <c r="C251" i="4"/>
  <c r="D251" i="4"/>
  <c r="E251" i="4"/>
  <c r="F251" i="4"/>
  <c r="G251" i="4"/>
  <c r="H251" i="4"/>
  <c r="I251" i="4"/>
  <c r="J251" i="4"/>
  <c r="B252" i="4"/>
  <c r="C252" i="4"/>
  <c r="D252" i="4"/>
  <c r="E252" i="4"/>
  <c r="F252" i="4"/>
  <c r="G252" i="4"/>
  <c r="H252" i="4"/>
  <c r="I252" i="4"/>
  <c r="J252" i="4"/>
  <c r="B253" i="4"/>
  <c r="C253" i="4"/>
  <c r="D253" i="4"/>
  <c r="E253" i="4"/>
  <c r="F253" i="4"/>
  <c r="G253" i="4"/>
  <c r="H253" i="4"/>
  <c r="I253" i="4"/>
  <c r="J253" i="4"/>
  <c r="B254" i="4"/>
  <c r="C254" i="4"/>
  <c r="D254" i="4"/>
  <c r="E254" i="4"/>
  <c r="F254" i="4"/>
  <c r="G254" i="4"/>
  <c r="H254" i="4"/>
  <c r="I254" i="4"/>
  <c r="J254" i="4"/>
  <c r="B255" i="4"/>
  <c r="C255" i="4"/>
  <c r="D255" i="4"/>
  <c r="E255" i="4"/>
  <c r="F255" i="4"/>
  <c r="G255" i="4"/>
  <c r="H255" i="4"/>
  <c r="I255" i="4"/>
  <c r="J255" i="4"/>
  <c r="B256" i="4"/>
  <c r="C256" i="4"/>
  <c r="D256" i="4"/>
  <c r="E256" i="4"/>
  <c r="F256" i="4"/>
  <c r="G256" i="4"/>
  <c r="H256" i="4"/>
  <c r="I256" i="4"/>
  <c r="J256" i="4"/>
  <c r="B257" i="4"/>
  <c r="C257" i="4"/>
  <c r="D257" i="4"/>
  <c r="E257" i="4"/>
  <c r="F257" i="4"/>
  <c r="G257" i="4"/>
  <c r="H257" i="4"/>
  <c r="I257" i="4"/>
  <c r="J257" i="4"/>
  <c r="B258" i="4"/>
  <c r="B621" i="4" s="1"/>
  <c r="C258" i="4"/>
  <c r="D258" i="4"/>
  <c r="E258" i="4"/>
  <c r="F258" i="4"/>
  <c r="F621" i="4" s="1"/>
  <c r="G258" i="4"/>
  <c r="H258" i="4"/>
  <c r="I258" i="4"/>
  <c r="J258" i="4"/>
  <c r="B259" i="4"/>
  <c r="C259" i="4"/>
  <c r="D259" i="4"/>
  <c r="E259" i="4"/>
  <c r="E621" i="4" s="1"/>
  <c r="F259" i="4"/>
  <c r="G259" i="4"/>
  <c r="H259" i="4"/>
  <c r="I259" i="4"/>
  <c r="I621" i="4" s="1"/>
  <c r="J259" i="4"/>
  <c r="B260" i="4"/>
  <c r="C260" i="4"/>
  <c r="D260" i="4"/>
  <c r="E260" i="4"/>
  <c r="F260" i="4"/>
  <c r="G260" i="4"/>
  <c r="H260" i="4"/>
  <c r="I260" i="4"/>
  <c r="J260" i="4"/>
  <c r="B261" i="4"/>
  <c r="C261" i="4"/>
  <c r="C621" i="4" s="1"/>
  <c r="D261" i="4"/>
  <c r="E261" i="4"/>
  <c r="F261" i="4"/>
  <c r="G261" i="4"/>
  <c r="G621" i="4" s="1"/>
  <c r="H261" i="4"/>
  <c r="I261" i="4"/>
  <c r="J261" i="4"/>
  <c r="B262" i="4"/>
  <c r="C262" i="4"/>
  <c r="D262" i="4"/>
  <c r="E262" i="4"/>
  <c r="F262" i="4"/>
  <c r="G262" i="4"/>
  <c r="H262" i="4"/>
  <c r="I262" i="4"/>
  <c r="J262" i="4"/>
  <c r="B263" i="4"/>
  <c r="C263" i="4"/>
  <c r="D263" i="4"/>
  <c r="E263" i="4"/>
  <c r="F263" i="4"/>
  <c r="G263" i="4"/>
  <c r="H263" i="4"/>
  <c r="I263" i="4"/>
  <c r="J263" i="4"/>
  <c r="B264" i="4"/>
  <c r="C264" i="4"/>
  <c r="D264" i="4"/>
  <c r="E264" i="4"/>
  <c r="F264" i="4"/>
  <c r="G264" i="4"/>
  <c r="H264" i="4"/>
  <c r="I264" i="4"/>
  <c r="J264" i="4"/>
  <c r="B265" i="4"/>
  <c r="C265" i="4"/>
  <c r="D265" i="4"/>
  <c r="E265" i="4"/>
  <c r="F265" i="4"/>
  <c r="G265" i="4"/>
  <c r="H265" i="4"/>
  <c r="I265" i="4"/>
  <c r="J265" i="4"/>
  <c r="B266" i="4"/>
  <c r="C266" i="4"/>
  <c r="D266" i="4"/>
  <c r="E266" i="4"/>
  <c r="F266" i="4"/>
  <c r="G266" i="4"/>
  <c r="H266" i="4"/>
  <c r="I266" i="4"/>
  <c r="J266" i="4"/>
  <c r="B267" i="4"/>
  <c r="C267" i="4"/>
  <c r="D267" i="4"/>
  <c r="E267" i="4"/>
  <c r="F267" i="4"/>
  <c r="G267" i="4"/>
  <c r="H267" i="4"/>
  <c r="I267" i="4"/>
  <c r="J267" i="4"/>
  <c r="B268" i="4"/>
  <c r="C268" i="4"/>
  <c r="D268" i="4"/>
  <c r="E268" i="4"/>
  <c r="F268" i="4"/>
  <c r="G268" i="4"/>
  <c r="H268" i="4"/>
  <c r="I268" i="4"/>
  <c r="J268" i="4"/>
  <c r="B269" i="4"/>
  <c r="C269" i="4"/>
  <c r="D269" i="4"/>
  <c r="E269" i="4"/>
  <c r="F269" i="4"/>
  <c r="G269" i="4"/>
  <c r="H269" i="4"/>
  <c r="I269" i="4"/>
  <c r="J269" i="4"/>
  <c r="B270" i="4"/>
  <c r="C270" i="4"/>
  <c r="D270" i="4"/>
  <c r="E270" i="4"/>
  <c r="F270" i="4"/>
  <c r="G270" i="4"/>
  <c r="H270" i="4"/>
  <c r="I270" i="4"/>
  <c r="J270" i="4"/>
  <c r="B271" i="4"/>
  <c r="C271" i="4"/>
  <c r="D271" i="4"/>
  <c r="E271" i="4"/>
  <c r="F271" i="4"/>
  <c r="G271" i="4"/>
  <c r="H271" i="4"/>
  <c r="I271" i="4"/>
  <c r="J271" i="4"/>
  <c r="B272" i="4"/>
  <c r="C272" i="4"/>
  <c r="D272" i="4"/>
  <c r="E272" i="4"/>
  <c r="F272" i="4"/>
  <c r="G272" i="4"/>
  <c r="H272" i="4"/>
  <c r="I272" i="4"/>
  <c r="J272" i="4"/>
  <c r="B273" i="4"/>
  <c r="C273" i="4"/>
  <c r="D273" i="4"/>
  <c r="E273" i="4"/>
  <c r="F273" i="4"/>
  <c r="G273" i="4"/>
  <c r="H273" i="4"/>
  <c r="I273" i="4"/>
  <c r="J273" i="4"/>
  <c r="B274" i="4"/>
  <c r="C274" i="4"/>
  <c r="D274" i="4"/>
  <c r="E274" i="4"/>
  <c r="F274" i="4"/>
  <c r="G274" i="4"/>
  <c r="H274" i="4"/>
  <c r="I274" i="4"/>
  <c r="J274" i="4"/>
  <c r="B275" i="4"/>
  <c r="C275" i="4"/>
  <c r="D275" i="4"/>
  <c r="E275" i="4"/>
  <c r="F275" i="4"/>
  <c r="G275" i="4"/>
  <c r="H275" i="4"/>
  <c r="I275" i="4"/>
  <c r="J275" i="4"/>
  <c r="B276" i="4"/>
  <c r="C276" i="4"/>
  <c r="D276" i="4"/>
  <c r="E276" i="4"/>
  <c r="F276" i="4"/>
  <c r="G276" i="4"/>
  <c r="H276" i="4"/>
  <c r="I276" i="4"/>
  <c r="J276" i="4"/>
  <c r="B277" i="4"/>
  <c r="C277" i="4"/>
  <c r="D277" i="4"/>
  <c r="E277" i="4"/>
  <c r="F277" i="4"/>
  <c r="G277" i="4"/>
  <c r="H277" i="4"/>
  <c r="I277" i="4"/>
  <c r="J277" i="4"/>
  <c r="B278" i="4"/>
  <c r="C278" i="4"/>
  <c r="D278" i="4"/>
  <c r="E278" i="4"/>
  <c r="F278" i="4"/>
  <c r="G278" i="4"/>
  <c r="H278" i="4"/>
  <c r="I278" i="4"/>
  <c r="J278" i="4"/>
  <c r="B279" i="4"/>
  <c r="C279" i="4"/>
  <c r="D279" i="4"/>
  <c r="E279" i="4"/>
  <c r="F279" i="4"/>
  <c r="G279" i="4"/>
  <c r="H279" i="4"/>
  <c r="I279" i="4"/>
  <c r="J279" i="4"/>
  <c r="B280" i="4"/>
  <c r="C280" i="4"/>
  <c r="D280" i="4"/>
  <c r="E280" i="4"/>
  <c r="F280" i="4"/>
  <c r="G280" i="4"/>
  <c r="H280" i="4"/>
  <c r="I280" i="4"/>
  <c r="J280" i="4"/>
  <c r="B281" i="4"/>
  <c r="C281" i="4"/>
  <c r="D281" i="4"/>
  <c r="E281" i="4"/>
  <c r="F281" i="4"/>
  <c r="G281" i="4"/>
  <c r="H281" i="4"/>
  <c r="I281" i="4"/>
  <c r="J281" i="4"/>
  <c r="B282" i="4"/>
  <c r="C282" i="4"/>
  <c r="D282" i="4"/>
  <c r="E282" i="4"/>
  <c r="F282" i="4"/>
  <c r="G282" i="4"/>
  <c r="H282" i="4"/>
  <c r="I282" i="4"/>
  <c r="J282" i="4"/>
  <c r="B283" i="4"/>
  <c r="C283" i="4"/>
  <c r="D283" i="4"/>
  <c r="E283" i="4"/>
  <c r="F283" i="4"/>
  <c r="G283" i="4"/>
  <c r="H283" i="4"/>
  <c r="I283" i="4"/>
  <c r="J283" i="4"/>
  <c r="B284" i="4"/>
  <c r="C284" i="4"/>
  <c r="D284" i="4"/>
  <c r="E284" i="4"/>
  <c r="F284" i="4"/>
  <c r="G284" i="4"/>
  <c r="H284" i="4"/>
  <c r="I284" i="4"/>
  <c r="J284" i="4"/>
  <c r="B285" i="4"/>
  <c r="C285" i="4"/>
  <c r="D285" i="4"/>
  <c r="E285" i="4"/>
  <c r="F285" i="4"/>
  <c r="G285" i="4"/>
  <c r="H285" i="4"/>
  <c r="I285" i="4"/>
  <c r="J285" i="4"/>
  <c r="B286" i="4"/>
  <c r="C286" i="4"/>
  <c r="D286" i="4"/>
  <c r="E286" i="4"/>
  <c r="F286" i="4"/>
  <c r="G286" i="4"/>
  <c r="H286" i="4"/>
  <c r="I286" i="4"/>
  <c r="J286" i="4"/>
  <c r="B287" i="4"/>
  <c r="C287" i="4"/>
  <c r="D287" i="4"/>
  <c r="E287" i="4"/>
  <c r="F287" i="4"/>
  <c r="G287" i="4"/>
  <c r="H287" i="4"/>
  <c r="I287" i="4"/>
  <c r="J287" i="4"/>
  <c r="B288" i="4"/>
  <c r="C288" i="4"/>
  <c r="D288" i="4"/>
  <c r="E288" i="4"/>
  <c r="F288" i="4"/>
  <c r="G288" i="4"/>
  <c r="H288" i="4"/>
  <c r="I288" i="4"/>
  <c r="J288" i="4"/>
  <c r="B289" i="4"/>
  <c r="C289" i="4"/>
  <c r="D289" i="4"/>
  <c r="E289" i="4"/>
  <c r="F289" i="4"/>
  <c r="G289" i="4"/>
  <c r="H289" i="4"/>
  <c r="I289" i="4"/>
  <c r="J289" i="4"/>
  <c r="B290" i="4"/>
  <c r="C290" i="4"/>
  <c r="D290" i="4"/>
  <c r="E290" i="4"/>
  <c r="F290" i="4"/>
  <c r="G290" i="4"/>
  <c r="H290" i="4"/>
  <c r="I290" i="4"/>
  <c r="J290" i="4"/>
  <c r="B291" i="4"/>
  <c r="C291" i="4"/>
  <c r="D291" i="4"/>
  <c r="E291" i="4"/>
  <c r="E624" i="4" s="1"/>
  <c r="F291" i="4"/>
  <c r="G291" i="4"/>
  <c r="H291" i="4"/>
  <c r="I291" i="4"/>
  <c r="J291" i="4"/>
  <c r="B292" i="4"/>
  <c r="C292" i="4"/>
  <c r="D292" i="4"/>
  <c r="E292" i="4"/>
  <c r="F292" i="4"/>
  <c r="G292" i="4"/>
  <c r="H292" i="4"/>
  <c r="I292" i="4"/>
  <c r="J292" i="4"/>
  <c r="B293" i="4"/>
  <c r="C293" i="4"/>
  <c r="D293" i="4"/>
  <c r="E293" i="4"/>
  <c r="F293" i="4"/>
  <c r="G293" i="4"/>
  <c r="H293" i="4"/>
  <c r="I293" i="4"/>
  <c r="J293" i="4"/>
  <c r="B294" i="4"/>
  <c r="C294" i="4"/>
  <c r="D294" i="4"/>
  <c r="E294" i="4"/>
  <c r="F294" i="4"/>
  <c r="G294" i="4"/>
  <c r="H294" i="4"/>
  <c r="I294" i="4"/>
  <c r="J294" i="4"/>
  <c r="B295" i="4"/>
  <c r="C295" i="4"/>
  <c r="D295" i="4"/>
  <c r="E295" i="4"/>
  <c r="F295" i="4"/>
  <c r="G295" i="4"/>
  <c r="H295" i="4"/>
  <c r="I295" i="4"/>
  <c r="J295" i="4"/>
  <c r="B296" i="4"/>
  <c r="C296" i="4"/>
  <c r="D296" i="4"/>
  <c r="E296" i="4"/>
  <c r="F296" i="4"/>
  <c r="G296" i="4"/>
  <c r="H296" i="4"/>
  <c r="I296" i="4"/>
  <c r="J296" i="4"/>
  <c r="B297" i="4"/>
  <c r="C297" i="4"/>
  <c r="D297" i="4"/>
  <c r="E297" i="4"/>
  <c r="F297" i="4"/>
  <c r="G297" i="4"/>
  <c r="H297" i="4"/>
  <c r="I297" i="4"/>
  <c r="J297" i="4"/>
  <c r="B298" i="4"/>
  <c r="C298" i="4"/>
  <c r="D298" i="4"/>
  <c r="E298" i="4"/>
  <c r="F298" i="4"/>
  <c r="G298" i="4"/>
  <c r="H298" i="4"/>
  <c r="I298" i="4"/>
  <c r="J298" i="4"/>
  <c r="B299" i="4"/>
  <c r="C299" i="4"/>
  <c r="D299" i="4"/>
  <c r="E299" i="4"/>
  <c r="F299" i="4"/>
  <c r="G299" i="4"/>
  <c r="H299" i="4"/>
  <c r="I299" i="4"/>
  <c r="J299" i="4"/>
  <c r="B300" i="4"/>
  <c r="C300" i="4"/>
  <c r="D300" i="4"/>
  <c r="D625" i="4" s="1"/>
  <c r="E300" i="4"/>
  <c r="F300" i="4"/>
  <c r="G300" i="4"/>
  <c r="H300" i="4"/>
  <c r="H625" i="4" s="1"/>
  <c r="I300" i="4"/>
  <c r="J300" i="4"/>
  <c r="B301" i="4"/>
  <c r="C301" i="4"/>
  <c r="D301" i="4"/>
  <c r="E301" i="4"/>
  <c r="F301" i="4"/>
  <c r="G301" i="4"/>
  <c r="H301" i="4"/>
  <c r="I301" i="4"/>
  <c r="J301" i="4"/>
  <c r="B302" i="4"/>
  <c r="C302" i="4"/>
  <c r="D302" i="4"/>
  <c r="E302" i="4"/>
  <c r="F302" i="4"/>
  <c r="G302" i="4"/>
  <c r="H302" i="4"/>
  <c r="I302" i="4"/>
  <c r="J302" i="4"/>
  <c r="B303" i="4"/>
  <c r="C303" i="4"/>
  <c r="D303" i="4"/>
  <c r="E303" i="4"/>
  <c r="F303" i="4"/>
  <c r="G303" i="4"/>
  <c r="H303" i="4"/>
  <c r="I303" i="4"/>
  <c r="J303" i="4"/>
  <c r="B304" i="4"/>
  <c r="C304" i="4"/>
  <c r="D304" i="4"/>
  <c r="E304" i="4"/>
  <c r="F304" i="4"/>
  <c r="G304" i="4"/>
  <c r="H304" i="4"/>
  <c r="I304" i="4"/>
  <c r="J304" i="4"/>
  <c r="B305" i="4"/>
  <c r="C305" i="4"/>
  <c r="D305" i="4"/>
  <c r="E305" i="4"/>
  <c r="F305" i="4"/>
  <c r="G305" i="4"/>
  <c r="H305" i="4"/>
  <c r="I305" i="4"/>
  <c r="J305" i="4"/>
  <c r="B306" i="4"/>
  <c r="C306" i="4"/>
  <c r="D306" i="4"/>
  <c r="E306" i="4"/>
  <c r="F306" i="4"/>
  <c r="G306" i="4"/>
  <c r="H306" i="4"/>
  <c r="I306" i="4"/>
  <c r="J306" i="4"/>
  <c r="B307" i="4"/>
  <c r="C307" i="4"/>
  <c r="D307" i="4"/>
  <c r="E307" i="4"/>
  <c r="F307" i="4"/>
  <c r="G307" i="4"/>
  <c r="H307" i="4"/>
  <c r="I307" i="4"/>
  <c r="J307" i="4"/>
  <c r="B308" i="4"/>
  <c r="C308" i="4"/>
  <c r="D308" i="4"/>
  <c r="E308" i="4"/>
  <c r="F308" i="4"/>
  <c r="G308" i="4"/>
  <c r="H308" i="4"/>
  <c r="I308" i="4"/>
  <c r="J308" i="4"/>
  <c r="B309" i="4"/>
  <c r="C309" i="4"/>
  <c r="D309" i="4"/>
  <c r="E309" i="4"/>
  <c r="F309" i="4"/>
  <c r="G309" i="4"/>
  <c r="H309" i="4"/>
  <c r="I309" i="4"/>
  <c r="J309" i="4"/>
  <c r="B310" i="4"/>
  <c r="C310" i="4"/>
  <c r="D310" i="4"/>
  <c r="E310" i="4"/>
  <c r="F310" i="4"/>
  <c r="G310" i="4"/>
  <c r="H310" i="4"/>
  <c r="I310" i="4"/>
  <c r="J310" i="4"/>
  <c r="B311" i="4"/>
  <c r="C311" i="4"/>
  <c r="D311" i="4"/>
  <c r="E311" i="4"/>
  <c r="F311" i="4"/>
  <c r="G311" i="4"/>
  <c r="H311" i="4"/>
  <c r="I311" i="4"/>
  <c r="J311" i="4"/>
  <c r="B312" i="4"/>
  <c r="C312" i="4"/>
  <c r="D312" i="4"/>
  <c r="E312" i="4"/>
  <c r="F312" i="4"/>
  <c r="G312" i="4"/>
  <c r="H312" i="4"/>
  <c r="I312" i="4"/>
  <c r="J312" i="4"/>
  <c r="B313" i="4"/>
  <c r="C313" i="4"/>
  <c r="D313" i="4"/>
  <c r="E313" i="4"/>
  <c r="F313" i="4"/>
  <c r="G313" i="4"/>
  <c r="H313" i="4"/>
  <c r="I313" i="4"/>
  <c r="J313" i="4"/>
  <c r="B314" i="4"/>
  <c r="B626" i="4" s="1"/>
  <c r="C314" i="4"/>
  <c r="D314" i="4"/>
  <c r="E314" i="4"/>
  <c r="F314" i="4"/>
  <c r="F626" i="4" s="1"/>
  <c r="G314" i="4"/>
  <c r="H314" i="4"/>
  <c r="I314" i="4"/>
  <c r="J314" i="4"/>
  <c r="B315" i="4"/>
  <c r="C315" i="4"/>
  <c r="D315" i="4"/>
  <c r="E315" i="4"/>
  <c r="F315" i="4"/>
  <c r="G315" i="4"/>
  <c r="H315" i="4"/>
  <c r="I315" i="4"/>
  <c r="J315" i="4"/>
  <c r="B316" i="4"/>
  <c r="C316" i="4"/>
  <c r="D316" i="4"/>
  <c r="E316" i="4"/>
  <c r="F316" i="4"/>
  <c r="G316" i="4"/>
  <c r="H316" i="4"/>
  <c r="I316" i="4"/>
  <c r="J316" i="4"/>
  <c r="B317" i="4"/>
  <c r="C317" i="4"/>
  <c r="D317" i="4"/>
  <c r="E317" i="4"/>
  <c r="F317" i="4"/>
  <c r="G317" i="4"/>
  <c r="H317" i="4"/>
  <c r="I317" i="4"/>
  <c r="J317" i="4"/>
  <c r="B318" i="4"/>
  <c r="C318" i="4"/>
  <c r="D318" i="4"/>
  <c r="E318" i="4"/>
  <c r="F318" i="4"/>
  <c r="G318" i="4"/>
  <c r="H318" i="4"/>
  <c r="I318" i="4"/>
  <c r="J318" i="4"/>
  <c r="B319" i="4"/>
  <c r="C319" i="4"/>
  <c r="D319" i="4"/>
  <c r="E319" i="4"/>
  <c r="F319" i="4"/>
  <c r="G319" i="4"/>
  <c r="H319" i="4"/>
  <c r="I319" i="4"/>
  <c r="J319" i="4"/>
  <c r="B320" i="4"/>
  <c r="C320" i="4"/>
  <c r="D320" i="4"/>
  <c r="E320" i="4"/>
  <c r="F320" i="4"/>
  <c r="G320" i="4"/>
  <c r="H320" i="4"/>
  <c r="I320" i="4"/>
  <c r="J320" i="4"/>
  <c r="B321" i="4"/>
  <c r="C321" i="4"/>
  <c r="D321" i="4"/>
  <c r="E321" i="4"/>
  <c r="F321" i="4"/>
  <c r="G321" i="4"/>
  <c r="H321" i="4"/>
  <c r="I321" i="4"/>
  <c r="J321" i="4"/>
  <c r="B322" i="4"/>
  <c r="C322" i="4"/>
  <c r="D322" i="4"/>
  <c r="E322" i="4"/>
  <c r="F322" i="4"/>
  <c r="G322" i="4"/>
  <c r="H322" i="4"/>
  <c r="I322" i="4"/>
  <c r="J322" i="4"/>
  <c r="B323" i="4"/>
  <c r="C323" i="4"/>
  <c r="D323" i="4"/>
  <c r="E323" i="4"/>
  <c r="F323" i="4"/>
  <c r="G323" i="4"/>
  <c r="H323" i="4"/>
  <c r="I323" i="4"/>
  <c r="J323" i="4"/>
  <c r="B324" i="4"/>
  <c r="C324" i="4"/>
  <c r="D324" i="4"/>
  <c r="D627" i="4" s="1"/>
  <c r="E324" i="4"/>
  <c r="F324" i="4"/>
  <c r="G324" i="4"/>
  <c r="H324" i="4"/>
  <c r="H627" i="4" s="1"/>
  <c r="I324" i="4"/>
  <c r="J324" i="4"/>
  <c r="B325" i="4"/>
  <c r="C325" i="4"/>
  <c r="D325" i="4"/>
  <c r="E325" i="4"/>
  <c r="F325" i="4"/>
  <c r="G325" i="4"/>
  <c r="H325" i="4"/>
  <c r="I325" i="4"/>
  <c r="J325" i="4"/>
  <c r="B326" i="4"/>
  <c r="C326" i="4"/>
  <c r="D326" i="4"/>
  <c r="E326" i="4"/>
  <c r="F326" i="4"/>
  <c r="G326" i="4"/>
  <c r="H326" i="4"/>
  <c r="I326" i="4"/>
  <c r="J326" i="4"/>
  <c r="B327" i="4"/>
  <c r="C327" i="4"/>
  <c r="D327" i="4"/>
  <c r="E327" i="4"/>
  <c r="F327" i="4"/>
  <c r="G327" i="4"/>
  <c r="H327" i="4"/>
  <c r="I327" i="4"/>
  <c r="J327" i="4"/>
  <c r="B328" i="4"/>
  <c r="C328" i="4"/>
  <c r="D328" i="4"/>
  <c r="E328" i="4"/>
  <c r="F328" i="4"/>
  <c r="G328" i="4"/>
  <c r="H328" i="4"/>
  <c r="I328" i="4"/>
  <c r="J328" i="4"/>
  <c r="B329" i="4"/>
  <c r="C329" i="4"/>
  <c r="D329" i="4"/>
  <c r="E329" i="4"/>
  <c r="F329" i="4"/>
  <c r="G329" i="4"/>
  <c r="H329" i="4"/>
  <c r="I329" i="4"/>
  <c r="J329" i="4"/>
  <c r="B330" i="4"/>
  <c r="C330" i="4"/>
  <c r="D330" i="4"/>
  <c r="E330" i="4"/>
  <c r="F330" i="4"/>
  <c r="G330" i="4"/>
  <c r="H330" i="4"/>
  <c r="I330" i="4"/>
  <c r="J330" i="4"/>
  <c r="B331" i="4"/>
  <c r="C331" i="4"/>
  <c r="D331" i="4"/>
  <c r="E331" i="4"/>
  <c r="F331" i="4"/>
  <c r="G331" i="4"/>
  <c r="H331" i="4"/>
  <c r="I331" i="4"/>
  <c r="J331" i="4"/>
  <c r="B332" i="4"/>
  <c r="C332" i="4"/>
  <c r="D332" i="4"/>
  <c r="E332" i="4"/>
  <c r="F332" i="4"/>
  <c r="G332" i="4"/>
  <c r="H332" i="4"/>
  <c r="I332" i="4"/>
  <c r="J332" i="4"/>
  <c r="B333" i="4"/>
  <c r="C333" i="4"/>
  <c r="D333" i="4"/>
  <c r="E333" i="4"/>
  <c r="F333" i="4"/>
  <c r="G333" i="4"/>
  <c r="H333" i="4"/>
  <c r="I333" i="4"/>
  <c r="J333" i="4"/>
  <c r="B334" i="4"/>
  <c r="C334" i="4"/>
  <c r="D334" i="4"/>
  <c r="E334" i="4"/>
  <c r="F334" i="4"/>
  <c r="G334" i="4"/>
  <c r="H334" i="4"/>
  <c r="I334" i="4"/>
  <c r="J334" i="4"/>
  <c r="B335" i="4"/>
  <c r="C335" i="4"/>
  <c r="D335" i="4"/>
  <c r="E335" i="4"/>
  <c r="F335" i="4"/>
  <c r="G335" i="4"/>
  <c r="H335" i="4"/>
  <c r="I335" i="4"/>
  <c r="J335" i="4"/>
  <c r="B336" i="4"/>
  <c r="C336" i="4"/>
  <c r="D336" i="4"/>
  <c r="E336" i="4"/>
  <c r="F336" i="4"/>
  <c r="G336" i="4"/>
  <c r="H336" i="4"/>
  <c r="I336" i="4"/>
  <c r="J336" i="4"/>
  <c r="B337" i="4"/>
  <c r="C337" i="4"/>
  <c r="D337" i="4"/>
  <c r="E337" i="4"/>
  <c r="F337" i="4"/>
  <c r="G337" i="4"/>
  <c r="H337" i="4"/>
  <c r="I337" i="4"/>
  <c r="J337" i="4"/>
  <c r="B338" i="4"/>
  <c r="B628" i="4" s="1"/>
  <c r="C338" i="4"/>
  <c r="D338" i="4"/>
  <c r="E338" i="4"/>
  <c r="F338" i="4"/>
  <c r="F628" i="4" s="1"/>
  <c r="G338" i="4"/>
  <c r="H338" i="4"/>
  <c r="I338" i="4"/>
  <c r="J338" i="4"/>
  <c r="B339" i="4"/>
  <c r="C339" i="4"/>
  <c r="D339" i="4"/>
  <c r="E339" i="4"/>
  <c r="F339" i="4"/>
  <c r="G339" i="4"/>
  <c r="H339" i="4"/>
  <c r="I339" i="4"/>
  <c r="J339" i="4"/>
  <c r="B340" i="4"/>
  <c r="C340" i="4"/>
  <c r="D340" i="4"/>
  <c r="E340" i="4"/>
  <c r="F340" i="4"/>
  <c r="G340" i="4"/>
  <c r="H340" i="4"/>
  <c r="I340" i="4"/>
  <c r="J340" i="4"/>
  <c r="B341" i="4"/>
  <c r="C341" i="4"/>
  <c r="D341" i="4"/>
  <c r="E341" i="4"/>
  <c r="F341" i="4"/>
  <c r="G341" i="4"/>
  <c r="H341" i="4"/>
  <c r="I341" i="4"/>
  <c r="J341" i="4"/>
  <c r="B342" i="4"/>
  <c r="C342" i="4"/>
  <c r="D342" i="4"/>
  <c r="E342" i="4"/>
  <c r="F342" i="4"/>
  <c r="G342" i="4"/>
  <c r="H342" i="4"/>
  <c r="I342" i="4"/>
  <c r="J342" i="4"/>
  <c r="B343" i="4"/>
  <c r="C343" i="4"/>
  <c r="D343" i="4"/>
  <c r="E343" i="4"/>
  <c r="F343" i="4"/>
  <c r="G343" i="4"/>
  <c r="H343" i="4"/>
  <c r="I343" i="4"/>
  <c r="J343" i="4"/>
  <c r="B344" i="4"/>
  <c r="C344" i="4"/>
  <c r="D344" i="4"/>
  <c r="E344" i="4"/>
  <c r="F344" i="4"/>
  <c r="G344" i="4"/>
  <c r="H344" i="4"/>
  <c r="I344" i="4"/>
  <c r="J344" i="4"/>
  <c r="B345" i="4"/>
  <c r="C345" i="4"/>
  <c r="D345" i="4"/>
  <c r="E345" i="4"/>
  <c r="F345" i="4"/>
  <c r="G345" i="4"/>
  <c r="H345" i="4"/>
  <c r="I345" i="4"/>
  <c r="J345" i="4"/>
  <c r="B346" i="4"/>
  <c r="C346" i="4"/>
  <c r="D346" i="4"/>
  <c r="E346" i="4"/>
  <c r="F346" i="4"/>
  <c r="G346" i="4"/>
  <c r="H346" i="4"/>
  <c r="I346" i="4"/>
  <c r="J346" i="4"/>
  <c r="B347" i="4"/>
  <c r="C347" i="4"/>
  <c r="D347" i="4"/>
  <c r="E347" i="4"/>
  <c r="F347" i="4"/>
  <c r="G347" i="4"/>
  <c r="H347" i="4"/>
  <c r="I347" i="4"/>
  <c r="J347" i="4"/>
  <c r="B348" i="4"/>
  <c r="C348" i="4"/>
  <c r="D348" i="4"/>
  <c r="D629" i="4" s="1"/>
  <c r="E348" i="4"/>
  <c r="F348" i="4"/>
  <c r="G348" i="4"/>
  <c r="H348" i="4"/>
  <c r="H629" i="4" s="1"/>
  <c r="I348" i="4"/>
  <c r="J348" i="4"/>
  <c r="B349" i="4"/>
  <c r="C349" i="4"/>
  <c r="D349" i="4"/>
  <c r="E349" i="4"/>
  <c r="F349" i="4"/>
  <c r="G349" i="4"/>
  <c r="H349" i="4"/>
  <c r="I349" i="4"/>
  <c r="J349" i="4"/>
  <c r="B350" i="4"/>
  <c r="C350" i="4"/>
  <c r="D350" i="4"/>
  <c r="E350" i="4"/>
  <c r="F350" i="4"/>
  <c r="G350" i="4"/>
  <c r="H350" i="4"/>
  <c r="I350" i="4"/>
  <c r="J350" i="4"/>
  <c r="B351" i="4"/>
  <c r="C351" i="4"/>
  <c r="D351" i="4"/>
  <c r="E351" i="4"/>
  <c r="F351" i="4"/>
  <c r="G351" i="4"/>
  <c r="H351" i="4"/>
  <c r="I351" i="4"/>
  <c r="J351" i="4"/>
  <c r="B352" i="4"/>
  <c r="C352" i="4"/>
  <c r="D352" i="4"/>
  <c r="E352" i="4"/>
  <c r="F352" i="4"/>
  <c r="G352" i="4"/>
  <c r="H352" i="4"/>
  <c r="I352" i="4"/>
  <c r="J352" i="4"/>
  <c r="B353" i="4"/>
  <c r="C353" i="4"/>
  <c r="D353" i="4"/>
  <c r="E353" i="4"/>
  <c r="F353" i="4"/>
  <c r="G353" i="4"/>
  <c r="H353" i="4"/>
  <c r="I353" i="4"/>
  <c r="J353" i="4"/>
  <c r="B354" i="4"/>
  <c r="C354" i="4"/>
  <c r="D354" i="4"/>
  <c r="E354" i="4"/>
  <c r="F354" i="4"/>
  <c r="G354" i="4"/>
  <c r="H354" i="4"/>
  <c r="I354" i="4"/>
  <c r="J354" i="4"/>
  <c r="B355" i="4"/>
  <c r="C355" i="4"/>
  <c r="D355" i="4"/>
  <c r="E355" i="4"/>
  <c r="F355" i="4"/>
  <c r="G355" i="4"/>
  <c r="H355" i="4"/>
  <c r="I355" i="4"/>
  <c r="J355" i="4"/>
  <c r="B356" i="4"/>
  <c r="C356" i="4"/>
  <c r="D356" i="4"/>
  <c r="E356" i="4"/>
  <c r="F356" i="4"/>
  <c r="G356" i="4"/>
  <c r="H356" i="4"/>
  <c r="I356" i="4"/>
  <c r="J356" i="4"/>
  <c r="B357" i="4"/>
  <c r="C357" i="4"/>
  <c r="D357" i="4"/>
  <c r="E357" i="4"/>
  <c r="F357" i="4"/>
  <c r="G357" i="4"/>
  <c r="H357" i="4"/>
  <c r="I357" i="4"/>
  <c r="J357" i="4"/>
  <c r="B358" i="4"/>
  <c r="C358" i="4"/>
  <c r="D358" i="4"/>
  <c r="E358" i="4"/>
  <c r="F358" i="4"/>
  <c r="G358" i="4"/>
  <c r="H358" i="4"/>
  <c r="I358" i="4"/>
  <c r="J358" i="4"/>
  <c r="B359" i="4"/>
  <c r="C359" i="4"/>
  <c r="D359" i="4"/>
  <c r="E359" i="4"/>
  <c r="F359" i="4"/>
  <c r="G359" i="4"/>
  <c r="H359" i="4"/>
  <c r="I359" i="4"/>
  <c r="J359" i="4"/>
  <c r="B360" i="4"/>
  <c r="C360" i="4"/>
  <c r="D360" i="4"/>
  <c r="E360" i="4"/>
  <c r="F360" i="4"/>
  <c r="G360" i="4"/>
  <c r="H360" i="4"/>
  <c r="I360" i="4"/>
  <c r="J360" i="4"/>
  <c r="B361" i="4"/>
  <c r="C361" i="4"/>
  <c r="D361" i="4"/>
  <c r="E361" i="4"/>
  <c r="F361" i="4"/>
  <c r="G361" i="4"/>
  <c r="H361" i="4"/>
  <c r="I361" i="4"/>
  <c r="J361" i="4"/>
  <c r="B362" i="4"/>
  <c r="B630" i="4" s="1"/>
  <c r="C362" i="4"/>
  <c r="D362" i="4"/>
  <c r="E362" i="4"/>
  <c r="F362" i="4"/>
  <c r="F630" i="4" s="1"/>
  <c r="G362" i="4"/>
  <c r="H362" i="4"/>
  <c r="I362" i="4"/>
  <c r="J362" i="4"/>
  <c r="B363" i="4"/>
  <c r="C363" i="4"/>
  <c r="D363" i="4"/>
  <c r="E363" i="4"/>
  <c r="F363" i="4"/>
  <c r="G363" i="4"/>
  <c r="H363" i="4"/>
  <c r="I363" i="4"/>
  <c r="J363" i="4"/>
  <c r="B364" i="4"/>
  <c r="C364" i="4"/>
  <c r="D364" i="4"/>
  <c r="E364" i="4"/>
  <c r="F364" i="4"/>
  <c r="G364" i="4"/>
  <c r="H364" i="4"/>
  <c r="I364" i="4"/>
  <c r="J364" i="4"/>
  <c r="B365" i="4"/>
  <c r="C365" i="4"/>
  <c r="D365" i="4"/>
  <c r="E365" i="4"/>
  <c r="F365" i="4"/>
  <c r="G365" i="4"/>
  <c r="H365" i="4"/>
  <c r="I365" i="4"/>
  <c r="J365" i="4"/>
  <c r="B366" i="4"/>
  <c r="C366" i="4"/>
  <c r="D366" i="4"/>
  <c r="E366" i="4"/>
  <c r="F366" i="4"/>
  <c r="G366" i="4"/>
  <c r="H366" i="4"/>
  <c r="I366" i="4"/>
  <c r="J366" i="4"/>
  <c r="B367" i="4"/>
  <c r="C367" i="4"/>
  <c r="D367" i="4"/>
  <c r="E367" i="4"/>
  <c r="F367" i="4"/>
  <c r="G367" i="4"/>
  <c r="H367" i="4"/>
  <c r="I367" i="4"/>
  <c r="J367" i="4"/>
  <c r="B368" i="4"/>
  <c r="C368" i="4"/>
  <c r="D368" i="4"/>
  <c r="E368" i="4"/>
  <c r="F368" i="4"/>
  <c r="G368" i="4"/>
  <c r="H368" i="4"/>
  <c r="I368" i="4"/>
  <c r="J368" i="4"/>
  <c r="B369" i="4"/>
  <c r="C369" i="4"/>
  <c r="D369" i="4"/>
  <c r="E369" i="4"/>
  <c r="F369" i="4"/>
  <c r="G369" i="4"/>
  <c r="H369" i="4"/>
  <c r="I369" i="4"/>
  <c r="J369" i="4"/>
  <c r="B370" i="4"/>
  <c r="C370" i="4"/>
  <c r="D370" i="4"/>
  <c r="E370" i="4"/>
  <c r="F370" i="4"/>
  <c r="G370" i="4"/>
  <c r="H370" i="4"/>
  <c r="I370" i="4"/>
  <c r="J370" i="4"/>
  <c r="B371" i="4"/>
  <c r="C371" i="4"/>
  <c r="D371" i="4"/>
  <c r="E371" i="4"/>
  <c r="F371" i="4"/>
  <c r="G371" i="4"/>
  <c r="H371" i="4"/>
  <c r="I371" i="4"/>
  <c r="J371" i="4"/>
  <c r="B372" i="4"/>
  <c r="C372" i="4"/>
  <c r="D372" i="4"/>
  <c r="D631" i="4" s="1"/>
  <c r="E372" i="4"/>
  <c r="F372" i="4"/>
  <c r="G372" i="4"/>
  <c r="H372" i="4"/>
  <c r="H631" i="4" s="1"/>
  <c r="I372" i="4"/>
  <c r="J372" i="4"/>
  <c r="B373" i="4"/>
  <c r="C373" i="4"/>
  <c r="D373" i="4"/>
  <c r="E373" i="4"/>
  <c r="F373" i="4"/>
  <c r="G373" i="4"/>
  <c r="H373" i="4"/>
  <c r="I373" i="4"/>
  <c r="J373" i="4"/>
  <c r="B374" i="4"/>
  <c r="C374" i="4"/>
  <c r="D374" i="4"/>
  <c r="E374" i="4"/>
  <c r="F374" i="4"/>
  <c r="G374" i="4"/>
  <c r="H374" i="4"/>
  <c r="I374" i="4"/>
  <c r="J374" i="4"/>
  <c r="B375" i="4"/>
  <c r="C375" i="4"/>
  <c r="D375" i="4"/>
  <c r="E375" i="4"/>
  <c r="F375" i="4"/>
  <c r="G375" i="4"/>
  <c r="H375" i="4"/>
  <c r="I375" i="4"/>
  <c r="J375" i="4"/>
  <c r="B376" i="4"/>
  <c r="C376" i="4"/>
  <c r="D376" i="4"/>
  <c r="E376" i="4"/>
  <c r="F376" i="4"/>
  <c r="G376" i="4"/>
  <c r="H376" i="4"/>
  <c r="I376" i="4"/>
  <c r="J376" i="4"/>
  <c r="B377" i="4"/>
  <c r="C377" i="4"/>
  <c r="D377" i="4"/>
  <c r="E377" i="4"/>
  <c r="F377" i="4"/>
  <c r="G377" i="4"/>
  <c r="H377" i="4"/>
  <c r="I377" i="4"/>
  <c r="J377" i="4"/>
  <c r="B378" i="4"/>
  <c r="C378" i="4"/>
  <c r="D378" i="4"/>
  <c r="E378" i="4"/>
  <c r="F378" i="4"/>
  <c r="G378" i="4"/>
  <c r="H378" i="4"/>
  <c r="I378" i="4"/>
  <c r="J378" i="4"/>
  <c r="B379" i="4"/>
  <c r="C379" i="4"/>
  <c r="D379" i="4"/>
  <c r="E379" i="4"/>
  <c r="F379" i="4"/>
  <c r="G379" i="4"/>
  <c r="H379" i="4"/>
  <c r="I379" i="4"/>
  <c r="J379" i="4"/>
  <c r="B380" i="4"/>
  <c r="C380" i="4"/>
  <c r="D380" i="4"/>
  <c r="E380" i="4"/>
  <c r="F380" i="4"/>
  <c r="G380" i="4"/>
  <c r="H380" i="4"/>
  <c r="I380" i="4"/>
  <c r="J380" i="4"/>
  <c r="B381" i="4"/>
  <c r="C381" i="4"/>
  <c r="D381" i="4"/>
  <c r="E381" i="4"/>
  <c r="F381" i="4"/>
  <c r="G381" i="4"/>
  <c r="H381" i="4"/>
  <c r="I381" i="4"/>
  <c r="J381" i="4"/>
  <c r="B382" i="4"/>
  <c r="C382" i="4"/>
  <c r="D382" i="4"/>
  <c r="E382" i="4"/>
  <c r="F382" i="4"/>
  <c r="G382" i="4"/>
  <c r="H382" i="4"/>
  <c r="I382" i="4"/>
  <c r="J382" i="4"/>
  <c r="B383" i="4"/>
  <c r="C383" i="4"/>
  <c r="D383" i="4"/>
  <c r="E383" i="4"/>
  <c r="F383" i="4"/>
  <c r="G383" i="4"/>
  <c r="H383" i="4"/>
  <c r="I383" i="4"/>
  <c r="J383" i="4"/>
  <c r="B384" i="4"/>
  <c r="C384" i="4"/>
  <c r="D384" i="4"/>
  <c r="E384" i="4"/>
  <c r="F384" i="4"/>
  <c r="G384" i="4"/>
  <c r="H384" i="4"/>
  <c r="I384" i="4"/>
  <c r="J384" i="4"/>
  <c r="B385" i="4"/>
  <c r="C385" i="4"/>
  <c r="D385" i="4"/>
  <c r="E385" i="4"/>
  <c r="F385" i="4"/>
  <c r="G385" i="4"/>
  <c r="H385" i="4"/>
  <c r="I385" i="4"/>
  <c r="J385" i="4"/>
  <c r="B386" i="4"/>
  <c r="B632" i="4" s="1"/>
  <c r="C386" i="4"/>
  <c r="D386" i="4"/>
  <c r="E386" i="4"/>
  <c r="F386" i="4"/>
  <c r="F632" i="4" s="1"/>
  <c r="G386" i="4"/>
  <c r="H386" i="4"/>
  <c r="I386" i="4"/>
  <c r="J386" i="4"/>
  <c r="B387" i="4"/>
  <c r="C387" i="4"/>
  <c r="D387" i="4"/>
  <c r="E387" i="4"/>
  <c r="F387" i="4"/>
  <c r="G387" i="4"/>
  <c r="H387" i="4"/>
  <c r="I387" i="4"/>
  <c r="J387" i="4"/>
  <c r="B388" i="4"/>
  <c r="C388" i="4"/>
  <c r="D388" i="4"/>
  <c r="E388" i="4"/>
  <c r="F388" i="4"/>
  <c r="G388" i="4"/>
  <c r="H388" i="4"/>
  <c r="I388" i="4"/>
  <c r="J388" i="4"/>
  <c r="B389" i="4"/>
  <c r="C389" i="4"/>
  <c r="D389" i="4"/>
  <c r="E389" i="4"/>
  <c r="F389" i="4"/>
  <c r="G389" i="4"/>
  <c r="H389" i="4"/>
  <c r="I389" i="4"/>
  <c r="J389" i="4"/>
  <c r="B390" i="4"/>
  <c r="C390" i="4"/>
  <c r="D390" i="4"/>
  <c r="E390" i="4"/>
  <c r="F390" i="4"/>
  <c r="G390" i="4"/>
  <c r="H390" i="4"/>
  <c r="I390" i="4"/>
  <c r="J390" i="4"/>
  <c r="B391" i="4"/>
  <c r="C391" i="4"/>
  <c r="D391" i="4"/>
  <c r="E391" i="4"/>
  <c r="F391" i="4"/>
  <c r="G391" i="4"/>
  <c r="H391" i="4"/>
  <c r="I391" i="4"/>
  <c r="J391" i="4"/>
  <c r="B392" i="4"/>
  <c r="C392" i="4"/>
  <c r="D392" i="4"/>
  <c r="E392" i="4"/>
  <c r="F392" i="4"/>
  <c r="G392" i="4"/>
  <c r="H392" i="4"/>
  <c r="I392" i="4"/>
  <c r="J392" i="4"/>
  <c r="B393" i="4"/>
  <c r="C393" i="4"/>
  <c r="D393" i="4"/>
  <c r="E393" i="4"/>
  <c r="F393" i="4"/>
  <c r="G393" i="4"/>
  <c r="H393" i="4"/>
  <c r="I393" i="4"/>
  <c r="J393" i="4"/>
  <c r="B394" i="4"/>
  <c r="C394" i="4"/>
  <c r="D394" i="4"/>
  <c r="E394" i="4"/>
  <c r="F394" i="4"/>
  <c r="G394" i="4"/>
  <c r="H394" i="4"/>
  <c r="I394" i="4"/>
  <c r="J394" i="4"/>
  <c r="B395" i="4"/>
  <c r="C395" i="4"/>
  <c r="D395" i="4"/>
  <c r="E395" i="4"/>
  <c r="F395" i="4"/>
  <c r="G395" i="4"/>
  <c r="H395" i="4"/>
  <c r="I395" i="4"/>
  <c r="J395" i="4"/>
  <c r="B396" i="4"/>
  <c r="C396" i="4"/>
  <c r="D396" i="4"/>
  <c r="D633" i="4" s="1"/>
  <c r="E396" i="4"/>
  <c r="F396" i="4"/>
  <c r="G396" i="4"/>
  <c r="H396" i="4"/>
  <c r="H633" i="4" s="1"/>
  <c r="I396" i="4"/>
  <c r="J396" i="4"/>
  <c r="B397" i="4"/>
  <c r="C397" i="4"/>
  <c r="D397" i="4"/>
  <c r="E397" i="4"/>
  <c r="F397" i="4"/>
  <c r="G397" i="4"/>
  <c r="H397" i="4"/>
  <c r="I397" i="4"/>
  <c r="J397" i="4"/>
  <c r="B398" i="4"/>
  <c r="C398" i="4"/>
  <c r="D398" i="4"/>
  <c r="E398" i="4"/>
  <c r="F398" i="4"/>
  <c r="G398" i="4"/>
  <c r="H398" i="4"/>
  <c r="I398" i="4"/>
  <c r="J398" i="4"/>
  <c r="B399" i="4"/>
  <c r="C399" i="4"/>
  <c r="D399" i="4"/>
  <c r="E399" i="4"/>
  <c r="F399" i="4"/>
  <c r="G399" i="4"/>
  <c r="H399" i="4"/>
  <c r="I399" i="4"/>
  <c r="J399" i="4"/>
  <c r="B400" i="4"/>
  <c r="C400" i="4"/>
  <c r="D400" i="4"/>
  <c r="E400" i="4"/>
  <c r="F400" i="4"/>
  <c r="G400" i="4"/>
  <c r="H400" i="4"/>
  <c r="I400" i="4"/>
  <c r="J400" i="4"/>
  <c r="B401" i="4"/>
  <c r="C401" i="4"/>
  <c r="D401" i="4"/>
  <c r="E401" i="4"/>
  <c r="F401" i="4"/>
  <c r="G401" i="4"/>
  <c r="H401" i="4"/>
  <c r="I401" i="4"/>
  <c r="J401" i="4"/>
  <c r="B402" i="4"/>
  <c r="C402" i="4"/>
  <c r="D402" i="4"/>
  <c r="E402" i="4"/>
  <c r="F402" i="4"/>
  <c r="G402" i="4"/>
  <c r="H402" i="4"/>
  <c r="I402" i="4"/>
  <c r="J402" i="4"/>
  <c r="B403" i="4"/>
  <c r="C403" i="4"/>
  <c r="D403" i="4"/>
  <c r="E403" i="4"/>
  <c r="F403" i="4"/>
  <c r="G403" i="4"/>
  <c r="H403" i="4"/>
  <c r="I403" i="4"/>
  <c r="J403" i="4"/>
  <c r="B404" i="4"/>
  <c r="C404" i="4"/>
  <c r="D404" i="4"/>
  <c r="E404" i="4"/>
  <c r="F404" i="4"/>
  <c r="G404" i="4"/>
  <c r="H404" i="4"/>
  <c r="I404" i="4"/>
  <c r="J404" i="4"/>
  <c r="B405" i="4"/>
  <c r="C405" i="4"/>
  <c r="D405" i="4"/>
  <c r="E405" i="4"/>
  <c r="F405" i="4"/>
  <c r="G405" i="4"/>
  <c r="H405" i="4"/>
  <c r="I405" i="4"/>
  <c r="J405" i="4"/>
  <c r="B406" i="4"/>
  <c r="C406" i="4"/>
  <c r="D406" i="4"/>
  <c r="E406" i="4"/>
  <c r="F406" i="4"/>
  <c r="G406" i="4"/>
  <c r="H406" i="4"/>
  <c r="I406" i="4"/>
  <c r="J406" i="4"/>
  <c r="B407" i="4"/>
  <c r="C407" i="4"/>
  <c r="D407" i="4"/>
  <c r="E407" i="4"/>
  <c r="F407" i="4"/>
  <c r="G407" i="4"/>
  <c r="H407" i="4"/>
  <c r="I407" i="4"/>
  <c r="J407" i="4"/>
  <c r="B408" i="4"/>
  <c r="C408" i="4"/>
  <c r="D408" i="4"/>
  <c r="D634" i="4" s="1"/>
  <c r="E408" i="4"/>
  <c r="F408" i="4"/>
  <c r="G408" i="4"/>
  <c r="H408" i="4"/>
  <c r="H634" i="4" s="1"/>
  <c r="I408" i="4"/>
  <c r="J408" i="4"/>
  <c r="B409" i="4"/>
  <c r="C409" i="4"/>
  <c r="D409" i="4"/>
  <c r="E409" i="4"/>
  <c r="F409" i="4"/>
  <c r="G409" i="4"/>
  <c r="H409" i="4"/>
  <c r="I409" i="4"/>
  <c r="J409" i="4"/>
  <c r="B410" i="4"/>
  <c r="B634" i="4" s="1"/>
  <c r="C410" i="4"/>
  <c r="D410" i="4"/>
  <c r="E410" i="4"/>
  <c r="F410" i="4"/>
  <c r="G410" i="4"/>
  <c r="H410" i="4"/>
  <c r="I410" i="4"/>
  <c r="J410" i="4"/>
  <c r="B411" i="4"/>
  <c r="C411" i="4"/>
  <c r="D411" i="4"/>
  <c r="E411" i="4"/>
  <c r="F411" i="4"/>
  <c r="G411" i="4"/>
  <c r="H411" i="4"/>
  <c r="I411" i="4"/>
  <c r="I634" i="4" s="1"/>
  <c r="J411" i="4"/>
  <c r="B412" i="4"/>
  <c r="C412" i="4"/>
  <c r="D412" i="4"/>
  <c r="E412" i="4"/>
  <c r="F412" i="4"/>
  <c r="G412" i="4"/>
  <c r="H412" i="4"/>
  <c r="I412" i="4"/>
  <c r="J412" i="4"/>
  <c r="B413" i="4"/>
  <c r="C413" i="4"/>
  <c r="D413" i="4"/>
  <c r="E413" i="4"/>
  <c r="F413" i="4"/>
  <c r="G413" i="4"/>
  <c r="H413" i="4"/>
  <c r="I413" i="4"/>
  <c r="J413" i="4"/>
  <c r="B414" i="4"/>
  <c r="C414" i="4"/>
  <c r="D414" i="4"/>
  <c r="E414" i="4"/>
  <c r="F414" i="4"/>
  <c r="G414" i="4"/>
  <c r="H414" i="4"/>
  <c r="I414" i="4"/>
  <c r="J414" i="4"/>
  <c r="B415" i="4"/>
  <c r="C415" i="4"/>
  <c r="D415" i="4"/>
  <c r="E415" i="4"/>
  <c r="F415" i="4"/>
  <c r="G415" i="4"/>
  <c r="H415" i="4"/>
  <c r="I415" i="4"/>
  <c r="J415" i="4"/>
  <c r="B416" i="4"/>
  <c r="C416" i="4"/>
  <c r="D416" i="4"/>
  <c r="E416" i="4"/>
  <c r="F416" i="4"/>
  <c r="G416" i="4"/>
  <c r="H416" i="4"/>
  <c r="I416" i="4"/>
  <c r="J416" i="4"/>
  <c r="B417" i="4"/>
  <c r="C417" i="4"/>
  <c r="D417" i="4"/>
  <c r="E417" i="4"/>
  <c r="F417" i="4"/>
  <c r="G417" i="4"/>
  <c r="H417" i="4"/>
  <c r="I417" i="4"/>
  <c r="J417" i="4"/>
  <c r="B418" i="4"/>
  <c r="C418" i="4"/>
  <c r="D418" i="4"/>
  <c r="E418" i="4"/>
  <c r="F418" i="4"/>
  <c r="G418" i="4"/>
  <c r="H418" i="4"/>
  <c r="I418" i="4"/>
  <c r="J418" i="4"/>
  <c r="B419" i="4"/>
  <c r="C419" i="4"/>
  <c r="D419" i="4"/>
  <c r="E419" i="4"/>
  <c r="F419" i="4"/>
  <c r="G419" i="4"/>
  <c r="H419" i="4"/>
  <c r="I419" i="4"/>
  <c r="J419" i="4"/>
  <c r="B420" i="4"/>
  <c r="C420" i="4"/>
  <c r="D420" i="4"/>
  <c r="D635" i="4" s="1"/>
  <c r="E420" i="4"/>
  <c r="F420" i="4"/>
  <c r="G420" i="4"/>
  <c r="H420" i="4"/>
  <c r="H635" i="4" s="1"/>
  <c r="I420" i="4"/>
  <c r="J420" i="4"/>
  <c r="B421" i="4"/>
  <c r="C421" i="4"/>
  <c r="C635" i="4" s="1"/>
  <c r="D421" i="4"/>
  <c r="E421" i="4"/>
  <c r="F421" i="4"/>
  <c r="G421" i="4"/>
  <c r="G635" i="4" s="1"/>
  <c r="H421" i="4"/>
  <c r="I421" i="4"/>
  <c r="J421" i="4"/>
  <c r="B422" i="4"/>
  <c r="B635" i="4" s="1"/>
  <c r="C422" i="4"/>
  <c r="D422" i="4"/>
  <c r="E422" i="4"/>
  <c r="F422" i="4"/>
  <c r="F635" i="4" s="1"/>
  <c r="G422" i="4"/>
  <c r="H422" i="4"/>
  <c r="I422" i="4"/>
  <c r="J422" i="4"/>
  <c r="B423" i="4"/>
  <c r="C423" i="4"/>
  <c r="D423" i="4"/>
  <c r="E423" i="4"/>
  <c r="F423" i="4"/>
  <c r="G423" i="4"/>
  <c r="H423" i="4"/>
  <c r="I423" i="4"/>
  <c r="J423" i="4"/>
  <c r="B424" i="4"/>
  <c r="C424" i="4"/>
  <c r="D424" i="4"/>
  <c r="E424" i="4"/>
  <c r="F424" i="4"/>
  <c r="G424" i="4"/>
  <c r="H424" i="4"/>
  <c r="I424" i="4"/>
  <c r="J424" i="4"/>
  <c r="B425" i="4"/>
  <c r="C425" i="4"/>
  <c r="D425" i="4"/>
  <c r="E425" i="4"/>
  <c r="F425" i="4"/>
  <c r="G425" i="4"/>
  <c r="H425" i="4"/>
  <c r="I425" i="4"/>
  <c r="J425" i="4"/>
  <c r="B426" i="4"/>
  <c r="C426" i="4"/>
  <c r="D426" i="4"/>
  <c r="E426" i="4"/>
  <c r="F426" i="4"/>
  <c r="G426" i="4"/>
  <c r="H426" i="4"/>
  <c r="I426" i="4"/>
  <c r="J426" i="4"/>
  <c r="B427" i="4"/>
  <c r="C427" i="4"/>
  <c r="D427" i="4"/>
  <c r="E427" i="4"/>
  <c r="F427" i="4"/>
  <c r="G427" i="4"/>
  <c r="H427" i="4"/>
  <c r="I427" i="4"/>
  <c r="J427" i="4"/>
  <c r="B428" i="4"/>
  <c r="C428" i="4"/>
  <c r="D428" i="4"/>
  <c r="E428" i="4"/>
  <c r="F428" i="4"/>
  <c r="G428" i="4"/>
  <c r="H428" i="4"/>
  <c r="I428" i="4"/>
  <c r="J428" i="4"/>
  <c r="B429" i="4"/>
  <c r="C429" i="4"/>
  <c r="D429" i="4"/>
  <c r="E429" i="4"/>
  <c r="F429" i="4"/>
  <c r="G429" i="4"/>
  <c r="H429" i="4"/>
  <c r="I429" i="4"/>
  <c r="J429" i="4"/>
  <c r="B430" i="4"/>
  <c r="C430" i="4"/>
  <c r="D430" i="4"/>
  <c r="E430" i="4"/>
  <c r="F430" i="4"/>
  <c r="G430" i="4"/>
  <c r="H430" i="4"/>
  <c r="I430" i="4"/>
  <c r="J430" i="4"/>
  <c r="B431" i="4"/>
  <c r="C431" i="4"/>
  <c r="D431" i="4"/>
  <c r="E431" i="4"/>
  <c r="F431" i="4"/>
  <c r="G431" i="4"/>
  <c r="H431" i="4"/>
  <c r="I431" i="4"/>
  <c r="J431" i="4"/>
  <c r="B432" i="4"/>
  <c r="C432" i="4"/>
  <c r="D432" i="4"/>
  <c r="D636" i="4" s="1"/>
  <c r="E432" i="4"/>
  <c r="F432" i="4"/>
  <c r="G432" i="4"/>
  <c r="H432" i="4"/>
  <c r="H636" i="4" s="1"/>
  <c r="I432" i="4"/>
  <c r="J432" i="4"/>
  <c r="B433" i="4"/>
  <c r="C433" i="4"/>
  <c r="D433" i="4"/>
  <c r="E433" i="4"/>
  <c r="F433" i="4"/>
  <c r="G433" i="4"/>
  <c r="H433" i="4"/>
  <c r="I433" i="4"/>
  <c r="J433" i="4"/>
  <c r="B434" i="4"/>
  <c r="B636" i="4" s="1"/>
  <c r="C434" i="4"/>
  <c r="D434" i="4"/>
  <c r="E434" i="4"/>
  <c r="F434" i="4"/>
  <c r="F636" i="4" s="1"/>
  <c r="G434" i="4"/>
  <c r="H434" i="4"/>
  <c r="I434" i="4"/>
  <c r="J434" i="4"/>
  <c r="B435" i="4"/>
  <c r="C435" i="4"/>
  <c r="D435" i="4"/>
  <c r="E435" i="4"/>
  <c r="E636" i="4" s="1"/>
  <c r="F435" i="4"/>
  <c r="G435" i="4"/>
  <c r="H435" i="4"/>
  <c r="I435" i="4"/>
  <c r="I636" i="4" s="1"/>
  <c r="J435" i="4"/>
  <c r="B436" i="4"/>
  <c r="C436" i="4"/>
  <c r="D436" i="4"/>
  <c r="E436" i="4"/>
  <c r="F436" i="4"/>
  <c r="G436" i="4"/>
  <c r="H436" i="4"/>
  <c r="I436" i="4"/>
  <c r="J436" i="4"/>
  <c r="B437" i="4"/>
  <c r="C437" i="4"/>
  <c r="D437" i="4"/>
  <c r="E437" i="4"/>
  <c r="F437" i="4"/>
  <c r="G437" i="4"/>
  <c r="H437" i="4"/>
  <c r="I437" i="4"/>
  <c r="J437" i="4"/>
  <c r="B438" i="4"/>
  <c r="C438" i="4"/>
  <c r="D438" i="4"/>
  <c r="E438" i="4"/>
  <c r="F438" i="4"/>
  <c r="G438" i="4"/>
  <c r="H438" i="4"/>
  <c r="I438" i="4"/>
  <c r="J438" i="4"/>
  <c r="B439" i="4"/>
  <c r="C439" i="4"/>
  <c r="D439" i="4"/>
  <c r="E439" i="4"/>
  <c r="F439" i="4"/>
  <c r="G439" i="4"/>
  <c r="H439" i="4"/>
  <c r="I439" i="4"/>
  <c r="J439" i="4"/>
  <c r="B440" i="4"/>
  <c r="C440" i="4"/>
  <c r="D440" i="4"/>
  <c r="E440" i="4"/>
  <c r="F440" i="4"/>
  <c r="G440" i="4"/>
  <c r="H440" i="4"/>
  <c r="I440" i="4"/>
  <c r="J440" i="4"/>
  <c r="B441" i="4"/>
  <c r="C441" i="4"/>
  <c r="D441" i="4"/>
  <c r="E441" i="4"/>
  <c r="F441" i="4"/>
  <c r="G441" i="4"/>
  <c r="H441" i="4"/>
  <c r="I441" i="4"/>
  <c r="J441" i="4"/>
  <c r="B442" i="4"/>
  <c r="C442" i="4"/>
  <c r="D442" i="4"/>
  <c r="E442" i="4"/>
  <c r="F442" i="4"/>
  <c r="G442" i="4"/>
  <c r="H442" i="4"/>
  <c r="I442" i="4"/>
  <c r="J442" i="4"/>
  <c r="B443" i="4"/>
  <c r="C443" i="4"/>
  <c r="D443" i="4"/>
  <c r="E443" i="4"/>
  <c r="F443" i="4"/>
  <c r="G443" i="4"/>
  <c r="H443" i="4"/>
  <c r="I443" i="4"/>
  <c r="J443" i="4"/>
  <c r="B444" i="4"/>
  <c r="C444" i="4"/>
  <c r="D444" i="4"/>
  <c r="D637" i="4" s="1"/>
  <c r="E444" i="4"/>
  <c r="F444" i="4"/>
  <c r="G444" i="4"/>
  <c r="H444" i="4"/>
  <c r="H637" i="4" s="1"/>
  <c r="I444" i="4"/>
  <c r="J444" i="4"/>
  <c r="B445" i="4"/>
  <c r="C445" i="4"/>
  <c r="C637" i="4" s="1"/>
  <c r="D445" i="4"/>
  <c r="E445" i="4"/>
  <c r="F445" i="4"/>
  <c r="G445" i="4"/>
  <c r="G637" i="4" s="1"/>
  <c r="H445" i="4"/>
  <c r="I445" i="4"/>
  <c r="J445" i="4"/>
  <c r="B446" i="4"/>
  <c r="B637" i="4" s="1"/>
  <c r="C446" i="4"/>
  <c r="D446" i="4"/>
  <c r="E446" i="4"/>
  <c r="F446" i="4"/>
  <c r="F637" i="4" s="1"/>
  <c r="G446" i="4"/>
  <c r="H446" i="4"/>
  <c r="I446" i="4"/>
  <c r="J446" i="4"/>
  <c r="B447" i="4"/>
  <c r="C447" i="4"/>
  <c r="D447" i="4"/>
  <c r="E447" i="4"/>
  <c r="F447" i="4"/>
  <c r="G447" i="4"/>
  <c r="H447" i="4"/>
  <c r="I447" i="4"/>
  <c r="J447" i="4"/>
  <c r="B448" i="4"/>
  <c r="C448" i="4"/>
  <c r="D448" i="4"/>
  <c r="E448" i="4"/>
  <c r="F448" i="4"/>
  <c r="G448" i="4"/>
  <c r="H448" i="4"/>
  <c r="I448" i="4"/>
  <c r="J448" i="4"/>
  <c r="B449" i="4"/>
  <c r="C449" i="4"/>
  <c r="D449" i="4"/>
  <c r="E449" i="4"/>
  <c r="F449" i="4"/>
  <c r="G449" i="4"/>
  <c r="H449" i="4"/>
  <c r="I449" i="4"/>
  <c r="J449" i="4"/>
  <c r="B450" i="4"/>
  <c r="C450" i="4"/>
  <c r="D450" i="4"/>
  <c r="E450" i="4"/>
  <c r="F450" i="4"/>
  <c r="G450" i="4"/>
  <c r="H450" i="4"/>
  <c r="I450" i="4"/>
  <c r="J450" i="4"/>
  <c r="B451" i="4"/>
  <c r="C451" i="4"/>
  <c r="D451" i="4"/>
  <c r="E451" i="4"/>
  <c r="F451" i="4"/>
  <c r="G451" i="4"/>
  <c r="H451" i="4"/>
  <c r="I451" i="4"/>
  <c r="J451" i="4"/>
  <c r="B452" i="4"/>
  <c r="C452" i="4"/>
  <c r="D452" i="4"/>
  <c r="E452" i="4"/>
  <c r="F452" i="4"/>
  <c r="G452" i="4"/>
  <c r="H452" i="4"/>
  <c r="I452" i="4"/>
  <c r="J452" i="4"/>
  <c r="B453" i="4"/>
  <c r="C453" i="4"/>
  <c r="D453" i="4"/>
  <c r="E453" i="4"/>
  <c r="F453" i="4"/>
  <c r="G453" i="4"/>
  <c r="H453" i="4"/>
  <c r="I453" i="4"/>
  <c r="J453" i="4"/>
  <c r="B454" i="4"/>
  <c r="C454" i="4"/>
  <c r="D454" i="4"/>
  <c r="E454" i="4"/>
  <c r="F454" i="4"/>
  <c r="G454" i="4"/>
  <c r="H454" i="4"/>
  <c r="I454" i="4"/>
  <c r="J454" i="4"/>
  <c r="B455" i="4"/>
  <c r="C455" i="4"/>
  <c r="D455" i="4"/>
  <c r="E455" i="4"/>
  <c r="F455" i="4"/>
  <c r="G455" i="4"/>
  <c r="H455" i="4"/>
  <c r="I455" i="4"/>
  <c r="J455" i="4"/>
  <c r="B456" i="4"/>
  <c r="C456" i="4"/>
  <c r="D456" i="4"/>
  <c r="D638" i="4" s="1"/>
  <c r="E456" i="4"/>
  <c r="F456" i="4"/>
  <c r="G456" i="4"/>
  <c r="H456" i="4"/>
  <c r="H638" i="4" s="1"/>
  <c r="I456" i="4"/>
  <c r="J456" i="4"/>
  <c r="B457" i="4"/>
  <c r="C457" i="4"/>
  <c r="D457" i="4"/>
  <c r="E457" i="4"/>
  <c r="F457" i="4"/>
  <c r="G457" i="4"/>
  <c r="H457" i="4"/>
  <c r="I457" i="4"/>
  <c r="J457" i="4"/>
  <c r="B458" i="4"/>
  <c r="B638" i="4" s="1"/>
  <c r="C458" i="4"/>
  <c r="D458" i="4"/>
  <c r="E458" i="4"/>
  <c r="F458" i="4"/>
  <c r="F638" i="4" s="1"/>
  <c r="G458" i="4"/>
  <c r="H458" i="4"/>
  <c r="I458" i="4"/>
  <c r="J458" i="4"/>
  <c r="B459" i="4"/>
  <c r="C459" i="4"/>
  <c r="D459" i="4"/>
  <c r="E459" i="4"/>
  <c r="E638" i="4" s="1"/>
  <c r="F459" i="4"/>
  <c r="G459" i="4"/>
  <c r="H459" i="4"/>
  <c r="I459" i="4"/>
  <c r="I638" i="4" s="1"/>
  <c r="J459" i="4"/>
  <c r="B460" i="4"/>
  <c r="C460" i="4"/>
  <c r="D460" i="4"/>
  <c r="E460" i="4"/>
  <c r="F460" i="4"/>
  <c r="G460" i="4"/>
  <c r="H460" i="4"/>
  <c r="I460" i="4"/>
  <c r="J460" i="4"/>
  <c r="B461" i="4"/>
  <c r="C461" i="4"/>
  <c r="D461" i="4"/>
  <c r="E461" i="4"/>
  <c r="F461" i="4"/>
  <c r="G461" i="4"/>
  <c r="H461" i="4"/>
  <c r="I461" i="4"/>
  <c r="J461" i="4"/>
  <c r="B462" i="4"/>
  <c r="C462" i="4"/>
  <c r="D462" i="4"/>
  <c r="E462" i="4"/>
  <c r="F462" i="4"/>
  <c r="G462" i="4"/>
  <c r="H462" i="4"/>
  <c r="I462" i="4"/>
  <c r="J462" i="4"/>
  <c r="B463" i="4"/>
  <c r="C463" i="4"/>
  <c r="D463" i="4"/>
  <c r="E463" i="4"/>
  <c r="F463" i="4"/>
  <c r="G463" i="4"/>
  <c r="H463" i="4"/>
  <c r="I463" i="4"/>
  <c r="J463" i="4"/>
  <c r="B464" i="4"/>
  <c r="C464" i="4"/>
  <c r="D464" i="4"/>
  <c r="E464" i="4"/>
  <c r="F464" i="4"/>
  <c r="G464" i="4"/>
  <c r="H464" i="4"/>
  <c r="I464" i="4"/>
  <c r="J464" i="4"/>
  <c r="B465" i="4"/>
  <c r="C465" i="4"/>
  <c r="D465" i="4"/>
  <c r="E465" i="4"/>
  <c r="F465" i="4"/>
  <c r="G465" i="4"/>
  <c r="H465" i="4"/>
  <c r="I465" i="4"/>
  <c r="J465" i="4"/>
  <c r="B466" i="4"/>
  <c r="C466" i="4"/>
  <c r="D466" i="4"/>
  <c r="E466" i="4"/>
  <c r="F466" i="4"/>
  <c r="G466" i="4"/>
  <c r="H466" i="4"/>
  <c r="I466" i="4"/>
  <c r="J466" i="4"/>
  <c r="B467" i="4"/>
  <c r="C467" i="4"/>
  <c r="D467" i="4"/>
  <c r="E467" i="4"/>
  <c r="F467" i="4"/>
  <c r="G467" i="4"/>
  <c r="H467" i="4"/>
  <c r="I467" i="4"/>
  <c r="J467" i="4"/>
  <c r="B468" i="4"/>
  <c r="C468" i="4"/>
  <c r="D468" i="4"/>
  <c r="D639" i="4" s="1"/>
  <c r="E468" i="4"/>
  <c r="F468" i="4"/>
  <c r="G468" i="4"/>
  <c r="H468" i="4"/>
  <c r="H639" i="4" s="1"/>
  <c r="I468" i="4"/>
  <c r="J468" i="4"/>
  <c r="B469" i="4"/>
  <c r="C469" i="4"/>
  <c r="C639" i="4" s="1"/>
  <c r="D469" i="4"/>
  <c r="E469" i="4"/>
  <c r="F469" i="4"/>
  <c r="G469" i="4"/>
  <c r="G639" i="4" s="1"/>
  <c r="H469" i="4"/>
  <c r="I469" i="4"/>
  <c r="J469" i="4"/>
  <c r="B470" i="4"/>
  <c r="B639" i="4" s="1"/>
  <c r="C470" i="4"/>
  <c r="D470" i="4"/>
  <c r="E470" i="4"/>
  <c r="F470" i="4"/>
  <c r="F639" i="4" s="1"/>
  <c r="G470" i="4"/>
  <c r="H470" i="4"/>
  <c r="I470" i="4"/>
  <c r="J470" i="4"/>
  <c r="B471" i="4"/>
  <c r="C471" i="4"/>
  <c r="D471" i="4"/>
  <c r="E471" i="4"/>
  <c r="F471" i="4"/>
  <c r="G471" i="4"/>
  <c r="H471" i="4"/>
  <c r="I471" i="4"/>
  <c r="J471" i="4"/>
  <c r="B472" i="4"/>
  <c r="C472" i="4"/>
  <c r="D472" i="4"/>
  <c r="E472" i="4"/>
  <c r="F472" i="4"/>
  <c r="G472" i="4"/>
  <c r="H472" i="4"/>
  <c r="I472" i="4"/>
  <c r="J472" i="4"/>
  <c r="B473" i="4"/>
  <c r="C473" i="4"/>
  <c r="D473" i="4"/>
  <c r="E473" i="4"/>
  <c r="F473" i="4"/>
  <c r="G473" i="4"/>
  <c r="H473" i="4"/>
  <c r="I473" i="4"/>
  <c r="J473" i="4"/>
  <c r="B474" i="4"/>
  <c r="C474" i="4"/>
  <c r="D474" i="4"/>
  <c r="E474" i="4"/>
  <c r="F474" i="4"/>
  <c r="G474" i="4"/>
  <c r="H474" i="4"/>
  <c r="I474" i="4"/>
  <c r="J474" i="4"/>
  <c r="B475" i="4"/>
  <c r="C475" i="4"/>
  <c r="D475" i="4"/>
  <c r="E475" i="4"/>
  <c r="F475" i="4"/>
  <c r="G475" i="4"/>
  <c r="H475" i="4"/>
  <c r="I475" i="4"/>
  <c r="J475" i="4"/>
  <c r="B476" i="4"/>
  <c r="C476" i="4"/>
  <c r="D476" i="4"/>
  <c r="E476" i="4"/>
  <c r="F476" i="4"/>
  <c r="G476" i="4"/>
  <c r="H476" i="4"/>
  <c r="I476" i="4"/>
  <c r="J476" i="4"/>
  <c r="B477" i="4"/>
  <c r="C477" i="4"/>
  <c r="D477" i="4"/>
  <c r="E477" i="4"/>
  <c r="F477" i="4"/>
  <c r="G477" i="4"/>
  <c r="H477" i="4"/>
  <c r="I477" i="4"/>
  <c r="J477" i="4"/>
  <c r="B478" i="4"/>
  <c r="C478" i="4"/>
  <c r="D478" i="4"/>
  <c r="E478" i="4"/>
  <c r="F478" i="4"/>
  <c r="G478" i="4"/>
  <c r="H478" i="4"/>
  <c r="I478" i="4"/>
  <c r="J478" i="4"/>
  <c r="B479" i="4"/>
  <c r="C479" i="4"/>
  <c r="D479" i="4"/>
  <c r="E479" i="4"/>
  <c r="F479" i="4"/>
  <c r="G479" i="4"/>
  <c r="H479" i="4"/>
  <c r="I479" i="4"/>
  <c r="J479" i="4"/>
  <c r="B480" i="4"/>
  <c r="C480" i="4"/>
  <c r="D480" i="4"/>
  <c r="D640" i="4" s="1"/>
  <c r="E480" i="4"/>
  <c r="F480" i="4"/>
  <c r="G480" i="4"/>
  <c r="H480" i="4"/>
  <c r="H640" i="4" s="1"/>
  <c r="I480" i="4"/>
  <c r="J480" i="4"/>
  <c r="B481" i="4"/>
  <c r="C481" i="4"/>
  <c r="D481" i="4"/>
  <c r="E481" i="4"/>
  <c r="F481" i="4"/>
  <c r="G481" i="4"/>
  <c r="H481" i="4"/>
  <c r="I481" i="4"/>
  <c r="J481" i="4"/>
  <c r="B482" i="4"/>
  <c r="B640" i="4" s="1"/>
  <c r="C482" i="4"/>
  <c r="D482" i="4"/>
  <c r="E482" i="4"/>
  <c r="F482" i="4"/>
  <c r="F640" i="4" s="1"/>
  <c r="G482" i="4"/>
  <c r="H482" i="4"/>
  <c r="I482" i="4"/>
  <c r="J482" i="4"/>
  <c r="B483" i="4"/>
  <c r="C483" i="4"/>
  <c r="D483" i="4"/>
  <c r="E483" i="4"/>
  <c r="E640" i="4" s="1"/>
  <c r="F483" i="4"/>
  <c r="G483" i="4"/>
  <c r="H483" i="4"/>
  <c r="I483" i="4"/>
  <c r="I640" i="4" s="1"/>
  <c r="J483" i="4"/>
  <c r="B484" i="4"/>
  <c r="C484" i="4"/>
  <c r="D484" i="4"/>
  <c r="E484" i="4"/>
  <c r="F484" i="4"/>
  <c r="G484" i="4"/>
  <c r="H484" i="4"/>
  <c r="I484" i="4"/>
  <c r="J484" i="4"/>
  <c r="B485" i="4"/>
  <c r="C485" i="4"/>
  <c r="D485" i="4"/>
  <c r="E485" i="4"/>
  <c r="F485" i="4"/>
  <c r="G485" i="4"/>
  <c r="H485" i="4"/>
  <c r="I485" i="4"/>
  <c r="J485" i="4"/>
  <c r="B486" i="4"/>
  <c r="C486" i="4"/>
  <c r="D486" i="4"/>
  <c r="E486" i="4"/>
  <c r="F486" i="4"/>
  <c r="G486" i="4"/>
  <c r="H486" i="4"/>
  <c r="I486" i="4"/>
  <c r="J486" i="4"/>
  <c r="B487" i="4"/>
  <c r="C487" i="4"/>
  <c r="D487" i="4"/>
  <c r="E487" i="4"/>
  <c r="F487" i="4"/>
  <c r="G487" i="4"/>
  <c r="H487" i="4"/>
  <c r="I487" i="4"/>
  <c r="J487" i="4"/>
  <c r="B488" i="4"/>
  <c r="C488" i="4"/>
  <c r="D488" i="4"/>
  <c r="E488" i="4"/>
  <c r="F488" i="4"/>
  <c r="G488" i="4"/>
  <c r="H488" i="4"/>
  <c r="I488" i="4"/>
  <c r="J488" i="4"/>
  <c r="B489" i="4"/>
  <c r="C489" i="4"/>
  <c r="D489" i="4"/>
  <c r="E489" i="4"/>
  <c r="F489" i="4"/>
  <c r="G489" i="4"/>
  <c r="H489" i="4"/>
  <c r="I489" i="4"/>
  <c r="J489" i="4"/>
  <c r="B490" i="4"/>
  <c r="C490" i="4"/>
  <c r="D490" i="4"/>
  <c r="E490" i="4"/>
  <c r="F490" i="4"/>
  <c r="G490" i="4"/>
  <c r="H490" i="4"/>
  <c r="I490" i="4"/>
  <c r="J490" i="4"/>
  <c r="B491" i="4"/>
  <c r="C491" i="4"/>
  <c r="D491" i="4"/>
  <c r="E491" i="4"/>
  <c r="F491" i="4"/>
  <c r="G491" i="4"/>
  <c r="H491" i="4"/>
  <c r="I491" i="4"/>
  <c r="J491" i="4"/>
  <c r="B492" i="4"/>
  <c r="C492" i="4"/>
  <c r="D492" i="4"/>
  <c r="D641" i="4" s="1"/>
  <c r="E492" i="4"/>
  <c r="F492" i="4"/>
  <c r="G492" i="4"/>
  <c r="H492" i="4"/>
  <c r="H641" i="4" s="1"/>
  <c r="I492" i="4"/>
  <c r="J492" i="4"/>
  <c r="B493" i="4"/>
  <c r="C493" i="4"/>
  <c r="C641" i="4" s="1"/>
  <c r="D493" i="4"/>
  <c r="E493" i="4"/>
  <c r="F493" i="4"/>
  <c r="G493" i="4"/>
  <c r="G641" i="4" s="1"/>
  <c r="H493" i="4"/>
  <c r="I493" i="4"/>
  <c r="J493" i="4"/>
  <c r="B494" i="4"/>
  <c r="B641" i="4" s="1"/>
  <c r="C494" i="4"/>
  <c r="D494" i="4"/>
  <c r="E494" i="4"/>
  <c r="F494" i="4"/>
  <c r="F641" i="4" s="1"/>
  <c r="G494" i="4"/>
  <c r="H494" i="4"/>
  <c r="I494" i="4"/>
  <c r="J494" i="4"/>
  <c r="B495" i="4"/>
  <c r="C495" i="4"/>
  <c r="D495" i="4"/>
  <c r="E495" i="4"/>
  <c r="F495" i="4"/>
  <c r="G495" i="4"/>
  <c r="H495" i="4"/>
  <c r="I495" i="4"/>
  <c r="J495" i="4"/>
  <c r="B496" i="4"/>
  <c r="C496" i="4"/>
  <c r="D496" i="4"/>
  <c r="E496" i="4"/>
  <c r="F496" i="4"/>
  <c r="G496" i="4"/>
  <c r="H496" i="4"/>
  <c r="I496" i="4"/>
  <c r="J496" i="4"/>
  <c r="B497" i="4"/>
  <c r="C497" i="4"/>
  <c r="D497" i="4"/>
  <c r="E497" i="4"/>
  <c r="F497" i="4"/>
  <c r="G497" i="4"/>
  <c r="H497" i="4"/>
  <c r="I497" i="4"/>
  <c r="J497" i="4"/>
  <c r="B498" i="4"/>
  <c r="C498" i="4"/>
  <c r="D498" i="4"/>
  <c r="E498" i="4"/>
  <c r="F498" i="4"/>
  <c r="G498" i="4"/>
  <c r="H498" i="4"/>
  <c r="I498" i="4"/>
  <c r="J498" i="4"/>
  <c r="B499" i="4"/>
  <c r="C499" i="4"/>
  <c r="D499" i="4"/>
  <c r="E499" i="4"/>
  <c r="F499" i="4"/>
  <c r="G499" i="4"/>
  <c r="H499" i="4"/>
  <c r="I499" i="4"/>
  <c r="J499" i="4"/>
  <c r="B500" i="4"/>
  <c r="C500" i="4"/>
  <c r="D500" i="4"/>
  <c r="E500" i="4"/>
  <c r="F500" i="4"/>
  <c r="G500" i="4"/>
  <c r="H500" i="4"/>
  <c r="I500" i="4"/>
  <c r="J500" i="4"/>
  <c r="B501" i="4"/>
  <c r="C501" i="4"/>
  <c r="D501" i="4"/>
  <c r="E501" i="4"/>
  <c r="F501" i="4"/>
  <c r="G501" i="4"/>
  <c r="H501" i="4"/>
  <c r="I501" i="4"/>
  <c r="J501" i="4"/>
  <c r="B502" i="4"/>
  <c r="C502" i="4"/>
  <c r="D502" i="4"/>
  <c r="E502" i="4"/>
  <c r="F502" i="4"/>
  <c r="G502" i="4"/>
  <c r="H502" i="4"/>
  <c r="I502" i="4"/>
  <c r="J502" i="4"/>
  <c r="B503" i="4"/>
  <c r="C503" i="4"/>
  <c r="D503" i="4"/>
  <c r="E503" i="4"/>
  <c r="F503" i="4"/>
  <c r="G503" i="4"/>
  <c r="H503" i="4"/>
  <c r="I503" i="4"/>
  <c r="J503" i="4"/>
  <c r="B504" i="4"/>
  <c r="C504" i="4"/>
  <c r="D504" i="4"/>
  <c r="D642" i="4" s="1"/>
  <c r="E504" i="4"/>
  <c r="F504" i="4"/>
  <c r="G504" i="4"/>
  <c r="H504" i="4"/>
  <c r="H642" i="4" s="1"/>
  <c r="I504" i="4"/>
  <c r="J504" i="4"/>
  <c r="B505" i="4"/>
  <c r="C505" i="4"/>
  <c r="D505" i="4"/>
  <c r="E505" i="4"/>
  <c r="F505" i="4"/>
  <c r="G505" i="4"/>
  <c r="H505" i="4"/>
  <c r="I505" i="4"/>
  <c r="J505" i="4"/>
  <c r="B506" i="4"/>
  <c r="B642" i="4" s="1"/>
  <c r="C506" i="4"/>
  <c r="D506" i="4"/>
  <c r="E506" i="4"/>
  <c r="F506" i="4"/>
  <c r="F642" i="4" s="1"/>
  <c r="G506" i="4"/>
  <c r="H506" i="4"/>
  <c r="I506" i="4"/>
  <c r="J506" i="4"/>
  <c r="B507" i="4"/>
  <c r="C507" i="4"/>
  <c r="D507" i="4"/>
  <c r="E507" i="4"/>
  <c r="E642" i="4" s="1"/>
  <c r="F507" i="4"/>
  <c r="G507" i="4"/>
  <c r="H507" i="4"/>
  <c r="I507" i="4"/>
  <c r="I642" i="4" s="1"/>
  <c r="J507" i="4"/>
  <c r="B508" i="4"/>
  <c r="C508" i="4"/>
  <c r="D508" i="4"/>
  <c r="E508" i="4"/>
  <c r="F508" i="4"/>
  <c r="G508" i="4"/>
  <c r="H508" i="4"/>
  <c r="I508" i="4"/>
  <c r="J508" i="4"/>
  <c r="B509" i="4"/>
  <c r="C509" i="4"/>
  <c r="D509" i="4"/>
  <c r="E509" i="4"/>
  <c r="F509" i="4"/>
  <c r="G509" i="4"/>
  <c r="H509" i="4"/>
  <c r="I509" i="4"/>
  <c r="J509" i="4"/>
  <c r="B510" i="4"/>
  <c r="C510" i="4"/>
  <c r="D510" i="4"/>
  <c r="E510" i="4"/>
  <c r="F510" i="4"/>
  <c r="G510" i="4"/>
  <c r="H510" i="4"/>
  <c r="I510" i="4"/>
  <c r="J510" i="4"/>
  <c r="B511" i="4"/>
  <c r="C511" i="4"/>
  <c r="D511" i="4"/>
  <c r="E511" i="4"/>
  <c r="F511" i="4"/>
  <c r="G511" i="4"/>
  <c r="H511" i="4"/>
  <c r="I511" i="4"/>
  <c r="J511" i="4"/>
  <c r="B512" i="4"/>
  <c r="C512" i="4"/>
  <c r="D512" i="4"/>
  <c r="E512" i="4"/>
  <c r="F512" i="4"/>
  <c r="G512" i="4"/>
  <c r="H512" i="4"/>
  <c r="I512" i="4"/>
  <c r="J512" i="4"/>
  <c r="B513" i="4"/>
  <c r="C513" i="4"/>
  <c r="D513" i="4"/>
  <c r="E513" i="4"/>
  <c r="F513" i="4"/>
  <c r="G513" i="4"/>
  <c r="H513" i="4"/>
  <c r="I513" i="4"/>
  <c r="J513" i="4"/>
  <c r="B514" i="4"/>
  <c r="C514" i="4"/>
  <c r="D514" i="4"/>
  <c r="E514" i="4"/>
  <c r="F514" i="4"/>
  <c r="G514" i="4"/>
  <c r="H514" i="4"/>
  <c r="I514" i="4"/>
  <c r="J514" i="4"/>
  <c r="B515" i="4"/>
  <c r="C515" i="4"/>
  <c r="D515" i="4"/>
  <c r="E515" i="4"/>
  <c r="F515" i="4"/>
  <c r="G515" i="4"/>
  <c r="H515" i="4"/>
  <c r="I515" i="4"/>
  <c r="J515" i="4"/>
  <c r="B516" i="4"/>
  <c r="C516" i="4"/>
  <c r="D516" i="4"/>
  <c r="D643" i="4" s="1"/>
  <c r="E516" i="4"/>
  <c r="F516" i="4"/>
  <c r="G516" i="4"/>
  <c r="H516" i="4"/>
  <c r="H643" i="4" s="1"/>
  <c r="I516" i="4"/>
  <c r="J516" i="4"/>
  <c r="B517" i="4"/>
  <c r="C517" i="4"/>
  <c r="C643" i="4" s="1"/>
  <c r="D517" i="4"/>
  <c r="E517" i="4"/>
  <c r="F517" i="4"/>
  <c r="G517" i="4"/>
  <c r="G643" i="4" s="1"/>
  <c r="H517" i="4"/>
  <c r="I517" i="4"/>
  <c r="J517" i="4"/>
  <c r="B518" i="4"/>
  <c r="B643" i="4" s="1"/>
  <c r="C518" i="4"/>
  <c r="D518" i="4"/>
  <c r="E518" i="4"/>
  <c r="F518" i="4"/>
  <c r="F643" i="4" s="1"/>
  <c r="G518" i="4"/>
  <c r="H518" i="4"/>
  <c r="I518" i="4"/>
  <c r="J518" i="4"/>
  <c r="B519" i="4"/>
  <c r="C519" i="4"/>
  <c r="D519" i="4"/>
  <c r="E519" i="4"/>
  <c r="F519" i="4"/>
  <c r="G519" i="4"/>
  <c r="H519" i="4"/>
  <c r="I519" i="4"/>
  <c r="J519" i="4"/>
  <c r="B520" i="4"/>
  <c r="C520" i="4"/>
  <c r="D520" i="4"/>
  <c r="E520" i="4"/>
  <c r="F520" i="4"/>
  <c r="G520" i="4"/>
  <c r="H520" i="4"/>
  <c r="I520" i="4"/>
  <c r="J520" i="4"/>
  <c r="B521" i="4"/>
  <c r="C521" i="4"/>
  <c r="D521" i="4"/>
  <c r="E521" i="4"/>
  <c r="F521" i="4"/>
  <c r="G521" i="4"/>
  <c r="H521" i="4"/>
  <c r="I521" i="4"/>
  <c r="J521" i="4"/>
  <c r="B522" i="4"/>
  <c r="C522" i="4"/>
  <c r="D522" i="4"/>
  <c r="E522" i="4"/>
  <c r="F522" i="4"/>
  <c r="G522" i="4"/>
  <c r="H522" i="4"/>
  <c r="I522" i="4"/>
  <c r="J522" i="4"/>
  <c r="B523" i="4"/>
  <c r="C523" i="4"/>
  <c r="D523" i="4"/>
  <c r="E523" i="4"/>
  <c r="F523" i="4"/>
  <c r="G523" i="4"/>
  <c r="H523" i="4"/>
  <c r="I523" i="4"/>
  <c r="J523" i="4"/>
  <c r="B524" i="4"/>
  <c r="C524" i="4"/>
  <c r="D524" i="4"/>
  <c r="E524" i="4"/>
  <c r="F524" i="4"/>
  <c r="G524" i="4"/>
  <c r="H524" i="4"/>
  <c r="I524" i="4"/>
  <c r="J524" i="4"/>
  <c r="B525" i="4"/>
  <c r="C525" i="4"/>
  <c r="D525" i="4"/>
  <c r="E525" i="4"/>
  <c r="F525" i="4"/>
  <c r="G525" i="4"/>
  <c r="H525" i="4"/>
  <c r="I525" i="4"/>
  <c r="J525" i="4"/>
  <c r="B526" i="4"/>
  <c r="C526" i="4"/>
  <c r="D526" i="4"/>
  <c r="E526" i="4"/>
  <c r="F526" i="4"/>
  <c r="G526" i="4"/>
  <c r="H526" i="4"/>
  <c r="I526" i="4"/>
  <c r="J526" i="4"/>
  <c r="B527" i="4"/>
  <c r="C527" i="4"/>
  <c r="D527" i="4"/>
  <c r="E527" i="4"/>
  <c r="F527" i="4"/>
  <c r="G527" i="4"/>
  <c r="H527" i="4"/>
  <c r="I527" i="4"/>
  <c r="J527" i="4"/>
  <c r="B528" i="4"/>
  <c r="C528" i="4"/>
  <c r="D528" i="4"/>
  <c r="D644" i="4" s="1"/>
  <c r="E528" i="4"/>
  <c r="F528" i="4"/>
  <c r="G528" i="4"/>
  <c r="H528" i="4"/>
  <c r="H644" i="4" s="1"/>
  <c r="I528" i="4"/>
  <c r="J528" i="4"/>
  <c r="B529" i="4"/>
  <c r="C529" i="4"/>
  <c r="D529" i="4"/>
  <c r="E529" i="4"/>
  <c r="F529" i="4"/>
  <c r="G529" i="4"/>
  <c r="H529" i="4"/>
  <c r="I529" i="4"/>
  <c r="J529" i="4"/>
  <c r="B530" i="4"/>
  <c r="B644" i="4" s="1"/>
  <c r="C530" i="4"/>
  <c r="D530" i="4"/>
  <c r="E530" i="4"/>
  <c r="F530" i="4"/>
  <c r="F644" i="4" s="1"/>
  <c r="G530" i="4"/>
  <c r="H530" i="4"/>
  <c r="I530" i="4"/>
  <c r="J530" i="4"/>
  <c r="B531" i="4"/>
  <c r="C531" i="4"/>
  <c r="D531" i="4"/>
  <c r="E531" i="4"/>
  <c r="E644" i="4" s="1"/>
  <c r="F531" i="4"/>
  <c r="G531" i="4"/>
  <c r="H531" i="4"/>
  <c r="I531" i="4"/>
  <c r="I644" i="4" s="1"/>
  <c r="J531" i="4"/>
  <c r="B532" i="4"/>
  <c r="C532" i="4"/>
  <c r="D532" i="4"/>
  <c r="E532" i="4"/>
  <c r="F532" i="4"/>
  <c r="G532" i="4"/>
  <c r="H532" i="4"/>
  <c r="I532" i="4"/>
  <c r="J532" i="4"/>
  <c r="B533" i="4"/>
  <c r="C533" i="4"/>
  <c r="D533" i="4"/>
  <c r="E533" i="4"/>
  <c r="F533" i="4"/>
  <c r="G533" i="4"/>
  <c r="H533" i="4"/>
  <c r="I533" i="4"/>
  <c r="J533" i="4"/>
  <c r="B534" i="4"/>
  <c r="C534" i="4"/>
  <c r="D534" i="4"/>
  <c r="E534" i="4"/>
  <c r="F534" i="4"/>
  <c r="G534" i="4"/>
  <c r="H534" i="4"/>
  <c r="I534" i="4"/>
  <c r="J534" i="4"/>
  <c r="B535" i="4"/>
  <c r="C535" i="4"/>
  <c r="D535" i="4"/>
  <c r="E535" i="4"/>
  <c r="F535" i="4"/>
  <c r="G535" i="4"/>
  <c r="H535" i="4"/>
  <c r="I535" i="4"/>
  <c r="J535" i="4"/>
  <c r="B536" i="4"/>
  <c r="C536" i="4"/>
  <c r="D536" i="4"/>
  <c r="E536" i="4"/>
  <c r="F536" i="4"/>
  <c r="G536" i="4"/>
  <c r="H536" i="4"/>
  <c r="I536" i="4"/>
  <c r="J536" i="4"/>
  <c r="B537" i="4"/>
  <c r="C537" i="4"/>
  <c r="D537" i="4"/>
  <c r="E537" i="4"/>
  <c r="F537" i="4"/>
  <c r="G537" i="4"/>
  <c r="H537" i="4"/>
  <c r="I537" i="4"/>
  <c r="J537" i="4"/>
  <c r="B538" i="4"/>
  <c r="C538" i="4"/>
  <c r="D538" i="4"/>
  <c r="E538" i="4"/>
  <c r="F538" i="4"/>
  <c r="G538" i="4"/>
  <c r="H538" i="4"/>
  <c r="I538" i="4"/>
  <c r="J538" i="4"/>
  <c r="B539" i="4"/>
  <c r="C539" i="4"/>
  <c r="D539" i="4"/>
  <c r="E539" i="4"/>
  <c r="F539" i="4"/>
  <c r="G539" i="4"/>
  <c r="H539" i="4"/>
  <c r="I539" i="4"/>
  <c r="J539" i="4"/>
  <c r="B540" i="4"/>
  <c r="C540" i="4"/>
  <c r="D540" i="4"/>
  <c r="D645" i="4" s="1"/>
  <c r="E540" i="4"/>
  <c r="F540" i="4"/>
  <c r="G540" i="4"/>
  <c r="H540" i="4"/>
  <c r="H645" i="4" s="1"/>
  <c r="I540" i="4"/>
  <c r="J540" i="4"/>
  <c r="B541" i="4"/>
  <c r="C541" i="4"/>
  <c r="C645" i="4" s="1"/>
  <c r="D541" i="4"/>
  <c r="E541" i="4"/>
  <c r="F541" i="4"/>
  <c r="G541" i="4"/>
  <c r="G645" i="4" s="1"/>
  <c r="H541" i="4"/>
  <c r="I541" i="4"/>
  <c r="J541" i="4"/>
  <c r="B542" i="4"/>
  <c r="B645" i="4" s="1"/>
  <c r="C542" i="4"/>
  <c r="D542" i="4"/>
  <c r="E542" i="4"/>
  <c r="F542" i="4"/>
  <c r="F645" i="4" s="1"/>
  <c r="G542" i="4"/>
  <c r="H542" i="4"/>
  <c r="I542" i="4"/>
  <c r="J542" i="4"/>
  <c r="B543" i="4"/>
  <c r="C543" i="4"/>
  <c r="D543" i="4"/>
  <c r="E543" i="4"/>
  <c r="F543" i="4"/>
  <c r="G543" i="4"/>
  <c r="H543" i="4"/>
  <c r="I543" i="4"/>
  <c r="J543" i="4"/>
  <c r="B544" i="4"/>
  <c r="C544" i="4"/>
  <c r="D544" i="4"/>
  <c r="E544" i="4"/>
  <c r="F544" i="4"/>
  <c r="G544" i="4"/>
  <c r="H544" i="4"/>
  <c r="I544" i="4"/>
  <c r="J544" i="4"/>
  <c r="B545" i="4"/>
  <c r="C545" i="4"/>
  <c r="D545" i="4"/>
  <c r="E545" i="4"/>
  <c r="F545" i="4"/>
  <c r="G545" i="4"/>
  <c r="H545" i="4"/>
  <c r="I545" i="4"/>
  <c r="J545" i="4"/>
  <c r="B546" i="4"/>
  <c r="C546" i="4"/>
  <c r="D546" i="4"/>
  <c r="E546" i="4"/>
  <c r="F546" i="4"/>
  <c r="G546" i="4"/>
  <c r="H546" i="4"/>
  <c r="I546" i="4"/>
  <c r="J546" i="4"/>
  <c r="B547" i="4"/>
  <c r="C547" i="4"/>
  <c r="D547" i="4"/>
  <c r="E547" i="4"/>
  <c r="F547" i="4"/>
  <c r="G547" i="4"/>
  <c r="H547" i="4"/>
  <c r="I547" i="4"/>
  <c r="J547" i="4"/>
  <c r="B548" i="4"/>
  <c r="C548" i="4"/>
  <c r="D548" i="4"/>
  <c r="E548" i="4"/>
  <c r="F548" i="4"/>
  <c r="G548" i="4"/>
  <c r="H548" i="4"/>
  <c r="I548" i="4"/>
  <c r="J548" i="4"/>
  <c r="B549" i="4"/>
  <c r="C549" i="4"/>
  <c r="D549" i="4"/>
  <c r="E549" i="4"/>
  <c r="F549" i="4"/>
  <c r="G549" i="4"/>
  <c r="H549" i="4"/>
  <c r="I549" i="4"/>
  <c r="J549" i="4"/>
  <c r="B550" i="4"/>
  <c r="C550" i="4"/>
  <c r="D550" i="4"/>
  <c r="E550" i="4"/>
  <c r="F550" i="4"/>
  <c r="G550" i="4"/>
  <c r="H550" i="4"/>
  <c r="I550" i="4"/>
  <c r="J550" i="4"/>
  <c r="B551" i="4"/>
  <c r="C551" i="4"/>
  <c r="D551" i="4"/>
  <c r="E551" i="4"/>
  <c r="F551" i="4"/>
  <c r="G551" i="4"/>
  <c r="H551" i="4"/>
  <c r="I551" i="4"/>
  <c r="J551" i="4"/>
  <c r="B552" i="4"/>
  <c r="C552" i="4"/>
  <c r="D552" i="4"/>
  <c r="D646" i="4" s="1"/>
  <c r="E552" i="4"/>
  <c r="F552" i="4"/>
  <c r="G552" i="4"/>
  <c r="H552" i="4"/>
  <c r="H646" i="4" s="1"/>
  <c r="I552" i="4"/>
  <c r="J552" i="4"/>
  <c r="B553" i="4"/>
  <c r="C553" i="4"/>
  <c r="D553" i="4"/>
  <c r="E553" i="4"/>
  <c r="F553" i="4"/>
  <c r="G553" i="4"/>
  <c r="H553" i="4"/>
  <c r="I553" i="4"/>
  <c r="J553" i="4"/>
  <c r="B554" i="4"/>
  <c r="B646" i="4" s="1"/>
  <c r="C554" i="4"/>
  <c r="D554" i="4"/>
  <c r="E554" i="4"/>
  <c r="F554" i="4"/>
  <c r="F646" i="4" s="1"/>
  <c r="G554" i="4"/>
  <c r="H554" i="4"/>
  <c r="I554" i="4"/>
  <c r="J554" i="4"/>
  <c r="B555" i="4"/>
  <c r="C555" i="4"/>
  <c r="D555" i="4"/>
  <c r="E555" i="4"/>
  <c r="E646" i="4" s="1"/>
  <c r="F555" i="4"/>
  <c r="G555" i="4"/>
  <c r="H555" i="4"/>
  <c r="I555" i="4"/>
  <c r="I646" i="4" s="1"/>
  <c r="J555" i="4"/>
  <c r="B556" i="4"/>
  <c r="C556" i="4"/>
  <c r="D556" i="4"/>
  <c r="E556" i="4"/>
  <c r="F556" i="4"/>
  <c r="G556" i="4"/>
  <c r="H556" i="4"/>
  <c r="I556" i="4"/>
  <c r="J556" i="4"/>
  <c r="B557" i="4"/>
  <c r="C557" i="4"/>
  <c r="D557" i="4"/>
  <c r="E557" i="4"/>
  <c r="F557" i="4"/>
  <c r="G557" i="4"/>
  <c r="H557" i="4"/>
  <c r="I557" i="4"/>
  <c r="J557" i="4"/>
  <c r="B558" i="4"/>
  <c r="C558" i="4"/>
  <c r="D558" i="4"/>
  <c r="E558" i="4"/>
  <c r="F558" i="4"/>
  <c r="G558" i="4"/>
  <c r="H558" i="4"/>
  <c r="I558" i="4"/>
  <c r="J558" i="4"/>
  <c r="B559" i="4"/>
  <c r="C559" i="4"/>
  <c r="D559" i="4"/>
  <c r="E559" i="4"/>
  <c r="F559" i="4"/>
  <c r="G559" i="4"/>
  <c r="H559" i="4"/>
  <c r="I559" i="4"/>
  <c r="J559" i="4"/>
  <c r="B560" i="4"/>
  <c r="C560" i="4"/>
  <c r="D560" i="4"/>
  <c r="E560" i="4"/>
  <c r="F560" i="4"/>
  <c r="G560" i="4"/>
  <c r="H560" i="4"/>
  <c r="I560" i="4"/>
  <c r="J560" i="4"/>
  <c r="B561" i="4"/>
  <c r="C561" i="4"/>
  <c r="D561" i="4"/>
  <c r="E561" i="4"/>
  <c r="F561" i="4"/>
  <c r="G561" i="4"/>
  <c r="H561" i="4"/>
  <c r="I561" i="4"/>
  <c r="J561" i="4"/>
  <c r="B562" i="4"/>
  <c r="C562" i="4"/>
  <c r="D562" i="4"/>
  <c r="E562" i="4"/>
  <c r="F562" i="4"/>
  <c r="G562" i="4"/>
  <c r="H562" i="4"/>
  <c r="I562" i="4"/>
  <c r="J562" i="4"/>
  <c r="B563" i="4"/>
  <c r="C563" i="4"/>
  <c r="D563" i="4"/>
  <c r="E563" i="4"/>
  <c r="F563" i="4"/>
  <c r="G563" i="4"/>
  <c r="H563" i="4"/>
  <c r="I563" i="4"/>
  <c r="J563" i="4"/>
  <c r="B564" i="4"/>
  <c r="C564" i="4"/>
  <c r="D564" i="4"/>
  <c r="D647" i="4" s="1"/>
  <c r="E564" i="4"/>
  <c r="F564" i="4"/>
  <c r="G564" i="4"/>
  <c r="H564" i="4"/>
  <c r="H647" i="4" s="1"/>
  <c r="I564" i="4"/>
  <c r="J564" i="4"/>
  <c r="B565" i="4"/>
  <c r="C565" i="4"/>
  <c r="C647" i="4" s="1"/>
  <c r="D565" i="4"/>
  <c r="E565" i="4"/>
  <c r="F565" i="4"/>
  <c r="G565" i="4"/>
  <c r="G647" i="4" s="1"/>
  <c r="H565" i="4"/>
  <c r="I565" i="4"/>
  <c r="J565" i="4"/>
  <c r="B566" i="4"/>
  <c r="B647" i="4" s="1"/>
  <c r="C566" i="4"/>
  <c r="D566" i="4"/>
  <c r="E566" i="4"/>
  <c r="F566" i="4"/>
  <c r="F647" i="4" s="1"/>
  <c r="G566" i="4"/>
  <c r="H566" i="4"/>
  <c r="I566" i="4"/>
  <c r="J566" i="4"/>
  <c r="B567" i="4"/>
  <c r="C567" i="4"/>
  <c r="D567" i="4"/>
  <c r="E567" i="4"/>
  <c r="F567" i="4"/>
  <c r="G567" i="4"/>
  <c r="H567" i="4"/>
  <c r="I567" i="4"/>
  <c r="J567" i="4"/>
  <c r="B568" i="4"/>
  <c r="C568" i="4"/>
  <c r="D568" i="4"/>
  <c r="E568" i="4"/>
  <c r="F568" i="4"/>
  <c r="G568" i="4"/>
  <c r="H568" i="4"/>
  <c r="I568" i="4"/>
  <c r="J568" i="4"/>
  <c r="B569" i="4"/>
  <c r="C569" i="4"/>
  <c r="D569" i="4"/>
  <c r="E569" i="4"/>
  <c r="F569" i="4"/>
  <c r="G569" i="4"/>
  <c r="H569" i="4"/>
  <c r="I569" i="4"/>
  <c r="J569" i="4"/>
  <c r="B570" i="4"/>
  <c r="C570" i="4"/>
  <c r="D570" i="4"/>
  <c r="E570" i="4"/>
  <c r="F570" i="4"/>
  <c r="G570" i="4"/>
  <c r="H570" i="4"/>
  <c r="I570" i="4"/>
  <c r="J570" i="4"/>
  <c r="B571" i="4"/>
  <c r="C571" i="4"/>
  <c r="D571" i="4"/>
  <c r="E571" i="4"/>
  <c r="F571" i="4"/>
  <c r="G571" i="4"/>
  <c r="H571" i="4"/>
  <c r="I571" i="4"/>
  <c r="J571" i="4"/>
  <c r="B572" i="4"/>
  <c r="C572" i="4"/>
  <c r="D572" i="4"/>
  <c r="E572" i="4"/>
  <c r="F572" i="4"/>
  <c r="G572" i="4"/>
  <c r="H572" i="4"/>
  <c r="I572" i="4"/>
  <c r="J572" i="4"/>
  <c r="B573" i="4"/>
  <c r="C573" i="4"/>
  <c r="D573" i="4"/>
  <c r="E573" i="4"/>
  <c r="F573" i="4"/>
  <c r="G573" i="4"/>
  <c r="H573" i="4"/>
  <c r="I573" i="4"/>
  <c r="J573" i="4"/>
  <c r="B574" i="4"/>
  <c r="C574" i="4"/>
  <c r="D574" i="4"/>
  <c r="E574" i="4"/>
  <c r="F574" i="4"/>
  <c r="G574" i="4"/>
  <c r="H574" i="4"/>
  <c r="I574" i="4"/>
  <c r="J574" i="4"/>
  <c r="B575" i="4"/>
  <c r="C575" i="4"/>
  <c r="D575" i="4"/>
  <c r="E575" i="4"/>
  <c r="F575" i="4"/>
  <c r="G575" i="4"/>
  <c r="H575" i="4"/>
  <c r="I575" i="4"/>
  <c r="J575" i="4"/>
  <c r="B576" i="4"/>
  <c r="C576" i="4"/>
  <c r="D576" i="4"/>
  <c r="D648" i="4" s="1"/>
  <c r="E576" i="4"/>
  <c r="F576" i="4"/>
  <c r="G576" i="4"/>
  <c r="H576" i="4"/>
  <c r="H648" i="4" s="1"/>
  <c r="I576" i="4"/>
  <c r="J576" i="4"/>
  <c r="B577" i="4"/>
  <c r="C577" i="4"/>
  <c r="D577" i="4"/>
  <c r="E577" i="4"/>
  <c r="F577" i="4"/>
  <c r="G577" i="4"/>
  <c r="H577" i="4"/>
  <c r="I577" i="4"/>
  <c r="J577" i="4"/>
  <c r="B578" i="4"/>
  <c r="B648" i="4" s="1"/>
  <c r="C578" i="4"/>
  <c r="D578" i="4"/>
  <c r="E578" i="4"/>
  <c r="F578" i="4"/>
  <c r="F648" i="4" s="1"/>
  <c r="G578" i="4"/>
  <c r="H578" i="4"/>
  <c r="I578" i="4"/>
  <c r="J578" i="4"/>
  <c r="B579" i="4"/>
  <c r="C579" i="4"/>
  <c r="D579" i="4"/>
  <c r="E579" i="4"/>
  <c r="E648" i="4" s="1"/>
  <c r="F579" i="4"/>
  <c r="G579" i="4"/>
  <c r="H579" i="4"/>
  <c r="I579" i="4"/>
  <c r="I648" i="4" s="1"/>
  <c r="J579" i="4"/>
  <c r="B580" i="4"/>
  <c r="C580" i="4"/>
  <c r="D580" i="4"/>
  <c r="E580" i="4"/>
  <c r="F580" i="4"/>
  <c r="G580" i="4"/>
  <c r="H580" i="4"/>
  <c r="I580" i="4"/>
  <c r="J580" i="4"/>
  <c r="B581" i="4"/>
  <c r="C581" i="4"/>
  <c r="D581" i="4"/>
  <c r="E581" i="4"/>
  <c r="F581" i="4"/>
  <c r="G581" i="4"/>
  <c r="H581" i="4"/>
  <c r="I581" i="4"/>
  <c r="J581" i="4"/>
  <c r="B582" i="4"/>
  <c r="C582" i="4"/>
  <c r="D582" i="4"/>
  <c r="E582" i="4"/>
  <c r="F582" i="4"/>
  <c r="G582" i="4"/>
  <c r="H582" i="4"/>
  <c r="I582" i="4"/>
  <c r="J582" i="4"/>
  <c r="B583" i="4"/>
  <c r="C583" i="4"/>
  <c r="D583" i="4"/>
  <c r="E583" i="4"/>
  <c r="F583" i="4"/>
  <c r="G583" i="4"/>
  <c r="H583" i="4"/>
  <c r="I583" i="4"/>
  <c r="J583" i="4"/>
  <c r="B584" i="4"/>
  <c r="C584" i="4"/>
  <c r="D584" i="4"/>
  <c r="E584" i="4"/>
  <c r="F584" i="4"/>
  <c r="G584" i="4"/>
  <c r="H584" i="4"/>
  <c r="I584" i="4"/>
  <c r="J584" i="4"/>
  <c r="B585" i="4"/>
  <c r="C585" i="4"/>
  <c r="D585" i="4"/>
  <c r="E585" i="4"/>
  <c r="F585" i="4"/>
  <c r="G585" i="4"/>
  <c r="H585" i="4"/>
  <c r="I585" i="4"/>
  <c r="J585" i="4"/>
  <c r="B586" i="4"/>
  <c r="C586" i="4"/>
  <c r="D586" i="4"/>
  <c r="E586" i="4"/>
  <c r="F586" i="4"/>
  <c r="G586" i="4"/>
  <c r="H586" i="4"/>
  <c r="I586" i="4"/>
  <c r="J586" i="4"/>
  <c r="B587" i="4"/>
  <c r="C587" i="4"/>
  <c r="D587" i="4"/>
  <c r="E587" i="4"/>
  <c r="F587" i="4"/>
  <c r="G587" i="4"/>
  <c r="H587" i="4"/>
  <c r="I587" i="4"/>
  <c r="J587" i="4"/>
  <c r="B588" i="4"/>
  <c r="C588" i="4"/>
  <c r="D588" i="4"/>
  <c r="D649" i="4" s="1"/>
  <c r="E588" i="4"/>
  <c r="F588" i="4"/>
  <c r="G588" i="4"/>
  <c r="H588" i="4"/>
  <c r="H649" i="4" s="1"/>
  <c r="I588" i="4"/>
  <c r="J588" i="4"/>
  <c r="B589" i="4"/>
  <c r="C589" i="4"/>
  <c r="C649" i="4" s="1"/>
  <c r="D589" i="4"/>
  <c r="E589" i="4"/>
  <c r="F589" i="4"/>
  <c r="G589" i="4"/>
  <c r="G649" i="4" s="1"/>
  <c r="H589" i="4"/>
  <c r="I589" i="4"/>
  <c r="J589" i="4"/>
  <c r="B590" i="4"/>
  <c r="B649" i="4" s="1"/>
  <c r="C590" i="4"/>
  <c r="D590" i="4"/>
  <c r="E590" i="4"/>
  <c r="F590" i="4"/>
  <c r="F649" i="4" s="1"/>
  <c r="G590" i="4"/>
  <c r="H590" i="4"/>
  <c r="I590" i="4"/>
  <c r="J590" i="4"/>
  <c r="B591" i="4"/>
  <c r="C591" i="4"/>
  <c r="D591" i="4"/>
  <c r="E591" i="4"/>
  <c r="F591" i="4"/>
  <c r="G591" i="4"/>
  <c r="H591" i="4"/>
  <c r="I591" i="4"/>
  <c r="J591" i="4"/>
  <c r="B592" i="4"/>
  <c r="C592" i="4"/>
  <c r="D592" i="4"/>
  <c r="E592" i="4"/>
  <c r="F592" i="4"/>
  <c r="G592" i="4"/>
  <c r="H592" i="4"/>
  <c r="I592" i="4"/>
  <c r="J592" i="4"/>
  <c r="B593" i="4"/>
  <c r="C593" i="4"/>
  <c r="D593" i="4"/>
  <c r="E593" i="4"/>
  <c r="F593" i="4"/>
  <c r="G593" i="4"/>
  <c r="H593" i="4"/>
  <c r="I593" i="4"/>
  <c r="J593" i="4"/>
  <c r="B594" i="4"/>
  <c r="C594" i="4"/>
  <c r="D594" i="4"/>
  <c r="E594" i="4"/>
  <c r="F594" i="4"/>
  <c r="G594" i="4"/>
  <c r="H594" i="4"/>
  <c r="I594" i="4"/>
  <c r="J594" i="4"/>
  <c r="B595" i="4"/>
  <c r="C595" i="4"/>
  <c r="D595" i="4"/>
  <c r="E595" i="4"/>
  <c r="F595" i="4"/>
  <c r="G595" i="4"/>
  <c r="H595" i="4"/>
  <c r="I595" i="4"/>
  <c r="J595" i="4"/>
  <c r="B596" i="4"/>
  <c r="C596" i="4"/>
  <c r="D596" i="4"/>
  <c r="E596" i="4"/>
  <c r="F596" i="4"/>
  <c r="G596" i="4"/>
  <c r="H596" i="4"/>
  <c r="I596" i="4"/>
  <c r="J596" i="4"/>
  <c r="B597" i="4"/>
  <c r="C597" i="4"/>
  <c r="D597" i="4"/>
  <c r="E597" i="4"/>
  <c r="F597" i="4"/>
  <c r="G597" i="4"/>
  <c r="H597" i="4"/>
  <c r="I597" i="4"/>
  <c r="J597" i="4"/>
  <c r="B598" i="4"/>
  <c r="C598" i="4"/>
  <c r="D598" i="4"/>
  <c r="E598" i="4"/>
  <c r="F598" i="4"/>
  <c r="G598" i="4"/>
  <c r="H598" i="4"/>
  <c r="I598" i="4"/>
  <c r="J598" i="4"/>
  <c r="B599" i="4"/>
  <c r="C599" i="4"/>
  <c r="D599" i="4"/>
  <c r="E599" i="4"/>
  <c r="F599" i="4"/>
  <c r="G599" i="4"/>
  <c r="H599" i="4"/>
  <c r="I599" i="4"/>
  <c r="J599" i="4"/>
  <c r="B601" i="4"/>
  <c r="C601" i="4"/>
  <c r="D601" i="4"/>
  <c r="E601" i="4"/>
  <c r="F601" i="4"/>
  <c r="G601" i="4"/>
  <c r="H601" i="4"/>
  <c r="I601" i="4"/>
  <c r="J601" i="4"/>
  <c r="B602" i="4"/>
  <c r="C602" i="4"/>
  <c r="D602" i="4"/>
  <c r="E602" i="4"/>
  <c r="F602" i="4"/>
  <c r="G602" i="4"/>
  <c r="H602" i="4"/>
  <c r="I602" i="4"/>
  <c r="J602" i="4"/>
  <c r="B603" i="4"/>
  <c r="C603" i="4"/>
  <c r="D603" i="4"/>
  <c r="E603" i="4"/>
  <c r="F603" i="4"/>
  <c r="G603" i="4"/>
  <c r="H603" i="4"/>
  <c r="I603" i="4"/>
  <c r="J603" i="4"/>
  <c r="B604" i="4"/>
  <c r="C604" i="4"/>
  <c r="D604" i="4"/>
  <c r="E604" i="4"/>
  <c r="F604" i="4"/>
  <c r="G604" i="4"/>
  <c r="H604" i="4"/>
  <c r="I604" i="4"/>
  <c r="J604" i="4"/>
  <c r="B605" i="4"/>
  <c r="C605" i="4"/>
  <c r="D605" i="4"/>
  <c r="E605" i="4"/>
  <c r="F605" i="4"/>
  <c r="G605" i="4"/>
  <c r="H605" i="4"/>
  <c r="I605" i="4"/>
  <c r="J605" i="4"/>
  <c r="B606" i="4"/>
  <c r="C606" i="4"/>
  <c r="D606" i="4"/>
  <c r="E606" i="4"/>
  <c r="F606" i="4"/>
  <c r="G606" i="4"/>
  <c r="H606" i="4"/>
  <c r="I606" i="4"/>
  <c r="J606" i="4"/>
  <c r="B607" i="4"/>
  <c r="C607" i="4"/>
  <c r="D607" i="4"/>
  <c r="E607" i="4"/>
  <c r="F607" i="4"/>
  <c r="G607" i="4"/>
  <c r="H607" i="4"/>
  <c r="I607" i="4"/>
  <c r="J607" i="4"/>
  <c r="B608" i="4"/>
  <c r="C608" i="4"/>
  <c r="D608" i="4"/>
  <c r="E608" i="4"/>
  <c r="F608" i="4"/>
  <c r="G608" i="4"/>
  <c r="H608" i="4"/>
  <c r="I608" i="4"/>
  <c r="J608" i="4"/>
  <c r="B609" i="4"/>
  <c r="C609" i="4"/>
  <c r="D609" i="4"/>
  <c r="E609" i="4"/>
  <c r="F609" i="4"/>
  <c r="G609" i="4"/>
  <c r="H609" i="4"/>
  <c r="I609" i="4"/>
  <c r="J609" i="4"/>
  <c r="B610" i="4"/>
  <c r="C610" i="4"/>
  <c r="D610" i="4"/>
  <c r="E610" i="4"/>
  <c r="F610" i="4"/>
  <c r="G610" i="4"/>
  <c r="H610" i="4"/>
  <c r="I610" i="4"/>
  <c r="J610" i="4"/>
  <c r="B611" i="4"/>
  <c r="C611" i="4"/>
  <c r="D611" i="4"/>
  <c r="E611" i="4"/>
  <c r="F611" i="4"/>
  <c r="G611" i="4"/>
  <c r="H611" i="4"/>
  <c r="I611" i="4"/>
  <c r="J611" i="4"/>
  <c r="B612" i="4"/>
  <c r="C612" i="4"/>
  <c r="D612" i="4"/>
  <c r="E612" i="4"/>
  <c r="F612" i="4"/>
  <c r="G612" i="4"/>
  <c r="H612" i="4"/>
  <c r="I612" i="4"/>
  <c r="J612" i="4"/>
  <c r="B613" i="4"/>
  <c r="C613" i="4"/>
  <c r="D613" i="4"/>
  <c r="E613" i="4"/>
  <c r="F613" i="4"/>
  <c r="G613" i="4"/>
  <c r="H613" i="4"/>
  <c r="I613" i="4"/>
  <c r="J613" i="4"/>
  <c r="B614" i="4"/>
  <c r="C614" i="4"/>
  <c r="D614" i="4"/>
  <c r="E614" i="4"/>
  <c r="F614" i="4"/>
  <c r="G614" i="4"/>
  <c r="H614" i="4"/>
  <c r="I614" i="4"/>
  <c r="J614" i="4"/>
  <c r="B615" i="4"/>
  <c r="C615" i="4"/>
  <c r="D615" i="4"/>
  <c r="E615" i="4"/>
  <c r="F615" i="4"/>
  <c r="G615" i="4"/>
  <c r="H615" i="4"/>
  <c r="I615" i="4"/>
  <c r="J615" i="4"/>
  <c r="B616" i="4"/>
  <c r="C616" i="4"/>
  <c r="D616" i="4"/>
  <c r="E616" i="4"/>
  <c r="F616" i="4"/>
  <c r="G616" i="4"/>
  <c r="H616" i="4"/>
  <c r="I616" i="4"/>
  <c r="J616" i="4"/>
  <c r="B617" i="4"/>
  <c r="C617" i="4"/>
  <c r="D617" i="4"/>
  <c r="E617" i="4"/>
  <c r="F617" i="4"/>
  <c r="G617" i="4"/>
  <c r="H617" i="4"/>
  <c r="I617" i="4"/>
  <c r="J617" i="4"/>
  <c r="B618" i="4"/>
  <c r="C618" i="4"/>
  <c r="D618" i="4"/>
  <c r="E618" i="4"/>
  <c r="F618" i="4"/>
  <c r="G618" i="4"/>
  <c r="H618" i="4"/>
  <c r="I618" i="4"/>
  <c r="J618" i="4"/>
  <c r="B619" i="4"/>
  <c r="C619" i="4"/>
  <c r="D619" i="4"/>
  <c r="E619" i="4"/>
  <c r="F619" i="4"/>
  <c r="G619" i="4"/>
  <c r="H619" i="4"/>
  <c r="I619" i="4"/>
  <c r="J619" i="4"/>
  <c r="B620" i="4"/>
  <c r="C620" i="4"/>
  <c r="D620" i="4"/>
  <c r="E620" i="4"/>
  <c r="F620" i="4"/>
  <c r="G620" i="4"/>
  <c r="H620" i="4"/>
  <c r="I620" i="4"/>
  <c r="J620" i="4"/>
  <c r="D621" i="4"/>
  <c r="H621" i="4"/>
  <c r="J621" i="4"/>
  <c r="C622" i="4"/>
  <c r="G622" i="4"/>
  <c r="J622" i="4"/>
  <c r="B623" i="4"/>
  <c r="F623" i="4"/>
  <c r="J623" i="4"/>
  <c r="I624" i="4"/>
  <c r="J624" i="4"/>
  <c r="J625" i="4"/>
  <c r="A626" i="4"/>
  <c r="J626" i="4"/>
  <c r="A627" i="4"/>
  <c r="J627" i="4"/>
  <c r="A628" i="4"/>
  <c r="J628" i="4"/>
  <c r="A629" i="4"/>
  <c r="J629" i="4"/>
  <c r="A630" i="4"/>
  <c r="J630" i="4"/>
  <c r="A631" i="4"/>
  <c r="J631" i="4"/>
  <c r="A632" i="4"/>
  <c r="J632" i="4"/>
  <c r="A633" i="4"/>
  <c r="J633" i="4"/>
  <c r="A634" i="4"/>
  <c r="F634" i="4"/>
  <c r="J634" i="4"/>
  <c r="A635" i="4"/>
  <c r="E635" i="4"/>
  <c r="I635" i="4"/>
  <c r="J635" i="4"/>
  <c r="A636" i="4"/>
  <c r="C636" i="4"/>
  <c r="G636" i="4"/>
  <c r="J636" i="4"/>
  <c r="A637" i="4"/>
  <c r="E637" i="4"/>
  <c r="I637" i="4"/>
  <c r="J637" i="4"/>
  <c r="A638" i="4"/>
  <c r="C638" i="4"/>
  <c r="G638" i="4"/>
  <c r="J638" i="4"/>
  <c r="A639" i="4"/>
  <c r="E639" i="4"/>
  <c r="I639" i="4"/>
  <c r="J639" i="4"/>
  <c r="A640" i="4"/>
  <c r="C640" i="4"/>
  <c r="G640" i="4"/>
  <c r="J640" i="4"/>
  <c r="A641" i="4"/>
  <c r="E641" i="4"/>
  <c r="I641" i="4"/>
  <c r="J641" i="4"/>
  <c r="A642" i="4"/>
  <c r="C642" i="4"/>
  <c r="G642" i="4"/>
  <c r="J642" i="4"/>
  <c r="A643" i="4"/>
  <c r="E643" i="4"/>
  <c r="I643" i="4"/>
  <c r="J643" i="4"/>
  <c r="A644" i="4"/>
  <c r="C644" i="4"/>
  <c r="G644" i="4"/>
  <c r="J644" i="4"/>
  <c r="A645" i="4"/>
  <c r="E645" i="4"/>
  <c r="I645" i="4"/>
  <c r="J645" i="4"/>
  <c r="A646" i="4"/>
  <c r="C646" i="4"/>
  <c r="G646" i="4"/>
  <c r="J646" i="4"/>
  <c r="A647" i="4"/>
  <c r="E647" i="4"/>
  <c r="I647" i="4"/>
  <c r="J647" i="4"/>
  <c r="A648" i="4"/>
  <c r="C648" i="4"/>
  <c r="G648" i="4"/>
  <c r="J648" i="4"/>
  <c r="A649" i="4"/>
  <c r="E649" i="4"/>
  <c r="I649" i="4"/>
  <c r="J649" i="4"/>
  <c r="D9" i="3"/>
  <c r="B13" i="3"/>
  <c r="C13" i="3"/>
  <c r="D13" i="3"/>
  <c r="E13" i="3"/>
  <c r="F13" i="3"/>
  <c r="G13" i="3"/>
  <c r="H13" i="3"/>
  <c r="I13" i="3"/>
  <c r="J13" i="3"/>
  <c r="K13" i="3"/>
  <c r="B14" i="3"/>
  <c r="C14" i="3"/>
  <c r="D14" i="3"/>
  <c r="E14" i="3"/>
  <c r="F14" i="3"/>
  <c r="G14" i="3"/>
  <c r="H14" i="3"/>
  <c r="I14" i="3"/>
  <c r="J14" i="3"/>
  <c r="K14" i="3"/>
  <c r="B15" i="3"/>
  <c r="C15" i="3"/>
  <c r="D15" i="3"/>
  <c r="E15" i="3"/>
  <c r="F15" i="3"/>
  <c r="G15" i="3"/>
  <c r="H15" i="3"/>
  <c r="I15" i="3"/>
  <c r="J15" i="3"/>
  <c r="K15" i="3"/>
  <c r="B16" i="3"/>
  <c r="C16" i="3"/>
  <c r="D16" i="3"/>
  <c r="E16" i="3"/>
  <c r="F16" i="3"/>
  <c r="G16" i="3"/>
  <c r="H16" i="3"/>
  <c r="I16" i="3"/>
  <c r="J16" i="3"/>
  <c r="K16" i="3"/>
  <c r="B17" i="3"/>
  <c r="C17" i="3"/>
  <c r="D17" i="3"/>
  <c r="E17" i="3"/>
  <c r="F17" i="3"/>
  <c r="G17" i="3"/>
  <c r="H17" i="3"/>
  <c r="I17" i="3"/>
  <c r="J17" i="3"/>
  <c r="K17" i="3"/>
  <c r="B18" i="3"/>
  <c r="C18" i="3"/>
  <c r="D18" i="3"/>
  <c r="E18" i="3"/>
  <c r="F18" i="3"/>
  <c r="G18" i="3"/>
  <c r="H18" i="3"/>
  <c r="I18" i="3"/>
  <c r="J18" i="3"/>
  <c r="K18" i="3"/>
  <c r="B19" i="3"/>
  <c r="C19" i="3"/>
  <c r="D19" i="3"/>
  <c r="E19" i="3"/>
  <c r="F19" i="3"/>
  <c r="G19" i="3"/>
  <c r="H19" i="3"/>
  <c r="I19" i="3"/>
  <c r="J19" i="3"/>
  <c r="K19" i="3"/>
  <c r="B20" i="3"/>
  <c r="C20" i="3"/>
  <c r="D20" i="3"/>
  <c r="E20" i="3"/>
  <c r="F20" i="3"/>
  <c r="G20" i="3"/>
  <c r="H20" i="3"/>
  <c r="I20" i="3"/>
  <c r="J20" i="3"/>
  <c r="K20" i="3"/>
  <c r="B21" i="3"/>
  <c r="C21" i="3"/>
  <c r="D21" i="3"/>
  <c r="E21" i="3"/>
  <c r="F21" i="3"/>
  <c r="G21" i="3"/>
  <c r="H21" i="3"/>
  <c r="I21" i="3"/>
  <c r="J21" i="3"/>
  <c r="K21" i="3"/>
  <c r="B22" i="3"/>
  <c r="C22" i="3"/>
  <c r="D22" i="3"/>
  <c r="E22" i="3"/>
  <c r="F22" i="3"/>
  <c r="G22" i="3"/>
  <c r="H22" i="3"/>
  <c r="I22" i="3"/>
  <c r="J22" i="3"/>
  <c r="K22" i="3"/>
  <c r="B23" i="3"/>
  <c r="C23" i="3"/>
  <c r="D23" i="3"/>
  <c r="E23" i="3"/>
  <c r="F23" i="3"/>
  <c r="G23" i="3"/>
  <c r="H23" i="3"/>
  <c r="I23" i="3"/>
  <c r="J23" i="3"/>
  <c r="K23" i="3"/>
  <c r="B24" i="3"/>
  <c r="C24" i="3"/>
  <c r="D24" i="3"/>
  <c r="E24" i="3"/>
  <c r="F24" i="3"/>
  <c r="G24" i="3"/>
  <c r="H24" i="3"/>
  <c r="I24" i="3"/>
  <c r="J24" i="3"/>
  <c r="K24" i="3"/>
  <c r="B25" i="3"/>
  <c r="C25" i="3"/>
  <c r="D25" i="3"/>
  <c r="E25" i="3"/>
  <c r="F25" i="3"/>
  <c r="G25" i="3"/>
  <c r="H25" i="3"/>
  <c r="I25" i="3"/>
  <c r="J25" i="3"/>
  <c r="K25" i="3"/>
  <c r="B26" i="3"/>
  <c r="C26" i="3"/>
  <c r="D26" i="3"/>
  <c r="E26" i="3"/>
  <c r="F26" i="3"/>
  <c r="G26" i="3"/>
  <c r="H26" i="3"/>
  <c r="I26" i="3"/>
  <c r="J26" i="3"/>
  <c r="K26" i="3"/>
  <c r="B27" i="3"/>
  <c r="C27" i="3"/>
  <c r="D27" i="3"/>
  <c r="E27" i="3"/>
  <c r="F27" i="3"/>
  <c r="G27" i="3"/>
  <c r="H27" i="3"/>
  <c r="I27" i="3"/>
  <c r="J27" i="3"/>
  <c r="K27" i="3"/>
  <c r="B28" i="3"/>
  <c r="C28" i="3"/>
  <c r="D28" i="3"/>
  <c r="E28" i="3"/>
  <c r="F28" i="3"/>
  <c r="G28" i="3"/>
  <c r="H28" i="3"/>
  <c r="I28" i="3"/>
  <c r="J28" i="3"/>
  <c r="K28" i="3"/>
  <c r="B29" i="3"/>
  <c r="C29" i="3"/>
  <c r="D29" i="3"/>
  <c r="E29" i="3"/>
  <c r="F29" i="3"/>
  <c r="G29" i="3"/>
  <c r="H29" i="3"/>
  <c r="I29" i="3"/>
  <c r="J29" i="3"/>
  <c r="K29" i="3"/>
  <c r="B30" i="3"/>
  <c r="C30" i="3"/>
  <c r="D30" i="3"/>
  <c r="E30" i="3"/>
  <c r="F30" i="3"/>
  <c r="G30" i="3"/>
  <c r="H30" i="3"/>
  <c r="I30" i="3"/>
  <c r="J30" i="3"/>
  <c r="K30" i="3"/>
  <c r="B31" i="3"/>
  <c r="C31" i="3"/>
  <c r="D31" i="3"/>
  <c r="E31" i="3"/>
  <c r="F31" i="3"/>
  <c r="G31" i="3"/>
  <c r="H31" i="3"/>
  <c r="I31" i="3"/>
  <c r="J31" i="3"/>
  <c r="K31" i="3"/>
  <c r="B32" i="3"/>
  <c r="C32" i="3"/>
  <c r="D32" i="3"/>
  <c r="E32" i="3"/>
  <c r="F32" i="3"/>
  <c r="G32" i="3"/>
  <c r="H32" i="3"/>
  <c r="I32" i="3"/>
  <c r="J32" i="3"/>
  <c r="K32" i="3"/>
  <c r="B33" i="3"/>
  <c r="C33" i="3"/>
  <c r="D33" i="3"/>
  <c r="E33" i="3"/>
  <c r="F33" i="3"/>
  <c r="G33" i="3"/>
  <c r="H33" i="3"/>
  <c r="I33" i="3"/>
  <c r="J33" i="3"/>
  <c r="K33" i="3"/>
  <c r="B34" i="3"/>
  <c r="C34" i="3"/>
  <c r="D34" i="3"/>
  <c r="E34" i="3"/>
  <c r="F34" i="3"/>
  <c r="G34" i="3"/>
  <c r="H34" i="3"/>
  <c r="I34" i="3"/>
  <c r="J34" i="3"/>
  <c r="K34" i="3"/>
  <c r="B35" i="3"/>
  <c r="C35" i="3"/>
  <c r="D35" i="3"/>
  <c r="E35" i="3"/>
  <c r="F35" i="3"/>
  <c r="G35" i="3"/>
  <c r="H35" i="3"/>
  <c r="I35" i="3"/>
  <c r="J35" i="3"/>
  <c r="K35" i="3"/>
  <c r="B36" i="3"/>
  <c r="C36" i="3"/>
  <c r="D36" i="3"/>
  <c r="E36" i="3"/>
  <c r="F36" i="3"/>
  <c r="G36" i="3"/>
  <c r="H36" i="3"/>
  <c r="I36" i="3"/>
  <c r="J36" i="3"/>
  <c r="K36" i="3"/>
  <c r="B37" i="3"/>
  <c r="C37" i="3"/>
  <c r="D37" i="3"/>
  <c r="E37" i="3"/>
  <c r="F37" i="3"/>
  <c r="G37" i="3"/>
  <c r="H37" i="3"/>
  <c r="I37" i="3"/>
  <c r="J37" i="3"/>
  <c r="K37" i="3"/>
  <c r="B38" i="3"/>
  <c r="C38" i="3"/>
  <c r="D38" i="3"/>
  <c r="E38" i="3"/>
  <c r="F38" i="3"/>
  <c r="G38" i="3"/>
  <c r="H38" i="3"/>
  <c r="I38" i="3"/>
  <c r="J38" i="3"/>
  <c r="K38" i="3"/>
  <c r="B39" i="3"/>
  <c r="C39" i="3"/>
  <c r="D39" i="3"/>
  <c r="E39" i="3"/>
  <c r="F39" i="3"/>
  <c r="G39" i="3"/>
  <c r="H39" i="3"/>
  <c r="I39" i="3"/>
  <c r="J39" i="3"/>
  <c r="K39" i="3"/>
  <c r="B40" i="3"/>
  <c r="C40" i="3"/>
  <c r="D40" i="3"/>
  <c r="E40" i="3"/>
  <c r="F40" i="3"/>
  <c r="G40" i="3"/>
  <c r="H40" i="3"/>
  <c r="I40" i="3"/>
  <c r="J40" i="3"/>
  <c r="K40" i="3"/>
  <c r="B41" i="3"/>
  <c r="C41" i="3"/>
  <c r="D41" i="3"/>
  <c r="E41" i="3"/>
  <c r="F41" i="3"/>
  <c r="G41" i="3"/>
  <c r="H41" i="3"/>
  <c r="I41" i="3"/>
  <c r="J41" i="3"/>
  <c r="K41" i="3"/>
  <c r="B42" i="3"/>
  <c r="C42" i="3"/>
  <c r="D42" i="3"/>
  <c r="E42" i="3"/>
  <c r="F42" i="3"/>
  <c r="G42" i="3"/>
  <c r="H42" i="3"/>
  <c r="I42" i="3"/>
  <c r="J42" i="3"/>
  <c r="K42" i="3"/>
  <c r="B43" i="3"/>
  <c r="C43" i="3"/>
  <c r="D43" i="3"/>
  <c r="E43" i="3"/>
  <c r="F43" i="3"/>
  <c r="G43" i="3"/>
  <c r="H43" i="3"/>
  <c r="I43" i="3"/>
  <c r="J43" i="3"/>
  <c r="K43" i="3"/>
  <c r="B44" i="3"/>
  <c r="C44" i="3"/>
  <c r="D44" i="3"/>
  <c r="E44" i="3"/>
  <c r="F44" i="3"/>
  <c r="G44" i="3"/>
  <c r="H44" i="3"/>
  <c r="I44" i="3"/>
  <c r="J44" i="3"/>
  <c r="K44" i="3"/>
  <c r="B45" i="3"/>
  <c r="C45" i="3"/>
  <c r="D45" i="3"/>
  <c r="E45" i="3"/>
  <c r="F45" i="3"/>
  <c r="G45" i="3"/>
  <c r="H45" i="3"/>
  <c r="I45" i="3"/>
  <c r="J45" i="3"/>
  <c r="K45" i="3"/>
  <c r="B46" i="3"/>
  <c r="C46" i="3"/>
  <c r="D46" i="3"/>
  <c r="E46" i="3"/>
  <c r="F46" i="3"/>
  <c r="G46" i="3"/>
  <c r="H46" i="3"/>
  <c r="I46" i="3"/>
  <c r="J46" i="3"/>
  <c r="K46" i="3"/>
  <c r="B47" i="3"/>
  <c r="C47" i="3"/>
  <c r="D47" i="3"/>
  <c r="E47" i="3"/>
  <c r="F47" i="3"/>
  <c r="G47" i="3"/>
  <c r="H47" i="3"/>
  <c r="I47" i="3"/>
  <c r="J47" i="3"/>
  <c r="K47" i="3"/>
  <c r="B48" i="3"/>
  <c r="C48" i="3"/>
  <c r="D48" i="3"/>
  <c r="E48" i="3"/>
  <c r="F48" i="3"/>
  <c r="G48" i="3"/>
  <c r="H48" i="3"/>
  <c r="I48" i="3"/>
  <c r="J48" i="3"/>
  <c r="K48" i="3"/>
  <c r="B49" i="3"/>
  <c r="C49" i="3"/>
  <c r="D49" i="3"/>
  <c r="E49" i="3"/>
  <c r="F49" i="3"/>
  <c r="G49" i="3"/>
  <c r="H49" i="3"/>
  <c r="I49" i="3"/>
  <c r="J49" i="3"/>
  <c r="K49" i="3"/>
  <c r="B50" i="3"/>
  <c r="C50" i="3"/>
  <c r="D50" i="3"/>
  <c r="E50" i="3"/>
  <c r="F50" i="3"/>
  <c r="G50" i="3"/>
  <c r="H50" i="3"/>
  <c r="I50" i="3"/>
  <c r="J50" i="3"/>
  <c r="K50" i="3"/>
  <c r="B51" i="3"/>
  <c r="C51" i="3"/>
  <c r="D51" i="3"/>
  <c r="E51" i="3"/>
  <c r="F51" i="3"/>
  <c r="G51" i="3"/>
  <c r="H51" i="3"/>
  <c r="I51" i="3"/>
  <c r="J51" i="3"/>
  <c r="K51" i="3"/>
  <c r="B52" i="3"/>
  <c r="C52" i="3"/>
  <c r="D52" i="3"/>
  <c r="E52" i="3"/>
  <c r="F52" i="3"/>
  <c r="G52" i="3"/>
  <c r="H52" i="3"/>
  <c r="I52" i="3"/>
  <c r="J52" i="3"/>
  <c r="K52" i="3"/>
  <c r="B53" i="3"/>
  <c r="C53" i="3"/>
  <c r="D53" i="3"/>
  <c r="E53" i="3"/>
  <c r="F53" i="3"/>
  <c r="G53" i="3"/>
  <c r="H53" i="3"/>
  <c r="I53" i="3"/>
  <c r="J53" i="3"/>
  <c r="K53" i="3"/>
  <c r="B54" i="3"/>
  <c r="C54" i="3"/>
  <c r="D54" i="3"/>
  <c r="E54" i="3"/>
  <c r="F54" i="3"/>
  <c r="G54" i="3"/>
  <c r="H54" i="3"/>
  <c r="I54" i="3"/>
  <c r="J54" i="3"/>
  <c r="K54" i="3"/>
  <c r="B55" i="3"/>
  <c r="C55" i="3"/>
  <c r="D55" i="3"/>
  <c r="E55" i="3"/>
  <c r="F55" i="3"/>
  <c r="G55" i="3"/>
  <c r="H55" i="3"/>
  <c r="I55" i="3"/>
  <c r="J55" i="3"/>
  <c r="K55" i="3"/>
  <c r="B56" i="3"/>
  <c r="C56" i="3"/>
  <c r="D56" i="3"/>
  <c r="E56" i="3"/>
  <c r="F56" i="3"/>
  <c r="G56" i="3"/>
  <c r="H56" i="3"/>
  <c r="I56" i="3"/>
  <c r="J56" i="3"/>
  <c r="K56" i="3"/>
  <c r="B57" i="3"/>
  <c r="C57" i="3"/>
  <c r="D57" i="3"/>
  <c r="E57" i="3"/>
  <c r="F57" i="3"/>
  <c r="G57" i="3"/>
  <c r="H57" i="3"/>
  <c r="I57" i="3"/>
  <c r="J57" i="3"/>
  <c r="K57" i="3"/>
  <c r="B58" i="3"/>
  <c r="C58" i="3"/>
  <c r="D58" i="3"/>
  <c r="E58" i="3"/>
  <c r="F58" i="3"/>
  <c r="G58" i="3"/>
  <c r="H58" i="3"/>
  <c r="I58" i="3"/>
  <c r="J58" i="3"/>
  <c r="K58" i="3"/>
  <c r="B59" i="3"/>
  <c r="C59" i="3"/>
  <c r="D59" i="3"/>
  <c r="E59" i="3"/>
  <c r="F59" i="3"/>
  <c r="G59" i="3"/>
  <c r="H59" i="3"/>
  <c r="I59" i="3"/>
  <c r="J59" i="3"/>
  <c r="K59" i="3"/>
  <c r="B60" i="3"/>
  <c r="C60" i="3"/>
  <c r="D60" i="3"/>
  <c r="E60" i="3"/>
  <c r="F60" i="3"/>
  <c r="G60" i="3"/>
  <c r="H60" i="3"/>
  <c r="I60" i="3"/>
  <c r="J60" i="3"/>
  <c r="K60" i="3"/>
  <c r="B61" i="3"/>
  <c r="C61" i="3"/>
  <c r="D61" i="3"/>
  <c r="E61" i="3"/>
  <c r="F61" i="3"/>
  <c r="G61" i="3"/>
  <c r="H61" i="3"/>
  <c r="I61" i="3"/>
  <c r="J61" i="3"/>
  <c r="K61" i="3"/>
  <c r="B62" i="3"/>
  <c r="C62" i="3"/>
  <c r="D62" i="3"/>
  <c r="E62" i="3"/>
  <c r="F62" i="3"/>
  <c r="G62" i="3"/>
  <c r="H62" i="3"/>
  <c r="I62" i="3"/>
  <c r="J62" i="3"/>
  <c r="K62" i="3"/>
  <c r="B63" i="3"/>
  <c r="C63" i="3"/>
  <c r="D63" i="3"/>
  <c r="E63" i="3"/>
  <c r="F63" i="3"/>
  <c r="G63" i="3"/>
  <c r="H63" i="3"/>
  <c r="I63" i="3"/>
  <c r="J63" i="3"/>
  <c r="K63" i="3"/>
  <c r="B64" i="3"/>
  <c r="C64" i="3"/>
  <c r="D64" i="3"/>
  <c r="E64" i="3"/>
  <c r="F64" i="3"/>
  <c r="G64" i="3"/>
  <c r="H64" i="3"/>
  <c r="I64" i="3"/>
  <c r="J64" i="3"/>
  <c r="K64" i="3"/>
  <c r="B65" i="3"/>
  <c r="C65" i="3"/>
  <c r="D65" i="3"/>
  <c r="E65" i="3"/>
  <c r="F65" i="3"/>
  <c r="G65" i="3"/>
  <c r="H65" i="3"/>
  <c r="I65" i="3"/>
  <c r="J65" i="3"/>
  <c r="K65" i="3"/>
  <c r="B66" i="3"/>
  <c r="C66" i="3"/>
  <c r="D66" i="3"/>
  <c r="E66" i="3"/>
  <c r="F66" i="3"/>
  <c r="G66" i="3"/>
  <c r="H66" i="3"/>
  <c r="I66" i="3"/>
  <c r="J66" i="3"/>
  <c r="K66" i="3"/>
  <c r="B67" i="3"/>
  <c r="C67" i="3"/>
  <c r="D67" i="3"/>
  <c r="E67" i="3"/>
  <c r="F67" i="3"/>
  <c r="G67" i="3"/>
  <c r="H67" i="3"/>
  <c r="I67" i="3"/>
  <c r="J67" i="3"/>
  <c r="K67" i="3"/>
  <c r="B68" i="3"/>
  <c r="C68" i="3"/>
  <c r="D68" i="3"/>
  <c r="E68" i="3"/>
  <c r="F68" i="3"/>
  <c r="G68" i="3"/>
  <c r="H68" i="3"/>
  <c r="I68" i="3"/>
  <c r="J68" i="3"/>
  <c r="K68" i="3"/>
  <c r="B69" i="3"/>
  <c r="C69" i="3"/>
  <c r="D69" i="3"/>
  <c r="E69" i="3"/>
  <c r="F69" i="3"/>
  <c r="G69" i="3"/>
  <c r="H69" i="3"/>
  <c r="I69" i="3"/>
  <c r="J69" i="3"/>
  <c r="K69" i="3"/>
  <c r="B70" i="3"/>
  <c r="C70" i="3"/>
  <c r="D70" i="3"/>
  <c r="E70" i="3"/>
  <c r="F70" i="3"/>
  <c r="G70" i="3"/>
  <c r="H70" i="3"/>
  <c r="I70" i="3"/>
  <c r="J70" i="3"/>
  <c r="K70" i="3"/>
  <c r="B71" i="3"/>
  <c r="C71" i="3"/>
  <c r="D71" i="3"/>
  <c r="E71" i="3"/>
  <c r="F71" i="3"/>
  <c r="G71" i="3"/>
  <c r="H71" i="3"/>
  <c r="I71" i="3"/>
  <c r="J71" i="3"/>
  <c r="K71" i="3"/>
  <c r="B72" i="3"/>
  <c r="C72" i="3"/>
  <c r="D72" i="3"/>
  <c r="E72" i="3"/>
  <c r="F72" i="3"/>
  <c r="G72" i="3"/>
  <c r="H72" i="3"/>
  <c r="I72" i="3"/>
  <c r="J72" i="3"/>
  <c r="K72" i="3"/>
  <c r="B73" i="3"/>
  <c r="C73" i="3"/>
  <c r="D73" i="3"/>
  <c r="E73" i="3"/>
  <c r="F73" i="3"/>
  <c r="G73" i="3"/>
  <c r="H73" i="3"/>
  <c r="I73" i="3"/>
  <c r="J73" i="3"/>
  <c r="K73" i="3"/>
  <c r="B74" i="3"/>
  <c r="C74" i="3"/>
  <c r="D74" i="3"/>
  <c r="E74" i="3"/>
  <c r="F74" i="3"/>
  <c r="G74" i="3"/>
  <c r="H74" i="3"/>
  <c r="I74" i="3"/>
  <c r="J74" i="3"/>
  <c r="K74" i="3"/>
  <c r="B75" i="3"/>
  <c r="C75" i="3"/>
  <c r="D75" i="3"/>
  <c r="E75" i="3"/>
  <c r="F75" i="3"/>
  <c r="G75" i="3"/>
  <c r="H75" i="3"/>
  <c r="I75" i="3"/>
  <c r="J75" i="3"/>
  <c r="K75" i="3"/>
  <c r="B76" i="3"/>
  <c r="C76" i="3"/>
  <c r="D76" i="3"/>
  <c r="E76" i="3"/>
  <c r="F76" i="3"/>
  <c r="G76" i="3"/>
  <c r="H76" i="3"/>
  <c r="I76" i="3"/>
  <c r="J76" i="3"/>
  <c r="K76" i="3"/>
  <c r="B77" i="3"/>
  <c r="C77" i="3"/>
  <c r="D77" i="3"/>
  <c r="E77" i="3"/>
  <c r="F77" i="3"/>
  <c r="G77" i="3"/>
  <c r="H77" i="3"/>
  <c r="I77" i="3"/>
  <c r="J77" i="3"/>
  <c r="K77" i="3"/>
  <c r="B78" i="3"/>
  <c r="C78" i="3"/>
  <c r="D78" i="3"/>
  <c r="E78" i="3"/>
  <c r="F78" i="3"/>
  <c r="G78" i="3"/>
  <c r="H78" i="3"/>
  <c r="I78" i="3"/>
  <c r="J78" i="3"/>
  <c r="K78" i="3"/>
  <c r="B79" i="3"/>
  <c r="C79" i="3"/>
  <c r="D79" i="3"/>
  <c r="E79" i="3"/>
  <c r="F79" i="3"/>
  <c r="G79" i="3"/>
  <c r="H79" i="3"/>
  <c r="I79" i="3"/>
  <c r="J79" i="3"/>
  <c r="K79" i="3"/>
  <c r="B80" i="3"/>
  <c r="C80" i="3"/>
  <c r="D80" i="3"/>
  <c r="E80" i="3"/>
  <c r="F80" i="3"/>
  <c r="G80" i="3"/>
  <c r="H80" i="3"/>
  <c r="I80" i="3"/>
  <c r="J80" i="3"/>
  <c r="K80" i="3"/>
  <c r="B81" i="3"/>
  <c r="C81" i="3"/>
  <c r="D81" i="3"/>
  <c r="E81" i="3"/>
  <c r="F81" i="3"/>
  <c r="G81" i="3"/>
  <c r="H81" i="3"/>
  <c r="I81" i="3"/>
  <c r="J81" i="3"/>
  <c r="K81" i="3"/>
  <c r="B82" i="3"/>
  <c r="C82" i="3"/>
  <c r="D82" i="3"/>
  <c r="E82" i="3"/>
  <c r="F82" i="3"/>
  <c r="G82" i="3"/>
  <c r="H82" i="3"/>
  <c r="I82" i="3"/>
  <c r="J82" i="3"/>
  <c r="K82" i="3"/>
  <c r="B83" i="3"/>
  <c r="C83" i="3"/>
  <c r="D83" i="3"/>
  <c r="E83" i="3"/>
  <c r="F83" i="3"/>
  <c r="G83" i="3"/>
  <c r="H83" i="3"/>
  <c r="I83" i="3"/>
  <c r="J83" i="3"/>
  <c r="K83" i="3"/>
  <c r="B84" i="3"/>
  <c r="C84" i="3"/>
  <c r="D84" i="3"/>
  <c r="E84" i="3"/>
  <c r="F84" i="3"/>
  <c r="G84" i="3"/>
  <c r="H84" i="3"/>
  <c r="I84" i="3"/>
  <c r="J84" i="3"/>
  <c r="K84" i="3"/>
  <c r="B85" i="3"/>
  <c r="C85" i="3"/>
  <c r="D85" i="3"/>
  <c r="E85" i="3"/>
  <c r="F85" i="3"/>
  <c r="G85" i="3"/>
  <c r="H85" i="3"/>
  <c r="I85" i="3"/>
  <c r="J85" i="3"/>
  <c r="K85" i="3"/>
  <c r="B86" i="3"/>
  <c r="C86" i="3"/>
  <c r="D86" i="3"/>
  <c r="E86" i="3"/>
  <c r="F86" i="3"/>
  <c r="G86" i="3"/>
  <c r="H86" i="3"/>
  <c r="I86" i="3"/>
  <c r="J86" i="3"/>
  <c r="K86" i="3"/>
  <c r="B87" i="3"/>
  <c r="C87" i="3"/>
  <c r="D87" i="3"/>
  <c r="E87" i="3"/>
  <c r="F87" i="3"/>
  <c r="G87" i="3"/>
  <c r="H87" i="3"/>
  <c r="I87" i="3"/>
  <c r="J87" i="3"/>
  <c r="K87" i="3"/>
  <c r="B88" i="3"/>
  <c r="C88" i="3"/>
  <c r="D88" i="3"/>
  <c r="E88" i="3"/>
  <c r="F88" i="3"/>
  <c r="G88" i="3"/>
  <c r="H88" i="3"/>
  <c r="I88" i="3"/>
  <c r="J88" i="3"/>
  <c r="K88" i="3"/>
  <c r="B89" i="3"/>
  <c r="C89" i="3"/>
  <c r="D89" i="3"/>
  <c r="E89" i="3"/>
  <c r="F89" i="3"/>
  <c r="G89" i="3"/>
  <c r="H89" i="3"/>
  <c r="I89" i="3"/>
  <c r="J89" i="3"/>
  <c r="K89" i="3"/>
  <c r="B90" i="3"/>
  <c r="C90" i="3"/>
  <c r="D90" i="3"/>
  <c r="E90" i="3"/>
  <c r="F90" i="3"/>
  <c r="G90" i="3"/>
  <c r="H90" i="3"/>
  <c r="I90" i="3"/>
  <c r="J90" i="3"/>
  <c r="K90" i="3"/>
  <c r="B91" i="3"/>
  <c r="C91" i="3"/>
  <c r="D91" i="3"/>
  <c r="E91" i="3"/>
  <c r="F91" i="3"/>
  <c r="G91" i="3"/>
  <c r="H91" i="3"/>
  <c r="I91" i="3"/>
  <c r="J91" i="3"/>
  <c r="K91" i="3"/>
  <c r="B92" i="3"/>
  <c r="C92" i="3"/>
  <c r="D92" i="3"/>
  <c r="E92" i="3"/>
  <c r="F92" i="3"/>
  <c r="G92" i="3"/>
  <c r="H92" i="3"/>
  <c r="I92" i="3"/>
  <c r="J92" i="3"/>
  <c r="K92" i="3"/>
  <c r="B93" i="3"/>
  <c r="C93" i="3"/>
  <c r="D93" i="3"/>
  <c r="E93" i="3"/>
  <c r="F93" i="3"/>
  <c r="G93" i="3"/>
  <c r="H93" i="3"/>
  <c r="I93" i="3"/>
  <c r="J93" i="3"/>
  <c r="K93" i="3"/>
  <c r="B94" i="3"/>
  <c r="C94" i="3"/>
  <c r="D94" i="3"/>
  <c r="E94" i="3"/>
  <c r="F94" i="3"/>
  <c r="G94" i="3"/>
  <c r="H94" i="3"/>
  <c r="I94" i="3"/>
  <c r="J94" i="3"/>
  <c r="K94" i="3"/>
  <c r="B95" i="3"/>
  <c r="C95" i="3"/>
  <c r="D95" i="3"/>
  <c r="E95" i="3"/>
  <c r="F95" i="3"/>
  <c r="G95" i="3"/>
  <c r="H95" i="3"/>
  <c r="I95" i="3"/>
  <c r="J95" i="3"/>
  <c r="K95" i="3"/>
  <c r="B96" i="3"/>
  <c r="C96" i="3"/>
  <c r="D96" i="3"/>
  <c r="E96" i="3"/>
  <c r="F96" i="3"/>
  <c r="G96" i="3"/>
  <c r="H96" i="3"/>
  <c r="I96" i="3"/>
  <c r="J96" i="3"/>
  <c r="K96" i="3"/>
  <c r="B97" i="3"/>
  <c r="C97" i="3"/>
  <c r="D97" i="3"/>
  <c r="E97" i="3"/>
  <c r="F97" i="3"/>
  <c r="G97" i="3"/>
  <c r="H97" i="3"/>
  <c r="I97" i="3"/>
  <c r="J97" i="3"/>
  <c r="K97" i="3"/>
  <c r="B98" i="3"/>
  <c r="C98" i="3"/>
  <c r="D98" i="3"/>
  <c r="E98" i="3"/>
  <c r="F98" i="3"/>
  <c r="G98" i="3"/>
  <c r="H98" i="3"/>
  <c r="I98" i="3"/>
  <c r="J98" i="3"/>
  <c r="K98" i="3"/>
  <c r="B99" i="3"/>
  <c r="C99" i="3"/>
  <c r="D99" i="3"/>
  <c r="E99" i="3"/>
  <c r="F99" i="3"/>
  <c r="G99" i="3"/>
  <c r="H99" i="3"/>
  <c r="I99" i="3"/>
  <c r="J99" i="3"/>
  <c r="K99" i="3"/>
  <c r="B100" i="3"/>
  <c r="C100" i="3"/>
  <c r="D100" i="3"/>
  <c r="E100" i="3"/>
  <c r="F100" i="3"/>
  <c r="G100" i="3"/>
  <c r="H100" i="3"/>
  <c r="I100" i="3"/>
  <c r="J100" i="3"/>
  <c r="K100" i="3"/>
  <c r="B101" i="3"/>
  <c r="C101" i="3"/>
  <c r="D101" i="3"/>
  <c r="E101" i="3"/>
  <c r="F101" i="3"/>
  <c r="G101" i="3"/>
  <c r="H101" i="3"/>
  <c r="I101" i="3"/>
  <c r="J101" i="3"/>
  <c r="K101" i="3"/>
  <c r="B102" i="3"/>
  <c r="C102" i="3"/>
  <c r="D102" i="3"/>
  <c r="E102" i="3"/>
  <c r="F102" i="3"/>
  <c r="G102" i="3"/>
  <c r="H102" i="3"/>
  <c r="I102" i="3"/>
  <c r="J102" i="3"/>
  <c r="K102" i="3"/>
  <c r="B103" i="3"/>
  <c r="C103" i="3"/>
  <c r="D103" i="3"/>
  <c r="E103" i="3"/>
  <c r="F103" i="3"/>
  <c r="G103" i="3"/>
  <c r="H103" i="3"/>
  <c r="I103" i="3"/>
  <c r="J103" i="3"/>
  <c r="K103" i="3"/>
  <c r="B104" i="3"/>
  <c r="C104" i="3"/>
  <c r="D104" i="3"/>
  <c r="E104" i="3"/>
  <c r="F104" i="3"/>
  <c r="G104" i="3"/>
  <c r="H104" i="3"/>
  <c r="I104" i="3"/>
  <c r="J104" i="3"/>
  <c r="K104" i="3"/>
  <c r="B105" i="3"/>
  <c r="C105" i="3"/>
  <c r="D105" i="3"/>
  <c r="E105" i="3"/>
  <c r="F105" i="3"/>
  <c r="G105" i="3"/>
  <c r="H105" i="3"/>
  <c r="I105" i="3"/>
  <c r="J105" i="3"/>
  <c r="K105" i="3"/>
  <c r="B106" i="3"/>
  <c r="C106" i="3"/>
  <c r="D106" i="3"/>
  <c r="E106" i="3"/>
  <c r="F106" i="3"/>
  <c r="G106" i="3"/>
  <c r="H106" i="3"/>
  <c r="I106" i="3"/>
  <c r="J106" i="3"/>
  <c r="K106" i="3"/>
  <c r="B107" i="3"/>
  <c r="C107" i="3"/>
  <c r="D107" i="3"/>
  <c r="E107" i="3"/>
  <c r="F107" i="3"/>
  <c r="G107" i="3"/>
  <c r="H107" i="3"/>
  <c r="I107" i="3"/>
  <c r="J107" i="3"/>
  <c r="K107" i="3"/>
  <c r="B108" i="3"/>
  <c r="C108" i="3"/>
  <c r="D108" i="3"/>
  <c r="E108" i="3"/>
  <c r="F108" i="3"/>
  <c r="G108" i="3"/>
  <c r="H108" i="3"/>
  <c r="I108" i="3"/>
  <c r="J108" i="3"/>
  <c r="K108" i="3"/>
  <c r="B109" i="3"/>
  <c r="C109" i="3"/>
  <c r="D109" i="3"/>
  <c r="E109" i="3"/>
  <c r="F109" i="3"/>
  <c r="G109" i="3"/>
  <c r="H109" i="3"/>
  <c r="I109" i="3"/>
  <c r="J109" i="3"/>
  <c r="K109" i="3"/>
  <c r="B110" i="3"/>
  <c r="C110" i="3"/>
  <c r="D110" i="3"/>
  <c r="E110" i="3"/>
  <c r="F110" i="3"/>
  <c r="G110" i="3"/>
  <c r="H110" i="3"/>
  <c r="I110" i="3"/>
  <c r="J110" i="3"/>
  <c r="K110" i="3"/>
  <c r="B111" i="3"/>
  <c r="C111" i="3"/>
  <c r="D111" i="3"/>
  <c r="E111" i="3"/>
  <c r="F111" i="3"/>
  <c r="G111" i="3"/>
  <c r="H111" i="3"/>
  <c r="I111" i="3"/>
  <c r="J111" i="3"/>
  <c r="K111" i="3"/>
  <c r="B112" i="3"/>
  <c r="C112" i="3"/>
  <c r="D112" i="3"/>
  <c r="E112" i="3"/>
  <c r="F112" i="3"/>
  <c r="G112" i="3"/>
  <c r="H112" i="3"/>
  <c r="I112" i="3"/>
  <c r="J112" i="3"/>
  <c r="K112" i="3"/>
  <c r="B113" i="3"/>
  <c r="C113" i="3"/>
  <c r="D113" i="3"/>
  <c r="E113" i="3"/>
  <c r="F113" i="3"/>
  <c r="G113" i="3"/>
  <c r="H113" i="3"/>
  <c r="I113" i="3"/>
  <c r="J113" i="3"/>
  <c r="K113" i="3"/>
  <c r="B114" i="3"/>
  <c r="C114" i="3"/>
  <c r="D114" i="3"/>
  <c r="E114" i="3"/>
  <c r="F114" i="3"/>
  <c r="G114" i="3"/>
  <c r="H114" i="3"/>
  <c r="I114" i="3"/>
  <c r="J114" i="3"/>
  <c r="K114" i="3"/>
  <c r="B115" i="3"/>
  <c r="C115" i="3"/>
  <c r="D115" i="3"/>
  <c r="E115" i="3"/>
  <c r="F115" i="3"/>
  <c r="G115" i="3"/>
  <c r="H115" i="3"/>
  <c r="I115" i="3"/>
  <c r="J115" i="3"/>
  <c r="K115" i="3"/>
  <c r="B116" i="3"/>
  <c r="C116" i="3"/>
  <c r="D116" i="3"/>
  <c r="E116" i="3"/>
  <c r="F116" i="3"/>
  <c r="G116" i="3"/>
  <c r="H116" i="3"/>
  <c r="I116" i="3"/>
  <c r="J116" i="3"/>
  <c r="K116" i="3"/>
  <c r="B117" i="3"/>
  <c r="C117" i="3"/>
  <c r="D117" i="3"/>
  <c r="E117" i="3"/>
  <c r="F117" i="3"/>
  <c r="G117" i="3"/>
  <c r="H117" i="3"/>
  <c r="I117" i="3"/>
  <c r="J117" i="3"/>
  <c r="K117" i="3"/>
  <c r="B118" i="3"/>
  <c r="C118" i="3"/>
  <c r="D118" i="3"/>
  <c r="E118" i="3"/>
  <c r="F118" i="3"/>
  <c r="G118" i="3"/>
  <c r="H118" i="3"/>
  <c r="I118" i="3"/>
  <c r="J118" i="3"/>
  <c r="K118" i="3"/>
  <c r="B119" i="3"/>
  <c r="C119" i="3"/>
  <c r="D119" i="3"/>
  <c r="E119" i="3"/>
  <c r="F119" i="3"/>
  <c r="G119" i="3"/>
  <c r="H119" i="3"/>
  <c r="I119" i="3"/>
  <c r="J119" i="3"/>
  <c r="K119" i="3"/>
  <c r="B120" i="3"/>
  <c r="C120" i="3"/>
  <c r="D120" i="3"/>
  <c r="E120" i="3"/>
  <c r="F120" i="3"/>
  <c r="G120" i="3"/>
  <c r="H120" i="3"/>
  <c r="I120" i="3"/>
  <c r="J120" i="3"/>
  <c r="K120" i="3"/>
  <c r="B121" i="3"/>
  <c r="C121" i="3"/>
  <c r="D121" i="3"/>
  <c r="E121" i="3"/>
  <c r="F121" i="3"/>
  <c r="G121" i="3"/>
  <c r="H121" i="3"/>
  <c r="I121" i="3"/>
  <c r="J121" i="3"/>
  <c r="K121" i="3"/>
  <c r="B122" i="3"/>
  <c r="C122" i="3"/>
  <c r="D122" i="3"/>
  <c r="E122" i="3"/>
  <c r="F122" i="3"/>
  <c r="G122" i="3"/>
  <c r="H122" i="3"/>
  <c r="I122" i="3"/>
  <c r="J122" i="3"/>
  <c r="K122" i="3"/>
  <c r="B123" i="3"/>
  <c r="C123" i="3"/>
  <c r="D123" i="3"/>
  <c r="E123" i="3"/>
  <c r="F123" i="3"/>
  <c r="G123" i="3"/>
  <c r="H123" i="3"/>
  <c r="I123" i="3"/>
  <c r="J123" i="3"/>
  <c r="K123" i="3"/>
  <c r="B124" i="3"/>
  <c r="C124" i="3"/>
  <c r="D124" i="3"/>
  <c r="E124" i="3"/>
  <c r="F124" i="3"/>
  <c r="G124" i="3"/>
  <c r="H124" i="3"/>
  <c r="I124" i="3"/>
  <c r="J124" i="3"/>
  <c r="K124" i="3"/>
  <c r="B125" i="3"/>
  <c r="C125" i="3"/>
  <c r="D125" i="3"/>
  <c r="E125" i="3"/>
  <c r="F125" i="3"/>
  <c r="G125" i="3"/>
  <c r="H125" i="3"/>
  <c r="I125" i="3"/>
  <c r="J125" i="3"/>
  <c r="K125" i="3"/>
  <c r="B126" i="3"/>
  <c r="C126" i="3"/>
  <c r="D126" i="3"/>
  <c r="E126" i="3"/>
  <c r="F126" i="3"/>
  <c r="G126" i="3"/>
  <c r="H126" i="3"/>
  <c r="I126" i="3"/>
  <c r="J126" i="3"/>
  <c r="K126" i="3"/>
  <c r="B127" i="3"/>
  <c r="C127" i="3"/>
  <c r="D127" i="3"/>
  <c r="E127" i="3"/>
  <c r="F127" i="3"/>
  <c r="G127" i="3"/>
  <c r="H127" i="3"/>
  <c r="I127" i="3"/>
  <c r="J127" i="3"/>
  <c r="K127" i="3"/>
  <c r="B128" i="3"/>
  <c r="C128" i="3"/>
  <c r="D128" i="3"/>
  <c r="E128" i="3"/>
  <c r="F128" i="3"/>
  <c r="G128" i="3"/>
  <c r="H128" i="3"/>
  <c r="I128" i="3"/>
  <c r="J128" i="3"/>
  <c r="K128" i="3"/>
  <c r="B129" i="3"/>
  <c r="C129" i="3"/>
  <c r="D129" i="3"/>
  <c r="E129" i="3"/>
  <c r="F129" i="3"/>
  <c r="G129" i="3"/>
  <c r="H129" i="3"/>
  <c r="I129" i="3"/>
  <c r="J129" i="3"/>
  <c r="K129" i="3"/>
  <c r="B130" i="3"/>
  <c r="C130" i="3"/>
  <c r="D130" i="3"/>
  <c r="E130" i="3"/>
  <c r="F130" i="3"/>
  <c r="G130" i="3"/>
  <c r="H130" i="3"/>
  <c r="I130" i="3"/>
  <c r="J130" i="3"/>
  <c r="K130" i="3"/>
  <c r="B131" i="3"/>
  <c r="C131" i="3"/>
  <c r="D131" i="3"/>
  <c r="E131" i="3"/>
  <c r="F131" i="3"/>
  <c r="G131" i="3"/>
  <c r="H131" i="3"/>
  <c r="I131" i="3"/>
  <c r="J131" i="3"/>
  <c r="K131" i="3"/>
  <c r="B132" i="3"/>
  <c r="C132" i="3"/>
  <c r="D132" i="3"/>
  <c r="E132" i="3"/>
  <c r="F132" i="3"/>
  <c r="G132" i="3"/>
  <c r="H132" i="3"/>
  <c r="I132" i="3"/>
  <c r="J132" i="3"/>
  <c r="K132" i="3"/>
  <c r="B133" i="3"/>
  <c r="C133" i="3"/>
  <c r="D133" i="3"/>
  <c r="E133" i="3"/>
  <c r="F133" i="3"/>
  <c r="G133" i="3"/>
  <c r="H133" i="3"/>
  <c r="I133" i="3"/>
  <c r="J133" i="3"/>
  <c r="K133" i="3"/>
  <c r="B134" i="3"/>
  <c r="C134" i="3"/>
  <c r="D134" i="3"/>
  <c r="E134" i="3"/>
  <c r="F134" i="3"/>
  <c r="G134" i="3"/>
  <c r="H134" i="3"/>
  <c r="I134" i="3"/>
  <c r="J134" i="3"/>
  <c r="K134" i="3"/>
  <c r="B135" i="3"/>
  <c r="C135" i="3"/>
  <c r="D135" i="3"/>
  <c r="E135" i="3"/>
  <c r="F135" i="3"/>
  <c r="G135" i="3"/>
  <c r="H135" i="3"/>
  <c r="I135" i="3"/>
  <c r="J135" i="3"/>
  <c r="K135" i="3"/>
  <c r="B136" i="3"/>
  <c r="C136" i="3"/>
  <c r="D136" i="3"/>
  <c r="E136" i="3"/>
  <c r="F136" i="3"/>
  <c r="G136" i="3"/>
  <c r="H136" i="3"/>
  <c r="I136" i="3"/>
  <c r="J136" i="3"/>
  <c r="K136" i="3"/>
  <c r="B137" i="3"/>
  <c r="C137" i="3"/>
  <c r="D137" i="3"/>
  <c r="E137" i="3"/>
  <c r="F137" i="3"/>
  <c r="G137" i="3"/>
  <c r="H137" i="3"/>
  <c r="I137" i="3"/>
  <c r="J137" i="3"/>
  <c r="K137" i="3"/>
  <c r="B138" i="3"/>
  <c r="C138" i="3"/>
  <c r="D138" i="3"/>
  <c r="E138" i="3"/>
  <c r="F138" i="3"/>
  <c r="G138" i="3"/>
  <c r="H138" i="3"/>
  <c r="I138" i="3"/>
  <c r="J138" i="3"/>
  <c r="K138" i="3"/>
  <c r="B139" i="3"/>
  <c r="C139" i="3"/>
  <c r="D139" i="3"/>
  <c r="E139" i="3"/>
  <c r="F139" i="3"/>
  <c r="G139" i="3"/>
  <c r="H139" i="3"/>
  <c r="I139" i="3"/>
  <c r="J139" i="3"/>
  <c r="K139" i="3"/>
  <c r="B140" i="3"/>
  <c r="C140" i="3"/>
  <c r="D140" i="3"/>
  <c r="E140" i="3"/>
  <c r="F140" i="3"/>
  <c r="G140" i="3"/>
  <c r="H140" i="3"/>
  <c r="I140" i="3"/>
  <c r="J140" i="3"/>
  <c r="K140" i="3"/>
  <c r="B141" i="3"/>
  <c r="C141" i="3"/>
  <c r="D141" i="3"/>
  <c r="E141" i="3"/>
  <c r="F141" i="3"/>
  <c r="G141" i="3"/>
  <c r="H141" i="3"/>
  <c r="I141" i="3"/>
  <c r="J141" i="3"/>
  <c r="K141" i="3"/>
  <c r="B142" i="3"/>
  <c r="C142" i="3"/>
  <c r="D142" i="3"/>
  <c r="E142" i="3"/>
  <c r="F142" i="3"/>
  <c r="G142" i="3"/>
  <c r="H142" i="3"/>
  <c r="I142" i="3"/>
  <c r="J142" i="3"/>
  <c r="K142" i="3"/>
  <c r="B143" i="3"/>
  <c r="C143" i="3"/>
  <c r="D143" i="3"/>
  <c r="E143" i="3"/>
  <c r="F143" i="3"/>
  <c r="G143" i="3"/>
  <c r="H143" i="3"/>
  <c r="I143" i="3"/>
  <c r="J143" i="3"/>
  <c r="K143" i="3"/>
  <c r="B144" i="3"/>
  <c r="C144" i="3"/>
  <c r="D144" i="3"/>
  <c r="E144" i="3"/>
  <c r="F144" i="3"/>
  <c r="G144" i="3"/>
  <c r="H144" i="3"/>
  <c r="I144" i="3"/>
  <c r="J144" i="3"/>
  <c r="K144" i="3"/>
  <c r="B145" i="3"/>
  <c r="C145" i="3"/>
  <c r="D145" i="3"/>
  <c r="E145" i="3"/>
  <c r="F145" i="3"/>
  <c r="G145" i="3"/>
  <c r="H145" i="3"/>
  <c r="I145" i="3"/>
  <c r="J145" i="3"/>
  <c r="K145" i="3"/>
  <c r="B146" i="3"/>
  <c r="C146" i="3"/>
  <c r="D146" i="3"/>
  <c r="E146" i="3"/>
  <c r="F146" i="3"/>
  <c r="G146" i="3"/>
  <c r="H146" i="3"/>
  <c r="I146" i="3"/>
  <c r="J146" i="3"/>
  <c r="K146" i="3"/>
  <c r="B147" i="3"/>
  <c r="C147" i="3"/>
  <c r="D147" i="3"/>
  <c r="E147" i="3"/>
  <c r="F147" i="3"/>
  <c r="G147" i="3"/>
  <c r="H147" i="3"/>
  <c r="I147" i="3"/>
  <c r="J147" i="3"/>
  <c r="K147" i="3"/>
  <c r="B148" i="3"/>
  <c r="C148" i="3"/>
  <c r="D148" i="3"/>
  <c r="E148" i="3"/>
  <c r="F148" i="3"/>
  <c r="G148" i="3"/>
  <c r="H148" i="3"/>
  <c r="I148" i="3"/>
  <c r="J148" i="3"/>
  <c r="K148" i="3"/>
  <c r="B149" i="3"/>
  <c r="C149" i="3"/>
  <c r="D149" i="3"/>
  <c r="E149" i="3"/>
  <c r="F149" i="3"/>
  <c r="G149" i="3"/>
  <c r="H149" i="3"/>
  <c r="I149" i="3"/>
  <c r="J149" i="3"/>
  <c r="K149" i="3"/>
  <c r="B150" i="3"/>
  <c r="C150" i="3"/>
  <c r="D150" i="3"/>
  <c r="E150" i="3"/>
  <c r="F150" i="3"/>
  <c r="G150" i="3"/>
  <c r="H150" i="3"/>
  <c r="I150" i="3"/>
  <c r="J150" i="3"/>
  <c r="K150" i="3"/>
  <c r="B151" i="3"/>
  <c r="C151" i="3"/>
  <c r="D151" i="3"/>
  <c r="E151" i="3"/>
  <c r="F151" i="3"/>
  <c r="G151" i="3"/>
  <c r="H151" i="3"/>
  <c r="I151" i="3"/>
  <c r="J151" i="3"/>
  <c r="K151" i="3"/>
  <c r="B152" i="3"/>
  <c r="C152" i="3"/>
  <c r="D152" i="3"/>
  <c r="E152" i="3"/>
  <c r="F152" i="3"/>
  <c r="G152" i="3"/>
  <c r="H152" i="3"/>
  <c r="I152" i="3"/>
  <c r="J152" i="3"/>
  <c r="K152" i="3"/>
  <c r="B153" i="3"/>
  <c r="C153" i="3"/>
  <c r="D153" i="3"/>
  <c r="E153" i="3"/>
  <c r="F153" i="3"/>
  <c r="G153" i="3"/>
  <c r="H153" i="3"/>
  <c r="I153" i="3"/>
  <c r="J153" i="3"/>
  <c r="K153" i="3"/>
  <c r="B154" i="3"/>
  <c r="C154" i="3"/>
  <c r="D154" i="3"/>
  <c r="E154" i="3"/>
  <c r="F154" i="3"/>
  <c r="G154" i="3"/>
  <c r="H154" i="3"/>
  <c r="I154" i="3"/>
  <c r="J154" i="3"/>
  <c r="K154" i="3"/>
  <c r="B155" i="3"/>
  <c r="C155" i="3"/>
  <c r="D155" i="3"/>
  <c r="E155" i="3"/>
  <c r="F155" i="3"/>
  <c r="G155" i="3"/>
  <c r="H155" i="3"/>
  <c r="I155" i="3"/>
  <c r="J155" i="3"/>
  <c r="K155" i="3"/>
  <c r="B156" i="3"/>
  <c r="C156" i="3"/>
  <c r="D156" i="3"/>
  <c r="E156" i="3"/>
  <c r="F156" i="3"/>
  <c r="G156" i="3"/>
  <c r="H156" i="3"/>
  <c r="I156" i="3"/>
  <c r="J156" i="3"/>
  <c r="K156" i="3"/>
  <c r="B157" i="3"/>
  <c r="C157" i="3"/>
  <c r="D157" i="3"/>
  <c r="E157" i="3"/>
  <c r="F157" i="3"/>
  <c r="G157" i="3"/>
  <c r="H157" i="3"/>
  <c r="I157" i="3"/>
  <c r="J157" i="3"/>
  <c r="K157" i="3"/>
  <c r="B158" i="3"/>
  <c r="C158" i="3"/>
  <c r="D158" i="3"/>
  <c r="E158" i="3"/>
  <c r="F158" i="3"/>
  <c r="G158" i="3"/>
  <c r="H158" i="3"/>
  <c r="I158" i="3"/>
  <c r="J158" i="3"/>
  <c r="K158" i="3"/>
  <c r="B159" i="3"/>
  <c r="C159" i="3"/>
  <c r="D159" i="3"/>
  <c r="E159" i="3"/>
  <c r="F159" i="3"/>
  <c r="G159" i="3"/>
  <c r="H159" i="3"/>
  <c r="I159" i="3"/>
  <c r="J159" i="3"/>
  <c r="K159" i="3"/>
  <c r="B160" i="3"/>
  <c r="C160" i="3"/>
  <c r="D160" i="3"/>
  <c r="E160" i="3"/>
  <c r="F160" i="3"/>
  <c r="G160" i="3"/>
  <c r="H160" i="3"/>
  <c r="I160" i="3"/>
  <c r="J160" i="3"/>
  <c r="K160" i="3"/>
  <c r="B161" i="3"/>
  <c r="C161" i="3"/>
  <c r="D161" i="3"/>
  <c r="E161" i="3"/>
  <c r="F161" i="3"/>
  <c r="G161" i="3"/>
  <c r="H161" i="3"/>
  <c r="I161" i="3"/>
  <c r="J161" i="3"/>
  <c r="K161" i="3"/>
  <c r="B162" i="3"/>
  <c r="C162" i="3"/>
  <c r="D162" i="3"/>
  <c r="E162" i="3"/>
  <c r="F162" i="3"/>
  <c r="G162" i="3"/>
  <c r="H162" i="3"/>
  <c r="I162" i="3"/>
  <c r="J162" i="3"/>
  <c r="K162" i="3"/>
  <c r="B163" i="3"/>
  <c r="C163" i="3"/>
  <c r="D163" i="3"/>
  <c r="E163" i="3"/>
  <c r="F163" i="3"/>
  <c r="G163" i="3"/>
  <c r="H163" i="3"/>
  <c r="I163" i="3"/>
  <c r="J163" i="3"/>
  <c r="K163" i="3"/>
  <c r="B164" i="3"/>
  <c r="C164" i="3"/>
  <c r="D164" i="3"/>
  <c r="E164" i="3"/>
  <c r="F164" i="3"/>
  <c r="G164" i="3"/>
  <c r="H164" i="3"/>
  <c r="I164" i="3"/>
  <c r="J164" i="3"/>
  <c r="K164" i="3"/>
  <c r="B165" i="3"/>
  <c r="C165" i="3"/>
  <c r="D165" i="3"/>
  <c r="E165" i="3"/>
  <c r="F165" i="3"/>
  <c r="G165" i="3"/>
  <c r="H165" i="3"/>
  <c r="I165" i="3"/>
  <c r="J165" i="3"/>
  <c r="K165" i="3"/>
  <c r="B166" i="3"/>
  <c r="C166" i="3"/>
  <c r="D166" i="3"/>
  <c r="E166" i="3"/>
  <c r="F166" i="3"/>
  <c r="G166" i="3"/>
  <c r="H166" i="3"/>
  <c r="I166" i="3"/>
  <c r="J166" i="3"/>
  <c r="K166" i="3"/>
  <c r="B167" i="3"/>
  <c r="C167" i="3"/>
  <c r="D167" i="3"/>
  <c r="E167" i="3"/>
  <c r="F167" i="3"/>
  <c r="G167" i="3"/>
  <c r="H167" i="3"/>
  <c r="I167" i="3"/>
  <c r="J167" i="3"/>
  <c r="K167" i="3"/>
  <c r="B168" i="3"/>
  <c r="C168" i="3"/>
  <c r="D168" i="3"/>
  <c r="E168" i="3"/>
  <c r="F168" i="3"/>
  <c r="G168" i="3"/>
  <c r="H168" i="3"/>
  <c r="I168" i="3"/>
  <c r="J168" i="3"/>
  <c r="K168" i="3"/>
  <c r="B169" i="3"/>
  <c r="C169" i="3"/>
  <c r="D169" i="3"/>
  <c r="E169" i="3"/>
  <c r="F169" i="3"/>
  <c r="G169" i="3"/>
  <c r="H169" i="3"/>
  <c r="I169" i="3"/>
  <c r="J169" i="3"/>
  <c r="K169" i="3"/>
  <c r="B170" i="3"/>
  <c r="C170" i="3"/>
  <c r="D170" i="3"/>
  <c r="E170" i="3"/>
  <c r="F170" i="3"/>
  <c r="G170" i="3"/>
  <c r="H170" i="3"/>
  <c r="I170" i="3"/>
  <c r="J170" i="3"/>
  <c r="K170" i="3"/>
  <c r="B171" i="3"/>
  <c r="C171" i="3"/>
  <c r="D171" i="3"/>
  <c r="E171" i="3"/>
  <c r="F171" i="3"/>
  <c r="G171" i="3"/>
  <c r="H171" i="3"/>
  <c r="I171" i="3"/>
  <c r="J171" i="3"/>
  <c r="K171" i="3"/>
  <c r="B172" i="3"/>
  <c r="C172" i="3"/>
  <c r="D172" i="3"/>
  <c r="E172" i="3"/>
  <c r="F172" i="3"/>
  <c r="G172" i="3"/>
  <c r="H172" i="3"/>
  <c r="I172" i="3"/>
  <c r="J172" i="3"/>
  <c r="K172" i="3"/>
  <c r="B173" i="3"/>
  <c r="C173" i="3"/>
  <c r="D173" i="3"/>
  <c r="E173" i="3"/>
  <c r="F173" i="3"/>
  <c r="G173" i="3"/>
  <c r="H173" i="3"/>
  <c r="I173" i="3"/>
  <c r="J173" i="3"/>
  <c r="K173" i="3"/>
  <c r="B174" i="3"/>
  <c r="C174" i="3"/>
  <c r="D174" i="3"/>
  <c r="E174" i="3"/>
  <c r="F174" i="3"/>
  <c r="G174" i="3"/>
  <c r="H174" i="3"/>
  <c r="I174" i="3"/>
  <c r="J174" i="3"/>
  <c r="K174" i="3"/>
  <c r="B175" i="3"/>
  <c r="C175" i="3"/>
  <c r="D175" i="3"/>
  <c r="E175" i="3"/>
  <c r="F175" i="3"/>
  <c r="G175" i="3"/>
  <c r="H175" i="3"/>
  <c r="I175" i="3"/>
  <c r="J175" i="3"/>
  <c r="K175" i="3"/>
  <c r="B176" i="3"/>
  <c r="C176" i="3"/>
  <c r="D176" i="3"/>
  <c r="E176" i="3"/>
  <c r="F176" i="3"/>
  <c r="G176" i="3"/>
  <c r="H176" i="3"/>
  <c r="I176" i="3"/>
  <c r="J176" i="3"/>
  <c r="K176" i="3"/>
  <c r="B177" i="3"/>
  <c r="C177" i="3"/>
  <c r="D177" i="3"/>
  <c r="E177" i="3"/>
  <c r="F177" i="3"/>
  <c r="G177" i="3"/>
  <c r="H177" i="3"/>
  <c r="I177" i="3"/>
  <c r="J177" i="3"/>
  <c r="K177" i="3"/>
  <c r="B178" i="3"/>
  <c r="C178" i="3"/>
  <c r="D178" i="3"/>
  <c r="E178" i="3"/>
  <c r="F178" i="3"/>
  <c r="G178" i="3"/>
  <c r="H178" i="3"/>
  <c r="I178" i="3"/>
  <c r="J178" i="3"/>
  <c r="K178" i="3"/>
  <c r="B179" i="3"/>
  <c r="C179" i="3"/>
  <c r="D179" i="3"/>
  <c r="E179" i="3"/>
  <c r="F179" i="3"/>
  <c r="G179" i="3"/>
  <c r="H179" i="3"/>
  <c r="I179" i="3"/>
  <c r="J179" i="3"/>
  <c r="K179" i="3"/>
  <c r="B180" i="3"/>
  <c r="C180" i="3"/>
  <c r="D180" i="3"/>
  <c r="E180" i="3"/>
  <c r="F180" i="3"/>
  <c r="G180" i="3"/>
  <c r="H180" i="3"/>
  <c r="I180" i="3"/>
  <c r="J180" i="3"/>
  <c r="K180" i="3"/>
  <c r="B181" i="3"/>
  <c r="C181" i="3"/>
  <c r="D181" i="3"/>
  <c r="E181" i="3"/>
  <c r="F181" i="3"/>
  <c r="G181" i="3"/>
  <c r="H181" i="3"/>
  <c r="I181" i="3"/>
  <c r="J181" i="3"/>
  <c r="K181" i="3"/>
  <c r="B182" i="3"/>
  <c r="C182" i="3"/>
  <c r="D182" i="3"/>
  <c r="E182" i="3"/>
  <c r="F182" i="3"/>
  <c r="G182" i="3"/>
  <c r="H182" i="3"/>
  <c r="I182" i="3"/>
  <c r="J182" i="3"/>
  <c r="K182" i="3"/>
  <c r="B183" i="3"/>
  <c r="C183" i="3"/>
  <c r="D183" i="3"/>
  <c r="E183" i="3"/>
  <c r="F183" i="3"/>
  <c r="G183" i="3"/>
  <c r="H183" i="3"/>
  <c r="I183" i="3"/>
  <c r="J183" i="3"/>
  <c r="K183" i="3"/>
  <c r="B184" i="3"/>
  <c r="C184" i="3"/>
  <c r="D184" i="3"/>
  <c r="E184" i="3"/>
  <c r="F184" i="3"/>
  <c r="G184" i="3"/>
  <c r="H184" i="3"/>
  <c r="I184" i="3"/>
  <c r="J184" i="3"/>
  <c r="K184" i="3"/>
  <c r="B185" i="3"/>
  <c r="C185" i="3"/>
  <c r="D185" i="3"/>
  <c r="E185" i="3"/>
  <c r="F185" i="3"/>
  <c r="G185" i="3"/>
  <c r="H185" i="3"/>
  <c r="I185" i="3"/>
  <c r="J185" i="3"/>
  <c r="K185" i="3"/>
  <c r="B186" i="3"/>
  <c r="C186" i="3"/>
  <c r="D186" i="3"/>
  <c r="E186" i="3"/>
  <c r="F186" i="3"/>
  <c r="G186" i="3"/>
  <c r="H186" i="3"/>
  <c r="I186" i="3"/>
  <c r="J186" i="3"/>
  <c r="K186" i="3"/>
  <c r="B187" i="3"/>
  <c r="C187" i="3"/>
  <c r="D187" i="3"/>
  <c r="E187" i="3"/>
  <c r="F187" i="3"/>
  <c r="G187" i="3"/>
  <c r="H187" i="3"/>
  <c r="I187" i="3"/>
  <c r="J187" i="3"/>
  <c r="K187" i="3"/>
  <c r="B188" i="3"/>
  <c r="C188" i="3"/>
  <c r="D188" i="3"/>
  <c r="E188" i="3"/>
  <c r="F188" i="3"/>
  <c r="G188" i="3"/>
  <c r="H188" i="3"/>
  <c r="I188" i="3"/>
  <c r="J188" i="3"/>
  <c r="K188" i="3"/>
  <c r="B189" i="3"/>
  <c r="C189" i="3"/>
  <c r="D189" i="3"/>
  <c r="E189" i="3"/>
  <c r="F189" i="3"/>
  <c r="G189" i="3"/>
  <c r="H189" i="3"/>
  <c r="I189" i="3"/>
  <c r="J189" i="3"/>
  <c r="K189" i="3"/>
  <c r="B190" i="3"/>
  <c r="C190" i="3"/>
  <c r="D190" i="3"/>
  <c r="E190" i="3"/>
  <c r="F190" i="3"/>
  <c r="G190" i="3"/>
  <c r="H190" i="3"/>
  <c r="I190" i="3"/>
  <c r="J190" i="3"/>
  <c r="K190" i="3"/>
  <c r="B191" i="3"/>
  <c r="C191" i="3"/>
  <c r="D191" i="3"/>
  <c r="E191" i="3"/>
  <c r="F191" i="3"/>
  <c r="G191" i="3"/>
  <c r="H191" i="3"/>
  <c r="I191" i="3"/>
  <c r="J191" i="3"/>
  <c r="K191" i="3"/>
  <c r="B192" i="3"/>
  <c r="C192" i="3"/>
  <c r="D192" i="3"/>
  <c r="E192" i="3"/>
  <c r="F192" i="3"/>
  <c r="G192" i="3"/>
  <c r="H192" i="3"/>
  <c r="I192" i="3"/>
  <c r="J192" i="3"/>
  <c r="K192" i="3"/>
  <c r="B193" i="3"/>
  <c r="C193" i="3"/>
  <c r="D193" i="3"/>
  <c r="E193" i="3"/>
  <c r="F193" i="3"/>
  <c r="G193" i="3"/>
  <c r="H193" i="3"/>
  <c r="I193" i="3"/>
  <c r="J193" i="3"/>
  <c r="K193" i="3"/>
  <c r="B194" i="3"/>
  <c r="C194" i="3"/>
  <c r="D194" i="3"/>
  <c r="E194" i="3"/>
  <c r="F194" i="3"/>
  <c r="G194" i="3"/>
  <c r="H194" i="3"/>
  <c r="I194" i="3"/>
  <c r="J194" i="3"/>
  <c r="K194" i="3"/>
  <c r="B195" i="3"/>
  <c r="C195" i="3"/>
  <c r="D195" i="3"/>
  <c r="E195" i="3"/>
  <c r="F195" i="3"/>
  <c r="G195" i="3"/>
  <c r="H195" i="3"/>
  <c r="I195" i="3"/>
  <c r="J195" i="3"/>
  <c r="K195" i="3"/>
  <c r="B196" i="3"/>
  <c r="C196" i="3"/>
  <c r="D196" i="3"/>
  <c r="E196" i="3"/>
  <c r="F196" i="3"/>
  <c r="G196" i="3"/>
  <c r="H196" i="3"/>
  <c r="I196" i="3"/>
  <c r="J196" i="3"/>
  <c r="K196" i="3"/>
  <c r="B197" i="3"/>
  <c r="C197" i="3"/>
  <c r="D197" i="3"/>
  <c r="E197" i="3"/>
  <c r="F197" i="3"/>
  <c r="G197" i="3"/>
  <c r="H197" i="3"/>
  <c r="I197" i="3"/>
  <c r="J197" i="3"/>
  <c r="K197" i="3"/>
  <c r="B198" i="3"/>
  <c r="C198" i="3"/>
  <c r="D198" i="3"/>
  <c r="E198" i="3"/>
  <c r="F198" i="3"/>
  <c r="G198" i="3"/>
  <c r="H198" i="3"/>
  <c r="I198" i="3"/>
  <c r="J198" i="3"/>
  <c r="K198" i="3"/>
  <c r="B199" i="3"/>
  <c r="C199" i="3"/>
  <c r="D199" i="3"/>
  <c r="E199" i="3"/>
  <c r="F199" i="3"/>
  <c r="G199" i="3"/>
  <c r="H199" i="3"/>
  <c r="I199" i="3"/>
  <c r="J199" i="3"/>
  <c r="K199" i="3"/>
  <c r="B200" i="3"/>
  <c r="C200" i="3"/>
  <c r="D200" i="3"/>
  <c r="E200" i="3"/>
  <c r="F200" i="3"/>
  <c r="G200" i="3"/>
  <c r="H200" i="3"/>
  <c r="I200" i="3"/>
  <c r="J200" i="3"/>
  <c r="K200" i="3"/>
  <c r="B201" i="3"/>
  <c r="C201" i="3"/>
  <c r="D201" i="3"/>
  <c r="E201" i="3"/>
  <c r="F201" i="3"/>
  <c r="G201" i="3"/>
  <c r="H201" i="3"/>
  <c r="I201" i="3"/>
  <c r="J201" i="3"/>
  <c r="K201" i="3"/>
  <c r="B202" i="3"/>
  <c r="C202" i="3"/>
  <c r="D202" i="3"/>
  <c r="E202" i="3"/>
  <c r="F202" i="3"/>
  <c r="G202" i="3"/>
  <c r="H202" i="3"/>
  <c r="I202" i="3"/>
  <c r="J202" i="3"/>
  <c r="K202" i="3"/>
  <c r="B203" i="3"/>
  <c r="C203" i="3"/>
  <c r="D203" i="3"/>
  <c r="E203" i="3"/>
  <c r="F203" i="3"/>
  <c r="G203" i="3"/>
  <c r="H203" i="3"/>
  <c r="I203" i="3"/>
  <c r="J203" i="3"/>
  <c r="K203" i="3"/>
  <c r="B204" i="3"/>
  <c r="C204" i="3"/>
  <c r="D204" i="3"/>
  <c r="E204" i="3"/>
  <c r="F204" i="3"/>
  <c r="G204" i="3"/>
  <c r="H204" i="3"/>
  <c r="I204" i="3"/>
  <c r="J204" i="3"/>
  <c r="K204" i="3"/>
  <c r="B205" i="3"/>
  <c r="C205" i="3"/>
  <c r="D205" i="3"/>
  <c r="E205" i="3"/>
  <c r="F205" i="3"/>
  <c r="G205" i="3"/>
  <c r="H205" i="3"/>
  <c r="I205" i="3"/>
  <c r="J205" i="3"/>
  <c r="K205" i="3"/>
  <c r="B206" i="3"/>
  <c r="C206" i="3"/>
  <c r="D206" i="3"/>
  <c r="E206" i="3"/>
  <c r="F206" i="3"/>
  <c r="G206" i="3"/>
  <c r="H206" i="3"/>
  <c r="I206" i="3"/>
  <c r="J206" i="3"/>
  <c r="K206" i="3"/>
  <c r="B207" i="3"/>
  <c r="C207" i="3"/>
  <c r="D207" i="3"/>
  <c r="E207" i="3"/>
  <c r="F207" i="3"/>
  <c r="G207" i="3"/>
  <c r="H207" i="3"/>
  <c r="I207" i="3"/>
  <c r="J207" i="3"/>
  <c r="K207" i="3"/>
  <c r="B208" i="3"/>
  <c r="C208" i="3"/>
  <c r="D208" i="3"/>
  <c r="E208" i="3"/>
  <c r="F208" i="3"/>
  <c r="G208" i="3"/>
  <c r="H208" i="3"/>
  <c r="I208" i="3"/>
  <c r="J208" i="3"/>
  <c r="K208" i="3"/>
  <c r="B209" i="3"/>
  <c r="C209" i="3"/>
  <c r="D209" i="3"/>
  <c r="E209" i="3"/>
  <c r="F209" i="3"/>
  <c r="G209" i="3"/>
  <c r="H209" i="3"/>
  <c r="I209" i="3"/>
  <c r="J209" i="3"/>
  <c r="K209" i="3"/>
  <c r="B210" i="3"/>
  <c r="C210" i="3"/>
  <c r="D210" i="3"/>
  <c r="E210" i="3"/>
  <c r="F210" i="3"/>
  <c r="G210" i="3"/>
  <c r="H210" i="3"/>
  <c r="I210" i="3"/>
  <c r="J210" i="3"/>
  <c r="K210" i="3"/>
  <c r="B211" i="3"/>
  <c r="C211" i="3"/>
  <c r="D211" i="3"/>
  <c r="E211" i="3"/>
  <c r="F211" i="3"/>
  <c r="G211" i="3"/>
  <c r="H211" i="3"/>
  <c r="I211" i="3"/>
  <c r="J211" i="3"/>
  <c r="K211" i="3"/>
  <c r="B212" i="3"/>
  <c r="C212" i="3"/>
  <c r="D212" i="3"/>
  <c r="E212" i="3"/>
  <c r="F212" i="3"/>
  <c r="G212" i="3"/>
  <c r="H212" i="3"/>
  <c r="I212" i="3"/>
  <c r="J212" i="3"/>
  <c r="K212" i="3"/>
  <c r="B213" i="3"/>
  <c r="C213" i="3"/>
  <c r="D213" i="3"/>
  <c r="E213" i="3"/>
  <c r="F213" i="3"/>
  <c r="G213" i="3"/>
  <c r="H213" i="3"/>
  <c r="I213" i="3"/>
  <c r="J213" i="3"/>
  <c r="K213" i="3"/>
  <c r="B214" i="3"/>
  <c r="C214" i="3"/>
  <c r="D214" i="3"/>
  <c r="E214" i="3"/>
  <c r="F214" i="3"/>
  <c r="G214" i="3"/>
  <c r="H214" i="3"/>
  <c r="I214" i="3"/>
  <c r="J214" i="3"/>
  <c r="K214" i="3"/>
  <c r="B215" i="3"/>
  <c r="C215" i="3"/>
  <c r="D215" i="3"/>
  <c r="E215" i="3"/>
  <c r="F215" i="3"/>
  <c r="G215" i="3"/>
  <c r="H215" i="3"/>
  <c r="I215" i="3"/>
  <c r="J215" i="3"/>
  <c r="K215" i="3"/>
  <c r="B216" i="3"/>
  <c r="C216" i="3"/>
  <c r="D216" i="3"/>
  <c r="E216" i="3"/>
  <c r="F216" i="3"/>
  <c r="G216" i="3"/>
  <c r="H216" i="3"/>
  <c r="I216" i="3"/>
  <c r="J216" i="3"/>
  <c r="K216" i="3"/>
  <c r="B217" i="3"/>
  <c r="C217" i="3"/>
  <c r="D217" i="3"/>
  <c r="E217" i="3"/>
  <c r="F217" i="3"/>
  <c r="G217" i="3"/>
  <c r="H217" i="3"/>
  <c r="I217" i="3"/>
  <c r="J217" i="3"/>
  <c r="K217" i="3"/>
  <c r="B218" i="3"/>
  <c r="C218" i="3"/>
  <c r="D218" i="3"/>
  <c r="E218" i="3"/>
  <c r="F218" i="3"/>
  <c r="G218" i="3"/>
  <c r="H218" i="3"/>
  <c r="I218" i="3"/>
  <c r="J218" i="3"/>
  <c r="K218" i="3"/>
  <c r="B219" i="3"/>
  <c r="C219" i="3"/>
  <c r="D219" i="3"/>
  <c r="E219" i="3"/>
  <c r="F219" i="3"/>
  <c r="G219" i="3"/>
  <c r="H219" i="3"/>
  <c r="I219" i="3"/>
  <c r="J219" i="3"/>
  <c r="K219" i="3"/>
  <c r="B220" i="3"/>
  <c r="C220" i="3"/>
  <c r="D220" i="3"/>
  <c r="E220" i="3"/>
  <c r="F220" i="3"/>
  <c r="G220" i="3"/>
  <c r="H220" i="3"/>
  <c r="I220" i="3"/>
  <c r="J220" i="3"/>
  <c r="K220" i="3"/>
  <c r="B221" i="3"/>
  <c r="C221" i="3"/>
  <c r="D221" i="3"/>
  <c r="E221" i="3"/>
  <c r="F221" i="3"/>
  <c r="G221" i="3"/>
  <c r="H221" i="3"/>
  <c r="I221" i="3"/>
  <c r="J221" i="3"/>
  <c r="K221" i="3"/>
  <c r="B222" i="3"/>
  <c r="C222" i="3"/>
  <c r="D222" i="3"/>
  <c r="E222" i="3"/>
  <c r="F222" i="3"/>
  <c r="G222" i="3"/>
  <c r="H222" i="3"/>
  <c r="I222" i="3"/>
  <c r="J222" i="3"/>
  <c r="K222" i="3"/>
  <c r="B223" i="3"/>
  <c r="C223" i="3"/>
  <c r="D223" i="3"/>
  <c r="E223" i="3"/>
  <c r="F223" i="3"/>
  <c r="G223" i="3"/>
  <c r="H223" i="3"/>
  <c r="I223" i="3"/>
  <c r="J223" i="3"/>
  <c r="K223" i="3"/>
  <c r="B224" i="3"/>
  <c r="C224" i="3"/>
  <c r="D224" i="3"/>
  <c r="E224" i="3"/>
  <c r="F224" i="3"/>
  <c r="G224" i="3"/>
  <c r="H224" i="3"/>
  <c r="I224" i="3"/>
  <c r="J224" i="3"/>
  <c r="K224" i="3"/>
  <c r="B225" i="3"/>
  <c r="C225" i="3"/>
  <c r="D225" i="3"/>
  <c r="E225" i="3"/>
  <c r="F225" i="3"/>
  <c r="G225" i="3"/>
  <c r="H225" i="3"/>
  <c r="I225" i="3"/>
  <c r="J225" i="3"/>
  <c r="K225" i="3"/>
  <c r="B226" i="3"/>
  <c r="C226" i="3"/>
  <c r="D226" i="3"/>
  <c r="E226" i="3"/>
  <c r="F226" i="3"/>
  <c r="G226" i="3"/>
  <c r="H226" i="3"/>
  <c r="I226" i="3"/>
  <c r="J226" i="3"/>
  <c r="K226" i="3"/>
  <c r="B227" i="3"/>
  <c r="C227" i="3"/>
  <c r="D227" i="3"/>
  <c r="E227" i="3"/>
  <c r="F227" i="3"/>
  <c r="G227" i="3"/>
  <c r="H227" i="3"/>
  <c r="I227" i="3"/>
  <c r="J227" i="3"/>
  <c r="K227" i="3"/>
  <c r="B228" i="3"/>
  <c r="C228" i="3"/>
  <c r="D228" i="3"/>
  <c r="E228" i="3"/>
  <c r="F228" i="3"/>
  <c r="G228" i="3"/>
  <c r="H228" i="3"/>
  <c r="I228" i="3"/>
  <c r="J228" i="3"/>
  <c r="K228" i="3"/>
  <c r="B229" i="3"/>
  <c r="C229" i="3"/>
  <c r="D229" i="3"/>
  <c r="E229" i="3"/>
  <c r="F229" i="3"/>
  <c r="G229" i="3"/>
  <c r="H229" i="3"/>
  <c r="I229" i="3"/>
  <c r="J229" i="3"/>
  <c r="K229" i="3"/>
  <c r="B230" i="3"/>
  <c r="C230" i="3"/>
  <c r="D230" i="3"/>
  <c r="E230" i="3"/>
  <c r="F230" i="3"/>
  <c r="G230" i="3"/>
  <c r="H230" i="3"/>
  <c r="I230" i="3"/>
  <c r="J230" i="3"/>
  <c r="K230" i="3"/>
  <c r="B231" i="3"/>
  <c r="C231" i="3"/>
  <c r="D231" i="3"/>
  <c r="E231" i="3"/>
  <c r="F231" i="3"/>
  <c r="G231" i="3"/>
  <c r="H231" i="3"/>
  <c r="I231" i="3"/>
  <c r="J231" i="3"/>
  <c r="K231" i="3"/>
  <c r="B232" i="3"/>
  <c r="C232" i="3"/>
  <c r="D232" i="3"/>
  <c r="E232" i="3"/>
  <c r="F232" i="3"/>
  <c r="G232" i="3"/>
  <c r="H232" i="3"/>
  <c r="I232" i="3"/>
  <c r="J232" i="3"/>
  <c r="K232" i="3"/>
  <c r="B233" i="3"/>
  <c r="C233" i="3"/>
  <c r="D233" i="3"/>
  <c r="E233" i="3"/>
  <c r="F233" i="3"/>
  <c r="G233" i="3"/>
  <c r="H233" i="3"/>
  <c r="I233" i="3"/>
  <c r="J233" i="3"/>
  <c r="K233" i="3"/>
  <c r="B234" i="3"/>
  <c r="C234" i="3"/>
  <c r="D234" i="3"/>
  <c r="E234" i="3"/>
  <c r="F234" i="3"/>
  <c r="G234" i="3"/>
  <c r="H234" i="3"/>
  <c r="I234" i="3"/>
  <c r="J234" i="3"/>
  <c r="K234" i="3"/>
  <c r="B235" i="3"/>
  <c r="C235" i="3"/>
  <c r="D235" i="3"/>
  <c r="E235" i="3"/>
  <c r="F235" i="3"/>
  <c r="G235" i="3"/>
  <c r="H235" i="3"/>
  <c r="I235" i="3"/>
  <c r="J235" i="3"/>
  <c r="K235" i="3"/>
  <c r="B236" i="3"/>
  <c r="C236" i="3"/>
  <c r="D236" i="3"/>
  <c r="E236" i="3"/>
  <c r="F236" i="3"/>
  <c r="G236" i="3"/>
  <c r="H236" i="3"/>
  <c r="I236" i="3"/>
  <c r="J236" i="3"/>
  <c r="K236" i="3"/>
  <c r="B237" i="3"/>
  <c r="C237" i="3"/>
  <c r="D237" i="3"/>
  <c r="E237" i="3"/>
  <c r="F237" i="3"/>
  <c r="G237" i="3"/>
  <c r="H237" i="3"/>
  <c r="I237" i="3"/>
  <c r="J237" i="3"/>
  <c r="K237" i="3"/>
  <c r="B238" i="3"/>
  <c r="C238" i="3"/>
  <c r="D238" i="3"/>
  <c r="E238" i="3"/>
  <c r="F238" i="3"/>
  <c r="G238" i="3"/>
  <c r="H238" i="3"/>
  <c r="I238" i="3"/>
  <c r="J238" i="3"/>
  <c r="K238" i="3"/>
  <c r="B239" i="3"/>
  <c r="C239" i="3"/>
  <c r="D239" i="3"/>
  <c r="E239" i="3"/>
  <c r="F239" i="3"/>
  <c r="G239" i="3"/>
  <c r="H239" i="3"/>
  <c r="I239" i="3"/>
  <c r="J239" i="3"/>
  <c r="K239" i="3"/>
  <c r="B240" i="3"/>
  <c r="C240" i="3"/>
  <c r="D240" i="3"/>
  <c r="E240" i="3"/>
  <c r="F240" i="3"/>
  <c r="G240" i="3"/>
  <c r="H240" i="3"/>
  <c r="I240" i="3"/>
  <c r="J240" i="3"/>
  <c r="K240" i="3"/>
  <c r="B241" i="3"/>
  <c r="C241" i="3"/>
  <c r="D241" i="3"/>
  <c r="E241" i="3"/>
  <c r="F241" i="3"/>
  <c r="G241" i="3"/>
  <c r="H241" i="3"/>
  <c r="I241" i="3"/>
  <c r="J241" i="3"/>
  <c r="K241" i="3"/>
  <c r="B242" i="3"/>
  <c r="C242" i="3"/>
  <c r="D242" i="3"/>
  <c r="E242" i="3"/>
  <c r="F242" i="3"/>
  <c r="G242" i="3"/>
  <c r="H242" i="3"/>
  <c r="I242" i="3"/>
  <c r="J242" i="3"/>
  <c r="K242" i="3"/>
  <c r="B243" i="3"/>
  <c r="C243" i="3"/>
  <c r="D243" i="3"/>
  <c r="E243" i="3"/>
  <c r="F243" i="3"/>
  <c r="G243" i="3"/>
  <c r="H243" i="3"/>
  <c r="I243" i="3"/>
  <c r="J243" i="3"/>
  <c r="K243" i="3"/>
  <c r="B244" i="3"/>
  <c r="C244" i="3"/>
  <c r="D244" i="3"/>
  <c r="E244" i="3"/>
  <c r="F244" i="3"/>
  <c r="G244" i="3"/>
  <c r="H244" i="3"/>
  <c r="I244" i="3"/>
  <c r="J244" i="3"/>
  <c r="K244" i="3"/>
  <c r="B245" i="3"/>
  <c r="C245" i="3"/>
  <c r="D245" i="3"/>
  <c r="E245" i="3"/>
  <c r="F245" i="3"/>
  <c r="G245" i="3"/>
  <c r="H245" i="3"/>
  <c r="I245" i="3"/>
  <c r="J245" i="3"/>
  <c r="K245" i="3"/>
  <c r="B246" i="3"/>
  <c r="C246" i="3"/>
  <c r="D246" i="3"/>
  <c r="E246" i="3"/>
  <c r="F246" i="3"/>
  <c r="G246" i="3"/>
  <c r="H246" i="3"/>
  <c r="I246" i="3"/>
  <c r="J246" i="3"/>
  <c r="K246" i="3"/>
  <c r="B247" i="3"/>
  <c r="C247" i="3"/>
  <c r="D247" i="3"/>
  <c r="E247" i="3"/>
  <c r="F247" i="3"/>
  <c r="G247" i="3"/>
  <c r="H247" i="3"/>
  <c r="I247" i="3"/>
  <c r="J247" i="3"/>
  <c r="K247" i="3"/>
  <c r="B248" i="3"/>
  <c r="C248" i="3"/>
  <c r="D248" i="3"/>
  <c r="E248" i="3"/>
  <c r="F248" i="3"/>
  <c r="G248" i="3"/>
  <c r="H248" i="3"/>
  <c r="I248" i="3"/>
  <c r="J248" i="3"/>
  <c r="K248" i="3"/>
  <c r="B249" i="3"/>
  <c r="C249" i="3"/>
  <c r="D249" i="3"/>
  <c r="E249" i="3"/>
  <c r="F249" i="3"/>
  <c r="G249" i="3"/>
  <c r="H249" i="3"/>
  <c r="I249" i="3"/>
  <c r="J249" i="3"/>
  <c r="K249" i="3"/>
  <c r="B250" i="3"/>
  <c r="C250" i="3"/>
  <c r="D250" i="3"/>
  <c r="E250" i="3"/>
  <c r="F250" i="3"/>
  <c r="G250" i="3"/>
  <c r="H250" i="3"/>
  <c r="I250" i="3"/>
  <c r="J250" i="3"/>
  <c r="K250" i="3"/>
  <c r="B251" i="3"/>
  <c r="C251" i="3"/>
  <c r="D251" i="3"/>
  <c r="E251" i="3"/>
  <c r="F251" i="3"/>
  <c r="G251" i="3"/>
  <c r="H251" i="3"/>
  <c r="I251" i="3"/>
  <c r="J251" i="3"/>
  <c r="K251" i="3"/>
  <c r="B252" i="3"/>
  <c r="C252" i="3"/>
  <c r="D252" i="3"/>
  <c r="E252" i="3"/>
  <c r="F252" i="3"/>
  <c r="G252" i="3"/>
  <c r="H252" i="3"/>
  <c r="I252" i="3"/>
  <c r="J252" i="3"/>
  <c r="K252" i="3"/>
  <c r="B253" i="3"/>
  <c r="C253" i="3"/>
  <c r="D253" i="3"/>
  <c r="E253" i="3"/>
  <c r="F253" i="3"/>
  <c r="G253" i="3"/>
  <c r="H253" i="3"/>
  <c r="I253" i="3"/>
  <c r="J253" i="3"/>
  <c r="K253" i="3"/>
  <c r="B254" i="3"/>
  <c r="C254" i="3"/>
  <c r="D254" i="3"/>
  <c r="E254" i="3"/>
  <c r="F254" i="3"/>
  <c r="G254" i="3"/>
  <c r="H254" i="3"/>
  <c r="I254" i="3"/>
  <c r="J254" i="3"/>
  <c r="K254" i="3"/>
  <c r="B255" i="3"/>
  <c r="C255" i="3"/>
  <c r="D255" i="3"/>
  <c r="E255" i="3"/>
  <c r="F255" i="3"/>
  <c r="G255" i="3"/>
  <c r="H255" i="3"/>
  <c r="I255" i="3"/>
  <c r="J255" i="3"/>
  <c r="K255" i="3"/>
  <c r="B256" i="3"/>
  <c r="C256" i="3"/>
  <c r="D256" i="3"/>
  <c r="E256" i="3"/>
  <c r="F256" i="3"/>
  <c r="G256" i="3"/>
  <c r="H256" i="3"/>
  <c r="I256" i="3"/>
  <c r="J256" i="3"/>
  <c r="K256" i="3"/>
  <c r="B257" i="3"/>
  <c r="C257" i="3"/>
  <c r="D257" i="3"/>
  <c r="E257" i="3"/>
  <c r="F257" i="3"/>
  <c r="G257" i="3"/>
  <c r="H257" i="3"/>
  <c r="I257" i="3"/>
  <c r="J257" i="3"/>
  <c r="K257" i="3"/>
  <c r="B258" i="3"/>
  <c r="C258" i="3"/>
  <c r="D258" i="3"/>
  <c r="E258" i="3"/>
  <c r="F258" i="3"/>
  <c r="G258" i="3"/>
  <c r="H258" i="3"/>
  <c r="I258" i="3"/>
  <c r="J258" i="3"/>
  <c r="K258" i="3"/>
  <c r="B259" i="3"/>
  <c r="C259" i="3"/>
  <c r="D259" i="3"/>
  <c r="E259" i="3"/>
  <c r="F259" i="3"/>
  <c r="G259" i="3"/>
  <c r="H259" i="3"/>
  <c r="I259" i="3"/>
  <c r="J259" i="3"/>
  <c r="K259" i="3"/>
  <c r="B260" i="3"/>
  <c r="C260" i="3"/>
  <c r="D260" i="3"/>
  <c r="E260" i="3"/>
  <c r="F260" i="3"/>
  <c r="G260" i="3"/>
  <c r="H260" i="3"/>
  <c r="I260" i="3"/>
  <c r="J260" i="3"/>
  <c r="K260" i="3"/>
  <c r="B261" i="3"/>
  <c r="C261" i="3"/>
  <c r="D261" i="3"/>
  <c r="E261" i="3"/>
  <c r="F261" i="3"/>
  <c r="G261" i="3"/>
  <c r="H261" i="3"/>
  <c r="I261" i="3"/>
  <c r="J261" i="3"/>
  <c r="K261" i="3"/>
  <c r="B262" i="3"/>
  <c r="C262" i="3"/>
  <c r="D262" i="3"/>
  <c r="E262" i="3"/>
  <c r="F262" i="3"/>
  <c r="G262" i="3"/>
  <c r="H262" i="3"/>
  <c r="I262" i="3"/>
  <c r="J262" i="3"/>
  <c r="K262" i="3"/>
  <c r="B263" i="3"/>
  <c r="C263" i="3"/>
  <c r="D263" i="3"/>
  <c r="E263" i="3"/>
  <c r="F263" i="3"/>
  <c r="G263" i="3"/>
  <c r="H263" i="3"/>
  <c r="I263" i="3"/>
  <c r="J263" i="3"/>
  <c r="K263" i="3"/>
  <c r="B264" i="3"/>
  <c r="C264" i="3"/>
  <c r="D264" i="3"/>
  <c r="E264" i="3"/>
  <c r="F264" i="3"/>
  <c r="G264" i="3"/>
  <c r="H264" i="3"/>
  <c r="I264" i="3"/>
  <c r="J264" i="3"/>
  <c r="K264" i="3"/>
  <c r="B265" i="3"/>
  <c r="C265" i="3"/>
  <c r="D265" i="3"/>
  <c r="E265" i="3"/>
  <c r="F265" i="3"/>
  <c r="G265" i="3"/>
  <c r="H265" i="3"/>
  <c r="I265" i="3"/>
  <c r="J265" i="3"/>
  <c r="K265" i="3"/>
  <c r="B266" i="3"/>
  <c r="C266" i="3"/>
  <c r="D266" i="3"/>
  <c r="E266" i="3"/>
  <c r="F266" i="3"/>
  <c r="G266" i="3"/>
  <c r="H266" i="3"/>
  <c r="I266" i="3"/>
  <c r="J266" i="3"/>
  <c r="K266" i="3"/>
  <c r="B267" i="3"/>
  <c r="C267" i="3"/>
  <c r="D267" i="3"/>
  <c r="E267" i="3"/>
  <c r="F267" i="3"/>
  <c r="G267" i="3"/>
  <c r="H267" i="3"/>
  <c r="I267" i="3"/>
  <c r="J267" i="3"/>
  <c r="K267" i="3"/>
  <c r="B268" i="3"/>
  <c r="C268" i="3"/>
  <c r="D268" i="3"/>
  <c r="E268" i="3"/>
  <c r="F268" i="3"/>
  <c r="G268" i="3"/>
  <c r="H268" i="3"/>
  <c r="I268" i="3"/>
  <c r="J268" i="3"/>
  <c r="K268" i="3"/>
  <c r="B269" i="3"/>
  <c r="C269" i="3"/>
  <c r="D269" i="3"/>
  <c r="E269" i="3"/>
  <c r="F269" i="3"/>
  <c r="G269" i="3"/>
  <c r="H269" i="3"/>
  <c r="I269" i="3"/>
  <c r="J269" i="3"/>
  <c r="K269" i="3"/>
  <c r="B270" i="3"/>
  <c r="C270" i="3"/>
  <c r="D270" i="3"/>
  <c r="E270" i="3"/>
  <c r="F270" i="3"/>
  <c r="G270" i="3"/>
  <c r="H270" i="3"/>
  <c r="I270" i="3"/>
  <c r="J270" i="3"/>
  <c r="K270" i="3"/>
  <c r="B271" i="3"/>
  <c r="C271" i="3"/>
  <c r="D271" i="3"/>
  <c r="E271" i="3"/>
  <c r="F271" i="3"/>
  <c r="G271" i="3"/>
  <c r="H271" i="3"/>
  <c r="I271" i="3"/>
  <c r="J271" i="3"/>
  <c r="K271" i="3"/>
  <c r="B272" i="3"/>
  <c r="C272" i="3"/>
  <c r="D272" i="3"/>
  <c r="E272" i="3"/>
  <c r="F272" i="3"/>
  <c r="G272" i="3"/>
  <c r="H272" i="3"/>
  <c r="I272" i="3"/>
  <c r="J272" i="3"/>
  <c r="K272" i="3"/>
  <c r="B273" i="3"/>
  <c r="C273" i="3"/>
  <c r="D273" i="3"/>
  <c r="E273" i="3"/>
  <c r="F273" i="3"/>
  <c r="G273" i="3"/>
  <c r="H273" i="3"/>
  <c r="I273" i="3"/>
  <c r="J273" i="3"/>
  <c r="K273" i="3"/>
  <c r="B274" i="3"/>
  <c r="C274" i="3"/>
  <c r="D274" i="3"/>
  <c r="E274" i="3"/>
  <c r="F274" i="3"/>
  <c r="G274" i="3"/>
  <c r="H274" i="3"/>
  <c r="I274" i="3"/>
  <c r="J274" i="3"/>
  <c r="K274" i="3"/>
  <c r="B275" i="3"/>
  <c r="C275" i="3"/>
  <c r="D275" i="3"/>
  <c r="E275" i="3"/>
  <c r="F275" i="3"/>
  <c r="G275" i="3"/>
  <c r="H275" i="3"/>
  <c r="I275" i="3"/>
  <c r="J275" i="3"/>
  <c r="K275" i="3"/>
  <c r="B276" i="3"/>
  <c r="C276" i="3"/>
  <c r="D276" i="3"/>
  <c r="E276" i="3"/>
  <c r="F276" i="3"/>
  <c r="G276" i="3"/>
  <c r="H276" i="3"/>
  <c r="I276" i="3"/>
  <c r="J276" i="3"/>
  <c r="K276" i="3"/>
  <c r="B277" i="3"/>
  <c r="C277" i="3"/>
  <c r="D277" i="3"/>
  <c r="E277" i="3"/>
  <c r="F277" i="3"/>
  <c r="G277" i="3"/>
  <c r="H277" i="3"/>
  <c r="I277" i="3"/>
  <c r="J277" i="3"/>
  <c r="K277" i="3"/>
  <c r="B278" i="3"/>
  <c r="C278" i="3"/>
  <c r="D278" i="3"/>
  <c r="E278" i="3"/>
  <c r="F278" i="3"/>
  <c r="G278" i="3"/>
  <c r="H278" i="3"/>
  <c r="I278" i="3"/>
  <c r="J278" i="3"/>
  <c r="K278" i="3"/>
  <c r="B279" i="3"/>
  <c r="C279" i="3"/>
  <c r="D279" i="3"/>
  <c r="E279" i="3"/>
  <c r="F279" i="3"/>
  <c r="G279" i="3"/>
  <c r="H279" i="3"/>
  <c r="I279" i="3"/>
  <c r="J279" i="3"/>
  <c r="K279" i="3"/>
  <c r="B280" i="3"/>
  <c r="C280" i="3"/>
  <c r="D280" i="3"/>
  <c r="E280" i="3"/>
  <c r="F280" i="3"/>
  <c r="G280" i="3"/>
  <c r="H280" i="3"/>
  <c r="I280" i="3"/>
  <c r="J280" i="3"/>
  <c r="K280" i="3"/>
  <c r="B281" i="3"/>
  <c r="C281" i="3"/>
  <c r="D281" i="3"/>
  <c r="E281" i="3"/>
  <c r="F281" i="3"/>
  <c r="G281" i="3"/>
  <c r="H281" i="3"/>
  <c r="I281" i="3"/>
  <c r="J281" i="3"/>
  <c r="K281" i="3"/>
  <c r="B282" i="3"/>
  <c r="C282" i="3"/>
  <c r="D282" i="3"/>
  <c r="E282" i="3"/>
  <c r="F282" i="3"/>
  <c r="G282" i="3"/>
  <c r="H282" i="3"/>
  <c r="I282" i="3"/>
  <c r="J282" i="3"/>
  <c r="K282" i="3"/>
  <c r="B283" i="3"/>
  <c r="C283" i="3"/>
  <c r="D283" i="3"/>
  <c r="E283" i="3"/>
  <c r="F283" i="3"/>
  <c r="G283" i="3"/>
  <c r="H283" i="3"/>
  <c r="I283" i="3"/>
  <c r="J283" i="3"/>
  <c r="K283" i="3"/>
  <c r="B284" i="3"/>
  <c r="C284" i="3"/>
  <c r="D284" i="3"/>
  <c r="E284" i="3"/>
  <c r="F284" i="3"/>
  <c r="G284" i="3"/>
  <c r="H284" i="3"/>
  <c r="I284" i="3"/>
  <c r="J284" i="3"/>
  <c r="K284" i="3"/>
  <c r="B285" i="3"/>
  <c r="C285" i="3"/>
  <c r="D285" i="3"/>
  <c r="E285" i="3"/>
  <c r="F285" i="3"/>
  <c r="G285" i="3"/>
  <c r="H285" i="3"/>
  <c r="I285" i="3"/>
  <c r="J285" i="3"/>
  <c r="K285" i="3"/>
  <c r="B286" i="3"/>
  <c r="C286" i="3"/>
  <c r="D286" i="3"/>
  <c r="E286" i="3"/>
  <c r="F286" i="3"/>
  <c r="G286" i="3"/>
  <c r="H286" i="3"/>
  <c r="I286" i="3"/>
  <c r="J286" i="3"/>
  <c r="K286" i="3"/>
  <c r="B287" i="3"/>
  <c r="C287" i="3"/>
  <c r="D287" i="3"/>
  <c r="E287" i="3"/>
  <c r="F287" i="3"/>
  <c r="G287" i="3"/>
  <c r="H287" i="3"/>
  <c r="I287" i="3"/>
  <c r="J287" i="3"/>
  <c r="K287" i="3"/>
  <c r="B288" i="3"/>
  <c r="C288" i="3"/>
  <c r="D288" i="3"/>
  <c r="E288" i="3"/>
  <c r="F288" i="3"/>
  <c r="G288" i="3"/>
  <c r="H288" i="3"/>
  <c r="I288" i="3"/>
  <c r="J288" i="3"/>
  <c r="K288" i="3"/>
  <c r="B289" i="3"/>
  <c r="C289" i="3"/>
  <c r="D289" i="3"/>
  <c r="E289" i="3"/>
  <c r="F289" i="3"/>
  <c r="G289" i="3"/>
  <c r="H289" i="3"/>
  <c r="I289" i="3"/>
  <c r="J289" i="3"/>
  <c r="K289" i="3"/>
  <c r="B290" i="3"/>
  <c r="C290" i="3"/>
  <c r="D290" i="3"/>
  <c r="E290" i="3"/>
  <c r="F290" i="3"/>
  <c r="G290" i="3"/>
  <c r="H290" i="3"/>
  <c r="I290" i="3"/>
  <c r="J290" i="3"/>
  <c r="K290" i="3"/>
  <c r="B291" i="3"/>
  <c r="C291" i="3"/>
  <c r="D291" i="3"/>
  <c r="E291" i="3"/>
  <c r="F291" i="3"/>
  <c r="G291" i="3"/>
  <c r="H291" i="3"/>
  <c r="I291" i="3"/>
  <c r="J291" i="3"/>
  <c r="K291" i="3"/>
  <c r="B292" i="3"/>
  <c r="C292" i="3"/>
  <c r="D292" i="3"/>
  <c r="E292" i="3"/>
  <c r="F292" i="3"/>
  <c r="G292" i="3"/>
  <c r="H292" i="3"/>
  <c r="I292" i="3"/>
  <c r="J292" i="3"/>
  <c r="K292" i="3"/>
  <c r="B293" i="3"/>
  <c r="C293" i="3"/>
  <c r="D293" i="3"/>
  <c r="E293" i="3"/>
  <c r="F293" i="3"/>
  <c r="G293" i="3"/>
  <c r="H293" i="3"/>
  <c r="I293" i="3"/>
  <c r="J293" i="3"/>
  <c r="K293" i="3"/>
  <c r="B294" i="3"/>
  <c r="C294" i="3"/>
  <c r="D294" i="3"/>
  <c r="E294" i="3"/>
  <c r="F294" i="3"/>
  <c r="G294" i="3"/>
  <c r="H294" i="3"/>
  <c r="I294" i="3"/>
  <c r="J294" i="3"/>
  <c r="K294" i="3"/>
  <c r="B295" i="3"/>
  <c r="C295" i="3"/>
  <c r="D295" i="3"/>
  <c r="E295" i="3"/>
  <c r="F295" i="3"/>
  <c r="G295" i="3"/>
  <c r="H295" i="3"/>
  <c r="I295" i="3"/>
  <c r="J295" i="3"/>
  <c r="K295" i="3"/>
  <c r="B296" i="3"/>
  <c r="C296" i="3"/>
  <c r="D296" i="3"/>
  <c r="E296" i="3"/>
  <c r="F296" i="3"/>
  <c r="G296" i="3"/>
  <c r="H296" i="3"/>
  <c r="I296" i="3"/>
  <c r="J296" i="3"/>
  <c r="K296" i="3"/>
  <c r="B297" i="3"/>
  <c r="C297" i="3"/>
  <c r="D297" i="3"/>
  <c r="E297" i="3"/>
  <c r="F297" i="3"/>
  <c r="G297" i="3"/>
  <c r="H297" i="3"/>
  <c r="I297" i="3"/>
  <c r="J297" i="3"/>
  <c r="K297" i="3"/>
  <c r="B298" i="3"/>
  <c r="C298" i="3"/>
  <c r="D298" i="3"/>
  <c r="E298" i="3"/>
  <c r="F298" i="3"/>
  <c r="G298" i="3"/>
  <c r="H298" i="3"/>
  <c r="I298" i="3"/>
  <c r="J298" i="3"/>
  <c r="K298" i="3"/>
  <c r="B299" i="3"/>
  <c r="C299" i="3"/>
  <c r="D299" i="3"/>
  <c r="E299" i="3"/>
  <c r="F299" i="3"/>
  <c r="G299" i="3"/>
  <c r="H299" i="3"/>
  <c r="I299" i="3"/>
  <c r="J299" i="3"/>
  <c r="K299" i="3"/>
  <c r="B300" i="3"/>
  <c r="C300" i="3"/>
  <c r="D300" i="3"/>
  <c r="E300" i="3"/>
  <c r="F300" i="3"/>
  <c r="G300" i="3"/>
  <c r="H300" i="3"/>
  <c r="I300" i="3"/>
  <c r="J300" i="3"/>
  <c r="K300" i="3"/>
  <c r="B301" i="3"/>
  <c r="C301" i="3"/>
  <c r="D301" i="3"/>
  <c r="E301" i="3"/>
  <c r="F301" i="3"/>
  <c r="G301" i="3"/>
  <c r="H301" i="3"/>
  <c r="I301" i="3"/>
  <c r="J301" i="3"/>
  <c r="K301" i="3"/>
  <c r="B302" i="3"/>
  <c r="C302" i="3"/>
  <c r="D302" i="3"/>
  <c r="E302" i="3"/>
  <c r="F302" i="3"/>
  <c r="G302" i="3"/>
  <c r="H302" i="3"/>
  <c r="I302" i="3"/>
  <c r="J302" i="3"/>
  <c r="K302" i="3"/>
  <c r="B303" i="3"/>
  <c r="C303" i="3"/>
  <c r="D303" i="3"/>
  <c r="E303" i="3"/>
  <c r="F303" i="3"/>
  <c r="G303" i="3"/>
  <c r="H303" i="3"/>
  <c r="I303" i="3"/>
  <c r="J303" i="3"/>
  <c r="K303" i="3"/>
  <c r="B304" i="3"/>
  <c r="C304" i="3"/>
  <c r="D304" i="3"/>
  <c r="E304" i="3"/>
  <c r="F304" i="3"/>
  <c r="G304" i="3"/>
  <c r="H304" i="3"/>
  <c r="I304" i="3"/>
  <c r="J304" i="3"/>
  <c r="K304" i="3"/>
  <c r="B305" i="3"/>
  <c r="C305" i="3"/>
  <c r="D305" i="3"/>
  <c r="E305" i="3"/>
  <c r="F305" i="3"/>
  <c r="G305" i="3"/>
  <c r="H305" i="3"/>
  <c r="I305" i="3"/>
  <c r="J305" i="3"/>
  <c r="K305" i="3"/>
  <c r="B306" i="3"/>
  <c r="C306" i="3"/>
  <c r="D306" i="3"/>
  <c r="E306" i="3"/>
  <c r="F306" i="3"/>
  <c r="G306" i="3"/>
  <c r="H306" i="3"/>
  <c r="I306" i="3"/>
  <c r="J306" i="3"/>
  <c r="K306" i="3"/>
  <c r="B307" i="3"/>
  <c r="C307" i="3"/>
  <c r="D307" i="3"/>
  <c r="E307" i="3"/>
  <c r="F307" i="3"/>
  <c r="G307" i="3"/>
  <c r="H307" i="3"/>
  <c r="I307" i="3"/>
  <c r="J307" i="3"/>
  <c r="K307" i="3"/>
  <c r="B308" i="3"/>
  <c r="C308" i="3"/>
  <c r="D308" i="3"/>
  <c r="E308" i="3"/>
  <c r="F308" i="3"/>
  <c r="G308" i="3"/>
  <c r="H308" i="3"/>
  <c r="I308" i="3"/>
  <c r="J308" i="3"/>
  <c r="K308" i="3"/>
  <c r="B309" i="3"/>
  <c r="C309" i="3"/>
  <c r="D309" i="3"/>
  <c r="E309" i="3"/>
  <c r="F309" i="3"/>
  <c r="G309" i="3"/>
  <c r="H309" i="3"/>
  <c r="I309" i="3"/>
  <c r="J309" i="3"/>
  <c r="K309" i="3"/>
  <c r="B310" i="3"/>
  <c r="C310" i="3"/>
  <c r="D310" i="3"/>
  <c r="E310" i="3"/>
  <c r="F310" i="3"/>
  <c r="G310" i="3"/>
  <c r="H310" i="3"/>
  <c r="I310" i="3"/>
  <c r="J310" i="3"/>
  <c r="K310" i="3"/>
  <c r="B311" i="3"/>
  <c r="C311" i="3"/>
  <c r="D311" i="3"/>
  <c r="E311" i="3"/>
  <c r="F311" i="3"/>
  <c r="G311" i="3"/>
  <c r="H311" i="3"/>
  <c r="I311" i="3"/>
  <c r="J311" i="3"/>
  <c r="K311" i="3"/>
  <c r="B312" i="3"/>
  <c r="C312" i="3"/>
  <c r="D312" i="3"/>
  <c r="E312" i="3"/>
  <c r="F312" i="3"/>
  <c r="G312" i="3"/>
  <c r="H312" i="3"/>
  <c r="I312" i="3"/>
  <c r="J312" i="3"/>
  <c r="K312" i="3"/>
  <c r="B313" i="3"/>
  <c r="C313" i="3"/>
  <c r="D313" i="3"/>
  <c r="E313" i="3"/>
  <c r="F313" i="3"/>
  <c r="G313" i="3"/>
  <c r="H313" i="3"/>
  <c r="I313" i="3"/>
  <c r="J313" i="3"/>
  <c r="K313" i="3"/>
  <c r="B314" i="3"/>
  <c r="C314" i="3"/>
  <c r="D314" i="3"/>
  <c r="E314" i="3"/>
  <c r="F314" i="3"/>
  <c r="G314" i="3"/>
  <c r="H314" i="3"/>
  <c r="I314" i="3"/>
  <c r="J314" i="3"/>
  <c r="K314" i="3"/>
  <c r="B315" i="3"/>
  <c r="C315" i="3"/>
  <c r="D315" i="3"/>
  <c r="E315" i="3"/>
  <c r="F315" i="3"/>
  <c r="G315" i="3"/>
  <c r="H315" i="3"/>
  <c r="I315" i="3"/>
  <c r="J315" i="3"/>
  <c r="K315" i="3"/>
  <c r="B316" i="3"/>
  <c r="C316" i="3"/>
  <c r="D316" i="3"/>
  <c r="E316" i="3"/>
  <c r="F316" i="3"/>
  <c r="G316" i="3"/>
  <c r="H316" i="3"/>
  <c r="I316" i="3"/>
  <c r="J316" i="3"/>
  <c r="K316" i="3"/>
  <c r="B317" i="3"/>
  <c r="C317" i="3"/>
  <c r="D317" i="3"/>
  <c r="E317" i="3"/>
  <c r="F317" i="3"/>
  <c r="G317" i="3"/>
  <c r="H317" i="3"/>
  <c r="I317" i="3"/>
  <c r="J317" i="3"/>
  <c r="K317" i="3"/>
  <c r="B318" i="3"/>
  <c r="C318" i="3"/>
  <c r="D318" i="3"/>
  <c r="E318" i="3"/>
  <c r="F318" i="3"/>
  <c r="G318" i="3"/>
  <c r="H318" i="3"/>
  <c r="I318" i="3"/>
  <c r="J318" i="3"/>
  <c r="K318" i="3"/>
  <c r="B319" i="3"/>
  <c r="C319" i="3"/>
  <c r="D319" i="3"/>
  <c r="E319" i="3"/>
  <c r="F319" i="3"/>
  <c r="G319" i="3"/>
  <c r="H319" i="3"/>
  <c r="I319" i="3"/>
  <c r="J319" i="3"/>
  <c r="K319" i="3"/>
  <c r="B320" i="3"/>
  <c r="C320" i="3"/>
  <c r="D320" i="3"/>
  <c r="E320" i="3"/>
  <c r="F320" i="3"/>
  <c r="G320" i="3"/>
  <c r="H320" i="3"/>
  <c r="I320" i="3"/>
  <c r="J320" i="3"/>
  <c r="K320" i="3"/>
  <c r="B321" i="3"/>
  <c r="C321" i="3"/>
  <c r="D321" i="3"/>
  <c r="E321" i="3"/>
  <c r="F321" i="3"/>
  <c r="G321" i="3"/>
  <c r="H321" i="3"/>
  <c r="I321" i="3"/>
  <c r="J321" i="3"/>
  <c r="K321" i="3"/>
  <c r="B322" i="3"/>
  <c r="C322" i="3"/>
  <c r="D322" i="3"/>
  <c r="E322" i="3"/>
  <c r="F322" i="3"/>
  <c r="G322" i="3"/>
  <c r="H322" i="3"/>
  <c r="I322" i="3"/>
  <c r="J322" i="3"/>
  <c r="K322" i="3"/>
  <c r="B323" i="3"/>
  <c r="C323" i="3"/>
  <c r="D323" i="3"/>
  <c r="E323" i="3"/>
  <c r="F323" i="3"/>
  <c r="G323" i="3"/>
  <c r="H323" i="3"/>
  <c r="I323" i="3"/>
  <c r="J323" i="3"/>
  <c r="K323" i="3"/>
  <c r="B324" i="3"/>
  <c r="C324" i="3"/>
  <c r="D324" i="3"/>
  <c r="E324" i="3"/>
  <c r="F324" i="3"/>
  <c r="G324" i="3"/>
  <c r="H324" i="3"/>
  <c r="I324" i="3"/>
  <c r="J324" i="3"/>
  <c r="K324" i="3"/>
  <c r="B325" i="3"/>
  <c r="C325" i="3"/>
  <c r="D325" i="3"/>
  <c r="E325" i="3"/>
  <c r="F325" i="3"/>
  <c r="G325" i="3"/>
  <c r="H325" i="3"/>
  <c r="I325" i="3"/>
  <c r="J325" i="3"/>
  <c r="K325" i="3"/>
  <c r="B326" i="3"/>
  <c r="C326" i="3"/>
  <c r="D326" i="3"/>
  <c r="E326" i="3"/>
  <c r="F326" i="3"/>
  <c r="G326" i="3"/>
  <c r="H326" i="3"/>
  <c r="I326" i="3"/>
  <c r="J326" i="3"/>
  <c r="K326" i="3"/>
  <c r="B327" i="3"/>
  <c r="C327" i="3"/>
  <c r="D327" i="3"/>
  <c r="E327" i="3"/>
  <c r="F327" i="3"/>
  <c r="G327" i="3"/>
  <c r="H327" i="3"/>
  <c r="I327" i="3"/>
  <c r="J327" i="3"/>
  <c r="K327" i="3"/>
  <c r="B328" i="3"/>
  <c r="C328" i="3"/>
  <c r="D328" i="3"/>
  <c r="E328" i="3"/>
  <c r="F328" i="3"/>
  <c r="G328" i="3"/>
  <c r="H328" i="3"/>
  <c r="I328" i="3"/>
  <c r="J328" i="3"/>
  <c r="K328" i="3"/>
  <c r="B329" i="3"/>
  <c r="C329" i="3"/>
  <c r="D329" i="3"/>
  <c r="E329" i="3"/>
  <c r="F329" i="3"/>
  <c r="G329" i="3"/>
  <c r="H329" i="3"/>
  <c r="I329" i="3"/>
  <c r="J329" i="3"/>
  <c r="K329" i="3"/>
  <c r="B330" i="3"/>
  <c r="C330" i="3"/>
  <c r="D330" i="3"/>
  <c r="E330" i="3"/>
  <c r="F330" i="3"/>
  <c r="G330" i="3"/>
  <c r="H330" i="3"/>
  <c r="I330" i="3"/>
  <c r="J330" i="3"/>
  <c r="K330" i="3"/>
  <c r="B331" i="3"/>
  <c r="C331" i="3"/>
  <c r="D331" i="3"/>
  <c r="E331" i="3"/>
  <c r="F331" i="3"/>
  <c r="G331" i="3"/>
  <c r="H331" i="3"/>
  <c r="I331" i="3"/>
  <c r="J331" i="3"/>
  <c r="K331" i="3"/>
  <c r="B332" i="3"/>
  <c r="C332" i="3"/>
  <c r="D332" i="3"/>
  <c r="E332" i="3"/>
  <c r="F332" i="3"/>
  <c r="G332" i="3"/>
  <c r="H332" i="3"/>
  <c r="I332" i="3"/>
  <c r="J332" i="3"/>
  <c r="K332" i="3"/>
  <c r="B333" i="3"/>
  <c r="C333" i="3"/>
  <c r="D333" i="3"/>
  <c r="E333" i="3"/>
  <c r="F333" i="3"/>
  <c r="G333" i="3"/>
  <c r="H333" i="3"/>
  <c r="I333" i="3"/>
  <c r="J333" i="3"/>
  <c r="K333" i="3"/>
  <c r="B334" i="3"/>
  <c r="C334" i="3"/>
  <c r="D334" i="3"/>
  <c r="E334" i="3"/>
  <c r="F334" i="3"/>
  <c r="G334" i="3"/>
  <c r="H334" i="3"/>
  <c r="I334" i="3"/>
  <c r="J334" i="3"/>
  <c r="K334" i="3"/>
  <c r="B335" i="3"/>
  <c r="C335" i="3"/>
  <c r="D335" i="3"/>
  <c r="E335" i="3"/>
  <c r="F335" i="3"/>
  <c r="G335" i="3"/>
  <c r="H335" i="3"/>
  <c r="I335" i="3"/>
  <c r="J335" i="3"/>
  <c r="K335" i="3"/>
  <c r="B336" i="3"/>
  <c r="C336" i="3"/>
  <c r="D336" i="3"/>
  <c r="E336" i="3"/>
  <c r="F336" i="3"/>
  <c r="G336" i="3"/>
  <c r="H336" i="3"/>
  <c r="I336" i="3"/>
  <c r="J336" i="3"/>
  <c r="K336" i="3"/>
  <c r="B337" i="3"/>
  <c r="C337" i="3"/>
  <c r="D337" i="3"/>
  <c r="E337" i="3"/>
  <c r="F337" i="3"/>
  <c r="G337" i="3"/>
  <c r="H337" i="3"/>
  <c r="I337" i="3"/>
  <c r="J337" i="3"/>
  <c r="K337" i="3"/>
  <c r="B338" i="3"/>
  <c r="C338" i="3"/>
  <c r="D338" i="3"/>
  <c r="E338" i="3"/>
  <c r="F338" i="3"/>
  <c r="G338" i="3"/>
  <c r="H338" i="3"/>
  <c r="I338" i="3"/>
  <c r="J338" i="3"/>
  <c r="K338" i="3"/>
  <c r="B339" i="3"/>
  <c r="C339" i="3"/>
  <c r="D339" i="3"/>
  <c r="E339" i="3"/>
  <c r="F339" i="3"/>
  <c r="G339" i="3"/>
  <c r="H339" i="3"/>
  <c r="I339" i="3"/>
  <c r="J339" i="3"/>
  <c r="K339" i="3"/>
  <c r="B340" i="3"/>
  <c r="C340" i="3"/>
  <c r="D340" i="3"/>
  <c r="E340" i="3"/>
  <c r="F340" i="3"/>
  <c r="G340" i="3"/>
  <c r="H340" i="3"/>
  <c r="I340" i="3"/>
  <c r="J340" i="3"/>
  <c r="K340" i="3"/>
  <c r="B341" i="3"/>
  <c r="C341" i="3"/>
  <c r="D341" i="3"/>
  <c r="E341" i="3"/>
  <c r="F341" i="3"/>
  <c r="G341" i="3"/>
  <c r="H341" i="3"/>
  <c r="I341" i="3"/>
  <c r="J341" i="3"/>
  <c r="K341" i="3"/>
  <c r="B342" i="3"/>
  <c r="C342" i="3"/>
  <c r="D342" i="3"/>
  <c r="E342" i="3"/>
  <c r="F342" i="3"/>
  <c r="G342" i="3"/>
  <c r="H342" i="3"/>
  <c r="I342" i="3"/>
  <c r="J342" i="3"/>
  <c r="K342" i="3"/>
  <c r="B343" i="3"/>
  <c r="C343" i="3"/>
  <c r="D343" i="3"/>
  <c r="E343" i="3"/>
  <c r="F343" i="3"/>
  <c r="G343" i="3"/>
  <c r="H343" i="3"/>
  <c r="I343" i="3"/>
  <c r="J343" i="3"/>
  <c r="K343" i="3"/>
  <c r="B344" i="3"/>
  <c r="C344" i="3"/>
  <c r="D344" i="3"/>
  <c r="E344" i="3"/>
  <c r="F344" i="3"/>
  <c r="G344" i="3"/>
  <c r="H344" i="3"/>
  <c r="I344" i="3"/>
  <c r="J344" i="3"/>
  <c r="K344" i="3"/>
  <c r="B345" i="3"/>
  <c r="C345" i="3"/>
  <c r="D345" i="3"/>
  <c r="E345" i="3"/>
  <c r="F345" i="3"/>
  <c r="G345" i="3"/>
  <c r="H345" i="3"/>
  <c r="I345" i="3"/>
  <c r="J345" i="3"/>
  <c r="K345" i="3"/>
  <c r="B346" i="3"/>
  <c r="C346" i="3"/>
  <c r="D346" i="3"/>
  <c r="E346" i="3"/>
  <c r="F346" i="3"/>
  <c r="G346" i="3"/>
  <c r="H346" i="3"/>
  <c r="I346" i="3"/>
  <c r="J346" i="3"/>
  <c r="K346" i="3"/>
  <c r="B347" i="3"/>
  <c r="C347" i="3"/>
  <c r="D347" i="3"/>
  <c r="E347" i="3"/>
  <c r="F347" i="3"/>
  <c r="G347" i="3"/>
  <c r="H347" i="3"/>
  <c r="I347" i="3"/>
  <c r="J347" i="3"/>
  <c r="K347" i="3"/>
  <c r="B348" i="3"/>
  <c r="C348" i="3"/>
  <c r="D348" i="3"/>
  <c r="E348" i="3"/>
  <c r="F348" i="3"/>
  <c r="G348" i="3"/>
  <c r="H348" i="3"/>
  <c r="I348" i="3"/>
  <c r="J348" i="3"/>
  <c r="K348" i="3"/>
  <c r="B349" i="3"/>
  <c r="C349" i="3"/>
  <c r="D349" i="3"/>
  <c r="E349" i="3"/>
  <c r="F349" i="3"/>
  <c r="G349" i="3"/>
  <c r="H349" i="3"/>
  <c r="I349" i="3"/>
  <c r="J349" i="3"/>
  <c r="K349" i="3"/>
  <c r="B350" i="3"/>
  <c r="C350" i="3"/>
  <c r="D350" i="3"/>
  <c r="E350" i="3"/>
  <c r="F350" i="3"/>
  <c r="G350" i="3"/>
  <c r="H350" i="3"/>
  <c r="I350" i="3"/>
  <c r="J350" i="3"/>
  <c r="K350" i="3"/>
  <c r="B351" i="3"/>
  <c r="C351" i="3"/>
  <c r="D351" i="3"/>
  <c r="E351" i="3"/>
  <c r="F351" i="3"/>
  <c r="G351" i="3"/>
  <c r="H351" i="3"/>
  <c r="I351" i="3"/>
  <c r="J351" i="3"/>
  <c r="K351" i="3"/>
  <c r="B352" i="3"/>
  <c r="C352" i="3"/>
  <c r="D352" i="3"/>
  <c r="E352" i="3"/>
  <c r="F352" i="3"/>
  <c r="G352" i="3"/>
  <c r="H352" i="3"/>
  <c r="I352" i="3"/>
  <c r="J352" i="3"/>
  <c r="K352" i="3"/>
  <c r="B353" i="3"/>
  <c r="C353" i="3"/>
  <c r="D353" i="3"/>
  <c r="E353" i="3"/>
  <c r="F353" i="3"/>
  <c r="G353" i="3"/>
  <c r="H353" i="3"/>
  <c r="I353" i="3"/>
  <c r="J353" i="3"/>
  <c r="K353" i="3"/>
  <c r="B354" i="3"/>
  <c r="C354" i="3"/>
  <c r="D354" i="3"/>
  <c r="E354" i="3"/>
  <c r="F354" i="3"/>
  <c r="G354" i="3"/>
  <c r="H354" i="3"/>
  <c r="I354" i="3"/>
  <c r="J354" i="3"/>
  <c r="K354" i="3"/>
  <c r="B355" i="3"/>
  <c r="C355" i="3"/>
  <c r="D355" i="3"/>
  <c r="E355" i="3"/>
  <c r="F355" i="3"/>
  <c r="G355" i="3"/>
  <c r="H355" i="3"/>
  <c r="I355" i="3"/>
  <c r="J355" i="3"/>
  <c r="K355" i="3"/>
  <c r="B356" i="3"/>
  <c r="C356" i="3"/>
  <c r="D356" i="3"/>
  <c r="E356" i="3"/>
  <c r="F356" i="3"/>
  <c r="G356" i="3"/>
  <c r="H356" i="3"/>
  <c r="I356" i="3"/>
  <c r="J356" i="3"/>
  <c r="K356" i="3"/>
  <c r="B357" i="3"/>
  <c r="C357" i="3"/>
  <c r="D357" i="3"/>
  <c r="E357" i="3"/>
  <c r="F357" i="3"/>
  <c r="G357" i="3"/>
  <c r="H357" i="3"/>
  <c r="I357" i="3"/>
  <c r="J357" i="3"/>
  <c r="K357" i="3"/>
  <c r="B358" i="3"/>
  <c r="C358" i="3"/>
  <c r="D358" i="3"/>
  <c r="E358" i="3"/>
  <c r="F358" i="3"/>
  <c r="G358" i="3"/>
  <c r="H358" i="3"/>
  <c r="I358" i="3"/>
  <c r="J358" i="3"/>
  <c r="K358" i="3"/>
  <c r="B359" i="3"/>
  <c r="C359" i="3"/>
  <c r="D359" i="3"/>
  <c r="E359" i="3"/>
  <c r="F359" i="3"/>
  <c r="G359" i="3"/>
  <c r="H359" i="3"/>
  <c r="I359" i="3"/>
  <c r="J359" i="3"/>
  <c r="K359" i="3"/>
  <c r="B360" i="3"/>
  <c r="C360" i="3"/>
  <c r="D360" i="3"/>
  <c r="E360" i="3"/>
  <c r="F360" i="3"/>
  <c r="G360" i="3"/>
  <c r="H360" i="3"/>
  <c r="I360" i="3"/>
  <c r="J360" i="3"/>
  <c r="K360" i="3"/>
  <c r="B361" i="3"/>
  <c r="C361" i="3"/>
  <c r="D361" i="3"/>
  <c r="E361" i="3"/>
  <c r="F361" i="3"/>
  <c r="G361" i="3"/>
  <c r="H361" i="3"/>
  <c r="I361" i="3"/>
  <c r="J361" i="3"/>
  <c r="K361" i="3"/>
  <c r="B362" i="3"/>
  <c r="C362" i="3"/>
  <c r="D362" i="3"/>
  <c r="E362" i="3"/>
  <c r="F362" i="3"/>
  <c r="G362" i="3"/>
  <c r="H362" i="3"/>
  <c r="I362" i="3"/>
  <c r="J362" i="3"/>
  <c r="K362" i="3"/>
  <c r="B363" i="3"/>
  <c r="C363" i="3"/>
  <c r="D363" i="3"/>
  <c r="E363" i="3"/>
  <c r="F363" i="3"/>
  <c r="G363" i="3"/>
  <c r="H363" i="3"/>
  <c r="I363" i="3"/>
  <c r="J363" i="3"/>
  <c r="K363" i="3"/>
  <c r="B364" i="3"/>
  <c r="C364" i="3"/>
  <c r="D364" i="3"/>
  <c r="E364" i="3"/>
  <c r="F364" i="3"/>
  <c r="G364" i="3"/>
  <c r="H364" i="3"/>
  <c r="I364" i="3"/>
  <c r="J364" i="3"/>
  <c r="K364" i="3"/>
  <c r="B365" i="3"/>
  <c r="C365" i="3"/>
  <c r="D365" i="3"/>
  <c r="E365" i="3"/>
  <c r="F365" i="3"/>
  <c r="G365" i="3"/>
  <c r="H365" i="3"/>
  <c r="I365" i="3"/>
  <c r="J365" i="3"/>
  <c r="K365" i="3"/>
  <c r="B366" i="3"/>
  <c r="C366" i="3"/>
  <c r="D366" i="3"/>
  <c r="E366" i="3"/>
  <c r="F366" i="3"/>
  <c r="G366" i="3"/>
  <c r="H366" i="3"/>
  <c r="I366" i="3"/>
  <c r="J366" i="3"/>
  <c r="K366" i="3"/>
  <c r="B367" i="3"/>
  <c r="C367" i="3"/>
  <c r="D367" i="3"/>
  <c r="E367" i="3"/>
  <c r="F367" i="3"/>
  <c r="G367" i="3"/>
  <c r="H367" i="3"/>
  <c r="I367" i="3"/>
  <c r="J367" i="3"/>
  <c r="K367" i="3"/>
  <c r="B368" i="3"/>
  <c r="C368" i="3"/>
  <c r="D368" i="3"/>
  <c r="E368" i="3"/>
  <c r="F368" i="3"/>
  <c r="G368" i="3"/>
  <c r="H368" i="3"/>
  <c r="I368" i="3"/>
  <c r="J368" i="3"/>
  <c r="K368" i="3"/>
  <c r="B369" i="3"/>
  <c r="C369" i="3"/>
  <c r="D369" i="3"/>
  <c r="E369" i="3"/>
  <c r="F369" i="3"/>
  <c r="G369" i="3"/>
  <c r="H369" i="3"/>
  <c r="I369" i="3"/>
  <c r="J369" i="3"/>
  <c r="K369" i="3"/>
  <c r="B370" i="3"/>
  <c r="C370" i="3"/>
  <c r="D370" i="3"/>
  <c r="E370" i="3"/>
  <c r="F370" i="3"/>
  <c r="G370" i="3"/>
  <c r="H370" i="3"/>
  <c r="I370" i="3"/>
  <c r="J370" i="3"/>
  <c r="K370" i="3"/>
  <c r="B371" i="3"/>
  <c r="C371" i="3"/>
  <c r="D371" i="3"/>
  <c r="E371" i="3"/>
  <c r="F371" i="3"/>
  <c r="G371" i="3"/>
  <c r="H371" i="3"/>
  <c r="I371" i="3"/>
  <c r="J371" i="3"/>
  <c r="K371" i="3"/>
  <c r="B372" i="3"/>
  <c r="C372" i="3"/>
  <c r="D372" i="3"/>
  <c r="E372" i="3"/>
  <c r="F372" i="3"/>
  <c r="G372" i="3"/>
  <c r="H372" i="3"/>
  <c r="I372" i="3"/>
  <c r="J372" i="3"/>
  <c r="K372" i="3"/>
  <c r="B373" i="3"/>
  <c r="C373" i="3"/>
  <c r="D373" i="3"/>
  <c r="E373" i="3"/>
  <c r="F373" i="3"/>
  <c r="G373" i="3"/>
  <c r="H373" i="3"/>
  <c r="I373" i="3"/>
  <c r="J373" i="3"/>
  <c r="K373" i="3"/>
  <c r="B374" i="3"/>
  <c r="C374" i="3"/>
  <c r="D374" i="3"/>
  <c r="E374" i="3"/>
  <c r="F374" i="3"/>
  <c r="G374" i="3"/>
  <c r="H374" i="3"/>
  <c r="I374" i="3"/>
  <c r="J374" i="3"/>
  <c r="K374" i="3"/>
  <c r="B375" i="3"/>
  <c r="C375" i="3"/>
  <c r="D375" i="3"/>
  <c r="E375" i="3"/>
  <c r="F375" i="3"/>
  <c r="G375" i="3"/>
  <c r="H375" i="3"/>
  <c r="I375" i="3"/>
  <c r="J375" i="3"/>
  <c r="K375" i="3"/>
  <c r="B376" i="3"/>
  <c r="C376" i="3"/>
  <c r="D376" i="3"/>
  <c r="E376" i="3"/>
  <c r="F376" i="3"/>
  <c r="G376" i="3"/>
  <c r="H376" i="3"/>
  <c r="I376" i="3"/>
  <c r="J376" i="3"/>
  <c r="K376" i="3"/>
  <c r="B377" i="3"/>
  <c r="C377" i="3"/>
  <c r="D377" i="3"/>
  <c r="E377" i="3"/>
  <c r="F377" i="3"/>
  <c r="G377" i="3"/>
  <c r="H377" i="3"/>
  <c r="I377" i="3"/>
  <c r="J377" i="3"/>
  <c r="K377" i="3"/>
  <c r="B378" i="3"/>
  <c r="C378" i="3"/>
  <c r="D378" i="3"/>
  <c r="E378" i="3"/>
  <c r="F378" i="3"/>
  <c r="G378" i="3"/>
  <c r="H378" i="3"/>
  <c r="I378" i="3"/>
  <c r="J378" i="3"/>
  <c r="K378" i="3"/>
  <c r="B379" i="3"/>
  <c r="C379" i="3"/>
  <c r="D379" i="3"/>
  <c r="E379" i="3"/>
  <c r="F379" i="3"/>
  <c r="G379" i="3"/>
  <c r="H379" i="3"/>
  <c r="I379" i="3"/>
  <c r="J379" i="3"/>
  <c r="K379" i="3"/>
  <c r="B380" i="3"/>
  <c r="C380" i="3"/>
  <c r="D380" i="3"/>
  <c r="E380" i="3"/>
  <c r="F380" i="3"/>
  <c r="G380" i="3"/>
  <c r="H380" i="3"/>
  <c r="I380" i="3"/>
  <c r="J380" i="3"/>
  <c r="K380" i="3"/>
  <c r="B381" i="3"/>
  <c r="C381" i="3"/>
  <c r="D381" i="3"/>
  <c r="E381" i="3"/>
  <c r="F381" i="3"/>
  <c r="G381" i="3"/>
  <c r="H381" i="3"/>
  <c r="I381" i="3"/>
  <c r="J381" i="3"/>
  <c r="K381" i="3"/>
  <c r="B382" i="3"/>
  <c r="C382" i="3"/>
  <c r="D382" i="3"/>
  <c r="E382" i="3"/>
  <c r="F382" i="3"/>
  <c r="G382" i="3"/>
  <c r="H382" i="3"/>
  <c r="I382" i="3"/>
  <c r="J382" i="3"/>
  <c r="K382" i="3"/>
  <c r="B383" i="3"/>
  <c r="C383" i="3"/>
  <c r="D383" i="3"/>
  <c r="E383" i="3"/>
  <c r="F383" i="3"/>
  <c r="G383" i="3"/>
  <c r="H383" i="3"/>
  <c r="I383" i="3"/>
  <c r="J383" i="3"/>
  <c r="K383" i="3"/>
  <c r="B384" i="3"/>
  <c r="C384" i="3"/>
  <c r="D384" i="3"/>
  <c r="E384" i="3"/>
  <c r="F384" i="3"/>
  <c r="G384" i="3"/>
  <c r="H384" i="3"/>
  <c r="I384" i="3"/>
  <c r="J384" i="3"/>
  <c r="K384" i="3"/>
  <c r="B385" i="3"/>
  <c r="C385" i="3"/>
  <c r="D385" i="3"/>
  <c r="E385" i="3"/>
  <c r="F385" i="3"/>
  <c r="G385" i="3"/>
  <c r="H385" i="3"/>
  <c r="I385" i="3"/>
  <c r="J385" i="3"/>
  <c r="K385" i="3"/>
  <c r="B386" i="3"/>
  <c r="C386" i="3"/>
  <c r="D386" i="3"/>
  <c r="E386" i="3"/>
  <c r="F386" i="3"/>
  <c r="G386" i="3"/>
  <c r="H386" i="3"/>
  <c r="I386" i="3"/>
  <c r="J386" i="3"/>
  <c r="K386" i="3"/>
  <c r="B387" i="3"/>
  <c r="C387" i="3"/>
  <c r="D387" i="3"/>
  <c r="E387" i="3"/>
  <c r="F387" i="3"/>
  <c r="G387" i="3"/>
  <c r="H387" i="3"/>
  <c r="I387" i="3"/>
  <c r="J387" i="3"/>
  <c r="K387" i="3"/>
  <c r="B388" i="3"/>
  <c r="C388" i="3"/>
  <c r="D388" i="3"/>
  <c r="E388" i="3"/>
  <c r="F388" i="3"/>
  <c r="G388" i="3"/>
  <c r="H388" i="3"/>
  <c r="I388" i="3"/>
  <c r="J388" i="3"/>
  <c r="K388" i="3"/>
  <c r="B389" i="3"/>
  <c r="C389" i="3"/>
  <c r="D389" i="3"/>
  <c r="E389" i="3"/>
  <c r="F389" i="3"/>
  <c r="G389" i="3"/>
  <c r="H389" i="3"/>
  <c r="I389" i="3"/>
  <c r="J389" i="3"/>
  <c r="K389" i="3"/>
  <c r="B390" i="3"/>
  <c r="C390" i="3"/>
  <c r="D390" i="3"/>
  <c r="E390" i="3"/>
  <c r="F390" i="3"/>
  <c r="G390" i="3"/>
  <c r="H390" i="3"/>
  <c r="I390" i="3"/>
  <c r="J390" i="3"/>
  <c r="K390" i="3"/>
  <c r="B391" i="3"/>
  <c r="C391" i="3"/>
  <c r="D391" i="3"/>
  <c r="E391" i="3"/>
  <c r="F391" i="3"/>
  <c r="G391" i="3"/>
  <c r="H391" i="3"/>
  <c r="I391" i="3"/>
  <c r="J391" i="3"/>
  <c r="K391" i="3"/>
  <c r="B392" i="3"/>
  <c r="C392" i="3"/>
  <c r="D392" i="3"/>
  <c r="E392" i="3"/>
  <c r="F392" i="3"/>
  <c r="G392" i="3"/>
  <c r="H392" i="3"/>
  <c r="I392" i="3"/>
  <c r="J392" i="3"/>
  <c r="K392" i="3"/>
  <c r="B393" i="3"/>
  <c r="C393" i="3"/>
  <c r="D393" i="3"/>
  <c r="E393" i="3"/>
  <c r="F393" i="3"/>
  <c r="G393" i="3"/>
  <c r="H393" i="3"/>
  <c r="I393" i="3"/>
  <c r="J393" i="3"/>
  <c r="K393" i="3"/>
  <c r="B394" i="3"/>
  <c r="C394" i="3"/>
  <c r="D394" i="3"/>
  <c r="E394" i="3"/>
  <c r="F394" i="3"/>
  <c r="G394" i="3"/>
  <c r="H394" i="3"/>
  <c r="I394" i="3"/>
  <c r="J394" i="3"/>
  <c r="K394" i="3"/>
  <c r="B395" i="3"/>
  <c r="C395" i="3"/>
  <c r="D395" i="3"/>
  <c r="E395" i="3"/>
  <c r="F395" i="3"/>
  <c r="G395" i="3"/>
  <c r="H395" i="3"/>
  <c r="I395" i="3"/>
  <c r="J395" i="3"/>
  <c r="K395" i="3"/>
  <c r="B396" i="3"/>
  <c r="C396" i="3"/>
  <c r="D396" i="3"/>
  <c r="E396" i="3"/>
  <c r="F396" i="3"/>
  <c r="G396" i="3"/>
  <c r="H396" i="3"/>
  <c r="I396" i="3"/>
  <c r="J396" i="3"/>
  <c r="K396" i="3"/>
  <c r="B397" i="3"/>
  <c r="C397" i="3"/>
  <c r="D397" i="3"/>
  <c r="E397" i="3"/>
  <c r="F397" i="3"/>
  <c r="G397" i="3"/>
  <c r="H397" i="3"/>
  <c r="I397" i="3"/>
  <c r="J397" i="3"/>
  <c r="K397" i="3"/>
  <c r="B398" i="3"/>
  <c r="C398" i="3"/>
  <c r="D398" i="3"/>
  <c r="E398" i="3"/>
  <c r="F398" i="3"/>
  <c r="G398" i="3"/>
  <c r="H398" i="3"/>
  <c r="I398" i="3"/>
  <c r="J398" i="3"/>
  <c r="K398" i="3"/>
  <c r="B399" i="3"/>
  <c r="C399" i="3"/>
  <c r="D399" i="3"/>
  <c r="E399" i="3"/>
  <c r="F399" i="3"/>
  <c r="G399" i="3"/>
  <c r="H399" i="3"/>
  <c r="I399" i="3"/>
  <c r="J399" i="3"/>
  <c r="K399" i="3"/>
  <c r="B400" i="3"/>
  <c r="C400" i="3"/>
  <c r="D400" i="3"/>
  <c r="E400" i="3"/>
  <c r="F400" i="3"/>
  <c r="G400" i="3"/>
  <c r="H400" i="3"/>
  <c r="I400" i="3"/>
  <c r="J400" i="3"/>
  <c r="K400" i="3"/>
  <c r="B401" i="3"/>
  <c r="C401" i="3"/>
  <c r="D401" i="3"/>
  <c r="E401" i="3"/>
  <c r="F401" i="3"/>
  <c r="G401" i="3"/>
  <c r="H401" i="3"/>
  <c r="I401" i="3"/>
  <c r="J401" i="3"/>
  <c r="K401" i="3"/>
  <c r="B402" i="3"/>
  <c r="C402" i="3"/>
  <c r="D402" i="3"/>
  <c r="E402" i="3"/>
  <c r="F402" i="3"/>
  <c r="G402" i="3"/>
  <c r="H402" i="3"/>
  <c r="I402" i="3"/>
  <c r="J402" i="3"/>
  <c r="K402" i="3"/>
  <c r="B403" i="3"/>
  <c r="C403" i="3"/>
  <c r="D403" i="3"/>
  <c r="E403" i="3"/>
  <c r="F403" i="3"/>
  <c r="G403" i="3"/>
  <c r="H403" i="3"/>
  <c r="I403" i="3"/>
  <c r="J403" i="3"/>
  <c r="K403" i="3"/>
  <c r="B404" i="3"/>
  <c r="C404" i="3"/>
  <c r="D404" i="3"/>
  <c r="E404" i="3"/>
  <c r="F404" i="3"/>
  <c r="G404" i="3"/>
  <c r="H404" i="3"/>
  <c r="I404" i="3"/>
  <c r="J404" i="3"/>
  <c r="K404" i="3"/>
  <c r="B405" i="3"/>
  <c r="C405" i="3"/>
  <c r="D405" i="3"/>
  <c r="E405" i="3"/>
  <c r="F405" i="3"/>
  <c r="G405" i="3"/>
  <c r="H405" i="3"/>
  <c r="I405" i="3"/>
  <c r="J405" i="3"/>
  <c r="K405" i="3"/>
  <c r="B406" i="3"/>
  <c r="C406" i="3"/>
  <c r="D406" i="3"/>
  <c r="E406" i="3"/>
  <c r="F406" i="3"/>
  <c r="G406" i="3"/>
  <c r="H406" i="3"/>
  <c r="I406" i="3"/>
  <c r="J406" i="3"/>
  <c r="K406" i="3"/>
  <c r="B407" i="3"/>
  <c r="C407" i="3"/>
  <c r="D407" i="3"/>
  <c r="E407" i="3"/>
  <c r="F407" i="3"/>
  <c r="G407" i="3"/>
  <c r="H407" i="3"/>
  <c r="I407" i="3"/>
  <c r="J407" i="3"/>
  <c r="K407" i="3"/>
  <c r="B408" i="3"/>
  <c r="C408" i="3"/>
  <c r="D408" i="3"/>
  <c r="E408" i="3"/>
  <c r="F408" i="3"/>
  <c r="G408" i="3"/>
  <c r="H408" i="3"/>
  <c r="I408" i="3"/>
  <c r="J408" i="3"/>
  <c r="K408" i="3"/>
  <c r="B409" i="3"/>
  <c r="C409" i="3"/>
  <c r="D409" i="3"/>
  <c r="E409" i="3"/>
  <c r="F409" i="3"/>
  <c r="G409" i="3"/>
  <c r="H409" i="3"/>
  <c r="I409" i="3"/>
  <c r="J409" i="3"/>
  <c r="K409" i="3"/>
  <c r="B410" i="3"/>
  <c r="C410" i="3"/>
  <c r="D410" i="3"/>
  <c r="E410" i="3"/>
  <c r="F410" i="3"/>
  <c r="G410" i="3"/>
  <c r="H410" i="3"/>
  <c r="I410" i="3"/>
  <c r="J410" i="3"/>
  <c r="K410" i="3"/>
  <c r="B411" i="3"/>
  <c r="C411" i="3"/>
  <c r="D411" i="3"/>
  <c r="E411" i="3"/>
  <c r="F411" i="3"/>
  <c r="G411" i="3"/>
  <c r="H411" i="3"/>
  <c r="I411" i="3"/>
  <c r="J411" i="3"/>
  <c r="K411" i="3"/>
  <c r="B412" i="3"/>
  <c r="C412" i="3"/>
  <c r="D412" i="3"/>
  <c r="E412" i="3"/>
  <c r="F412" i="3"/>
  <c r="G412" i="3"/>
  <c r="H412" i="3"/>
  <c r="I412" i="3"/>
  <c r="J412" i="3"/>
  <c r="K412" i="3"/>
  <c r="B413" i="3"/>
  <c r="C413" i="3"/>
  <c r="D413" i="3"/>
  <c r="E413" i="3"/>
  <c r="F413" i="3"/>
  <c r="G413" i="3"/>
  <c r="H413" i="3"/>
  <c r="I413" i="3"/>
  <c r="J413" i="3"/>
  <c r="K413" i="3"/>
  <c r="B414" i="3"/>
  <c r="C414" i="3"/>
  <c r="D414" i="3"/>
  <c r="E414" i="3"/>
  <c r="F414" i="3"/>
  <c r="G414" i="3"/>
  <c r="H414" i="3"/>
  <c r="I414" i="3"/>
  <c r="J414" i="3"/>
  <c r="K414" i="3"/>
  <c r="B415" i="3"/>
  <c r="C415" i="3"/>
  <c r="D415" i="3"/>
  <c r="E415" i="3"/>
  <c r="F415" i="3"/>
  <c r="G415" i="3"/>
  <c r="H415" i="3"/>
  <c r="I415" i="3"/>
  <c r="J415" i="3"/>
  <c r="K415" i="3"/>
  <c r="B416" i="3"/>
  <c r="C416" i="3"/>
  <c r="D416" i="3"/>
  <c r="E416" i="3"/>
  <c r="F416" i="3"/>
  <c r="G416" i="3"/>
  <c r="H416" i="3"/>
  <c r="I416" i="3"/>
  <c r="J416" i="3"/>
  <c r="K416" i="3"/>
  <c r="B417" i="3"/>
  <c r="C417" i="3"/>
  <c r="D417" i="3"/>
  <c r="E417" i="3"/>
  <c r="F417" i="3"/>
  <c r="G417" i="3"/>
  <c r="H417" i="3"/>
  <c r="I417" i="3"/>
  <c r="J417" i="3"/>
  <c r="K417" i="3"/>
  <c r="B418" i="3"/>
  <c r="C418" i="3"/>
  <c r="D418" i="3"/>
  <c r="E418" i="3"/>
  <c r="F418" i="3"/>
  <c r="G418" i="3"/>
  <c r="H418" i="3"/>
  <c r="I418" i="3"/>
  <c r="J418" i="3"/>
  <c r="K418" i="3"/>
  <c r="B419" i="3"/>
  <c r="C419" i="3"/>
  <c r="D419" i="3"/>
  <c r="E419" i="3"/>
  <c r="F419" i="3"/>
  <c r="G419" i="3"/>
  <c r="H419" i="3"/>
  <c r="I419" i="3"/>
  <c r="J419" i="3"/>
  <c r="K419" i="3"/>
  <c r="B420" i="3"/>
  <c r="C420" i="3"/>
  <c r="D420" i="3"/>
  <c r="E420" i="3"/>
  <c r="F420" i="3"/>
  <c r="G420" i="3"/>
  <c r="H420" i="3"/>
  <c r="I420" i="3"/>
  <c r="J420" i="3"/>
  <c r="K420" i="3"/>
  <c r="B421" i="3"/>
  <c r="C421" i="3"/>
  <c r="D421" i="3"/>
  <c r="E421" i="3"/>
  <c r="F421" i="3"/>
  <c r="G421" i="3"/>
  <c r="H421" i="3"/>
  <c r="I421" i="3"/>
  <c r="J421" i="3"/>
  <c r="K421" i="3"/>
  <c r="B422" i="3"/>
  <c r="C422" i="3"/>
  <c r="D422" i="3"/>
  <c r="E422" i="3"/>
  <c r="F422" i="3"/>
  <c r="G422" i="3"/>
  <c r="H422" i="3"/>
  <c r="I422" i="3"/>
  <c r="J422" i="3"/>
  <c r="K422" i="3"/>
  <c r="B423" i="3"/>
  <c r="C423" i="3"/>
  <c r="D423" i="3"/>
  <c r="E423" i="3"/>
  <c r="F423" i="3"/>
  <c r="G423" i="3"/>
  <c r="H423" i="3"/>
  <c r="I423" i="3"/>
  <c r="J423" i="3"/>
  <c r="K423" i="3"/>
  <c r="B424" i="3"/>
  <c r="C424" i="3"/>
  <c r="D424" i="3"/>
  <c r="E424" i="3"/>
  <c r="F424" i="3"/>
  <c r="G424" i="3"/>
  <c r="H424" i="3"/>
  <c r="I424" i="3"/>
  <c r="J424" i="3"/>
  <c r="K424" i="3"/>
  <c r="B425" i="3"/>
  <c r="C425" i="3"/>
  <c r="D425" i="3"/>
  <c r="E425" i="3"/>
  <c r="F425" i="3"/>
  <c r="G425" i="3"/>
  <c r="H425" i="3"/>
  <c r="I425" i="3"/>
  <c r="J425" i="3"/>
  <c r="K425" i="3"/>
  <c r="B426" i="3"/>
  <c r="C426" i="3"/>
  <c r="D426" i="3"/>
  <c r="E426" i="3"/>
  <c r="F426" i="3"/>
  <c r="G426" i="3"/>
  <c r="H426" i="3"/>
  <c r="I426" i="3"/>
  <c r="J426" i="3"/>
  <c r="K426" i="3"/>
  <c r="B427" i="3"/>
  <c r="C427" i="3"/>
  <c r="D427" i="3"/>
  <c r="E427" i="3"/>
  <c r="F427" i="3"/>
  <c r="G427" i="3"/>
  <c r="H427" i="3"/>
  <c r="I427" i="3"/>
  <c r="J427" i="3"/>
  <c r="K427" i="3"/>
  <c r="B428" i="3"/>
  <c r="C428" i="3"/>
  <c r="D428" i="3"/>
  <c r="E428" i="3"/>
  <c r="F428" i="3"/>
  <c r="G428" i="3"/>
  <c r="H428" i="3"/>
  <c r="I428" i="3"/>
  <c r="J428" i="3"/>
  <c r="K428" i="3"/>
  <c r="B429" i="3"/>
  <c r="C429" i="3"/>
  <c r="D429" i="3"/>
  <c r="E429" i="3"/>
  <c r="F429" i="3"/>
  <c r="G429" i="3"/>
  <c r="H429" i="3"/>
  <c r="I429" i="3"/>
  <c r="J429" i="3"/>
  <c r="K429" i="3"/>
  <c r="B430" i="3"/>
  <c r="C430" i="3"/>
  <c r="D430" i="3"/>
  <c r="E430" i="3"/>
  <c r="F430" i="3"/>
  <c r="G430" i="3"/>
  <c r="H430" i="3"/>
  <c r="I430" i="3"/>
  <c r="J430" i="3"/>
  <c r="K430" i="3"/>
  <c r="B431" i="3"/>
  <c r="C431" i="3"/>
  <c r="D431" i="3"/>
  <c r="E431" i="3"/>
  <c r="F431" i="3"/>
  <c r="G431" i="3"/>
  <c r="H431" i="3"/>
  <c r="I431" i="3"/>
  <c r="J431" i="3"/>
  <c r="K431" i="3"/>
  <c r="B432" i="3"/>
  <c r="C432" i="3"/>
  <c r="D432" i="3"/>
  <c r="E432" i="3"/>
  <c r="F432" i="3"/>
  <c r="G432" i="3"/>
  <c r="H432" i="3"/>
  <c r="I432" i="3"/>
  <c r="J432" i="3"/>
  <c r="K432" i="3"/>
  <c r="B433" i="3"/>
  <c r="C433" i="3"/>
  <c r="D433" i="3"/>
  <c r="E433" i="3"/>
  <c r="F433" i="3"/>
  <c r="G433" i="3"/>
  <c r="H433" i="3"/>
  <c r="I433" i="3"/>
  <c r="J433" i="3"/>
  <c r="K433" i="3"/>
  <c r="B434" i="3"/>
  <c r="C434" i="3"/>
  <c r="D434" i="3"/>
  <c r="E434" i="3"/>
  <c r="F434" i="3"/>
  <c r="G434" i="3"/>
  <c r="H434" i="3"/>
  <c r="I434" i="3"/>
  <c r="J434" i="3"/>
  <c r="K434" i="3"/>
  <c r="B435" i="3"/>
  <c r="C435" i="3"/>
  <c r="D435" i="3"/>
  <c r="E435" i="3"/>
  <c r="F435" i="3"/>
  <c r="G435" i="3"/>
  <c r="H435" i="3"/>
  <c r="I435" i="3"/>
  <c r="J435" i="3"/>
  <c r="K435" i="3"/>
  <c r="B436" i="3"/>
  <c r="C436" i="3"/>
  <c r="D436" i="3"/>
  <c r="E436" i="3"/>
  <c r="F436" i="3"/>
  <c r="G436" i="3"/>
  <c r="H436" i="3"/>
  <c r="I436" i="3"/>
  <c r="J436" i="3"/>
  <c r="K436" i="3"/>
  <c r="B437" i="3"/>
  <c r="C437" i="3"/>
  <c r="D437" i="3"/>
  <c r="E437" i="3"/>
  <c r="F437" i="3"/>
  <c r="G437" i="3"/>
  <c r="H437" i="3"/>
  <c r="I437" i="3"/>
  <c r="J437" i="3"/>
  <c r="K437" i="3"/>
  <c r="B438" i="3"/>
  <c r="C438" i="3"/>
  <c r="D438" i="3"/>
  <c r="E438" i="3"/>
  <c r="F438" i="3"/>
  <c r="G438" i="3"/>
  <c r="H438" i="3"/>
  <c r="I438" i="3"/>
  <c r="J438" i="3"/>
  <c r="K438" i="3"/>
  <c r="B439" i="3"/>
  <c r="C439" i="3"/>
  <c r="D439" i="3"/>
  <c r="E439" i="3"/>
  <c r="F439" i="3"/>
  <c r="G439" i="3"/>
  <c r="H439" i="3"/>
  <c r="I439" i="3"/>
  <c r="J439" i="3"/>
  <c r="K439" i="3"/>
  <c r="B440" i="3"/>
  <c r="C440" i="3"/>
  <c r="D440" i="3"/>
  <c r="E440" i="3"/>
  <c r="F440" i="3"/>
  <c r="G440" i="3"/>
  <c r="H440" i="3"/>
  <c r="I440" i="3"/>
  <c r="J440" i="3"/>
  <c r="K440" i="3"/>
  <c r="B441" i="3"/>
  <c r="C441" i="3"/>
  <c r="D441" i="3"/>
  <c r="E441" i="3"/>
  <c r="F441" i="3"/>
  <c r="G441" i="3"/>
  <c r="H441" i="3"/>
  <c r="I441" i="3"/>
  <c r="J441" i="3"/>
  <c r="K441" i="3"/>
  <c r="B442" i="3"/>
  <c r="C442" i="3"/>
  <c r="D442" i="3"/>
  <c r="E442" i="3"/>
  <c r="F442" i="3"/>
  <c r="G442" i="3"/>
  <c r="H442" i="3"/>
  <c r="I442" i="3"/>
  <c r="J442" i="3"/>
  <c r="K442" i="3"/>
  <c r="B443" i="3"/>
  <c r="C443" i="3"/>
  <c r="D443" i="3"/>
  <c r="E443" i="3"/>
  <c r="F443" i="3"/>
  <c r="G443" i="3"/>
  <c r="H443" i="3"/>
  <c r="I443" i="3"/>
  <c r="J443" i="3"/>
  <c r="K443" i="3"/>
  <c r="B444" i="3"/>
  <c r="C444" i="3"/>
  <c r="D444" i="3"/>
  <c r="E444" i="3"/>
  <c r="F444" i="3"/>
  <c r="G444" i="3"/>
  <c r="H444" i="3"/>
  <c r="I444" i="3"/>
  <c r="J444" i="3"/>
  <c r="K444" i="3"/>
  <c r="B445" i="3"/>
  <c r="C445" i="3"/>
  <c r="D445" i="3"/>
  <c r="E445" i="3"/>
  <c r="F445" i="3"/>
  <c r="G445" i="3"/>
  <c r="H445" i="3"/>
  <c r="I445" i="3"/>
  <c r="J445" i="3"/>
  <c r="K445" i="3"/>
  <c r="B446" i="3"/>
  <c r="C446" i="3"/>
  <c r="D446" i="3"/>
  <c r="E446" i="3"/>
  <c r="F446" i="3"/>
  <c r="G446" i="3"/>
  <c r="H446" i="3"/>
  <c r="I446" i="3"/>
  <c r="J446" i="3"/>
  <c r="K446" i="3"/>
  <c r="B447" i="3"/>
  <c r="C447" i="3"/>
  <c r="D447" i="3"/>
  <c r="E447" i="3"/>
  <c r="F447" i="3"/>
  <c r="G447" i="3"/>
  <c r="H447" i="3"/>
  <c r="I447" i="3"/>
  <c r="J447" i="3"/>
  <c r="K447" i="3"/>
  <c r="B448" i="3"/>
  <c r="C448" i="3"/>
  <c r="D448" i="3"/>
  <c r="E448" i="3"/>
  <c r="F448" i="3"/>
  <c r="G448" i="3"/>
  <c r="H448" i="3"/>
  <c r="I448" i="3"/>
  <c r="J448" i="3"/>
  <c r="K448" i="3"/>
  <c r="B449" i="3"/>
  <c r="C449" i="3"/>
  <c r="D449" i="3"/>
  <c r="E449" i="3"/>
  <c r="F449" i="3"/>
  <c r="G449" i="3"/>
  <c r="H449" i="3"/>
  <c r="I449" i="3"/>
  <c r="J449" i="3"/>
  <c r="K449" i="3"/>
  <c r="B450" i="3"/>
  <c r="C450" i="3"/>
  <c r="D450" i="3"/>
  <c r="E450" i="3"/>
  <c r="F450" i="3"/>
  <c r="G450" i="3"/>
  <c r="H450" i="3"/>
  <c r="I450" i="3"/>
  <c r="J450" i="3"/>
  <c r="K450" i="3"/>
  <c r="B451" i="3"/>
  <c r="C451" i="3"/>
  <c r="D451" i="3"/>
  <c r="E451" i="3"/>
  <c r="F451" i="3"/>
  <c r="G451" i="3"/>
  <c r="H451" i="3"/>
  <c r="I451" i="3"/>
  <c r="J451" i="3"/>
  <c r="K451" i="3"/>
  <c r="B452" i="3"/>
  <c r="C452" i="3"/>
  <c r="D452" i="3"/>
  <c r="E452" i="3"/>
  <c r="F452" i="3"/>
  <c r="G452" i="3"/>
  <c r="H452" i="3"/>
  <c r="I452" i="3"/>
  <c r="J452" i="3"/>
  <c r="K452" i="3"/>
  <c r="B453" i="3"/>
  <c r="C453" i="3"/>
  <c r="D453" i="3"/>
  <c r="E453" i="3"/>
  <c r="F453" i="3"/>
  <c r="G453" i="3"/>
  <c r="H453" i="3"/>
  <c r="I453" i="3"/>
  <c r="J453" i="3"/>
  <c r="K453" i="3"/>
  <c r="B454" i="3"/>
  <c r="C454" i="3"/>
  <c r="D454" i="3"/>
  <c r="E454" i="3"/>
  <c r="F454" i="3"/>
  <c r="G454" i="3"/>
  <c r="H454" i="3"/>
  <c r="I454" i="3"/>
  <c r="J454" i="3"/>
  <c r="K454" i="3"/>
  <c r="B455" i="3"/>
  <c r="C455" i="3"/>
  <c r="D455" i="3"/>
  <c r="E455" i="3"/>
  <c r="F455" i="3"/>
  <c r="G455" i="3"/>
  <c r="H455" i="3"/>
  <c r="I455" i="3"/>
  <c r="J455" i="3"/>
  <c r="K455" i="3"/>
  <c r="B456" i="3"/>
  <c r="C456" i="3"/>
  <c r="D456" i="3"/>
  <c r="E456" i="3"/>
  <c r="F456" i="3"/>
  <c r="G456" i="3"/>
  <c r="H456" i="3"/>
  <c r="I456" i="3"/>
  <c r="J456" i="3"/>
  <c r="K456" i="3"/>
  <c r="B457" i="3"/>
  <c r="C457" i="3"/>
  <c r="D457" i="3"/>
  <c r="E457" i="3"/>
  <c r="F457" i="3"/>
  <c r="G457" i="3"/>
  <c r="H457" i="3"/>
  <c r="I457" i="3"/>
  <c r="J457" i="3"/>
  <c r="K457" i="3"/>
  <c r="B458" i="3"/>
  <c r="C458" i="3"/>
  <c r="D458" i="3"/>
  <c r="E458" i="3"/>
  <c r="F458" i="3"/>
  <c r="G458" i="3"/>
  <c r="H458" i="3"/>
  <c r="I458" i="3"/>
  <c r="J458" i="3"/>
  <c r="K458" i="3"/>
  <c r="B459" i="3"/>
  <c r="C459" i="3"/>
  <c r="D459" i="3"/>
  <c r="E459" i="3"/>
  <c r="F459" i="3"/>
  <c r="G459" i="3"/>
  <c r="H459" i="3"/>
  <c r="I459" i="3"/>
  <c r="J459" i="3"/>
  <c r="K459" i="3"/>
  <c r="B460" i="3"/>
  <c r="C460" i="3"/>
  <c r="D460" i="3"/>
  <c r="E460" i="3"/>
  <c r="F460" i="3"/>
  <c r="G460" i="3"/>
  <c r="H460" i="3"/>
  <c r="I460" i="3"/>
  <c r="J460" i="3"/>
  <c r="K460" i="3"/>
  <c r="B461" i="3"/>
  <c r="C461" i="3"/>
  <c r="D461" i="3"/>
  <c r="E461" i="3"/>
  <c r="F461" i="3"/>
  <c r="G461" i="3"/>
  <c r="H461" i="3"/>
  <c r="I461" i="3"/>
  <c r="J461" i="3"/>
  <c r="K461" i="3"/>
  <c r="B462" i="3"/>
  <c r="C462" i="3"/>
  <c r="D462" i="3"/>
  <c r="E462" i="3"/>
  <c r="F462" i="3"/>
  <c r="G462" i="3"/>
  <c r="H462" i="3"/>
  <c r="I462" i="3"/>
  <c r="J462" i="3"/>
  <c r="K462" i="3"/>
  <c r="B463" i="3"/>
  <c r="C463" i="3"/>
  <c r="D463" i="3"/>
  <c r="E463" i="3"/>
  <c r="F463" i="3"/>
  <c r="G463" i="3"/>
  <c r="H463" i="3"/>
  <c r="I463" i="3"/>
  <c r="J463" i="3"/>
  <c r="K463" i="3"/>
  <c r="B464" i="3"/>
  <c r="C464" i="3"/>
  <c r="D464" i="3"/>
  <c r="E464" i="3"/>
  <c r="F464" i="3"/>
  <c r="G464" i="3"/>
  <c r="H464" i="3"/>
  <c r="I464" i="3"/>
  <c r="J464" i="3"/>
  <c r="K464" i="3"/>
  <c r="B465" i="3"/>
  <c r="C465" i="3"/>
  <c r="D465" i="3"/>
  <c r="E465" i="3"/>
  <c r="F465" i="3"/>
  <c r="G465" i="3"/>
  <c r="H465" i="3"/>
  <c r="I465" i="3"/>
  <c r="J465" i="3"/>
  <c r="K465" i="3"/>
  <c r="B466" i="3"/>
  <c r="C466" i="3"/>
  <c r="D466" i="3"/>
  <c r="E466" i="3"/>
  <c r="F466" i="3"/>
  <c r="G466" i="3"/>
  <c r="H466" i="3"/>
  <c r="I466" i="3"/>
  <c r="J466" i="3"/>
  <c r="K466" i="3"/>
  <c r="B467" i="3"/>
  <c r="C467" i="3"/>
  <c r="D467" i="3"/>
  <c r="E467" i="3"/>
  <c r="F467" i="3"/>
  <c r="G467" i="3"/>
  <c r="H467" i="3"/>
  <c r="I467" i="3"/>
  <c r="J467" i="3"/>
  <c r="K467" i="3"/>
  <c r="B468" i="3"/>
  <c r="C468" i="3"/>
  <c r="D468" i="3"/>
  <c r="E468" i="3"/>
  <c r="F468" i="3"/>
  <c r="G468" i="3"/>
  <c r="H468" i="3"/>
  <c r="I468" i="3"/>
  <c r="J468" i="3"/>
  <c r="K468" i="3"/>
  <c r="B469" i="3"/>
  <c r="C469" i="3"/>
  <c r="D469" i="3"/>
  <c r="E469" i="3"/>
  <c r="F469" i="3"/>
  <c r="G469" i="3"/>
  <c r="H469" i="3"/>
  <c r="I469" i="3"/>
  <c r="J469" i="3"/>
  <c r="K469" i="3"/>
  <c r="B470" i="3"/>
  <c r="C470" i="3"/>
  <c r="D470" i="3"/>
  <c r="E470" i="3"/>
  <c r="F470" i="3"/>
  <c r="G470" i="3"/>
  <c r="H470" i="3"/>
  <c r="I470" i="3"/>
  <c r="J470" i="3"/>
  <c r="K470" i="3"/>
  <c r="B471" i="3"/>
  <c r="C471" i="3"/>
  <c r="D471" i="3"/>
  <c r="E471" i="3"/>
  <c r="F471" i="3"/>
  <c r="G471" i="3"/>
  <c r="H471" i="3"/>
  <c r="I471" i="3"/>
  <c r="J471" i="3"/>
  <c r="K471" i="3"/>
  <c r="B472" i="3"/>
  <c r="C472" i="3"/>
  <c r="D472" i="3"/>
  <c r="E472" i="3"/>
  <c r="F472" i="3"/>
  <c r="G472" i="3"/>
  <c r="H472" i="3"/>
  <c r="I472" i="3"/>
  <c r="J472" i="3"/>
  <c r="K472" i="3"/>
  <c r="B473" i="3"/>
  <c r="C473" i="3"/>
  <c r="D473" i="3"/>
  <c r="E473" i="3"/>
  <c r="F473" i="3"/>
  <c r="G473" i="3"/>
  <c r="H473" i="3"/>
  <c r="I473" i="3"/>
  <c r="J473" i="3"/>
  <c r="K473" i="3"/>
  <c r="B474" i="3"/>
  <c r="C474" i="3"/>
  <c r="D474" i="3"/>
  <c r="E474" i="3"/>
  <c r="F474" i="3"/>
  <c r="G474" i="3"/>
  <c r="H474" i="3"/>
  <c r="I474" i="3"/>
  <c r="J474" i="3"/>
  <c r="K474" i="3"/>
  <c r="B475" i="3"/>
  <c r="C475" i="3"/>
  <c r="D475" i="3"/>
  <c r="E475" i="3"/>
  <c r="F475" i="3"/>
  <c r="G475" i="3"/>
  <c r="H475" i="3"/>
  <c r="I475" i="3"/>
  <c r="J475" i="3"/>
  <c r="K475" i="3"/>
  <c r="B476" i="3"/>
  <c r="C476" i="3"/>
  <c r="D476" i="3"/>
  <c r="E476" i="3"/>
  <c r="F476" i="3"/>
  <c r="G476" i="3"/>
  <c r="H476" i="3"/>
  <c r="I476" i="3"/>
  <c r="J476" i="3"/>
  <c r="K476" i="3"/>
  <c r="B477" i="3"/>
  <c r="C477" i="3"/>
  <c r="D477" i="3"/>
  <c r="E477" i="3"/>
  <c r="F477" i="3"/>
  <c r="G477" i="3"/>
  <c r="H477" i="3"/>
  <c r="I477" i="3"/>
  <c r="J477" i="3"/>
  <c r="K477" i="3"/>
  <c r="B478" i="3"/>
  <c r="C478" i="3"/>
  <c r="D478" i="3"/>
  <c r="E478" i="3"/>
  <c r="F478" i="3"/>
  <c r="G478" i="3"/>
  <c r="H478" i="3"/>
  <c r="I478" i="3"/>
  <c r="J478" i="3"/>
  <c r="K478" i="3"/>
  <c r="B479" i="3"/>
  <c r="C479" i="3"/>
  <c r="D479" i="3"/>
  <c r="E479" i="3"/>
  <c r="F479" i="3"/>
  <c r="G479" i="3"/>
  <c r="H479" i="3"/>
  <c r="I479" i="3"/>
  <c r="J479" i="3"/>
  <c r="K479" i="3"/>
  <c r="B480" i="3"/>
  <c r="C480" i="3"/>
  <c r="D480" i="3"/>
  <c r="E480" i="3"/>
  <c r="F480" i="3"/>
  <c r="G480" i="3"/>
  <c r="H480" i="3"/>
  <c r="I480" i="3"/>
  <c r="J480" i="3"/>
  <c r="K480" i="3"/>
  <c r="B481" i="3"/>
  <c r="C481" i="3"/>
  <c r="D481" i="3"/>
  <c r="E481" i="3"/>
  <c r="F481" i="3"/>
  <c r="G481" i="3"/>
  <c r="H481" i="3"/>
  <c r="I481" i="3"/>
  <c r="J481" i="3"/>
  <c r="K481" i="3"/>
  <c r="B482" i="3"/>
  <c r="C482" i="3"/>
  <c r="D482" i="3"/>
  <c r="E482" i="3"/>
  <c r="F482" i="3"/>
  <c r="G482" i="3"/>
  <c r="H482" i="3"/>
  <c r="I482" i="3"/>
  <c r="J482" i="3"/>
  <c r="K482" i="3"/>
  <c r="B483" i="3"/>
  <c r="C483" i="3"/>
  <c r="D483" i="3"/>
  <c r="E483" i="3"/>
  <c r="F483" i="3"/>
  <c r="G483" i="3"/>
  <c r="H483" i="3"/>
  <c r="I483" i="3"/>
  <c r="J483" i="3"/>
  <c r="K483" i="3"/>
  <c r="B484" i="3"/>
  <c r="C484" i="3"/>
  <c r="D484" i="3"/>
  <c r="E484" i="3"/>
  <c r="F484" i="3"/>
  <c r="G484" i="3"/>
  <c r="H484" i="3"/>
  <c r="I484" i="3"/>
  <c r="J484" i="3"/>
  <c r="K484" i="3"/>
  <c r="B485" i="3"/>
  <c r="C485" i="3"/>
  <c r="D485" i="3"/>
  <c r="E485" i="3"/>
  <c r="F485" i="3"/>
  <c r="G485" i="3"/>
  <c r="H485" i="3"/>
  <c r="I485" i="3"/>
  <c r="J485" i="3"/>
  <c r="K485" i="3"/>
  <c r="B486" i="3"/>
  <c r="C486" i="3"/>
  <c r="D486" i="3"/>
  <c r="E486" i="3"/>
  <c r="F486" i="3"/>
  <c r="G486" i="3"/>
  <c r="H486" i="3"/>
  <c r="I486" i="3"/>
  <c r="J486" i="3"/>
  <c r="K486" i="3"/>
  <c r="B487" i="3"/>
  <c r="C487" i="3"/>
  <c r="D487" i="3"/>
  <c r="E487" i="3"/>
  <c r="F487" i="3"/>
  <c r="G487" i="3"/>
  <c r="H487" i="3"/>
  <c r="I487" i="3"/>
  <c r="J487" i="3"/>
  <c r="K487" i="3"/>
  <c r="B488" i="3"/>
  <c r="C488" i="3"/>
  <c r="D488" i="3"/>
  <c r="E488" i="3"/>
  <c r="F488" i="3"/>
  <c r="G488" i="3"/>
  <c r="H488" i="3"/>
  <c r="I488" i="3"/>
  <c r="J488" i="3"/>
  <c r="K488" i="3"/>
  <c r="B489" i="3"/>
  <c r="C489" i="3"/>
  <c r="D489" i="3"/>
  <c r="E489" i="3"/>
  <c r="F489" i="3"/>
  <c r="G489" i="3"/>
  <c r="H489" i="3"/>
  <c r="I489" i="3"/>
  <c r="J489" i="3"/>
  <c r="K489" i="3"/>
  <c r="B490" i="3"/>
  <c r="C490" i="3"/>
  <c r="D490" i="3"/>
  <c r="E490" i="3"/>
  <c r="F490" i="3"/>
  <c r="G490" i="3"/>
  <c r="H490" i="3"/>
  <c r="I490" i="3"/>
  <c r="J490" i="3"/>
  <c r="K490" i="3"/>
  <c r="B491" i="3"/>
  <c r="C491" i="3"/>
  <c r="D491" i="3"/>
  <c r="E491" i="3"/>
  <c r="F491" i="3"/>
  <c r="G491" i="3"/>
  <c r="H491" i="3"/>
  <c r="I491" i="3"/>
  <c r="J491" i="3"/>
  <c r="K491" i="3"/>
  <c r="B492" i="3"/>
  <c r="C492" i="3"/>
  <c r="D492" i="3"/>
  <c r="E492" i="3"/>
  <c r="F492" i="3"/>
  <c r="G492" i="3"/>
  <c r="H492" i="3"/>
  <c r="I492" i="3"/>
  <c r="J492" i="3"/>
  <c r="K492" i="3"/>
  <c r="B493" i="3"/>
  <c r="C493" i="3"/>
  <c r="D493" i="3"/>
  <c r="E493" i="3"/>
  <c r="F493" i="3"/>
  <c r="G493" i="3"/>
  <c r="H493" i="3"/>
  <c r="I493" i="3"/>
  <c r="J493" i="3"/>
  <c r="K493" i="3"/>
  <c r="B494" i="3"/>
  <c r="C494" i="3"/>
  <c r="D494" i="3"/>
  <c r="E494" i="3"/>
  <c r="F494" i="3"/>
  <c r="G494" i="3"/>
  <c r="H494" i="3"/>
  <c r="I494" i="3"/>
  <c r="J494" i="3"/>
  <c r="K494" i="3"/>
  <c r="B495" i="3"/>
  <c r="C495" i="3"/>
  <c r="D495" i="3"/>
  <c r="E495" i="3"/>
  <c r="F495" i="3"/>
  <c r="G495" i="3"/>
  <c r="H495" i="3"/>
  <c r="I495" i="3"/>
  <c r="J495" i="3"/>
  <c r="K495" i="3"/>
  <c r="B496" i="3"/>
  <c r="C496" i="3"/>
  <c r="D496" i="3"/>
  <c r="E496" i="3"/>
  <c r="F496" i="3"/>
  <c r="G496" i="3"/>
  <c r="H496" i="3"/>
  <c r="I496" i="3"/>
  <c r="J496" i="3"/>
  <c r="K496" i="3"/>
  <c r="B497" i="3"/>
  <c r="C497" i="3"/>
  <c r="D497" i="3"/>
  <c r="E497" i="3"/>
  <c r="F497" i="3"/>
  <c r="G497" i="3"/>
  <c r="H497" i="3"/>
  <c r="I497" i="3"/>
  <c r="J497" i="3"/>
  <c r="K497" i="3"/>
  <c r="B498" i="3"/>
  <c r="C498" i="3"/>
  <c r="D498" i="3"/>
  <c r="E498" i="3"/>
  <c r="F498" i="3"/>
  <c r="G498" i="3"/>
  <c r="H498" i="3"/>
  <c r="I498" i="3"/>
  <c r="J498" i="3"/>
  <c r="K498" i="3"/>
  <c r="B499" i="3"/>
  <c r="C499" i="3"/>
  <c r="D499" i="3"/>
  <c r="E499" i="3"/>
  <c r="F499" i="3"/>
  <c r="G499" i="3"/>
  <c r="H499" i="3"/>
  <c r="I499" i="3"/>
  <c r="J499" i="3"/>
  <c r="K499" i="3"/>
  <c r="B500" i="3"/>
  <c r="C500" i="3"/>
  <c r="D500" i="3"/>
  <c r="E500" i="3"/>
  <c r="F500" i="3"/>
  <c r="G500" i="3"/>
  <c r="H500" i="3"/>
  <c r="I500" i="3"/>
  <c r="J500" i="3"/>
  <c r="K500" i="3"/>
  <c r="B501" i="3"/>
  <c r="C501" i="3"/>
  <c r="D501" i="3"/>
  <c r="E501" i="3"/>
  <c r="F501" i="3"/>
  <c r="G501" i="3"/>
  <c r="H501" i="3"/>
  <c r="I501" i="3"/>
  <c r="J501" i="3"/>
  <c r="K501" i="3"/>
  <c r="B502" i="3"/>
  <c r="C502" i="3"/>
  <c r="D502" i="3"/>
  <c r="E502" i="3"/>
  <c r="F502" i="3"/>
  <c r="G502" i="3"/>
  <c r="H502" i="3"/>
  <c r="I502" i="3"/>
  <c r="J502" i="3"/>
  <c r="K502" i="3"/>
  <c r="B503" i="3"/>
  <c r="C503" i="3"/>
  <c r="D503" i="3"/>
  <c r="E503" i="3"/>
  <c r="F503" i="3"/>
  <c r="G503" i="3"/>
  <c r="H503" i="3"/>
  <c r="I503" i="3"/>
  <c r="J503" i="3"/>
  <c r="K503" i="3"/>
  <c r="B504" i="3"/>
  <c r="C504" i="3"/>
  <c r="D504" i="3"/>
  <c r="E504" i="3"/>
  <c r="F504" i="3"/>
  <c r="G504" i="3"/>
  <c r="H504" i="3"/>
  <c r="I504" i="3"/>
  <c r="J504" i="3"/>
  <c r="K504" i="3"/>
  <c r="B505" i="3"/>
  <c r="C505" i="3"/>
  <c r="D505" i="3"/>
  <c r="E505" i="3"/>
  <c r="F505" i="3"/>
  <c r="G505" i="3"/>
  <c r="G642" i="3" s="1"/>
  <c r="H505" i="3"/>
  <c r="I505" i="3"/>
  <c r="J505" i="3"/>
  <c r="K505" i="3"/>
  <c r="K642" i="3" s="1"/>
  <c r="B506" i="3"/>
  <c r="C506" i="3"/>
  <c r="D506" i="3"/>
  <c r="E506" i="3"/>
  <c r="E642" i="3" s="1"/>
  <c r="F506" i="3"/>
  <c r="G506" i="3"/>
  <c r="H506" i="3"/>
  <c r="I506" i="3"/>
  <c r="I642" i="3" s="1"/>
  <c r="J506" i="3"/>
  <c r="K506" i="3"/>
  <c r="B507" i="3"/>
  <c r="C507" i="3"/>
  <c r="D507" i="3"/>
  <c r="E507" i="3"/>
  <c r="F507" i="3"/>
  <c r="G507" i="3"/>
  <c r="H507" i="3"/>
  <c r="I507" i="3"/>
  <c r="J507" i="3"/>
  <c r="K507" i="3"/>
  <c r="B508" i="3"/>
  <c r="C508" i="3"/>
  <c r="D508" i="3"/>
  <c r="E508" i="3"/>
  <c r="F508" i="3"/>
  <c r="G508" i="3"/>
  <c r="H508" i="3"/>
  <c r="I508" i="3"/>
  <c r="J508" i="3"/>
  <c r="K508" i="3"/>
  <c r="B509" i="3"/>
  <c r="C509" i="3"/>
  <c r="D509" i="3"/>
  <c r="E509" i="3"/>
  <c r="F509" i="3"/>
  <c r="G509" i="3"/>
  <c r="H509" i="3"/>
  <c r="I509" i="3"/>
  <c r="J509" i="3"/>
  <c r="K509" i="3"/>
  <c r="B510" i="3"/>
  <c r="C510" i="3"/>
  <c r="D510" i="3"/>
  <c r="E510" i="3"/>
  <c r="F510" i="3"/>
  <c r="G510" i="3"/>
  <c r="H510" i="3"/>
  <c r="I510" i="3"/>
  <c r="J510" i="3"/>
  <c r="K510" i="3"/>
  <c r="B511" i="3"/>
  <c r="C511" i="3"/>
  <c r="D511" i="3"/>
  <c r="E511" i="3"/>
  <c r="F511" i="3"/>
  <c r="G511" i="3"/>
  <c r="H511" i="3"/>
  <c r="I511" i="3"/>
  <c r="J511" i="3"/>
  <c r="K511" i="3"/>
  <c r="B512" i="3"/>
  <c r="C512" i="3"/>
  <c r="D512" i="3"/>
  <c r="E512" i="3"/>
  <c r="F512" i="3"/>
  <c r="G512" i="3"/>
  <c r="H512" i="3"/>
  <c r="I512" i="3"/>
  <c r="J512" i="3"/>
  <c r="K512" i="3"/>
  <c r="B513" i="3"/>
  <c r="C513" i="3"/>
  <c r="D513" i="3"/>
  <c r="E513" i="3"/>
  <c r="F513" i="3"/>
  <c r="G513" i="3"/>
  <c r="H513" i="3"/>
  <c r="I513" i="3"/>
  <c r="J513" i="3"/>
  <c r="K513" i="3"/>
  <c r="B514" i="3"/>
  <c r="C514" i="3"/>
  <c r="D514" i="3"/>
  <c r="E514" i="3"/>
  <c r="F514" i="3"/>
  <c r="G514" i="3"/>
  <c r="H514" i="3"/>
  <c r="I514" i="3"/>
  <c r="J514" i="3"/>
  <c r="K514" i="3"/>
  <c r="B515" i="3"/>
  <c r="C515" i="3"/>
  <c r="D515" i="3"/>
  <c r="E515" i="3"/>
  <c r="F515" i="3"/>
  <c r="G515" i="3"/>
  <c r="H515" i="3"/>
  <c r="I515" i="3"/>
  <c r="J515" i="3"/>
  <c r="K515" i="3"/>
  <c r="B516" i="3"/>
  <c r="C516" i="3"/>
  <c r="D516" i="3"/>
  <c r="E516" i="3"/>
  <c r="E643" i="3" s="1"/>
  <c r="F516" i="3"/>
  <c r="G516" i="3"/>
  <c r="H516" i="3"/>
  <c r="I516" i="3"/>
  <c r="I643" i="3" s="1"/>
  <c r="J516" i="3"/>
  <c r="K516" i="3"/>
  <c r="B517" i="3"/>
  <c r="C517" i="3"/>
  <c r="C643" i="3" s="1"/>
  <c r="D517" i="3"/>
  <c r="E517" i="3"/>
  <c r="F517" i="3"/>
  <c r="G517" i="3"/>
  <c r="G643" i="3" s="1"/>
  <c r="H517" i="3"/>
  <c r="I517" i="3"/>
  <c r="J517" i="3"/>
  <c r="K517" i="3"/>
  <c r="K643" i="3" s="1"/>
  <c r="B518" i="3"/>
  <c r="C518" i="3"/>
  <c r="D518" i="3"/>
  <c r="E518" i="3"/>
  <c r="F518" i="3"/>
  <c r="G518" i="3"/>
  <c r="H518" i="3"/>
  <c r="I518" i="3"/>
  <c r="J518" i="3"/>
  <c r="K518" i="3"/>
  <c r="B519" i="3"/>
  <c r="C519" i="3"/>
  <c r="D519" i="3"/>
  <c r="E519" i="3"/>
  <c r="F519" i="3"/>
  <c r="G519" i="3"/>
  <c r="H519" i="3"/>
  <c r="I519" i="3"/>
  <c r="J519" i="3"/>
  <c r="K519" i="3"/>
  <c r="B520" i="3"/>
  <c r="C520" i="3"/>
  <c r="D520" i="3"/>
  <c r="E520" i="3"/>
  <c r="F520" i="3"/>
  <c r="G520" i="3"/>
  <c r="H520" i="3"/>
  <c r="I520" i="3"/>
  <c r="J520" i="3"/>
  <c r="K520" i="3"/>
  <c r="B521" i="3"/>
  <c r="C521" i="3"/>
  <c r="D521" i="3"/>
  <c r="E521" i="3"/>
  <c r="F521" i="3"/>
  <c r="G521" i="3"/>
  <c r="H521" i="3"/>
  <c r="I521" i="3"/>
  <c r="J521" i="3"/>
  <c r="K521" i="3"/>
  <c r="B522" i="3"/>
  <c r="C522" i="3"/>
  <c r="D522" i="3"/>
  <c r="E522" i="3"/>
  <c r="F522" i="3"/>
  <c r="G522" i="3"/>
  <c r="H522" i="3"/>
  <c r="I522" i="3"/>
  <c r="J522" i="3"/>
  <c r="K522" i="3"/>
  <c r="B523" i="3"/>
  <c r="C523" i="3"/>
  <c r="D523" i="3"/>
  <c r="E523" i="3"/>
  <c r="F523" i="3"/>
  <c r="G523" i="3"/>
  <c r="H523" i="3"/>
  <c r="I523" i="3"/>
  <c r="J523" i="3"/>
  <c r="K523" i="3"/>
  <c r="B524" i="3"/>
  <c r="C524" i="3"/>
  <c r="D524" i="3"/>
  <c r="E524" i="3"/>
  <c r="F524" i="3"/>
  <c r="G524" i="3"/>
  <c r="H524" i="3"/>
  <c r="I524" i="3"/>
  <c r="J524" i="3"/>
  <c r="K524" i="3"/>
  <c r="B525" i="3"/>
  <c r="C525" i="3"/>
  <c r="D525" i="3"/>
  <c r="E525" i="3"/>
  <c r="F525" i="3"/>
  <c r="G525" i="3"/>
  <c r="H525" i="3"/>
  <c r="I525" i="3"/>
  <c r="J525" i="3"/>
  <c r="K525" i="3"/>
  <c r="B526" i="3"/>
  <c r="C526" i="3"/>
  <c r="D526" i="3"/>
  <c r="E526" i="3"/>
  <c r="F526" i="3"/>
  <c r="G526" i="3"/>
  <c r="H526" i="3"/>
  <c r="I526" i="3"/>
  <c r="J526" i="3"/>
  <c r="K526" i="3"/>
  <c r="B527" i="3"/>
  <c r="C527" i="3"/>
  <c r="D527" i="3"/>
  <c r="E527" i="3"/>
  <c r="F527" i="3"/>
  <c r="G527" i="3"/>
  <c r="H527" i="3"/>
  <c r="I527" i="3"/>
  <c r="J527" i="3"/>
  <c r="K527" i="3"/>
  <c r="B528" i="3"/>
  <c r="C528" i="3"/>
  <c r="D528" i="3"/>
  <c r="E528" i="3"/>
  <c r="E644" i="3" s="1"/>
  <c r="F528" i="3"/>
  <c r="G528" i="3"/>
  <c r="H528" i="3"/>
  <c r="I528" i="3"/>
  <c r="I644" i="3" s="1"/>
  <c r="J528" i="3"/>
  <c r="K528" i="3"/>
  <c r="B529" i="3"/>
  <c r="C529" i="3"/>
  <c r="D529" i="3"/>
  <c r="E529" i="3"/>
  <c r="F529" i="3"/>
  <c r="G529" i="3"/>
  <c r="G644" i="3" s="1"/>
  <c r="H529" i="3"/>
  <c r="I529" i="3"/>
  <c r="J529" i="3"/>
  <c r="K529" i="3"/>
  <c r="K644" i="3" s="1"/>
  <c r="B530" i="3"/>
  <c r="C530" i="3"/>
  <c r="D530" i="3"/>
  <c r="E530" i="3"/>
  <c r="F530" i="3"/>
  <c r="G530" i="3"/>
  <c r="H530" i="3"/>
  <c r="I530" i="3"/>
  <c r="J530" i="3"/>
  <c r="K530" i="3"/>
  <c r="B531" i="3"/>
  <c r="C531" i="3"/>
  <c r="D531" i="3"/>
  <c r="E531" i="3"/>
  <c r="F531" i="3"/>
  <c r="G531" i="3"/>
  <c r="H531" i="3"/>
  <c r="I531" i="3"/>
  <c r="J531" i="3"/>
  <c r="K531" i="3"/>
  <c r="B532" i="3"/>
  <c r="C532" i="3"/>
  <c r="D532" i="3"/>
  <c r="E532" i="3"/>
  <c r="F532" i="3"/>
  <c r="G532" i="3"/>
  <c r="H532" i="3"/>
  <c r="I532" i="3"/>
  <c r="J532" i="3"/>
  <c r="K532" i="3"/>
  <c r="B533" i="3"/>
  <c r="C533" i="3"/>
  <c r="D533" i="3"/>
  <c r="E533" i="3"/>
  <c r="F533" i="3"/>
  <c r="G533" i="3"/>
  <c r="H533" i="3"/>
  <c r="I533" i="3"/>
  <c r="J533" i="3"/>
  <c r="K533" i="3"/>
  <c r="B534" i="3"/>
  <c r="C534" i="3"/>
  <c r="D534" i="3"/>
  <c r="E534" i="3"/>
  <c r="F534" i="3"/>
  <c r="G534" i="3"/>
  <c r="H534" i="3"/>
  <c r="I534" i="3"/>
  <c r="J534" i="3"/>
  <c r="K534" i="3"/>
  <c r="B535" i="3"/>
  <c r="C535" i="3"/>
  <c r="D535" i="3"/>
  <c r="E535" i="3"/>
  <c r="F535" i="3"/>
  <c r="G535" i="3"/>
  <c r="H535" i="3"/>
  <c r="I535" i="3"/>
  <c r="J535" i="3"/>
  <c r="K535" i="3"/>
  <c r="B536" i="3"/>
  <c r="C536" i="3"/>
  <c r="D536" i="3"/>
  <c r="E536" i="3"/>
  <c r="F536" i="3"/>
  <c r="G536" i="3"/>
  <c r="H536" i="3"/>
  <c r="I536" i="3"/>
  <c r="J536" i="3"/>
  <c r="K536" i="3"/>
  <c r="B537" i="3"/>
  <c r="C537" i="3"/>
  <c r="D537" i="3"/>
  <c r="E537" i="3"/>
  <c r="F537" i="3"/>
  <c r="G537" i="3"/>
  <c r="H537" i="3"/>
  <c r="I537" i="3"/>
  <c r="J537" i="3"/>
  <c r="K537" i="3"/>
  <c r="B538" i="3"/>
  <c r="C538" i="3"/>
  <c r="D538" i="3"/>
  <c r="E538" i="3"/>
  <c r="F538" i="3"/>
  <c r="G538" i="3"/>
  <c r="H538" i="3"/>
  <c r="I538" i="3"/>
  <c r="J538" i="3"/>
  <c r="K538" i="3"/>
  <c r="B539" i="3"/>
  <c r="C539" i="3"/>
  <c r="D539" i="3"/>
  <c r="E539" i="3"/>
  <c r="F539" i="3"/>
  <c r="G539" i="3"/>
  <c r="H539" i="3"/>
  <c r="I539" i="3"/>
  <c r="J539" i="3"/>
  <c r="K539" i="3"/>
  <c r="B540" i="3"/>
  <c r="C540" i="3"/>
  <c r="D540" i="3"/>
  <c r="E540" i="3"/>
  <c r="E645" i="3" s="1"/>
  <c r="F540" i="3"/>
  <c r="G540" i="3"/>
  <c r="H540" i="3"/>
  <c r="I540" i="3"/>
  <c r="I645" i="3" s="1"/>
  <c r="J540" i="3"/>
  <c r="K540" i="3"/>
  <c r="B541" i="3"/>
  <c r="C541" i="3"/>
  <c r="C645" i="3" s="1"/>
  <c r="D541" i="3"/>
  <c r="E541" i="3"/>
  <c r="F541" i="3"/>
  <c r="G541" i="3"/>
  <c r="G645" i="3" s="1"/>
  <c r="H541" i="3"/>
  <c r="I541" i="3"/>
  <c r="J541" i="3"/>
  <c r="K541" i="3"/>
  <c r="K645" i="3" s="1"/>
  <c r="B542" i="3"/>
  <c r="C542" i="3"/>
  <c r="D542" i="3"/>
  <c r="E542" i="3"/>
  <c r="F542" i="3"/>
  <c r="G542" i="3"/>
  <c r="H542" i="3"/>
  <c r="I542" i="3"/>
  <c r="J542" i="3"/>
  <c r="K542" i="3"/>
  <c r="B543" i="3"/>
  <c r="C543" i="3"/>
  <c r="D543" i="3"/>
  <c r="E543" i="3"/>
  <c r="F543" i="3"/>
  <c r="G543" i="3"/>
  <c r="H543" i="3"/>
  <c r="I543" i="3"/>
  <c r="J543" i="3"/>
  <c r="K543" i="3"/>
  <c r="B544" i="3"/>
  <c r="C544" i="3"/>
  <c r="D544" i="3"/>
  <c r="E544" i="3"/>
  <c r="F544" i="3"/>
  <c r="G544" i="3"/>
  <c r="H544" i="3"/>
  <c r="I544" i="3"/>
  <c r="J544" i="3"/>
  <c r="K544" i="3"/>
  <c r="B545" i="3"/>
  <c r="C545" i="3"/>
  <c r="D545" i="3"/>
  <c r="E545" i="3"/>
  <c r="F545" i="3"/>
  <c r="G545" i="3"/>
  <c r="H545" i="3"/>
  <c r="I545" i="3"/>
  <c r="J545" i="3"/>
  <c r="K545" i="3"/>
  <c r="B546" i="3"/>
  <c r="C546" i="3"/>
  <c r="D546" i="3"/>
  <c r="E546" i="3"/>
  <c r="F546" i="3"/>
  <c r="G546" i="3"/>
  <c r="H546" i="3"/>
  <c r="I546" i="3"/>
  <c r="J546" i="3"/>
  <c r="K546" i="3"/>
  <c r="B547" i="3"/>
  <c r="C547" i="3"/>
  <c r="D547" i="3"/>
  <c r="E547" i="3"/>
  <c r="F547" i="3"/>
  <c r="G547" i="3"/>
  <c r="H547" i="3"/>
  <c r="I547" i="3"/>
  <c r="J547" i="3"/>
  <c r="K547" i="3"/>
  <c r="B548" i="3"/>
  <c r="C548" i="3"/>
  <c r="D548" i="3"/>
  <c r="E548" i="3"/>
  <c r="F548" i="3"/>
  <c r="G548" i="3"/>
  <c r="H548" i="3"/>
  <c r="I548" i="3"/>
  <c r="J548" i="3"/>
  <c r="K548" i="3"/>
  <c r="B549" i="3"/>
  <c r="C549" i="3"/>
  <c r="D549" i="3"/>
  <c r="E549" i="3"/>
  <c r="F549" i="3"/>
  <c r="G549" i="3"/>
  <c r="H549" i="3"/>
  <c r="I549" i="3"/>
  <c r="J549" i="3"/>
  <c r="K549" i="3"/>
  <c r="B550" i="3"/>
  <c r="C550" i="3"/>
  <c r="D550" i="3"/>
  <c r="E550" i="3"/>
  <c r="F550" i="3"/>
  <c r="G550" i="3"/>
  <c r="H550" i="3"/>
  <c r="I550" i="3"/>
  <c r="J550" i="3"/>
  <c r="K550" i="3"/>
  <c r="B551" i="3"/>
  <c r="C551" i="3"/>
  <c r="D551" i="3"/>
  <c r="E551" i="3"/>
  <c r="F551" i="3"/>
  <c r="G551" i="3"/>
  <c r="H551" i="3"/>
  <c r="I551" i="3"/>
  <c r="J551" i="3"/>
  <c r="K551" i="3"/>
  <c r="B552" i="3"/>
  <c r="C552" i="3"/>
  <c r="D552" i="3"/>
  <c r="E552" i="3"/>
  <c r="E646" i="3" s="1"/>
  <c r="F552" i="3"/>
  <c r="G552" i="3"/>
  <c r="H552" i="3"/>
  <c r="I552" i="3"/>
  <c r="I646" i="3" s="1"/>
  <c r="J552" i="3"/>
  <c r="K552" i="3"/>
  <c r="B553" i="3"/>
  <c r="C553" i="3"/>
  <c r="D553" i="3"/>
  <c r="E553" i="3"/>
  <c r="F553" i="3"/>
  <c r="G553" i="3"/>
  <c r="G646" i="3" s="1"/>
  <c r="H553" i="3"/>
  <c r="I553" i="3"/>
  <c r="J553" i="3"/>
  <c r="K553" i="3"/>
  <c r="K646" i="3" s="1"/>
  <c r="B554" i="3"/>
  <c r="C554" i="3"/>
  <c r="D554" i="3"/>
  <c r="E554" i="3"/>
  <c r="F554" i="3"/>
  <c r="G554" i="3"/>
  <c r="H554" i="3"/>
  <c r="I554" i="3"/>
  <c r="J554" i="3"/>
  <c r="K554" i="3"/>
  <c r="B555" i="3"/>
  <c r="C555" i="3"/>
  <c r="D555" i="3"/>
  <c r="E555" i="3"/>
  <c r="F555" i="3"/>
  <c r="G555" i="3"/>
  <c r="H555" i="3"/>
  <c r="I555" i="3"/>
  <c r="J555" i="3"/>
  <c r="K555" i="3"/>
  <c r="B556" i="3"/>
  <c r="C556" i="3"/>
  <c r="D556" i="3"/>
  <c r="E556" i="3"/>
  <c r="F556" i="3"/>
  <c r="G556" i="3"/>
  <c r="H556" i="3"/>
  <c r="I556" i="3"/>
  <c r="J556" i="3"/>
  <c r="K556" i="3"/>
  <c r="B557" i="3"/>
  <c r="C557" i="3"/>
  <c r="D557" i="3"/>
  <c r="E557" i="3"/>
  <c r="F557" i="3"/>
  <c r="G557" i="3"/>
  <c r="H557" i="3"/>
  <c r="I557" i="3"/>
  <c r="J557" i="3"/>
  <c r="K557" i="3"/>
  <c r="B558" i="3"/>
  <c r="C558" i="3"/>
  <c r="D558" i="3"/>
  <c r="E558" i="3"/>
  <c r="F558" i="3"/>
  <c r="G558" i="3"/>
  <c r="H558" i="3"/>
  <c r="I558" i="3"/>
  <c r="J558" i="3"/>
  <c r="K558" i="3"/>
  <c r="B559" i="3"/>
  <c r="C559" i="3"/>
  <c r="D559" i="3"/>
  <c r="E559" i="3"/>
  <c r="F559" i="3"/>
  <c r="G559" i="3"/>
  <c r="H559" i="3"/>
  <c r="I559" i="3"/>
  <c r="J559" i="3"/>
  <c r="K559" i="3"/>
  <c r="B560" i="3"/>
  <c r="C560" i="3"/>
  <c r="D560" i="3"/>
  <c r="E560" i="3"/>
  <c r="F560" i="3"/>
  <c r="G560" i="3"/>
  <c r="H560" i="3"/>
  <c r="I560" i="3"/>
  <c r="J560" i="3"/>
  <c r="K560" i="3"/>
  <c r="B561" i="3"/>
  <c r="C561" i="3"/>
  <c r="D561" i="3"/>
  <c r="E561" i="3"/>
  <c r="F561" i="3"/>
  <c r="G561" i="3"/>
  <c r="H561" i="3"/>
  <c r="I561" i="3"/>
  <c r="J561" i="3"/>
  <c r="K561" i="3"/>
  <c r="B562" i="3"/>
  <c r="C562" i="3"/>
  <c r="D562" i="3"/>
  <c r="E562" i="3"/>
  <c r="F562" i="3"/>
  <c r="G562" i="3"/>
  <c r="H562" i="3"/>
  <c r="I562" i="3"/>
  <c r="J562" i="3"/>
  <c r="K562" i="3"/>
  <c r="B563" i="3"/>
  <c r="C563" i="3"/>
  <c r="D563" i="3"/>
  <c r="E563" i="3"/>
  <c r="F563" i="3"/>
  <c r="G563" i="3"/>
  <c r="H563" i="3"/>
  <c r="I563" i="3"/>
  <c r="J563" i="3"/>
  <c r="K563" i="3"/>
  <c r="B564" i="3"/>
  <c r="C564" i="3"/>
  <c r="D564" i="3"/>
  <c r="E564" i="3"/>
  <c r="E647" i="3" s="1"/>
  <c r="F564" i="3"/>
  <c r="G564" i="3"/>
  <c r="H564" i="3"/>
  <c r="I564" i="3"/>
  <c r="I647" i="3" s="1"/>
  <c r="J564" i="3"/>
  <c r="K564" i="3"/>
  <c r="B565" i="3"/>
  <c r="C565" i="3"/>
  <c r="C647" i="3" s="1"/>
  <c r="D565" i="3"/>
  <c r="E565" i="3"/>
  <c r="F565" i="3"/>
  <c r="G565" i="3"/>
  <c r="G647" i="3" s="1"/>
  <c r="H565" i="3"/>
  <c r="I565" i="3"/>
  <c r="J565" i="3"/>
  <c r="K565" i="3"/>
  <c r="K647" i="3" s="1"/>
  <c r="B566" i="3"/>
  <c r="C566" i="3"/>
  <c r="D566" i="3"/>
  <c r="E566" i="3"/>
  <c r="F566" i="3"/>
  <c r="G566" i="3"/>
  <c r="H566" i="3"/>
  <c r="I566" i="3"/>
  <c r="J566" i="3"/>
  <c r="K566" i="3"/>
  <c r="B567" i="3"/>
  <c r="C567" i="3"/>
  <c r="D567" i="3"/>
  <c r="E567" i="3"/>
  <c r="F567" i="3"/>
  <c r="G567" i="3"/>
  <c r="H567" i="3"/>
  <c r="I567" i="3"/>
  <c r="J567" i="3"/>
  <c r="K567" i="3"/>
  <c r="B568" i="3"/>
  <c r="C568" i="3"/>
  <c r="D568" i="3"/>
  <c r="E568" i="3"/>
  <c r="F568" i="3"/>
  <c r="G568" i="3"/>
  <c r="H568" i="3"/>
  <c r="I568" i="3"/>
  <c r="J568" i="3"/>
  <c r="K568" i="3"/>
  <c r="B569" i="3"/>
  <c r="C569" i="3"/>
  <c r="D569" i="3"/>
  <c r="E569" i="3"/>
  <c r="F569" i="3"/>
  <c r="G569" i="3"/>
  <c r="H569" i="3"/>
  <c r="I569" i="3"/>
  <c r="J569" i="3"/>
  <c r="K569" i="3"/>
  <c r="B570" i="3"/>
  <c r="C570" i="3"/>
  <c r="D570" i="3"/>
  <c r="E570" i="3"/>
  <c r="F570" i="3"/>
  <c r="G570" i="3"/>
  <c r="H570" i="3"/>
  <c r="I570" i="3"/>
  <c r="J570" i="3"/>
  <c r="K570" i="3"/>
  <c r="B571" i="3"/>
  <c r="C571" i="3"/>
  <c r="D571" i="3"/>
  <c r="E571" i="3"/>
  <c r="F571" i="3"/>
  <c r="G571" i="3"/>
  <c r="H571" i="3"/>
  <c r="I571" i="3"/>
  <c r="J571" i="3"/>
  <c r="K571" i="3"/>
  <c r="B572" i="3"/>
  <c r="C572" i="3"/>
  <c r="D572" i="3"/>
  <c r="E572" i="3"/>
  <c r="F572" i="3"/>
  <c r="G572" i="3"/>
  <c r="H572" i="3"/>
  <c r="I572" i="3"/>
  <c r="J572" i="3"/>
  <c r="K572" i="3"/>
  <c r="B573" i="3"/>
  <c r="C573" i="3"/>
  <c r="D573" i="3"/>
  <c r="E573" i="3"/>
  <c r="F573" i="3"/>
  <c r="G573" i="3"/>
  <c r="H573" i="3"/>
  <c r="I573" i="3"/>
  <c r="J573" i="3"/>
  <c r="K573" i="3"/>
  <c r="B574" i="3"/>
  <c r="C574" i="3"/>
  <c r="D574" i="3"/>
  <c r="E574" i="3"/>
  <c r="F574" i="3"/>
  <c r="G574" i="3"/>
  <c r="H574" i="3"/>
  <c r="I574" i="3"/>
  <c r="J574" i="3"/>
  <c r="K574" i="3"/>
  <c r="B575" i="3"/>
  <c r="C575" i="3"/>
  <c r="D575" i="3"/>
  <c r="E575" i="3"/>
  <c r="F575" i="3"/>
  <c r="G575" i="3"/>
  <c r="H575" i="3"/>
  <c r="I575" i="3"/>
  <c r="J575" i="3"/>
  <c r="K575" i="3"/>
  <c r="B576" i="3"/>
  <c r="C576" i="3"/>
  <c r="D576" i="3"/>
  <c r="E576" i="3"/>
  <c r="E648" i="3" s="1"/>
  <c r="F576" i="3"/>
  <c r="G576" i="3"/>
  <c r="H576" i="3"/>
  <c r="I576" i="3"/>
  <c r="I648" i="3" s="1"/>
  <c r="J576" i="3"/>
  <c r="K576" i="3"/>
  <c r="B577" i="3"/>
  <c r="C577" i="3"/>
  <c r="D577" i="3"/>
  <c r="E577" i="3"/>
  <c r="F577" i="3"/>
  <c r="G577" i="3"/>
  <c r="G648" i="3" s="1"/>
  <c r="H577" i="3"/>
  <c r="I577" i="3"/>
  <c r="J577" i="3"/>
  <c r="K577" i="3"/>
  <c r="K648" i="3" s="1"/>
  <c r="B578" i="3"/>
  <c r="C578" i="3"/>
  <c r="D578" i="3"/>
  <c r="E578" i="3"/>
  <c r="F578" i="3"/>
  <c r="G578" i="3"/>
  <c r="H578" i="3"/>
  <c r="I578" i="3"/>
  <c r="J578" i="3"/>
  <c r="K578" i="3"/>
  <c r="B579" i="3"/>
  <c r="C579" i="3"/>
  <c r="D579" i="3"/>
  <c r="E579" i="3"/>
  <c r="F579" i="3"/>
  <c r="G579" i="3"/>
  <c r="H579" i="3"/>
  <c r="I579" i="3"/>
  <c r="J579" i="3"/>
  <c r="K579" i="3"/>
  <c r="B580" i="3"/>
  <c r="C580" i="3"/>
  <c r="D580" i="3"/>
  <c r="E580" i="3"/>
  <c r="F580" i="3"/>
  <c r="G580" i="3"/>
  <c r="H580" i="3"/>
  <c r="I580" i="3"/>
  <c r="J580" i="3"/>
  <c r="K580" i="3"/>
  <c r="B581" i="3"/>
  <c r="C581" i="3"/>
  <c r="D581" i="3"/>
  <c r="E581" i="3"/>
  <c r="F581" i="3"/>
  <c r="G581" i="3"/>
  <c r="H581" i="3"/>
  <c r="I581" i="3"/>
  <c r="J581" i="3"/>
  <c r="K581" i="3"/>
  <c r="B582" i="3"/>
  <c r="C582" i="3"/>
  <c r="D582" i="3"/>
  <c r="E582" i="3"/>
  <c r="F582" i="3"/>
  <c r="G582" i="3"/>
  <c r="H582" i="3"/>
  <c r="I582" i="3"/>
  <c r="J582" i="3"/>
  <c r="K582" i="3"/>
  <c r="B583" i="3"/>
  <c r="C583" i="3"/>
  <c r="D583" i="3"/>
  <c r="E583" i="3"/>
  <c r="F583" i="3"/>
  <c r="G583" i="3"/>
  <c r="H583" i="3"/>
  <c r="I583" i="3"/>
  <c r="J583" i="3"/>
  <c r="K583" i="3"/>
  <c r="B584" i="3"/>
  <c r="C584" i="3"/>
  <c r="D584" i="3"/>
  <c r="E584" i="3"/>
  <c r="F584" i="3"/>
  <c r="G584" i="3"/>
  <c r="H584" i="3"/>
  <c r="I584" i="3"/>
  <c r="J584" i="3"/>
  <c r="K584" i="3"/>
  <c r="B585" i="3"/>
  <c r="C585" i="3"/>
  <c r="D585" i="3"/>
  <c r="E585" i="3"/>
  <c r="F585" i="3"/>
  <c r="G585" i="3"/>
  <c r="H585" i="3"/>
  <c r="I585" i="3"/>
  <c r="J585" i="3"/>
  <c r="K585" i="3"/>
  <c r="B586" i="3"/>
  <c r="C586" i="3"/>
  <c r="D586" i="3"/>
  <c r="E586" i="3"/>
  <c r="F586" i="3"/>
  <c r="G586" i="3"/>
  <c r="H586" i="3"/>
  <c r="I586" i="3"/>
  <c r="J586" i="3"/>
  <c r="K586" i="3"/>
  <c r="B587" i="3"/>
  <c r="C587" i="3"/>
  <c r="D587" i="3"/>
  <c r="E587" i="3"/>
  <c r="F587" i="3"/>
  <c r="G587" i="3"/>
  <c r="H587" i="3"/>
  <c r="I587" i="3"/>
  <c r="J587" i="3"/>
  <c r="K587" i="3"/>
  <c r="B588" i="3"/>
  <c r="C588" i="3"/>
  <c r="D588" i="3"/>
  <c r="E588" i="3"/>
  <c r="E649" i="3" s="1"/>
  <c r="F588" i="3"/>
  <c r="G588" i="3"/>
  <c r="H588" i="3"/>
  <c r="I588" i="3"/>
  <c r="I649" i="3" s="1"/>
  <c r="J588" i="3"/>
  <c r="K588" i="3"/>
  <c r="B589" i="3"/>
  <c r="C589" i="3"/>
  <c r="C649" i="3" s="1"/>
  <c r="D589" i="3"/>
  <c r="E589" i="3"/>
  <c r="F589" i="3"/>
  <c r="G589" i="3"/>
  <c r="G649" i="3" s="1"/>
  <c r="H589" i="3"/>
  <c r="I589" i="3"/>
  <c r="J589" i="3"/>
  <c r="K589" i="3"/>
  <c r="K649" i="3" s="1"/>
  <c r="B590" i="3"/>
  <c r="C590" i="3"/>
  <c r="D590" i="3"/>
  <c r="E590" i="3"/>
  <c r="F590" i="3"/>
  <c r="G590" i="3"/>
  <c r="H590" i="3"/>
  <c r="I590" i="3"/>
  <c r="J590" i="3"/>
  <c r="K590" i="3"/>
  <c r="B591" i="3"/>
  <c r="C591" i="3"/>
  <c r="D591" i="3"/>
  <c r="E591" i="3"/>
  <c r="F591" i="3"/>
  <c r="G591" i="3"/>
  <c r="H591" i="3"/>
  <c r="I591" i="3"/>
  <c r="J591" i="3"/>
  <c r="K591" i="3"/>
  <c r="B592" i="3"/>
  <c r="C592" i="3"/>
  <c r="D592" i="3"/>
  <c r="E592" i="3"/>
  <c r="F592" i="3"/>
  <c r="G592" i="3"/>
  <c r="H592" i="3"/>
  <c r="I592" i="3"/>
  <c r="J592" i="3"/>
  <c r="K592" i="3"/>
  <c r="B593" i="3"/>
  <c r="C593" i="3"/>
  <c r="D593" i="3"/>
  <c r="E593" i="3"/>
  <c r="F593" i="3"/>
  <c r="G593" i="3"/>
  <c r="H593" i="3"/>
  <c r="I593" i="3"/>
  <c r="J593" i="3"/>
  <c r="K593" i="3"/>
  <c r="B594" i="3"/>
  <c r="C594" i="3"/>
  <c r="D594" i="3"/>
  <c r="E594" i="3"/>
  <c r="F594" i="3"/>
  <c r="G594" i="3"/>
  <c r="H594" i="3"/>
  <c r="I594" i="3"/>
  <c r="J594" i="3"/>
  <c r="K594" i="3"/>
  <c r="B595" i="3"/>
  <c r="C595" i="3"/>
  <c r="D595" i="3"/>
  <c r="E595" i="3"/>
  <c r="F595" i="3"/>
  <c r="G595" i="3"/>
  <c r="H595" i="3"/>
  <c r="I595" i="3"/>
  <c r="J595" i="3"/>
  <c r="K595" i="3"/>
  <c r="B596" i="3"/>
  <c r="C596" i="3"/>
  <c r="D596" i="3"/>
  <c r="E596" i="3"/>
  <c r="F596" i="3"/>
  <c r="G596" i="3"/>
  <c r="H596" i="3"/>
  <c r="I596" i="3"/>
  <c r="J596" i="3"/>
  <c r="K596" i="3"/>
  <c r="B597" i="3"/>
  <c r="C597" i="3"/>
  <c r="D597" i="3"/>
  <c r="E597" i="3"/>
  <c r="F597" i="3"/>
  <c r="G597" i="3"/>
  <c r="H597" i="3"/>
  <c r="I597" i="3"/>
  <c r="J597" i="3"/>
  <c r="K597" i="3"/>
  <c r="B598" i="3"/>
  <c r="C598" i="3"/>
  <c r="D598" i="3"/>
  <c r="E598" i="3"/>
  <c r="F598" i="3"/>
  <c r="G598" i="3"/>
  <c r="H598" i="3"/>
  <c r="I598" i="3"/>
  <c r="J598" i="3"/>
  <c r="K598" i="3"/>
  <c r="B599" i="3"/>
  <c r="C599" i="3"/>
  <c r="D599" i="3"/>
  <c r="E599" i="3"/>
  <c r="F599" i="3"/>
  <c r="G599" i="3"/>
  <c r="H599" i="3"/>
  <c r="I599" i="3"/>
  <c r="J599" i="3"/>
  <c r="K599" i="3"/>
  <c r="B601" i="3"/>
  <c r="C601" i="3"/>
  <c r="E601" i="3"/>
  <c r="F601" i="3"/>
  <c r="G601" i="3"/>
  <c r="H601" i="3"/>
  <c r="I601" i="3"/>
  <c r="J601" i="3"/>
  <c r="K601" i="3"/>
  <c r="B602" i="3"/>
  <c r="C602" i="3"/>
  <c r="E602" i="3"/>
  <c r="F602" i="3"/>
  <c r="G602" i="3"/>
  <c r="H602" i="3"/>
  <c r="I602" i="3"/>
  <c r="J602" i="3"/>
  <c r="K602" i="3"/>
  <c r="B603" i="3"/>
  <c r="C603" i="3"/>
  <c r="E603" i="3"/>
  <c r="F603" i="3"/>
  <c r="G603" i="3"/>
  <c r="H603" i="3"/>
  <c r="I603" i="3"/>
  <c r="J603" i="3"/>
  <c r="K603" i="3"/>
  <c r="B604" i="3"/>
  <c r="C604" i="3"/>
  <c r="E604" i="3"/>
  <c r="F604" i="3"/>
  <c r="G604" i="3"/>
  <c r="H604" i="3"/>
  <c r="I604" i="3"/>
  <c r="J604" i="3"/>
  <c r="K604" i="3"/>
  <c r="B605" i="3"/>
  <c r="C605" i="3"/>
  <c r="E605" i="3"/>
  <c r="F605" i="3"/>
  <c r="G605" i="3"/>
  <c r="H605" i="3"/>
  <c r="I605" i="3"/>
  <c r="J605" i="3"/>
  <c r="K605" i="3"/>
  <c r="B606" i="3"/>
  <c r="C606" i="3"/>
  <c r="E606" i="3"/>
  <c r="F606" i="3"/>
  <c r="G606" i="3"/>
  <c r="H606" i="3"/>
  <c r="I606" i="3"/>
  <c r="J606" i="3"/>
  <c r="K606" i="3"/>
  <c r="B607" i="3"/>
  <c r="C607" i="3"/>
  <c r="E607" i="3"/>
  <c r="F607" i="3"/>
  <c r="G607" i="3"/>
  <c r="H607" i="3"/>
  <c r="I607" i="3"/>
  <c r="J607" i="3"/>
  <c r="K607" i="3"/>
  <c r="B608" i="3"/>
  <c r="C608" i="3"/>
  <c r="E608" i="3"/>
  <c r="F608" i="3"/>
  <c r="G608" i="3"/>
  <c r="H608" i="3"/>
  <c r="I608" i="3"/>
  <c r="J608" i="3"/>
  <c r="K608" i="3"/>
  <c r="B609" i="3"/>
  <c r="C609" i="3"/>
  <c r="E609" i="3"/>
  <c r="F609" i="3"/>
  <c r="G609" i="3"/>
  <c r="H609" i="3"/>
  <c r="I609" i="3"/>
  <c r="J609" i="3"/>
  <c r="K609" i="3"/>
  <c r="B610" i="3"/>
  <c r="C610" i="3"/>
  <c r="E610" i="3"/>
  <c r="F610" i="3"/>
  <c r="G610" i="3"/>
  <c r="H610" i="3"/>
  <c r="I610" i="3"/>
  <c r="J610" i="3"/>
  <c r="K610" i="3"/>
  <c r="B611" i="3"/>
  <c r="C611" i="3"/>
  <c r="E611" i="3"/>
  <c r="F611" i="3"/>
  <c r="G611" i="3"/>
  <c r="H611" i="3"/>
  <c r="I611" i="3"/>
  <c r="J611" i="3"/>
  <c r="K611" i="3"/>
  <c r="B612" i="3"/>
  <c r="C612" i="3"/>
  <c r="E612" i="3"/>
  <c r="F612" i="3"/>
  <c r="G612" i="3"/>
  <c r="H612" i="3"/>
  <c r="I612" i="3"/>
  <c r="J612" i="3"/>
  <c r="K612" i="3"/>
  <c r="B613" i="3"/>
  <c r="C613" i="3"/>
  <c r="E613" i="3"/>
  <c r="F613" i="3"/>
  <c r="G613" i="3"/>
  <c r="H613" i="3"/>
  <c r="I613" i="3"/>
  <c r="J613" i="3"/>
  <c r="K613" i="3"/>
  <c r="B614" i="3"/>
  <c r="C614" i="3"/>
  <c r="E614" i="3"/>
  <c r="F614" i="3"/>
  <c r="G614" i="3"/>
  <c r="H614" i="3"/>
  <c r="I614" i="3"/>
  <c r="J614" i="3"/>
  <c r="K614" i="3"/>
  <c r="B615" i="3"/>
  <c r="C615" i="3"/>
  <c r="E615" i="3"/>
  <c r="F615" i="3"/>
  <c r="G615" i="3"/>
  <c r="H615" i="3"/>
  <c r="I615" i="3"/>
  <c r="J615" i="3"/>
  <c r="K615" i="3"/>
  <c r="B616" i="3"/>
  <c r="C616" i="3"/>
  <c r="E616" i="3"/>
  <c r="F616" i="3"/>
  <c r="G616" i="3"/>
  <c r="H616" i="3"/>
  <c r="I616" i="3"/>
  <c r="J616" i="3"/>
  <c r="K616" i="3"/>
  <c r="B617" i="3"/>
  <c r="C617" i="3"/>
  <c r="E617" i="3"/>
  <c r="F617" i="3"/>
  <c r="G617" i="3"/>
  <c r="H617" i="3"/>
  <c r="I617" i="3"/>
  <c r="J617" i="3"/>
  <c r="K617" i="3"/>
  <c r="B618" i="3"/>
  <c r="C618" i="3"/>
  <c r="E618" i="3"/>
  <c r="F618" i="3"/>
  <c r="G618" i="3"/>
  <c r="H618" i="3"/>
  <c r="I618" i="3"/>
  <c r="J618" i="3"/>
  <c r="K618" i="3"/>
  <c r="B619" i="3"/>
  <c r="C619" i="3"/>
  <c r="E619" i="3"/>
  <c r="F619" i="3"/>
  <c r="G619" i="3"/>
  <c r="H619" i="3"/>
  <c r="I619" i="3"/>
  <c r="J619" i="3"/>
  <c r="K619" i="3"/>
  <c r="B620" i="3"/>
  <c r="C620" i="3"/>
  <c r="E620" i="3"/>
  <c r="F620" i="3"/>
  <c r="G620" i="3"/>
  <c r="H620" i="3"/>
  <c r="I620" i="3"/>
  <c r="J620" i="3"/>
  <c r="K620" i="3"/>
  <c r="B621" i="3"/>
  <c r="C621" i="3"/>
  <c r="E621" i="3"/>
  <c r="F621" i="3"/>
  <c r="G621" i="3"/>
  <c r="H621" i="3"/>
  <c r="I621" i="3"/>
  <c r="J621" i="3"/>
  <c r="K621" i="3"/>
  <c r="B622" i="3"/>
  <c r="C622" i="3"/>
  <c r="E622" i="3"/>
  <c r="F622" i="3"/>
  <c r="G622" i="3"/>
  <c r="H622" i="3"/>
  <c r="I622" i="3"/>
  <c r="J622" i="3"/>
  <c r="K622" i="3"/>
  <c r="B623" i="3"/>
  <c r="C623" i="3"/>
  <c r="E623" i="3"/>
  <c r="F623" i="3"/>
  <c r="G623" i="3"/>
  <c r="H623" i="3"/>
  <c r="I623" i="3"/>
  <c r="J623" i="3"/>
  <c r="K623" i="3"/>
  <c r="B624" i="3"/>
  <c r="C624" i="3"/>
  <c r="E624" i="3"/>
  <c r="F624" i="3"/>
  <c r="G624" i="3"/>
  <c r="H624" i="3"/>
  <c r="I624" i="3"/>
  <c r="J624" i="3"/>
  <c r="K624" i="3"/>
  <c r="B625" i="3"/>
  <c r="C625" i="3"/>
  <c r="E625" i="3"/>
  <c r="F625" i="3"/>
  <c r="G625" i="3"/>
  <c r="H625" i="3"/>
  <c r="I625" i="3"/>
  <c r="J625" i="3"/>
  <c r="K625" i="3"/>
  <c r="A626" i="3"/>
  <c r="B626" i="3"/>
  <c r="C626" i="3"/>
  <c r="E626" i="3"/>
  <c r="F626" i="3"/>
  <c r="G626" i="3"/>
  <c r="H626" i="3"/>
  <c r="I626" i="3"/>
  <c r="J626" i="3"/>
  <c r="K626" i="3"/>
  <c r="A627" i="3"/>
  <c r="B627" i="3"/>
  <c r="C627" i="3"/>
  <c r="E627" i="3"/>
  <c r="F627" i="3"/>
  <c r="G627" i="3"/>
  <c r="H627" i="3"/>
  <c r="I627" i="3"/>
  <c r="J627" i="3"/>
  <c r="K627" i="3"/>
  <c r="A628" i="3"/>
  <c r="B628" i="3"/>
  <c r="C628" i="3"/>
  <c r="E628" i="3"/>
  <c r="F628" i="3"/>
  <c r="G628" i="3"/>
  <c r="H628" i="3"/>
  <c r="I628" i="3"/>
  <c r="J628" i="3"/>
  <c r="K628" i="3"/>
  <c r="A629" i="3"/>
  <c r="B629" i="3"/>
  <c r="C629" i="3"/>
  <c r="E629" i="3"/>
  <c r="F629" i="3"/>
  <c r="G629" i="3"/>
  <c r="H629" i="3"/>
  <c r="I629" i="3"/>
  <c r="J629" i="3"/>
  <c r="K629" i="3"/>
  <c r="A630" i="3"/>
  <c r="B630" i="3"/>
  <c r="C630" i="3"/>
  <c r="E630" i="3"/>
  <c r="F630" i="3"/>
  <c r="G630" i="3"/>
  <c r="H630" i="3"/>
  <c r="I630" i="3"/>
  <c r="J630" i="3"/>
  <c r="K630" i="3"/>
  <c r="A631" i="3"/>
  <c r="B631" i="3"/>
  <c r="C631" i="3"/>
  <c r="E631" i="3"/>
  <c r="F631" i="3"/>
  <c r="G631" i="3"/>
  <c r="H631" i="3"/>
  <c r="I631" i="3"/>
  <c r="J631" i="3"/>
  <c r="K631" i="3"/>
  <c r="A632" i="3"/>
  <c r="B632" i="3"/>
  <c r="C632" i="3"/>
  <c r="E632" i="3"/>
  <c r="F632" i="3"/>
  <c r="G632" i="3"/>
  <c r="H632" i="3"/>
  <c r="I632" i="3"/>
  <c r="J632" i="3"/>
  <c r="K632" i="3"/>
  <c r="A633" i="3"/>
  <c r="B633" i="3"/>
  <c r="C633" i="3"/>
  <c r="E633" i="3"/>
  <c r="F633" i="3"/>
  <c r="G633" i="3"/>
  <c r="H633" i="3"/>
  <c r="I633" i="3"/>
  <c r="J633" i="3"/>
  <c r="K633" i="3"/>
  <c r="A634" i="3"/>
  <c r="B634" i="3"/>
  <c r="C634" i="3"/>
  <c r="E634" i="3"/>
  <c r="F634" i="3"/>
  <c r="G634" i="3"/>
  <c r="H634" i="3"/>
  <c r="I634" i="3"/>
  <c r="J634" i="3"/>
  <c r="K634" i="3"/>
  <c r="A635" i="3"/>
  <c r="B635" i="3"/>
  <c r="C635" i="3"/>
  <c r="E635" i="3"/>
  <c r="F635" i="3"/>
  <c r="G635" i="3"/>
  <c r="H635" i="3"/>
  <c r="I635" i="3"/>
  <c r="J635" i="3"/>
  <c r="K635" i="3"/>
  <c r="A636" i="3"/>
  <c r="B636" i="3"/>
  <c r="C636" i="3"/>
  <c r="E636" i="3"/>
  <c r="F636" i="3"/>
  <c r="G636" i="3"/>
  <c r="H636" i="3"/>
  <c r="I636" i="3"/>
  <c r="J636" i="3"/>
  <c r="K636" i="3"/>
  <c r="A637" i="3"/>
  <c r="B637" i="3"/>
  <c r="C637" i="3"/>
  <c r="E637" i="3"/>
  <c r="F637" i="3"/>
  <c r="G637" i="3"/>
  <c r="H637" i="3"/>
  <c r="I637" i="3"/>
  <c r="J637" i="3"/>
  <c r="K637" i="3"/>
  <c r="A638" i="3"/>
  <c r="B638" i="3"/>
  <c r="C638" i="3"/>
  <c r="E638" i="3"/>
  <c r="F638" i="3"/>
  <c r="G638" i="3"/>
  <c r="H638" i="3"/>
  <c r="I638" i="3"/>
  <c r="J638" i="3"/>
  <c r="K638" i="3"/>
  <c r="A639" i="3"/>
  <c r="B639" i="3"/>
  <c r="C639" i="3"/>
  <c r="E639" i="3"/>
  <c r="F639" i="3"/>
  <c r="G639" i="3"/>
  <c r="H639" i="3"/>
  <c r="I639" i="3"/>
  <c r="J639" i="3"/>
  <c r="K639" i="3"/>
  <c r="A640" i="3"/>
  <c r="B640" i="3"/>
  <c r="C640" i="3"/>
  <c r="E640" i="3"/>
  <c r="F640" i="3"/>
  <c r="G640" i="3"/>
  <c r="H640" i="3"/>
  <c r="I640" i="3"/>
  <c r="J640" i="3"/>
  <c r="K640" i="3"/>
  <c r="A641" i="3"/>
  <c r="B641" i="3"/>
  <c r="C641" i="3"/>
  <c r="E641" i="3"/>
  <c r="F641" i="3"/>
  <c r="G641" i="3"/>
  <c r="H641" i="3"/>
  <c r="I641" i="3"/>
  <c r="J641" i="3"/>
  <c r="K641" i="3"/>
  <c r="A642" i="3"/>
  <c r="B642" i="3"/>
  <c r="C642" i="3"/>
  <c r="F642" i="3"/>
  <c r="H642" i="3"/>
  <c r="J642" i="3"/>
  <c r="A643" i="3"/>
  <c r="B643" i="3"/>
  <c r="F643" i="3"/>
  <c r="H643" i="3"/>
  <c r="J643" i="3"/>
  <c r="A644" i="3"/>
  <c r="B644" i="3"/>
  <c r="C644" i="3"/>
  <c r="F644" i="3"/>
  <c r="H644" i="3"/>
  <c r="J644" i="3"/>
  <c r="A645" i="3"/>
  <c r="B645" i="3"/>
  <c r="F645" i="3"/>
  <c r="H645" i="3"/>
  <c r="J645" i="3"/>
  <c r="A646" i="3"/>
  <c r="B646" i="3"/>
  <c r="C646" i="3"/>
  <c r="F646" i="3"/>
  <c r="H646" i="3"/>
  <c r="J646" i="3"/>
  <c r="A647" i="3"/>
  <c r="B647" i="3"/>
  <c r="F647" i="3"/>
  <c r="H647" i="3"/>
  <c r="J647" i="3"/>
  <c r="A648" i="3"/>
  <c r="B648" i="3"/>
  <c r="C648" i="3"/>
  <c r="F648" i="3"/>
  <c r="H648" i="3"/>
  <c r="J648" i="3"/>
  <c r="A649" i="3"/>
  <c r="B649" i="3"/>
  <c r="F649" i="3"/>
  <c r="H649" i="3"/>
  <c r="J649" i="3"/>
  <c r="C9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B241" i="2"/>
  <c r="C241" i="2"/>
  <c r="D241" i="2"/>
  <c r="E241" i="2"/>
  <c r="F241" i="2"/>
  <c r="G241" i="2"/>
  <c r="H241" i="2"/>
  <c r="I241" i="2"/>
  <c r="J241" i="2"/>
  <c r="K241" i="2"/>
  <c r="L241" i="2"/>
  <c r="M241" i="2"/>
  <c r="N241" i="2"/>
  <c r="O241" i="2"/>
  <c r="B242" i="2"/>
  <c r="C242" i="2"/>
  <c r="D242" i="2"/>
  <c r="E242" i="2"/>
  <c r="F242" i="2"/>
  <c r="G242" i="2"/>
  <c r="H242" i="2"/>
  <c r="I242" i="2"/>
  <c r="J242" i="2"/>
  <c r="K242" i="2"/>
  <c r="L242" i="2"/>
  <c r="M242" i="2"/>
  <c r="N242" i="2"/>
  <c r="O242" i="2"/>
  <c r="B243" i="2"/>
  <c r="C243" i="2"/>
  <c r="D243" i="2"/>
  <c r="E243" i="2"/>
  <c r="F243" i="2"/>
  <c r="G243" i="2"/>
  <c r="H243" i="2"/>
  <c r="I243" i="2"/>
  <c r="J243" i="2"/>
  <c r="K243" i="2"/>
  <c r="L243" i="2"/>
  <c r="M243" i="2"/>
  <c r="N243" i="2"/>
  <c r="O243" i="2"/>
  <c r="B244" i="2"/>
  <c r="C244" i="2"/>
  <c r="D244" i="2"/>
  <c r="E244" i="2"/>
  <c r="F244" i="2"/>
  <c r="G244" i="2"/>
  <c r="H244" i="2"/>
  <c r="I244" i="2"/>
  <c r="J244" i="2"/>
  <c r="K244" i="2"/>
  <c r="L244" i="2"/>
  <c r="M244" i="2"/>
  <c r="N244" i="2"/>
  <c r="O244" i="2"/>
  <c r="B245" i="2"/>
  <c r="C245" i="2"/>
  <c r="D245" i="2"/>
  <c r="E245" i="2"/>
  <c r="F245" i="2"/>
  <c r="G245" i="2"/>
  <c r="H245" i="2"/>
  <c r="I245" i="2"/>
  <c r="J245" i="2"/>
  <c r="K245" i="2"/>
  <c r="L245" i="2"/>
  <c r="M245" i="2"/>
  <c r="N245" i="2"/>
  <c r="O245" i="2"/>
  <c r="B246" i="2"/>
  <c r="C246" i="2"/>
  <c r="D246" i="2"/>
  <c r="E246" i="2"/>
  <c r="F246" i="2"/>
  <c r="G246" i="2"/>
  <c r="H246" i="2"/>
  <c r="I246" i="2"/>
  <c r="J246" i="2"/>
  <c r="K246" i="2"/>
  <c r="L246" i="2"/>
  <c r="M246" i="2"/>
  <c r="N246" i="2"/>
  <c r="O246" i="2"/>
  <c r="B247" i="2"/>
  <c r="C247" i="2"/>
  <c r="D247" i="2"/>
  <c r="E247" i="2"/>
  <c r="F247" i="2"/>
  <c r="G247" i="2"/>
  <c r="H247" i="2"/>
  <c r="I247" i="2"/>
  <c r="J247" i="2"/>
  <c r="K247" i="2"/>
  <c r="L247" i="2"/>
  <c r="M247" i="2"/>
  <c r="N247" i="2"/>
  <c r="O247" i="2"/>
  <c r="B248" i="2"/>
  <c r="C248" i="2"/>
  <c r="D248" i="2"/>
  <c r="E248" i="2"/>
  <c r="F248" i="2"/>
  <c r="G248" i="2"/>
  <c r="H248" i="2"/>
  <c r="I248" i="2"/>
  <c r="J248" i="2"/>
  <c r="K248" i="2"/>
  <c r="L248" i="2"/>
  <c r="M248" i="2"/>
  <c r="N248" i="2"/>
  <c r="O248" i="2"/>
  <c r="B249" i="2"/>
  <c r="C249" i="2"/>
  <c r="D249" i="2"/>
  <c r="E249" i="2"/>
  <c r="F249" i="2"/>
  <c r="G249" i="2"/>
  <c r="H249" i="2"/>
  <c r="I249" i="2"/>
  <c r="J249" i="2"/>
  <c r="K249" i="2"/>
  <c r="L249" i="2"/>
  <c r="M249" i="2"/>
  <c r="N249" i="2"/>
  <c r="O249" i="2"/>
  <c r="B250" i="2"/>
  <c r="C250" i="2"/>
  <c r="D250" i="2"/>
  <c r="E250" i="2"/>
  <c r="F250" i="2"/>
  <c r="G250" i="2"/>
  <c r="H250" i="2"/>
  <c r="I250" i="2"/>
  <c r="J250" i="2"/>
  <c r="K250" i="2"/>
  <c r="L250" i="2"/>
  <c r="M250" i="2"/>
  <c r="N250" i="2"/>
  <c r="O250" i="2"/>
  <c r="B251" i="2"/>
  <c r="C251" i="2"/>
  <c r="D251" i="2"/>
  <c r="E251" i="2"/>
  <c r="F251" i="2"/>
  <c r="G251" i="2"/>
  <c r="H251" i="2"/>
  <c r="I251" i="2"/>
  <c r="J251" i="2"/>
  <c r="K251" i="2"/>
  <c r="L251" i="2"/>
  <c r="M251" i="2"/>
  <c r="N251" i="2"/>
  <c r="O251" i="2"/>
  <c r="B252" i="2"/>
  <c r="C252" i="2"/>
  <c r="D252" i="2"/>
  <c r="E252" i="2"/>
  <c r="F252" i="2"/>
  <c r="G252" i="2"/>
  <c r="H252" i="2"/>
  <c r="I252" i="2"/>
  <c r="J252" i="2"/>
  <c r="K252" i="2"/>
  <c r="L252" i="2"/>
  <c r="M252" i="2"/>
  <c r="N252" i="2"/>
  <c r="O252" i="2"/>
  <c r="B253" i="2"/>
  <c r="C253" i="2"/>
  <c r="D253" i="2"/>
  <c r="E253" i="2"/>
  <c r="F253" i="2"/>
  <c r="G253" i="2"/>
  <c r="H253" i="2"/>
  <c r="I253" i="2"/>
  <c r="J253" i="2"/>
  <c r="K253" i="2"/>
  <c r="L253" i="2"/>
  <c r="M253" i="2"/>
  <c r="N253" i="2"/>
  <c r="O253" i="2"/>
  <c r="B254" i="2"/>
  <c r="C254" i="2"/>
  <c r="D254" i="2"/>
  <c r="E254" i="2"/>
  <c r="F254" i="2"/>
  <c r="G254" i="2"/>
  <c r="H254" i="2"/>
  <c r="I254" i="2"/>
  <c r="J254" i="2"/>
  <c r="K254" i="2"/>
  <c r="L254" i="2"/>
  <c r="M254" i="2"/>
  <c r="N254" i="2"/>
  <c r="O254" i="2"/>
  <c r="B255" i="2"/>
  <c r="C255" i="2"/>
  <c r="D255" i="2"/>
  <c r="E255" i="2"/>
  <c r="F255" i="2"/>
  <c r="G255" i="2"/>
  <c r="H255" i="2"/>
  <c r="I255" i="2"/>
  <c r="J255" i="2"/>
  <c r="K255" i="2"/>
  <c r="L255" i="2"/>
  <c r="M255" i="2"/>
  <c r="N255" i="2"/>
  <c r="O255" i="2"/>
  <c r="B256" i="2"/>
  <c r="C256" i="2"/>
  <c r="D256" i="2"/>
  <c r="E256" i="2"/>
  <c r="F256" i="2"/>
  <c r="G256" i="2"/>
  <c r="H256" i="2"/>
  <c r="I256" i="2"/>
  <c r="J256" i="2"/>
  <c r="K256" i="2"/>
  <c r="L256" i="2"/>
  <c r="M256" i="2"/>
  <c r="N256" i="2"/>
  <c r="O256" i="2"/>
  <c r="B257" i="2"/>
  <c r="C257" i="2"/>
  <c r="D257" i="2"/>
  <c r="E257" i="2"/>
  <c r="F257" i="2"/>
  <c r="G257" i="2"/>
  <c r="H257" i="2"/>
  <c r="I257" i="2"/>
  <c r="J257" i="2"/>
  <c r="K257" i="2"/>
  <c r="L257" i="2"/>
  <c r="M257" i="2"/>
  <c r="N257" i="2"/>
  <c r="O257" i="2"/>
  <c r="B258" i="2"/>
  <c r="C258" i="2"/>
  <c r="D258" i="2"/>
  <c r="E258" i="2"/>
  <c r="F258" i="2"/>
  <c r="G258" i="2"/>
  <c r="H258" i="2"/>
  <c r="I258" i="2"/>
  <c r="J258" i="2"/>
  <c r="K258" i="2"/>
  <c r="L258" i="2"/>
  <c r="M258" i="2"/>
  <c r="N258" i="2"/>
  <c r="O258" i="2"/>
  <c r="B259" i="2"/>
  <c r="C259" i="2"/>
  <c r="D259" i="2"/>
  <c r="E259" i="2"/>
  <c r="F259" i="2"/>
  <c r="G259" i="2"/>
  <c r="H259" i="2"/>
  <c r="I259" i="2"/>
  <c r="J259" i="2"/>
  <c r="K259" i="2"/>
  <c r="L259" i="2"/>
  <c r="M259" i="2"/>
  <c r="N259" i="2"/>
  <c r="O259" i="2"/>
  <c r="B260" i="2"/>
  <c r="C260" i="2"/>
  <c r="D260" i="2"/>
  <c r="E260" i="2"/>
  <c r="F260" i="2"/>
  <c r="G260" i="2"/>
  <c r="H260" i="2"/>
  <c r="I260" i="2"/>
  <c r="J260" i="2"/>
  <c r="K260" i="2"/>
  <c r="L260" i="2"/>
  <c r="M260" i="2"/>
  <c r="N260" i="2"/>
  <c r="O260" i="2"/>
  <c r="B261" i="2"/>
  <c r="C261" i="2"/>
  <c r="D261" i="2"/>
  <c r="E261" i="2"/>
  <c r="F261" i="2"/>
  <c r="G261" i="2"/>
  <c r="H261" i="2"/>
  <c r="I261" i="2"/>
  <c r="J261" i="2"/>
  <c r="K261" i="2"/>
  <c r="L261" i="2"/>
  <c r="M261" i="2"/>
  <c r="N261" i="2"/>
  <c r="O261" i="2"/>
  <c r="B262" i="2"/>
  <c r="C262" i="2"/>
  <c r="D262" i="2"/>
  <c r="E262" i="2"/>
  <c r="F262" i="2"/>
  <c r="G262" i="2"/>
  <c r="H262" i="2"/>
  <c r="I262" i="2"/>
  <c r="J262" i="2"/>
  <c r="K262" i="2"/>
  <c r="L262" i="2"/>
  <c r="M262" i="2"/>
  <c r="N262" i="2"/>
  <c r="O262" i="2"/>
  <c r="B263" i="2"/>
  <c r="C263" i="2"/>
  <c r="D263" i="2"/>
  <c r="E263" i="2"/>
  <c r="F263" i="2"/>
  <c r="G263" i="2"/>
  <c r="H263" i="2"/>
  <c r="I263" i="2"/>
  <c r="J263" i="2"/>
  <c r="K263" i="2"/>
  <c r="L263" i="2"/>
  <c r="M263" i="2"/>
  <c r="N263" i="2"/>
  <c r="O263" i="2"/>
  <c r="B264" i="2"/>
  <c r="C264" i="2"/>
  <c r="D264" i="2"/>
  <c r="E264" i="2"/>
  <c r="F264" i="2"/>
  <c r="G264" i="2"/>
  <c r="H264" i="2"/>
  <c r="I264" i="2"/>
  <c r="J264" i="2"/>
  <c r="K264" i="2"/>
  <c r="L264" i="2"/>
  <c r="M264" i="2"/>
  <c r="N264" i="2"/>
  <c r="O264" i="2"/>
  <c r="B265" i="2"/>
  <c r="C265" i="2"/>
  <c r="D265" i="2"/>
  <c r="E265" i="2"/>
  <c r="F265" i="2"/>
  <c r="G265" i="2"/>
  <c r="H265" i="2"/>
  <c r="I265" i="2"/>
  <c r="J265" i="2"/>
  <c r="K265" i="2"/>
  <c r="L265" i="2"/>
  <c r="M265" i="2"/>
  <c r="N265" i="2"/>
  <c r="O265" i="2"/>
  <c r="B266" i="2"/>
  <c r="C266" i="2"/>
  <c r="D266" i="2"/>
  <c r="E266" i="2"/>
  <c r="F266" i="2"/>
  <c r="G266" i="2"/>
  <c r="H266" i="2"/>
  <c r="I266" i="2"/>
  <c r="J266" i="2"/>
  <c r="K266" i="2"/>
  <c r="L266" i="2"/>
  <c r="M266" i="2"/>
  <c r="N266" i="2"/>
  <c r="O266" i="2"/>
  <c r="B267" i="2"/>
  <c r="C267" i="2"/>
  <c r="D267" i="2"/>
  <c r="E267" i="2"/>
  <c r="F267" i="2"/>
  <c r="G267" i="2"/>
  <c r="H267" i="2"/>
  <c r="I267" i="2"/>
  <c r="J267" i="2"/>
  <c r="K267" i="2"/>
  <c r="L267" i="2"/>
  <c r="M267" i="2"/>
  <c r="N267" i="2"/>
  <c r="O267" i="2"/>
  <c r="B268" i="2"/>
  <c r="C268" i="2"/>
  <c r="D268" i="2"/>
  <c r="E268" i="2"/>
  <c r="F268" i="2"/>
  <c r="G268" i="2"/>
  <c r="H268" i="2"/>
  <c r="I268" i="2"/>
  <c r="J268" i="2"/>
  <c r="K268" i="2"/>
  <c r="L268" i="2"/>
  <c r="M268" i="2"/>
  <c r="N268" i="2"/>
  <c r="O268" i="2"/>
  <c r="B269" i="2"/>
  <c r="C269" i="2"/>
  <c r="D269" i="2"/>
  <c r="E269" i="2"/>
  <c r="F269" i="2"/>
  <c r="G269" i="2"/>
  <c r="H269" i="2"/>
  <c r="I269" i="2"/>
  <c r="J269" i="2"/>
  <c r="K269" i="2"/>
  <c r="L269" i="2"/>
  <c r="M269" i="2"/>
  <c r="N269" i="2"/>
  <c r="O269" i="2"/>
  <c r="B270" i="2"/>
  <c r="C270" i="2"/>
  <c r="D270" i="2"/>
  <c r="E270" i="2"/>
  <c r="F270" i="2"/>
  <c r="G270" i="2"/>
  <c r="H270" i="2"/>
  <c r="I270" i="2"/>
  <c r="J270" i="2"/>
  <c r="K270" i="2"/>
  <c r="L270" i="2"/>
  <c r="M270" i="2"/>
  <c r="N270" i="2"/>
  <c r="O270" i="2"/>
  <c r="B271" i="2"/>
  <c r="C271" i="2"/>
  <c r="D271" i="2"/>
  <c r="E271" i="2"/>
  <c r="F271" i="2"/>
  <c r="G271" i="2"/>
  <c r="H271" i="2"/>
  <c r="I271" i="2"/>
  <c r="J271" i="2"/>
  <c r="K271" i="2"/>
  <c r="L271" i="2"/>
  <c r="M271" i="2"/>
  <c r="N271" i="2"/>
  <c r="O271" i="2"/>
  <c r="B272" i="2"/>
  <c r="C272" i="2"/>
  <c r="D272" i="2"/>
  <c r="E272" i="2"/>
  <c r="F272" i="2"/>
  <c r="G272" i="2"/>
  <c r="H272" i="2"/>
  <c r="I272" i="2"/>
  <c r="J272" i="2"/>
  <c r="K272" i="2"/>
  <c r="L272" i="2"/>
  <c r="M272" i="2"/>
  <c r="N272" i="2"/>
  <c r="O272" i="2"/>
  <c r="B273" i="2"/>
  <c r="C273" i="2"/>
  <c r="D273" i="2"/>
  <c r="E273" i="2"/>
  <c r="F273" i="2"/>
  <c r="G273" i="2"/>
  <c r="H273" i="2"/>
  <c r="I273" i="2"/>
  <c r="J273" i="2"/>
  <c r="K273" i="2"/>
  <c r="L273" i="2"/>
  <c r="M273" i="2"/>
  <c r="N273" i="2"/>
  <c r="O273" i="2"/>
  <c r="B274" i="2"/>
  <c r="C274" i="2"/>
  <c r="D274" i="2"/>
  <c r="E274" i="2"/>
  <c r="F274" i="2"/>
  <c r="G274" i="2"/>
  <c r="H274" i="2"/>
  <c r="I274" i="2"/>
  <c r="J274" i="2"/>
  <c r="K274" i="2"/>
  <c r="L274" i="2"/>
  <c r="M274" i="2"/>
  <c r="N274" i="2"/>
  <c r="O274" i="2"/>
  <c r="B275" i="2"/>
  <c r="C275" i="2"/>
  <c r="D275" i="2"/>
  <c r="E275" i="2"/>
  <c r="F275" i="2"/>
  <c r="G275" i="2"/>
  <c r="H275" i="2"/>
  <c r="I275" i="2"/>
  <c r="J275" i="2"/>
  <c r="K275" i="2"/>
  <c r="L275" i="2"/>
  <c r="M275" i="2"/>
  <c r="N275" i="2"/>
  <c r="O275" i="2"/>
  <c r="B276" i="2"/>
  <c r="C276" i="2"/>
  <c r="D276" i="2"/>
  <c r="E276" i="2"/>
  <c r="F276" i="2"/>
  <c r="G276" i="2"/>
  <c r="H276" i="2"/>
  <c r="I276" i="2"/>
  <c r="J276" i="2"/>
  <c r="K276" i="2"/>
  <c r="L276" i="2"/>
  <c r="M276" i="2"/>
  <c r="N276" i="2"/>
  <c r="O276" i="2"/>
  <c r="B277" i="2"/>
  <c r="C277" i="2"/>
  <c r="D277" i="2"/>
  <c r="E277" i="2"/>
  <c r="F277" i="2"/>
  <c r="G277" i="2"/>
  <c r="H277" i="2"/>
  <c r="I277" i="2"/>
  <c r="J277" i="2"/>
  <c r="K277" i="2"/>
  <c r="L277" i="2"/>
  <c r="M277" i="2"/>
  <c r="N277" i="2"/>
  <c r="O277" i="2"/>
  <c r="B278" i="2"/>
  <c r="C278" i="2"/>
  <c r="D278" i="2"/>
  <c r="E278" i="2"/>
  <c r="F278" i="2"/>
  <c r="G278" i="2"/>
  <c r="H278" i="2"/>
  <c r="I278" i="2"/>
  <c r="J278" i="2"/>
  <c r="K278" i="2"/>
  <c r="L278" i="2"/>
  <c r="M278" i="2"/>
  <c r="N278" i="2"/>
  <c r="O278" i="2"/>
  <c r="B279" i="2"/>
  <c r="C279" i="2"/>
  <c r="D279" i="2"/>
  <c r="E279" i="2"/>
  <c r="F279" i="2"/>
  <c r="G279" i="2"/>
  <c r="H279" i="2"/>
  <c r="I279" i="2"/>
  <c r="J279" i="2"/>
  <c r="K279" i="2"/>
  <c r="L279" i="2"/>
  <c r="M279" i="2"/>
  <c r="N279" i="2"/>
  <c r="O279" i="2"/>
  <c r="B280" i="2"/>
  <c r="C280" i="2"/>
  <c r="D280" i="2"/>
  <c r="E280" i="2"/>
  <c r="F280" i="2"/>
  <c r="G280" i="2"/>
  <c r="H280" i="2"/>
  <c r="I280" i="2"/>
  <c r="J280" i="2"/>
  <c r="K280" i="2"/>
  <c r="L280" i="2"/>
  <c r="M280" i="2"/>
  <c r="N280" i="2"/>
  <c r="O280" i="2"/>
  <c r="B281" i="2"/>
  <c r="C281" i="2"/>
  <c r="D281" i="2"/>
  <c r="E281" i="2"/>
  <c r="F281" i="2"/>
  <c r="G281" i="2"/>
  <c r="H281" i="2"/>
  <c r="I281" i="2"/>
  <c r="J281" i="2"/>
  <c r="K281" i="2"/>
  <c r="L281" i="2"/>
  <c r="M281" i="2"/>
  <c r="N281" i="2"/>
  <c r="O281" i="2"/>
  <c r="B282" i="2"/>
  <c r="C282" i="2"/>
  <c r="D282" i="2"/>
  <c r="E282" i="2"/>
  <c r="F282" i="2"/>
  <c r="G282" i="2"/>
  <c r="H282" i="2"/>
  <c r="I282" i="2"/>
  <c r="J282" i="2"/>
  <c r="K282" i="2"/>
  <c r="L282" i="2"/>
  <c r="M282" i="2"/>
  <c r="N282" i="2"/>
  <c r="O282" i="2"/>
  <c r="B283" i="2"/>
  <c r="C283" i="2"/>
  <c r="D283" i="2"/>
  <c r="E283" i="2"/>
  <c r="F283" i="2"/>
  <c r="G283" i="2"/>
  <c r="H283" i="2"/>
  <c r="I283" i="2"/>
  <c r="J283" i="2"/>
  <c r="K283" i="2"/>
  <c r="L283" i="2"/>
  <c r="M283" i="2"/>
  <c r="N283" i="2"/>
  <c r="O283" i="2"/>
  <c r="B284" i="2"/>
  <c r="C284" i="2"/>
  <c r="D284" i="2"/>
  <c r="E284" i="2"/>
  <c r="F284" i="2"/>
  <c r="G284" i="2"/>
  <c r="H284" i="2"/>
  <c r="I284" i="2"/>
  <c r="J284" i="2"/>
  <c r="K284" i="2"/>
  <c r="L284" i="2"/>
  <c r="M284" i="2"/>
  <c r="N284" i="2"/>
  <c r="O284" i="2"/>
  <c r="B285" i="2"/>
  <c r="C285" i="2"/>
  <c r="D285" i="2"/>
  <c r="E285" i="2"/>
  <c r="F285" i="2"/>
  <c r="G285" i="2"/>
  <c r="H285" i="2"/>
  <c r="I285" i="2"/>
  <c r="J285" i="2"/>
  <c r="K285" i="2"/>
  <c r="L285" i="2"/>
  <c r="M285" i="2"/>
  <c r="N285" i="2"/>
  <c r="O285" i="2"/>
  <c r="B286" i="2"/>
  <c r="C286" i="2"/>
  <c r="D286" i="2"/>
  <c r="E286" i="2"/>
  <c r="F286" i="2"/>
  <c r="G286" i="2"/>
  <c r="H286" i="2"/>
  <c r="I286" i="2"/>
  <c r="J286" i="2"/>
  <c r="K286" i="2"/>
  <c r="L286" i="2"/>
  <c r="M286" i="2"/>
  <c r="N286" i="2"/>
  <c r="O286" i="2"/>
  <c r="B287" i="2"/>
  <c r="C287" i="2"/>
  <c r="D287" i="2"/>
  <c r="E287" i="2"/>
  <c r="F287" i="2"/>
  <c r="G287" i="2"/>
  <c r="H287" i="2"/>
  <c r="I287" i="2"/>
  <c r="J287" i="2"/>
  <c r="K287" i="2"/>
  <c r="L287" i="2"/>
  <c r="M287" i="2"/>
  <c r="N287" i="2"/>
  <c r="O287" i="2"/>
  <c r="B288" i="2"/>
  <c r="C288" i="2"/>
  <c r="D288" i="2"/>
  <c r="E288" i="2"/>
  <c r="F288" i="2"/>
  <c r="G288" i="2"/>
  <c r="H288" i="2"/>
  <c r="I288" i="2"/>
  <c r="J288" i="2"/>
  <c r="K288" i="2"/>
  <c r="L288" i="2"/>
  <c r="M288" i="2"/>
  <c r="N288" i="2"/>
  <c r="O288" i="2"/>
  <c r="B289" i="2"/>
  <c r="C289" i="2"/>
  <c r="D289" i="2"/>
  <c r="E289" i="2"/>
  <c r="F289" i="2"/>
  <c r="G289" i="2"/>
  <c r="H289" i="2"/>
  <c r="I289" i="2"/>
  <c r="J289" i="2"/>
  <c r="K289" i="2"/>
  <c r="L289" i="2"/>
  <c r="M289" i="2"/>
  <c r="N289" i="2"/>
  <c r="O289" i="2"/>
  <c r="B290" i="2"/>
  <c r="C290" i="2"/>
  <c r="D290" i="2"/>
  <c r="E290" i="2"/>
  <c r="F290" i="2"/>
  <c r="G290" i="2"/>
  <c r="H290" i="2"/>
  <c r="I290" i="2"/>
  <c r="J290" i="2"/>
  <c r="K290" i="2"/>
  <c r="L290" i="2"/>
  <c r="M290" i="2"/>
  <c r="N290" i="2"/>
  <c r="O290" i="2"/>
  <c r="B291" i="2"/>
  <c r="C291" i="2"/>
  <c r="D291" i="2"/>
  <c r="E291" i="2"/>
  <c r="F291" i="2"/>
  <c r="G291" i="2"/>
  <c r="H291" i="2"/>
  <c r="I291" i="2"/>
  <c r="J291" i="2"/>
  <c r="K291" i="2"/>
  <c r="L291" i="2"/>
  <c r="M291" i="2"/>
  <c r="N291" i="2"/>
  <c r="O291" i="2"/>
  <c r="B292" i="2"/>
  <c r="C292" i="2"/>
  <c r="D292" i="2"/>
  <c r="E292" i="2"/>
  <c r="F292" i="2"/>
  <c r="G292" i="2"/>
  <c r="H292" i="2"/>
  <c r="I292" i="2"/>
  <c r="J292" i="2"/>
  <c r="K292" i="2"/>
  <c r="L292" i="2"/>
  <c r="M292" i="2"/>
  <c r="N292" i="2"/>
  <c r="O292" i="2"/>
  <c r="B293" i="2"/>
  <c r="C293" i="2"/>
  <c r="D293" i="2"/>
  <c r="E293" i="2"/>
  <c r="F293" i="2"/>
  <c r="G293" i="2"/>
  <c r="H293" i="2"/>
  <c r="I293" i="2"/>
  <c r="J293" i="2"/>
  <c r="K293" i="2"/>
  <c r="L293" i="2"/>
  <c r="M293" i="2"/>
  <c r="N293" i="2"/>
  <c r="O293" i="2"/>
  <c r="B294" i="2"/>
  <c r="C294" i="2"/>
  <c r="D294" i="2"/>
  <c r="E294" i="2"/>
  <c r="F294" i="2"/>
  <c r="G294" i="2"/>
  <c r="H294" i="2"/>
  <c r="I294" i="2"/>
  <c r="J294" i="2"/>
  <c r="K294" i="2"/>
  <c r="L294" i="2"/>
  <c r="M294" i="2"/>
  <c r="N294" i="2"/>
  <c r="O294" i="2"/>
  <c r="B295" i="2"/>
  <c r="C295" i="2"/>
  <c r="D295" i="2"/>
  <c r="E295" i="2"/>
  <c r="F295" i="2"/>
  <c r="G295" i="2"/>
  <c r="H295" i="2"/>
  <c r="I295" i="2"/>
  <c r="J295" i="2"/>
  <c r="K295" i="2"/>
  <c r="L295" i="2"/>
  <c r="M295" i="2"/>
  <c r="N295" i="2"/>
  <c r="O295" i="2"/>
  <c r="B296" i="2"/>
  <c r="C296" i="2"/>
  <c r="D296" i="2"/>
  <c r="E296" i="2"/>
  <c r="F296" i="2"/>
  <c r="G296" i="2"/>
  <c r="H296" i="2"/>
  <c r="I296" i="2"/>
  <c r="J296" i="2"/>
  <c r="K296" i="2"/>
  <c r="L296" i="2"/>
  <c r="M296" i="2"/>
  <c r="N296" i="2"/>
  <c r="O296" i="2"/>
  <c r="B297" i="2"/>
  <c r="C297" i="2"/>
  <c r="D297" i="2"/>
  <c r="E297" i="2"/>
  <c r="F297" i="2"/>
  <c r="G297" i="2"/>
  <c r="H297" i="2"/>
  <c r="I297" i="2"/>
  <c r="J297" i="2"/>
  <c r="K297" i="2"/>
  <c r="L297" i="2"/>
  <c r="M297" i="2"/>
  <c r="N297" i="2"/>
  <c r="O297" i="2"/>
  <c r="B298" i="2"/>
  <c r="C298" i="2"/>
  <c r="D298" i="2"/>
  <c r="E298" i="2"/>
  <c r="F298" i="2"/>
  <c r="G298" i="2"/>
  <c r="H298" i="2"/>
  <c r="I298" i="2"/>
  <c r="J298" i="2"/>
  <c r="K298" i="2"/>
  <c r="L298" i="2"/>
  <c r="M298" i="2"/>
  <c r="N298" i="2"/>
  <c r="O298" i="2"/>
  <c r="B299" i="2"/>
  <c r="C299" i="2"/>
  <c r="D299" i="2"/>
  <c r="E299" i="2"/>
  <c r="F299" i="2"/>
  <c r="G299" i="2"/>
  <c r="H299" i="2"/>
  <c r="I299" i="2"/>
  <c r="J299" i="2"/>
  <c r="K299" i="2"/>
  <c r="L299" i="2"/>
  <c r="M299" i="2"/>
  <c r="N299" i="2"/>
  <c r="O299" i="2"/>
  <c r="B300" i="2"/>
  <c r="C300" i="2"/>
  <c r="D300" i="2"/>
  <c r="E300" i="2"/>
  <c r="F300" i="2"/>
  <c r="G300" i="2"/>
  <c r="H300" i="2"/>
  <c r="I300" i="2"/>
  <c r="J300" i="2"/>
  <c r="K300" i="2"/>
  <c r="L300" i="2"/>
  <c r="M300" i="2"/>
  <c r="N300" i="2"/>
  <c r="O300" i="2"/>
  <c r="B301" i="2"/>
  <c r="C301" i="2"/>
  <c r="D301" i="2"/>
  <c r="E301" i="2"/>
  <c r="F301" i="2"/>
  <c r="G301" i="2"/>
  <c r="H301" i="2"/>
  <c r="I301" i="2"/>
  <c r="J301" i="2"/>
  <c r="K301" i="2"/>
  <c r="L301" i="2"/>
  <c r="M301" i="2"/>
  <c r="N301" i="2"/>
  <c r="O301" i="2"/>
  <c r="B302" i="2"/>
  <c r="C302" i="2"/>
  <c r="D302" i="2"/>
  <c r="E302" i="2"/>
  <c r="F302" i="2"/>
  <c r="G302" i="2"/>
  <c r="H302" i="2"/>
  <c r="I302" i="2"/>
  <c r="J302" i="2"/>
  <c r="K302" i="2"/>
  <c r="L302" i="2"/>
  <c r="M302" i="2"/>
  <c r="N302" i="2"/>
  <c r="O302" i="2"/>
  <c r="B303" i="2"/>
  <c r="C303" i="2"/>
  <c r="D303" i="2"/>
  <c r="E303" i="2"/>
  <c r="F303" i="2"/>
  <c r="G303" i="2"/>
  <c r="H303" i="2"/>
  <c r="I303" i="2"/>
  <c r="J303" i="2"/>
  <c r="K303" i="2"/>
  <c r="L303" i="2"/>
  <c r="M303" i="2"/>
  <c r="N303" i="2"/>
  <c r="O303" i="2"/>
  <c r="B304" i="2"/>
  <c r="C304" i="2"/>
  <c r="D304" i="2"/>
  <c r="E304" i="2"/>
  <c r="F304" i="2"/>
  <c r="G304" i="2"/>
  <c r="H304" i="2"/>
  <c r="I304" i="2"/>
  <c r="J304" i="2"/>
  <c r="K304" i="2"/>
  <c r="L304" i="2"/>
  <c r="M304" i="2"/>
  <c r="N304" i="2"/>
  <c r="O304" i="2"/>
  <c r="B305" i="2"/>
  <c r="C305" i="2"/>
  <c r="D305" i="2"/>
  <c r="E305" i="2"/>
  <c r="F305" i="2"/>
  <c r="G305" i="2"/>
  <c r="H305" i="2"/>
  <c r="I305" i="2"/>
  <c r="J305" i="2"/>
  <c r="K305" i="2"/>
  <c r="L305" i="2"/>
  <c r="M305" i="2"/>
  <c r="N305" i="2"/>
  <c r="O305" i="2"/>
  <c r="B306" i="2"/>
  <c r="C306" i="2"/>
  <c r="D306" i="2"/>
  <c r="E306" i="2"/>
  <c r="F306" i="2"/>
  <c r="G306" i="2"/>
  <c r="H306" i="2"/>
  <c r="I306" i="2"/>
  <c r="J306" i="2"/>
  <c r="K306" i="2"/>
  <c r="L306" i="2"/>
  <c r="M306" i="2"/>
  <c r="N306" i="2"/>
  <c r="O306" i="2"/>
  <c r="B307" i="2"/>
  <c r="C307" i="2"/>
  <c r="D307" i="2"/>
  <c r="E307" i="2"/>
  <c r="F307" i="2"/>
  <c r="G307" i="2"/>
  <c r="H307" i="2"/>
  <c r="I307" i="2"/>
  <c r="J307" i="2"/>
  <c r="K307" i="2"/>
  <c r="L307" i="2"/>
  <c r="M307" i="2"/>
  <c r="N307" i="2"/>
  <c r="O307" i="2"/>
  <c r="B308" i="2"/>
  <c r="C308" i="2"/>
  <c r="D308" i="2"/>
  <c r="E308" i="2"/>
  <c r="F308" i="2"/>
  <c r="G308" i="2"/>
  <c r="H308" i="2"/>
  <c r="I308" i="2"/>
  <c r="J308" i="2"/>
  <c r="K308" i="2"/>
  <c r="L308" i="2"/>
  <c r="M308" i="2"/>
  <c r="N308" i="2"/>
  <c r="O308" i="2"/>
  <c r="B309" i="2"/>
  <c r="C309" i="2"/>
  <c r="D309" i="2"/>
  <c r="E309" i="2"/>
  <c r="F309" i="2"/>
  <c r="G309" i="2"/>
  <c r="H309" i="2"/>
  <c r="I309" i="2"/>
  <c r="J309" i="2"/>
  <c r="K309" i="2"/>
  <c r="L309" i="2"/>
  <c r="M309" i="2"/>
  <c r="N309" i="2"/>
  <c r="O309" i="2"/>
  <c r="B310" i="2"/>
  <c r="C310" i="2"/>
  <c r="D310" i="2"/>
  <c r="E310" i="2"/>
  <c r="F310" i="2"/>
  <c r="G310" i="2"/>
  <c r="H310" i="2"/>
  <c r="I310" i="2"/>
  <c r="J310" i="2"/>
  <c r="K310" i="2"/>
  <c r="L310" i="2"/>
  <c r="M310" i="2"/>
  <c r="N310" i="2"/>
  <c r="O310" i="2"/>
  <c r="B311" i="2"/>
  <c r="C311" i="2"/>
  <c r="D311" i="2"/>
  <c r="E311" i="2"/>
  <c r="F311" i="2"/>
  <c r="G311" i="2"/>
  <c r="H311" i="2"/>
  <c r="I311" i="2"/>
  <c r="J311" i="2"/>
  <c r="K311" i="2"/>
  <c r="L311" i="2"/>
  <c r="M311" i="2"/>
  <c r="N311" i="2"/>
  <c r="O311" i="2"/>
  <c r="B312" i="2"/>
  <c r="C312" i="2"/>
  <c r="D312" i="2"/>
  <c r="E312" i="2"/>
  <c r="F312" i="2"/>
  <c r="G312" i="2"/>
  <c r="H312" i="2"/>
  <c r="I312" i="2"/>
  <c r="J312" i="2"/>
  <c r="K312" i="2"/>
  <c r="L312" i="2"/>
  <c r="M312" i="2"/>
  <c r="N312" i="2"/>
  <c r="O312" i="2"/>
  <c r="B313" i="2"/>
  <c r="C313" i="2"/>
  <c r="D313" i="2"/>
  <c r="E313" i="2"/>
  <c r="F313" i="2"/>
  <c r="G313" i="2"/>
  <c r="H313" i="2"/>
  <c r="I313" i="2"/>
  <c r="J313" i="2"/>
  <c r="K313" i="2"/>
  <c r="L313" i="2"/>
  <c r="M313" i="2"/>
  <c r="N313" i="2"/>
  <c r="O313" i="2"/>
  <c r="B314" i="2"/>
  <c r="C314" i="2"/>
  <c r="D314" i="2"/>
  <c r="E314" i="2"/>
  <c r="F314" i="2"/>
  <c r="G314" i="2"/>
  <c r="H314" i="2"/>
  <c r="I314" i="2"/>
  <c r="J314" i="2"/>
  <c r="K314" i="2"/>
  <c r="L314" i="2"/>
  <c r="M314" i="2"/>
  <c r="N314" i="2"/>
  <c r="O314" i="2"/>
  <c r="B315" i="2"/>
  <c r="C315" i="2"/>
  <c r="D315" i="2"/>
  <c r="E315" i="2"/>
  <c r="F315" i="2"/>
  <c r="G315" i="2"/>
  <c r="H315" i="2"/>
  <c r="I315" i="2"/>
  <c r="J315" i="2"/>
  <c r="K315" i="2"/>
  <c r="L315" i="2"/>
  <c r="M315" i="2"/>
  <c r="N315" i="2"/>
  <c r="O315" i="2"/>
  <c r="B316" i="2"/>
  <c r="C316" i="2"/>
  <c r="D316" i="2"/>
  <c r="E316" i="2"/>
  <c r="F316" i="2"/>
  <c r="G316" i="2"/>
  <c r="H316" i="2"/>
  <c r="I316" i="2"/>
  <c r="J316" i="2"/>
  <c r="K316" i="2"/>
  <c r="L316" i="2"/>
  <c r="M316" i="2"/>
  <c r="N316" i="2"/>
  <c r="O316" i="2"/>
  <c r="B317" i="2"/>
  <c r="C317" i="2"/>
  <c r="D317" i="2"/>
  <c r="E317" i="2"/>
  <c r="F317" i="2"/>
  <c r="G317" i="2"/>
  <c r="H317" i="2"/>
  <c r="I317" i="2"/>
  <c r="J317" i="2"/>
  <c r="K317" i="2"/>
  <c r="L317" i="2"/>
  <c r="M317" i="2"/>
  <c r="N317" i="2"/>
  <c r="O317" i="2"/>
  <c r="B318" i="2"/>
  <c r="C318" i="2"/>
  <c r="D318" i="2"/>
  <c r="E318" i="2"/>
  <c r="F318" i="2"/>
  <c r="G318" i="2"/>
  <c r="H318" i="2"/>
  <c r="I318" i="2"/>
  <c r="J318" i="2"/>
  <c r="K318" i="2"/>
  <c r="L318" i="2"/>
  <c r="M318" i="2"/>
  <c r="N318" i="2"/>
  <c r="O318" i="2"/>
  <c r="B319" i="2"/>
  <c r="C319" i="2"/>
  <c r="D319" i="2"/>
  <c r="E319" i="2"/>
  <c r="F319" i="2"/>
  <c r="G319" i="2"/>
  <c r="H319" i="2"/>
  <c r="I319" i="2"/>
  <c r="J319" i="2"/>
  <c r="K319" i="2"/>
  <c r="L319" i="2"/>
  <c r="M319" i="2"/>
  <c r="N319" i="2"/>
  <c r="O319" i="2"/>
  <c r="B320" i="2"/>
  <c r="C320" i="2"/>
  <c r="D320" i="2"/>
  <c r="E320" i="2"/>
  <c r="F320" i="2"/>
  <c r="G320" i="2"/>
  <c r="H320" i="2"/>
  <c r="I320" i="2"/>
  <c r="J320" i="2"/>
  <c r="K320" i="2"/>
  <c r="L320" i="2"/>
  <c r="M320" i="2"/>
  <c r="N320" i="2"/>
  <c r="O320" i="2"/>
  <c r="B321" i="2"/>
  <c r="C321" i="2"/>
  <c r="D321" i="2"/>
  <c r="E321" i="2"/>
  <c r="F321" i="2"/>
  <c r="G321" i="2"/>
  <c r="H321" i="2"/>
  <c r="I321" i="2"/>
  <c r="J321" i="2"/>
  <c r="K321" i="2"/>
  <c r="L321" i="2"/>
  <c r="M321" i="2"/>
  <c r="N321" i="2"/>
  <c r="O321" i="2"/>
  <c r="B322" i="2"/>
  <c r="C322" i="2"/>
  <c r="D322" i="2"/>
  <c r="E322" i="2"/>
  <c r="F322" i="2"/>
  <c r="G322" i="2"/>
  <c r="H322" i="2"/>
  <c r="I322" i="2"/>
  <c r="J322" i="2"/>
  <c r="K322" i="2"/>
  <c r="L322" i="2"/>
  <c r="M322" i="2"/>
  <c r="N322" i="2"/>
  <c r="O322" i="2"/>
  <c r="B323" i="2"/>
  <c r="C323" i="2"/>
  <c r="D323" i="2"/>
  <c r="E323" i="2"/>
  <c r="F323" i="2"/>
  <c r="G323" i="2"/>
  <c r="H323" i="2"/>
  <c r="I323" i="2"/>
  <c r="J323" i="2"/>
  <c r="K323" i="2"/>
  <c r="L323" i="2"/>
  <c r="M323" i="2"/>
  <c r="N323" i="2"/>
  <c r="O323" i="2"/>
  <c r="B324" i="2"/>
  <c r="C324" i="2"/>
  <c r="D324" i="2"/>
  <c r="E324" i="2"/>
  <c r="F324" i="2"/>
  <c r="G324" i="2"/>
  <c r="H324" i="2"/>
  <c r="I324" i="2"/>
  <c r="J324" i="2"/>
  <c r="K324" i="2"/>
  <c r="L324" i="2"/>
  <c r="M324" i="2"/>
  <c r="N324" i="2"/>
  <c r="O324" i="2"/>
  <c r="B325" i="2"/>
  <c r="C325" i="2"/>
  <c r="D325" i="2"/>
  <c r="E325" i="2"/>
  <c r="F325" i="2"/>
  <c r="G325" i="2"/>
  <c r="H325" i="2"/>
  <c r="I325" i="2"/>
  <c r="J325" i="2"/>
  <c r="K325" i="2"/>
  <c r="L325" i="2"/>
  <c r="M325" i="2"/>
  <c r="N325" i="2"/>
  <c r="O325" i="2"/>
  <c r="B326" i="2"/>
  <c r="C326" i="2"/>
  <c r="D326" i="2"/>
  <c r="E326" i="2"/>
  <c r="F326" i="2"/>
  <c r="G326" i="2"/>
  <c r="H326" i="2"/>
  <c r="I326" i="2"/>
  <c r="J326" i="2"/>
  <c r="K326" i="2"/>
  <c r="L326" i="2"/>
  <c r="M326" i="2"/>
  <c r="N326" i="2"/>
  <c r="O326" i="2"/>
  <c r="B327" i="2"/>
  <c r="C327" i="2"/>
  <c r="D327" i="2"/>
  <c r="E327" i="2"/>
  <c r="F327" i="2"/>
  <c r="G327" i="2"/>
  <c r="H327" i="2"/>
  <c r="I327" i="2"/>
  <c r="J327" i="2"/>
  <c r="K327" i="2"/>
  <c r="L327" i="2"/>
  <c r="M327" i="2"/>
  <c r="N327" i="2"/>
  <c r="O327" i="2"/>
  <c r="B328" i="2"/>
  <c r="C328" i="2"/>
  <c r="D328" i="2"/>
  <c r="E328" i="2"/>
  <c r="F328" i="2"/>
  <c r="G328" i="2"/>
  <c r="H328" i="2"/>
  <c r="I328" i="2"/>
  <c r="J328" i="2"/>
  <c r="K328" i="2"/>
  <c r="L328" i="2"/>
  <c r="M328" i="2"/>
  <c r="N328" i="2"/>
  <c r="O328" i="2"/>
  <c r="B329" i="2"/>
  <c r="C329" i="2"/>
  <c r="D329" i="2"/>
  <c r="E329" i="2"/>
  <c r="F329" i="2"/>
  <c r="G329" i="2"/>
  <c r="H329" i="2"/>
  <c r="I329" i="2"/>
  <c r="J329" i="2"/>
  <c r="K329" i="2"/>
  <c r="L329" i="2"/>
  <c r="M329" i="2"/>
  <c r="N329" i="2"/>
  <c r="O329" i="2"/>
  <c r="B330" i="2"/>
  <c r="C330" i="2"/>
  <c r="D330" i="2"/>
  <c r="E330" i="2"/>
  <c r="F330" i="2"/>
  <c r="G330" i="2"/>
  <c r="H330" i="2"/>
  <c r="I330" i="2"/>
  <c r="J330" i="2"/>
  <c r="K330" i="2"/>
  <c r="L330" i="2"/>
  <c r="M330" i="2"/>
  <c r="N330" i="2"/>
  <c r="O330" i="2"/>
  <c r="B331" i="2"/>
  <c r="C331" i="2"/>
  <c r="D331" i="2"/>
  <c r="E331" i="2"/>
  <c r="F331" i="2"/>
  <c r="G331" i="2"/>
  <c r="H331" i="2"/>
  <c r="I331" i="2"/>
  <c r="J331" i="2"/>
  <c r="K331" i="2"/>
  <c r="L331" i="2"/>
  <c r="M331" i="2"/>
  <c r="N331" i="2"/>
  <c r="O331" i="2"/>
  <c r="B332" i="2"/>
  <c r="C332" i="2"/>
  <c r="D332" i="2"/>
  <c r="E332" i="2"/>
  <c r="F332" i="2"/>
  <c r="G332" i="2"/>
  <c r="H332" i="2"/>
  <c r="I332" i="2"/>
  <c r="J332" i="2"/>
  <c r="K332" i="2"/>
  <c r="L332" i="2"/>
  <c r="M332" i="2"/>
  <c r="N332" i="2"/>
  <c r="O332" i="2"/>
  <c r="B333" i="2"/>
  <c r="C333" i="2"/>
  <c r="D333" i="2"/>
  <c r="E333" i="2"/>
  <c r="F333" i="2"/>
  <c r="G333" i="2"/>
  <c r="H333" i="2"/>
  <c r="I333" i="2"/>
  <c r="J333" i="2"/>
  <c r="K333" i="2"/>
  <c r="L333" i="2"/>
  <c r="M333" i="2"/>
  <c r="N333" i="2"/>
  <c r="O333" i="2"/>
  <c r="B334" i="2"/>
  <c r="C334" i="2"/>
  <c r="D334" i="2"/>
  <c r="E334" i="2"/>
  <c r="F334" i="2"/>
  <c r="G334" i="2"/>
  <c r="H334" i="2"/>
  <c r="I334" i="2"/>
  <c r="J334" i="2"/>
  <c r="K334" i="2"/>
  <c r="L334" i="2"/>
  <c r="M334" i="2"/>
  <c r="N334" i="2"/>
  <c r="O334" i="2"/>
  <c r="B335" i="2"/>
  <c r="C335" i="2"/>
  <c r="D335" i="2"/>
  <c r="E335" i="2"/>
  <c r="F335" i="2"/>
  <c r="G335" i="2"/>
  <c r="H335" i="2"/>
  <c r="I335" i="2"/>
  <c r="J335" i="2"/>
  <c r="K335" i="2"/>
  <c r="L335" i="2"/>
  <c r="M335" i="2"/>
  <c r="N335" i="2"/>
  <c r="O335" i="2"/>
  <c r="B336" i="2"/>
  <c r="C336" i="2"/>
  <c r="D336" i="2"/>
  <c r="E336" i="2"/>
  <c r="F336" i="2"/>
  <c r="G336" i="2"/>
  <c r="H336" i="2"/>
  <c r="I336" i="2"/>
  <c r="J336" i="2"/>
  <c r="K336" i="2"/>
  <c r="L336" i="2"/>
  <c r="M336" i="2"/>
  <c r="N336" i="2"/>
  <c r="O336" i="2"/>
  <c r="B337" i="2"/>
  <c r="C337" i="2"/>
  <c r="D337" i="2"/>
  <c r="E337" i="2"/>
  <c r="F337" i="2"/>
  <c r="G337" i="2"/>
  <c r="H337" i="2"/>
  <c r="I337" i="2"/>
  <c r="J337" i="2"/>
  <c r="K337" i="2"/>
  <c r="L337" i="2"/>
  <c r="M337" i="2"/>
  <c r="N337" i="2"/>
  <c r="O337" i="2"/>
  <c r="B338" i="2"/>
  <c r="C338" i="2"/>
  <c r="D338" i="2"/>
  <c r="E338" i="2"/>
  <c r="F338" i="2"/>
  <c r="G338" i="2"/>
  <c r="H338" i="2"/>
  <c r="I338" i="2"/>
  <c r="J338" i="2"/>
  <c r="K338" i="2"/>
  <c r="L338" i="2"/>
  <c r="M338" i="2"/>
  <c r="N338" i="2"/>
  <c r="O338" i="2"/>
  <c r="B339" i="2"/>
  <c r="C339" i="2"/>
  <c r="D339" i="2"/>
  <c r="E339" i="2"/>
  <c r="F339" i="2"/>
  <c r="G339" i="2"/>
  <c r="H339" i="2"/>
  <c r="I339" i="2"/>
  <c r="J339" i="2"/>
  <c r="K339" i="2"/>
  <c r="L339" i="2"/>
  <c r="M339" i="2"/>
  <c r="N339" i="2"/>
  <c r="O339" i="2"/>
  <c r="B340" i="2"/>
  <c r="C340" i="2"/>
  <c r="D340" i="2"/>
  <c r="E340" i="2"/>
  <c r="F340" i="2"/>
  <c r="G340" i="2"/>
  <c r="H340" i="2"/>
  <c r="I340" i="2"/>
  <c r="J340" i="2"/>
  <c r="K340" i="2"/>
  <c r="L340" i="2"/>
  <c r="M340" i="2"/>
  <c r="N340" i="2"/>
  <c r="O340" i="2"/>
  <c r="B341" i="2"/>
  <c r="C341" i="2"/>
  <c r="D341" i="2"/>
  <c r="E341" i="2"/>
  <c r="F341" i="2"/>
  <c r="G341" i="2"/>
  <c r="H341" i="2"/>
  <c r="I341" i="2"/>
  <c r="J341" i="2"/>
  <c r="K341" i="2"/>
  <c r="L341" i="2"/>
  <c r="M341" i="2"/>
  <c r="N341" i="2"/>
  <c r="O341" i="2"/>
  <c r="B342" i="2"/>
  <c r="C342" i="2"/>
  <c r="D342" i="2"/>
  <c r="E342" i="2"/>
  <c r="F342" i="2"/>
  <c r="G342" i="2"/>
  <c r="H342" i="2"/>
  <c r="I342" i="2"/>
  <c r="J342" i="2"/>
  <c r="K342" i="2"/>
  <c r="L342" i="2"/>
  <c r="M342" i="2"/>
  <c r="N342" i="2"/>
  <c r="O342" i="2"/>
  <c r="B343" i="2"/>
  <c r="C343" i="2"/>
  <c r="D343" i="2"/>
  <c r="E343" i="2"/>
  <c r="F343" i="2"/>
  <c r="G343" i="2"/>
  <c r="H343" i="2"/>
  <c r="I343" i="2"/>
  <c r="J343" i="2"/>
  <c r="K343" i="2"/>
  <c r="L343" i="2"/>
  <c r="M343" i="2"/>
  <c r="N343" i="2"/>
  <c r="O343" i="2"/>
  <c r="B344" i="2"/>
  <c r="C344" i="2"/>
  <c r="D344" i="2"/>
  <c r="E344" i="2"/>
  <c r="F344" i="2"/>
  <c r="G344" i="2"/>
  <c r="H344" i="2"/>
  <c r="I344" i="2"/>
  <c r="J344" i="2"/>
  <c r="K344" i="2"/>
  <c r="L344" i="2"/>
  <c r="M344" i="2"/>
  <c r="N344" i="2"/>
  <c r="O344" i="2"/>
  <c r="B345" i="2"/>
  <c r="C345" i="2"/>
  <c r="D345" i="2"/>
  <c r="E345" i="2"/>
  <c r="F345" i="2"/>
  <c r="G345" i="2"/>
  <c r="H345" i="2"/>
  <c r="I345" i="2"/>
  <c r="J345" i="2"/>
  <c r="K345" i="2"/>
  <c r="L345" i="2"/>
  <c r="M345" i="2"/>
  <c r="N345" i="2"/>
  <c r="O345" i="2"/>
  <c r="B346" i="2"/>
  <c r="C346" i="2"/>
  <c r="D346" i="2"/>
  <c r="E346" i="2"/>
  <c r="F346" i="2"/>
  <c r="G346" i="2"/>
  <c r="H346" i="2"/>
  <c r="I346" i="2"/>
  <c r="J346" i="2"/>
  <c r="K346" i="2"/>
  <c r="L346" i="2"/>
  <c r="M346" i="2"/>
  <c r="N346" i="2"/>
  <c r="O346" i="2"/>
  <c r="B347" i="2"/>
  <c r="C347" i="2"/>
  <c r="D347" i="2"/>
  <c r="E347" i="2"/>
  <c r="F347" i="2"/>
  <c r="G347" i="2"/>
  <c r="H347" i="2"/>
  <c r="I347" i="2"/>
  <c r="J347" i="2"/>
  <c r="K347" i="2"/>
  <c r="L347" i="2"/>
  <c r="M347" i="2"/>
  <c r="N347" i="2"/>
  <c r="O347" i="2"/>
  <c r="B348" i="2"/>
  <c r="C348" i="2"/>
  <c r="D348" i="2"/>
  <c r="E348" i="2"/>
  <c r="F348" i="2"/>
  <c r="G348" i="2"/>
  <c r="H348" i="2"/>
  <c r="I348" i="2"/>
  <c r="J348" i="2"/>
  <c r="K348" i="2"/>
  <c r="L348" i="2"/>
  <c r="M348" i="2"/>
  <c r="N348" i="2"/>
  <c r="O348" i="2"/>
  <c r="B349" i="2"/>
  <c r="C349" i="2"/>
  <c r="D349" i="2"/>
  <c r="E349" i="2"/>
  <c r="F349" i="2"/>
  <c r="G349" i="2"/>
  <c r="H349" i="2"/>
  <c r="I349" i="2"/>
  <c r="J349" i="2"/>
  <c r="K349" i="2"/>
  <c r="L349" i="2"/>
  <c r="M349" i="2"/>
  <c r="N349" i="2"/>
  <c r="O349" i="2"/>
  <c r="B350" i="2"/>
  <c r="C350" i="2"/>
  <c r="D350" i="2"/>
  <c r="E350" i="2"/>
  <c r="F350" i="2"/>
  <c r="G350" i="2"/>
  <c r="H350" i="2"/>
  <c r="I350" i="2"/>
  <c r="J350" i="2"/>
  <c r="K350" i="2"/>
  <c r="L350" i="2"/>
  <c r="M350" i="2"/>
  <c r="N350" i="2"/>
  <c r="O350" i="2"/>
  <c r="B351" i="2"/>
  <c r="C351" i="2"/>
  <c r="D351" i="2"/>
  <c r="E351" i="2"/>
  <c r="F351" i="2"/>
  <c r="G351" i="2"/>
  <c r="H351" i="2"/>
  <c r="I351" i="2"/>
  <c r="J351" i="2"/>
  <c r="K351" i="2"/>
  <c r="L351" i="2"/>
  <c r="M351" i="2"/>
  <c r="N351" i="2"/>
  <c r="O351" i="2"/>
  <c r="B352" i="2"/>
  <c r="C352" i="2"/>
  <c r="D352" i="2"/>
  <c r="E352" i="2"/>
  <c r="F352" i="2"/>
  <c r="G352" i="2"/>
  <c r="H352" i="2"/>
  <c r="I352" i="2"/>
  <c r="J352" i="2"/>
  <c r="K352" i="2"/>
  <c r="L352" i="2"/>
  <c r="M352" i="2"/>
  <c r="N352" i="2"/>
  <c r="O352" i="2"/>
  <c r="B353" i="2"/>
  <c r="C353" i="2"/>
  <c r="D353" i="2"/>
  <c r="E353" i="2"/>
  <c r="F353" i="2"/>
  <c r="G353" i="2"/>
  <c r="H353" i="2"/>
  <c r="I353" i="2"/>
  <c r="J353" i="2"/>
  <c r="K353" i="2"/>
  <c r="L353" i="2"/>
  <c r="M353" i="2"/>
  <c r="N353" i="2"/>
  <c r="O353" i="2"/>
  <c r="B354" i="2"/>
  <c r="C354" i="2"/>
  <c r="D354" i="2"/>
  <c r="E354" i="2"/>
  <c r="F354" i="2"/>
  <c r="G354" i="2"/>
  <c r="H354" i="2"/>
  <c r="I354" i="2"/>
  <c r="J354" i="2"/>
  <c r="K354" i="2"/>
  <c r="L354" i="2"/>
  <c r="M354" i="2"/>
  <c r="N354" i="2"/>
  <c r="O354" i="2"/>
  <c r="B355" i="2"/>
  <c r="C355" i="2"/>
  <c r="D355" i="2"/>
  <c r="E355" i="2"/>
  <c r="F355" i="2"/>
  <c r="G355" i="2"/>
  <c r="H355" i="2"/>
  <c r="I355" i="2"/>
  <c r="J355" i="2"/>
  <c r="K355" i="2"/>
  <c r="L355" i="2"/>
  <c r="M355" i="2"/>
  <c r="N355" i="2"/>
  <c r="O355" i="2"/>
  <c r="B356" i="2"/>
  <c r="C356" i="2"/>
  <c r="D356" i="2"/>
  <c r="E356" i="2"/>
  <c r="F356" i="2"/>
  <c r="G356" i="2"/>
  <c r="H356" i="2"/>
  <c r="I356" i="2"/>
  <c r="J356" i="2"/>
  <c r="K356" i="2"/>
  <c r="L356" i="2"/>
  <c r="M356" i="2"/>
  <c r="N356" i="2"/>
  <c r="O356" i="2"/>
  <c r="B357" i="2"/>
  <c r="C357" i="2"/>
  <c r="D357" i="2"/>
  <c r="E357" i="2"/>
  <c r="F357" i="2"/>
  <c r="G357" i="2"/>
  <c r="H357" i="2"/>
  <c r="I357" i="2"/>
  <c r="J357" i="2"/>
  <c r="K357" i="2"/>
  <c r="L357" i="2"/>
  <c r="M357" i="2"/>
  <c r="N357" i="2"/>
  <c r="O357" i="2"/>
  <c r="B358" i="2"/>
  <c r="C358" i="2"/>
  <c r="D358" i="2"/>
  <c r="E358" i="2"/>
  <c r="F358" i="2"/>
  <c r="G358" i="2"/>
  <c r="H358" i="2"/>
  <c r="I358" i="2"/>
  <c r="J358" i="2"/>
  <c r="K358" i="2"/>
  <c r="L358" i="2"/>
  <c r="M358" i="2"/>
  <c r="N358" i="2"/>
  <c r="O358" i="2"/>
  <c r="B359" i="2"/>
  <c r="C359" i="2"/>
  <c r="D359" i="2"/>
  <c r="E359" i="2"/>
  <c r="F359" i="2"/>
  <c r="G359" i="2"/>
  <c r="H359" i="2"/>
  <c r="I359" i="2"/>
  <c r="J359" i="2"/>
  <c r="K359" i="2"/>
  <c r="L359" i="2"/>
  <c r="M359" i="2"/>
  <c r="N359" i="2"/>
  <c r="O359" i="2"/>
  <c r="B360" i="2"/>
  <c r="C360" i="2"/>
  <c r="D360" i="2"/>
  <c r="E360" i="2"/>
  <c r="F360" i="2"/>
  <c r="G360" i="2"/>
  <c r="H360" i="2"/>
  <c r="I360" i="2"/>
  <c r="J360" i="2"/>
  <c r="K360" i="2"/>
  <c r="L360" i="2"/>
  <c r="M360" i="2"/>
  <c r="N360" i="2"/>
  <c r="O360" i="2"/>
  <c r="B361" i="2"/>
  <c r="C361" i="2"/>
  <c r="D361" i="2"/>
  <c r="E361" i="2"/>
  <c r="F361" i="2"/>
  <c r="G361" i="2"/>
  <c r="H361" i="2"/>
  <c r="I361" i="2"/>
  <c r="J361" i="2"/>
  <c r="K361" i="2"/>
  <c r="L361" i="2"/>
  <c r="M361" i="2"/>
  <c r="N361" i="2"/>
  <c r="O361" i="2"/>
  <c r="B362" i="2"/>
  <c r="C362" i="2"/>
  <c r="D362" i="2"/>
  <c r="E362" i="2"/>
  <c r="F362" i="2"/>
  <c r="G362" i="2"/>
  <c r="H362" i="2"/>
  <c r="I362" i="2"/>
  <c r="J362" i="2"/>
  <c r="K362" i="2"/>
  <c r="L362" i="2"/>
  <c r="M362" i="2"/>
  <c r="N362" i="2"/>
  <c r="O362" i="2"/>
  <c r="B363" i="2"/>
  <c r="C363" i="2"/>
  <c r="D363" i="2"/>
  <c r="E363" i="2"/>
  <c r="F363" i="2"/>
  <c r="G363" i="2"/>
  <c r="H363" i="2"/>
  <c r="I363" i="2"/>
  <c r="J363" i="2"/>
  <c r="K363" i="2"/>
  <c r="L363" i="2"/>
  <c r="M363" i="2"/>
  <c r="N363" i="2"/>
  <c r="O363" i="2"/>
  <c r="B364" i="2"/>
  <c r="C364" i="2"/>
  <c r="D364" i="2"/>
  <c r="E364" i="2"/>
  <c r="F364" i="2"/>
  <c r="G364" i="2"/>
  <c r="H364" i="2"/>
  <c r="I364" i="2"/>
  <c r="J364" i="2"/>
  <c r="K364" i="2"/>
  <c r="L364" i="2"/>
  <c r="M364" i="2"/>
  <c r="N364" i="2"/>
  <c r="O364" i="2"/>
  <c r="B365" i="2"/>
  <c r="C365" i="2"/>
  <c r="D365" i="2"/>
  <c r="E365" i="2"/>
  <c r="F365" i="2"/>
  <c r="G365" i="2"/>
  <c r="H365" i="2"/>
  <c r="I365" i="2"/>
  <c r="J365" i="2"/>
  <c r="K365" i="2"/>
  <c r="L365" i="2"/>
  <c r="M365" i="2"/>
  <c r="N365" i="2"/>
  <c r="O365" i="2"/>
  <c r="B366" i="2"/>
  <c r="C366" i="2"/>
  <c r="D366" i="2"/>
  <c r="E366" i="2"/>
  <c r="F366" i="2"/>
  <c r="G366" i="2"/>
  <c r="H366" i="2"/>
  <c r="I366" i="2"/>
  <c r="J366" i="2"/>
  <c r="K366" i="2"/>
  <c r="L366" i="2"/>
  <c r="M366" i="2"/>
  <c r="N366" i="2"/>
  <c r="O366" i="2"/>
  <c r="B367" i="2"/>
  <c r="C367" i="2"/>
  <c r="D367" i="2"/>
  <c r="E367" i="2"/>
  <c r="F367" i="2"/>
  <c r="G367" i="2"/>
  <c r="H367" i="2"/>
  <c r="I367" i="2"/>
  <c r="J367" i="2"/>
  <c r="K367" i="2"/>
  <c r="L367" i="2"/>
  <c r="M367" i="2"/>
  <c r="N367" i="2"/>
  <c r="O367" i="2"/>
  <c r="B368" i="2"/>
  <c r="C368" i="2"/>
  <c r="D368" i="2"/>
  <c r="E368" i="2"/>
  <c r="F368" i="2"/>
  <c r="G368" i="2"/>
  <c r="H368" i="2"/>
  <c r="I368" i="2"/>
  <c r="J368" i="2"/>
  <c r="K368" i="2"/>
  <c r="L368" i="2"/>
  <c r="M368" i="2"/>
  <c r="N368" i="2"/>
  <c r="O368" i="2"/>
  <c r="B369" i="2"/>
  <c r="C369" i="2"/>
  <c r="D369" i="2"/>
  <c r="E369" i="2"/>
  <c r="F369" i="2"/>
  <c r="G369" i="2"/>
  <c r="H369" i="2"/>
  <c r="I369" i="2"/>
  <c r="J369" i="2"/>
  <c r="K369" i="2"/>
  <c r="L369" i="2"/>
  <c r="M369" i="2"/>
  <c r="N369" i="2"/>
  <c r="O369" i="2"/>
  <c r="B370" i="2"/>
  <c r="C370" i="2"/>
  <c r="D370" i="2"/>
  <c r="E370" i="2"/>
  <c r="F370" i="2"/>
  <c r="G370" i="2"/>
  <c r="H370" i="2"/>
  <c r="I370" i="2"/>
  <c r="J370" i="2"/>
  <c r="K370" i="2"/>
  <c r="L370" i="2"/>
  <c r="M370" i="2"/>
  <c r="N370" i="2"/>
  <c r="O370" i="2"/>
  <c r="B371" i="2"/>
  <c r="C371" i="2"/>
  <c r="D371" i="2"/>
  <c r="E371" i="2"/>
  <c r="F371" i="2"/>
  <c r="G371" i="2"/>
  <c r="H371" i="2"/>
  <c r="I371" i="2"/>
  <c r="J371" i="2"/>
  <c r="K371" i="2"/>
  <c r="L371" i="2"/>
  <c r="M371" i="2"/>
  <c r="N371" i="2"/>
  <c r="O371" i="2"/>
  <c r="B372" i="2"/>
  <c r="C372" i="2"/>
  <c r="D372" i="2"/>
  <c r="E372" i="2"/>
  <c r="F372" i="2"/>
  <c r="G372" i="2"/>
  <c r="H372" i="2"/>
  <c r="I372" i="2"/>
  <c r="J372" i="2"/>
  <c r="K372" i="2"/>
  <c r="L372" i="2"/>
  <c r="M372" i="2"/>
  <c r="N372" i="2"/>
  <c r="O372" i="2"/>
  <c r="B373" i="2"/>
  <c r="C373" i="2"/>
  <c r="D373" i="2"/>
  <c r="E373" i="2"/>
  <c r="F373" i="2"/>
  <c r="G373" i="2"/>
  <c r="H373" i="2"/>
  <c r="I373" i="2"/>
  <c r="J373" i="2"/>
  <c r="K373" i="2"/>
  <c r="L373" i="2"/>
  <c r="M373" i="2"/>
  <c r="N373" i="2"/>
  <c r="O373" i="2"/>
  <c r="B374" i="2"/>
  <c r="C374" i="2"/>
  <c r="D374" i="2"/>
  <c r="E374" i="2"/>
  <c r="F374" i="2"/>
  <c r="G374" i="2"/>
  <c r="H374" i="2"/>
  <c r="I374" i="2"/>
  <c r="J374" i="2"/>
  <c r="K374" i="2"/>
  <c r="L374" i="2"/>
  <c r="M374" i="2"/>
  <c r="N374" i="2"/>
  <c r="O374" i="2"/>
  <c r="B375" i="2"/>
  <c r="C375" i="2"/>
  <c r="D375" i="2"/>
  <c r="E375" i="2"/>
  <c r="F375" i="2"/>
  <c r="G375" i="2"/>
  <c r="H375" i="2"/>
  <c r="I375" i="2"/>
  <c r="J375" i="2"/>
  <c r="K375" i="2"/>
  <c r="L375" i="2"/>
  <c r="M375" i="2"/>
  <c r="N375" i="2"/>
  <c r="O375" i="2"/>
  <c r="B376" i="2"/>
  <c r="C376" i="2"/>
  <c r="D376" i="2"/>
  <c r="E376" i="2"/>
  <c r="F376" i="2"/>
  <c r="G376" i="2"/>
  <c r="H376" i="2"/>
  <c r="I376" i="2"/>
  <c r="J376" i="2"/>
  <c r="K376" i="2"/>
  <c r="L376" i="2"/>
  <c r="M376" i="2"/>
  <c r="N376" i="2"/>
  <c r="O376" i="2"/>
  <c r="B377" i="2"/>
  <c r="C377" i="2"/>
  <c r="D377" i="2"/>
  <c r="E377" i="2"/>
  <c r="F377" i="2"/>
  <c r="G377" i="2"/>
  <c r="H377" i="2"/>
  <c r="I377" i="2"/>
  <c r="J377" i="2"/>
  <c r="K377" i="2"/>
  <c r="L377" i="2"/>
  <c r="M377" i="2"/>
  <c r="N377" i="2"/>
  <c r="O377" i="2"/>
  <c r="B378" i="2"/>
  <c r="C378" i="2"/>
  <c r="D378" i="2"/>
  <c r="E378" i="2"/>
  <c r="F378" i="2"/>
  <c r="G378" i="2"/>
  <c r="H378" i="2"/>
  <c r="I378" i="2"/>
  <c r="J378" i="2"/>
  <c r="K378" i="2"/>
  <c r="L378" i="2"/>
  <c r="M378" i="2"/>
  <c r="N378" i="2"/>
  <c r="O378" i="2"/>
  <c r="B379" i="2"/>
  <c r="C379" i="2"/>
  <c r="D379" i="2"/>
  <c r="E379" i="2"/>
  <c r="F379" i="2"/>
  <c r="G379" i="2"/>
  <c r="H379" i="2"/>
  <c r="I379" i="2"/>
  <c r="J379" i="2"/>
  <c r="K379" i="2"/>
  <c r="L379" i="2"/>
  <c r="M379" i="2"/>
  <c r="N379" i="2"/>
  <c r="O379" i="2"/>
  <c r="B380" i="2"/>
  <c r="C380" i="2"/>
  <c r="D380" i="2"/>
  <c r="E380" i="2"/>
  <c r="F380" i="2"/>
  <c r="G380" i="2"/>
  <c r="H380" i="2"/>
  <c r="I380" i="2"/>
  <c r="J380" i="2"/>
  <c r="K380" i="2"/>
  <c r="L380" i="2"/>
  <c r="M380" i="2"/>
  <c r="N380" i="2"/>
  <c r="O380" i="2"/>
  <c r="B381" i="2"/>
  <c r="C381" i="2"/>
  <c r="D381" i="2"/>
  <c r="E381" i="2"/>
  <c r="F381" i="2"/>
  <c r="G381" i="2"/>
  <c r="H381" i="2"/>
  <c r="I381" i="2"/>
  <c r="J381" i="2"/>
  <c r="K381" i="2"/>
  <c r="L381" i="2"/>
  <c r="M381" i="2"/>
  <c r="N381" i="2"/>
  <c r="O381" i="2"/>
  <c r="B382" i="2"/>
  <c r="C382" i="2"/>
  <c r="D382" i="2"/>
  <c r="E382" i="2"/>
  <c r="F382" i="2"/>
  <c r="G382" i="2"/>
  <c r="H382" i="2"/>
  <c r="I382" i="2"/>
  <c r="J382" i="2"/>
  <c r="K382" i="2"/>
  <c r="L382" i="2"/>
  <c r="M382" i="2"/>
  <c r="N382" i="2"/>
  <c r="O382" i="2"/>
  <c r="B383" i="2"/>
  <c r="C383" i="2"/>
  <c r="D383" i="2"/>
  <c r="E383" i="2"/>
  <c r="F383" i="2"/>
  <c r="G383" i="2"/>
  <c r="H383" i="2"/>
  <c r="I383" i="2"/>
  <c r="J383" i="2"/>
  <c r="K383" i="2"/>
  <c r="L383" i="2"/>
  <c r="M383" i="2"/>
  <c r="N383" i="2"/>
  <c r="O383" i="2"/>
  <c r="B384" i="2"/>
  <c r="C384" i="2"/>
  <c r="D384" i="2"/>
  <c r="E384" i="2"/>
  <c r="F384" i="2"/>
  <c r="G384" i="2"/>
  <c r="H384" i="2"/>
  <c r="I384" i="2"/>
  <c r="J384" i="2"/>
  <c r="K384" i="2"/>
  <c r="L384" i="2"/>
  <c r="M384" i="2"/>
  <c r="N384" i="2"/>
  <c r="O384" i="2"/>
  <c r="B385" i="2"/>
  <c r="C385" i="2"/>
  <c r="D385" i="2"/>
  <c r="E385" i="2"/>
  <c r="F385" i="2"/>
  <c r="G385" i="2"/>
  <c r="H385" i="2"/>
  <c r="I385" i="2"/>
  <c r="J385" i="2"/>
  <c r="K385" i="2"/>
  <c r="L385" i="2"/>
  <c r="M385" i="2"/>
  <c r="N385" i="2"/>
  <c r="O385" i="2"/>
  <c r="B386" i="2"/>
  <c r="C386" i="2"/>
  <c r="D386" i="2"/>
  <c r="E386" i="2"/>
  <c r="F386" i="2"/>
  <c r="G386" i="2"/>
  <c r="H386" i="2"/>
  <c r="I386" i="2"/>
  <c r="J386" i="2"/>
  <c r="K386" i="2"/>
  <c r="L386" i="2"/>
  <c r="M386" i="2"/>
  <c r="N386" i="2"/>
  <c r="O386" i="2"/>
  <c r="B387" i="2"/>
  <c r="C387" i="2"/>
  <c r="D387" i="2"/>
  <c r="E387" i="2"/>
  <c r="F387" i="2"/>
  <c r="G387" i="2"/>
  <c r="H387" i="2"/>
  <c r="I387" i="2"/>
  <c r="J387" i="2"/>
  <c r="K387" i="2"/>
  <c r="L387" i="2"/>
  <c r="M387" i="2"/>
  <c r="N387" i="2"/>
  <c r="O387" i="2"/>
  <c r="B388" i="2"/>
  <c r="C388" i="2"/>
  <c r="D388" i="2"/>
  <c r="E388" i="2"/>
  <c r="F388" i="2"/>
  <c r="G388" i="2"/>
  <c r="H388" i="2"/>
  <c r="I388" i="2"/>
  <c r="J388" i="2"/>
  <c r="K388" i="2"/>
  <c r="L388" i="2"/>
  <c r="M388" i="2"/>
  <c r="N388" i="2"/>
  <c r="O388" i="2"/>
  <c r="B389" i="2"/>
  <c r="C389" i="2"/>
  <c r="D389" i="2"/>
  <c r="E389" i="2"/>
  <c r="F389" i="2"/>
  <c r="G389" i="2"/>
  <c r="H389" i="2"/>
  <c r="I389" i="2"/>
  <c r="J389" i="2"/>
  <c r="K389" i="2"/>
  <c r="L389" i="2"/>
  <c r="M389" i="2"/>
  <c r="N389" i="2"/>
  <c r="O389" i="2"/>
  <c r="B390" i="2"/>
  <c r="C390" i="2"/>
  <c r="D390" i="2"/>
  <c r="E390" i="2"/>
  <c r="F390" i="2"/>
  <c r="G390" i="2"/>
  <c r="H390" i="2"/>
  <c r="I390" i="2"/>
  <c r="J390" i="2"/>
  <c r="K390" i="2"/>
  <c r="L390" i="2"/>
  <c r="M390" i="2"/>
  <c r="N390" i="2"/>
  <c r="O390" i="2"/>
  <c r="B391" i="2"/>
  <c r="C391" i="2"/>
  <c r="D391" i="2"/>
  <c r="E391" i="2"/>
  <c r="F391" i="2"/>
  <c r="G391" i="2"/>
  <c r="H391" i="2"/>
  <c r="I391" i="2"/>
  <c r="J391" i="2"/>
  <c r="K391" i="2"/>
  <c r="L391" i="2"/>
  <c r="M391" i="2"/>
  <c r="N391" i="2"/>
  <c r="O391" i="2"/>
  <c r="B392" i="2"/>
  <c r="C392" i="2"/>
  <c r="D392" i="2"/>
  <c r="E392" i="2"/>
  <c r="F392" i="2"/>
  <c r="G392" i="2"/>
  <c r="H392" i="2"/>
  <c r="I392" i="2"/>
  <c r="J392" i="2"/>
  <c r="K392" i="2"/>
  <c r="L392" i="2"/>
  <c r="M392" i="2"/>
  <c r="N392" i="2"/>
  <c r="O392" i="2"/>
  <c r="B393" i="2"/>
  <c r="C393" i="2"/>
  <c r="D393" i="2"/>
  <c r="E393" i="2"/>
  <c r="F393" i="2"/>
  <c r="G393" i="2"/>
  <c r="H393" i="2"/>
  <c r="I393" i="2"/>
  <c r="J393" i="2"/>
  <c r="K393" i="2"/>
  <c r="L393" i="2"/>
  <c r="M393" i="2"/>
  <c r="N393" i="2"/>
  <c r="O393" i="2"/>
  <c r="B394" i="2"/>
  <c r="C394" i="2"/>
  <c r="D394" i="2"/>
  <c r="E394" i="2"/>
  <c r="F394" i="2"/>
  <c r="G394" i="2"/>
  <c r="H394" i="2"/>
  <c r="I394" i="2"/>
  <c r="J394" i="2"/>
  <c r="K394" i="2"/>
  <c r="L394" i="2"/>
  <c r="M394" i="2"/>
  <c r="N394" i="2"/>
  <c r="O394" i="2"/>
  <c r="B395" i="2"/>
  <c r="C395" i="2"/>
  <c r="D395" i="2"/>
  <c r="E395" i="2"/>
  <c r="F395" i="2"/>
  <c r="G395" i="2"/>
  <c r="H395" i="2"/>
  <c r="I395" i="2"/>
  <c r="J395" i="2"/>
  <c r="K395" i="2"/>
  <c r="L395" i="2"/>
  <c r="M395" i="2"/>
  <c r="N395" i="2"/>
  <c r="O395" i="2"/>
  <c r="B396" i="2"/>
  <c r="C396" i="2"/>
  <c r="D396" i="2"/>
  <c r="E396" i="2"/>
  <c r="F396" i="2"/>
  <c r="G396" i="2"/>
  <c r="H396" i="2"/>
  <c r="I396" i="2"/>
  <c r="J396" i="2"/>
  <c r="K396" i="2"/>
  <c r="L396" i="2"/>
  <c r="M396" i="2"/>
  <c r="N396" i="2"/>
  <c r="O396" i="2"/>
  <c r="B397" i="2"/>
  <c r="C397" i="2"/>
  <c r="D397" i="2"/>
  <c r="E397" i="2"/>
  <c r="F397" i="2"/>
  <c r="G397" i="2"/>
  <c r="H397" i="2"/>
  <c r="I397" i="2"/>
  <c r="J397" i="2"/>
  <c r="K397" i="2"/>
  <c r="L397" i="2"/>
  <c r="M397" i="2"/>
  <c r="N397" i="2"/>
  <c r="O397" i="2"/>
  <c r="B398" i="2"/>
  <c r="C398" i="2"/>
  <c r="D398" i="2"/>
  <c r="E398" i="2"/>
  <c r="F398" i="2"/>
  <c r="G398" i="2"/>
  <c r="H398" i="2"/>
  <c r="I398" i="2"/>
  <c r="J398" i="2"/>
  <c r="K398" i="2"/>
  <c r="L398" i="2"/>
  <c r="M398" i="2"/>
  <c r="N398" i="2"/>
  <c r="O398" i="2"/>
  <c r="B399" i="2"/>
  <c r="C399" i="2"/>
  <c r="D399" i="2"/>
  <c r="E399" i="2"/>
  <c r="F399" i="2"/>
  <c r="G399" i="2"/>
  <c r="H399" i="2"/>
  <c r="I399" i="2"/>
  <c r="J399" i="2"/>
  <c r="K399" i="2"/>
  <c r="L399" i="2"/>
  <c r="M399" i="2"/>
  <c r="N399" i="2"/>
  <c r="O399" i="2"/>
  <c r="B400" i="2"/>
  <c r="C400" i="2"/>
  <c r="D400" i="2"/>
  <c r="E400" i="2"/>
  <c r="F400" i="2"/>
  <c r="G400" i="2"/>
  <c r="H400" i="2"/>
  <c r="I400" i="2"/>
  <c r="J400" i="2"/>
  <c r="K400" i="2"/>
  <c r="L400" i="2"/>
  <c r="M400" i="2"/>
  <c r="N400" i="2"/>
  <c r="O400" i="2"/>
  <c r="B401" i="2"/>
  <c r="C401" i="2"/>
  <c r="D401" i="2"/>
  <c r="E401" i="2"/>
  <c r="F401" i="2"/>
  <c r="G401" i="2"/>
  <c r="H401" i="2"/>
  <c r="I401" i="2"/>
  <c r="J401" i="2"/>
  <c r="K401" i="2"/>
  <c r="L401" i="2"/>
  <c r="M401" i="2"/>
  <c r="N401" i="2"/>
  <c r="O401" i="2"/>
  <c r="B402" i="2"/>
  <c r="C402" i="2"/>
  <c r="D402" i="2"/>
  <c r="E402" i="2"/>
  <c r="F402" i="2"/>
  <c r="G402" i="2"/>
  <c r="H402" i="2"/>
  <c r="I402" i="2"/>
  <c r="J402" i="2"/>
  <c r="K402" i="2"/>
  <c r="L402" i="2"/>
  <c r="M402" i="2"/>
  <c r="N402" i="2"/>
  <c r="O402" i="2"/>
  <c r="B403" i="2"/>
  <c r="C403" i="2"/>
  <c r="D403" i="2"/>
  <c r="E403" i="2"/>
  <c r="F403" i="2"/>
  <c r="G403" i="2"/>
  <c r="H403" i="2"/>
  <c r="I403" i="2"/>
  <c r="J403" i="2"/>
  <c r="K403" i="2"/>
  <c r="L403" i="2"/>
  <c r="M403" i="2"/>
  <c r="N403" i="2"/>
  <c r="O403" i="2"/>
  <c r="B404" i="2"/>
  <c r="C404" i="2"/>
  <c r="D404" i="2"/>
  <c r="E404" i="2"/>
  <c r="F404" i="2"/>
  <c r="G404" i="2"/>
  <c r="H404" i="2"/>
  <c r="I404" i="2"/>
  <c r="J404" i="2"/>
  <c r="K404" i="2"/>
  <c r="L404" i="2"/>
  <c r="M404" i="2"/>
  <c r="N404" i="2"/>
  <c r="O404" i="2"/>
  <c r="B405" i="2"/>
  <c r="C405" i="2"/>
  <c r="D405" i="2"/>
  <c r="E405" i="2"/>
  <c r="F405" i="2"/>
  <c r="G405" i="2"/>
  <c r="H405" i="2"/>
  <c r="I405" i="2"/>
  <c r="J405" i="2"/>
  <c r="K405" i="2"/>
  <c r="L405" i="2"/>
  <c r="M405" i="2"/>
  <c r="N405" i="2"/>
  <c r="O405" i="2"/>
  <c r="B406" i="2"/>
  <c r="C406" i="2"/>
  <c r="D406" i="2"/>
  <c r="E406" i="2"/>
  <c r="F406" i="2"/>
  <c r="G406" i="2"/>
  <c r="H406" i="2"/>
  <c r="I406" i="2"/>
  <c r="J406" i="2"/>
  <c r="K406" i="2"/>
  <c r="L406" i="2"/>
  <c r="M406" i="2"/>
  <c r="N406" i="2"/>
  <c r="O406" i="2"/>
  <c r="B407" i="2"/>
  <c r="C407" i="2"/>
  <c r="D407" i="2"/>
  <c r="E407" i="2"/>
  <c r="F407" i="2"/>
  <c r="G407" i="2"/>
  <c r="H407" i="2"/>
  <c r="I407" i="2"/>
  <c r="J407" i="2"/>
  <c r="K407" i="2"/>
  <c r="L407" i="2"/>
  <c r="M407" i="2"/>
  <c r="N407" i="2"/>
  <c r="O407" i="2"/>
  <c r="B408" i="2"/>
  <c r="C408" i="2"/>
  <c r="D408" i="2"/>
  <c r="E408" i="2"/>
  <c r="F408" i="2"/>
  <c r="G408" i="2"/>
  <c r="H408" i="2"/>
  <c r="I408" i="2"/>
  <c r="J408" i="2"/>
  <c r="K408" i="2"/>
  <c r="L408" i="2"/>
  <c r="M408" i="2"/>
  <c r="N408" i="2"/>
  <c r="O408" i="2"/>
  <c r="B409" i="2"/>
  <c r="C409" i="2"/>
  <c r="D409" i="2"/>
  <c r="E409" i="2"/>
  <c r="F409" i="2"/>
  <c r="G409" i="2"/>
  <c r="H409" i="2"/>
  <c r="I409" i="2"/>
  <c r="J409" i="2"/>
  <c r="K409" i="2"/>
  <c r="L409" i="2"/>
  <c r="M409" i="2"/>
  <c r="N409" i="2"/>
  <c r="O409" i="2"/>
  <c r="B410" i="2"/>
  <c r="C410" i="2"/>
  <c r="D410" i="2"/>
  <c r="E410" i="2"/>
  <c r="F410" i="2"/>
  <c r="G410" i="2"/>
  <c r="H410" i="2"/>
  <c r="I410" i="2"/>
  <c r="J410" i="2"/>
  <c r="K410" i="2"/>
  <c r="L410" i="2"/>
  <c r="M410" i="2"/>
  <c r="N410" i="2"/>
  <c r="O410" i="2"/>
  <c r="B411" i="2"/>
  <c r="C411" i="2"/>
  <c r="D411" i="2"/>
  <c r="E411" i="2"/>
  <c r="F411" i="2"/>
  <c r="G411" i="2"/>
  <c r="H411" i="2"/>
  <c r="I411" i="2"/>
  <c r="J411" i="2"/>
  <c r="K411" i="2"/>
  <c r="L411" i="2"/>
  <c r="M411" i="2"/>
  <c r="N411" i="2"/>
  <c r="O411" i="2"/>
  <c r="B412" i="2"/>
  <c r="C412" i="2"/>
  <c r="D412" i="2"/>
  <c r="E412" i="2"/>
  <c r="F412" i="2"/>
  <c r="G412" i="2"/>
  <c r="H412" i="2"/>
  <c r="I412" i="2"/>
  <c r="J412" i="2"/>
  <c r="K412" i="2"/>
  <c r="L412" i="2"/>
  <c r="M412" i="2"/>
  <c r="N412" i="2"/>
  <c r="O412" i="2"/>
  <c r="B413" i="2"/>
  <c r="C413" i="2"/>
  <c r="D413" i="2"/>
  <c r="E413" i="2"/>
  <c r="F413" i="2"/>
  <c r="G413" i="2"/>
  <c r="H413" i="2"/>
  <c r="I413" i="2"/>
  <c r="J413" i="2"/>
  <c r="K413" i="2"/>
  <c r="L413" i="2"/>
  <c r="M413" i="2"/>
  <c r="N413" i="2"/>
  <c r="O413" i="2"/>
  <c r="B414" i="2"/>
  <c r="C414" i="2"/>
  <c r="D414" i="2"/>
  <c r="E414" i="2"/>
  <c r="F414" i="2"/>
  <c r="G414" i="2"/>
  <c r="H414" i="2"/>
  <c r="I414" i="2"/>
  <c r="J414" i="2"/>
  <c r="K414" i="2"/>
  <c r="L414" i="2"/>
  <c r="M414" i="2"/>
  <c r="N414" i="2"/>
  <c r="O414" i="2"/>
  <c r="B415" i="2"/>
  <c r="C415" i="2"/>
  <c r="D415" i="2"/>
  <c r="E415" i="2"/>
  <c r="F415" i="2"/>
  <c r="G415" i="2"/>
  <c r="H415" i="2"/>
  <c r="I415" i="2"/>
  <c r="J415" i="2"/>
  <c r="K415" i="2"/>
  <c r="L415" i="2"/>
  <c r="M415" i="2"/>
  <c r="N415" i="2"/>
  <c r="O415" i="2"/>
  <c r="B416" i="2"/>
  <c r="C416" i="2"/>
  <c r="D416" i="2"/>
  <c r="E416" i="2"/>
  <c r="F416" i="2"/>
  <c r="G416" i="2"/>
  <c r="H416" i="2"/>
  <c r="I416" i="2"/>
  <c r="J416" i="2"/>
  <c r="K416" i="2"/>
  <c r="L416" i="2"/>
  <c r="M416" i="2"/>
  <c r="N416" i="2"/>
  <c r="O416" i="2"/>
  <c r="B417" i="2"/>
  <c r="C417" i="2"/>
  <c r="D417" i="2"/>
  <c r="E417" i="2"/>
  <c r="F417" i="2"/>
  <c r="G417" i="2"/>
  <c r="H417" i="2"/>
  <c r="I417" i="2"/>
  <c r="J417" i="2"/>
  <c r="K417" i="2"/>
  <c r="L417" i="2"/>
  <c r="M417" i="2"/>
  <c r="N417" i="2"/>
  <c r="O417" i="2"/>
  <c r="B418" i="2"/>
  <c r="C418" i="2"/>
  <c r="D418" i="2"/>
  <c r="E418" i="2"/>
  <c r="F418" i="2"/>
  <c r="G418" i="2"/>
  <c r="H418" i="2"/>
  <c r="I418" i="2"/>
  <c r="J418" i="2"/>
  <c r="K418" i="2"/>
  <c r="L418" i="2"/>
  <c r="M418" i="2"/>
  <c r="N418" i="2"/>
  <c r="O418" i="2"/>
  <c r="B419" i="2"/>
  <c r="C419" i="2"/>
  <c r="D419" i="2"/>
  <c r="E419" i="2"/>
  <c r="F419" i="2"/>
  <c r="G419" i="2"/>
  <c r="H419" i="2"/>
  <c r="I419" i="2"/>
  <c r="J419" i="2"/>
  <c r="K419" i="2"/>
  <c r="L419" i="2"/>
  <c r="M419" i="2"/>
  <c r="N419" i="2"/>
  <c r="O419" i="2"/>
  <c r="B420" i="2"/>
  <c r="C420" i="2"/>
  <c r="D420" i="2"/>
  <c r="E420" i="2"/>
  <c r="F420" i="2"/>
  <c r="G420" i="2"/>
  <c r="H420" i="2"/>
  <c r="I420" i="2"/>
  <c r="J420" i="2"/>
  <c r="K420" i="2"/>
  <c r="L420" i="2"/>
  <c r="M420" i="2"/>
  <c r="N420" i="2"/>
  <c r="O420" i="2"/>
  <c r="B421" i="2"/>
  <c r="C421" i="2"/>
  <c r="D421" i="2"/>
  <c r="E421" i="2"/>
  <c r="F421" i="2"/>
  <c r="G421" i="2"/>
  <c r="H421" i="2"/>
  <c r="I421" i="2"/>
  <c r="J421" i="2"/>
  <c r="K421" i="2"/>
  <c r="L421" i="2"/>
  <c r="M421" i="2"/>
  <c r="N421" i="2"/>
  <c r="O421" i="2"/>
  <c r="B422" i="2"/>
  <c r="C422" i="2"/>
  <c r="D422" i="2"/>
  <c r="E422" i="2"/>
  <c r="F422" i="2"/>
  <c r="G422" i="2"/>
  <c r="H422" i="2"/>
  <c r="I422" i="2"/>
  <c r="J422" i="2"/>
  <c r="K422" i="2"/>
  <c r="L422" i="2"/>
  <c r="M422" i="2"/>
  <c r="N422" i="2"/>
  <c r="O422" i="2"/>
  <c r="B423" i="2"/>
  <c r="C423" i="2"/>
  <c r="D423" i="2"/>
  <c r="E423" i="2"/>
  <c r="F423" i="2"/>
  <c r="G423" i="2"/>
  <c r="H423" i="2"/>
  <c r="I423" i="2"/>
  <c r="J423" i="2"/>
  <c r="K423" i="2"/>
  <c r="L423" i="2"/>
  <c r="M423" i="2"/>
  <c r="N423" i="2"/>
  <c r="O423" i="2"/>
  <c r="B424" i="2"/>
  <c r="C424" i="2"/>
  <c r="D424" i="2"/>
  <c r="E424" i="2"/>
  <c r="F424" i="2"/>
  <c r="G424" i="2"/>
  <c r="H424" i="2"/>
  <c r="I424" i="2"/>
  <c r="J424" i="2"/>
  <c r="K424" i="2"/>
  <c r="L424" i="2"/>
  <c r="M424" i="2"/>
  <c r="N424" i="2"/>
  <c r="O424" i="2"/>
  <c r="B425" i="2"/>
  <c r="C425" i="2"/>
  <c r="D425" i="2"/>
  <c r="E425" i="2"/>
  <c r="F425" i="2"/>
  <c r="G425" i="2"/>
  <c r="H425" i="2"/>
  <c r="I425" i="2"/>
  <c r="J425" i="2"/>
  <c r="K425" i="2"/>
  <c r="L425" i="2"/>
  <c r="M425" i="2"/>
  <c r="N425" i="2"/>
  <c r="O425" i="2"/>
  <c r="B426" i="2"/>
  <c r="C426" i="2"/>
  <c r="D426" i="2"/>
  <c r="E426" i="2"/>
  <c r="F426" i="2"/>
  <c r="G426" i="2"/>
  <c r="H426" i="2"/>
  <c r="I426" i="2"/>
  <c r="J426" i="2"/>
  <c r="K426" i="2"/>
  <c r="L426" i="2"/>
  <c r="M426" i="2"/>
  <c r="N426" i="2"/>
  <c r="O426" i="2"/>
  <c r="B427" i="2"/>
  <c r="C427" i="2"/>
  <c r="D427" i="2"/>
  <c r="E427" i="2"/>
  <c r="F427" i="2"/>
  <c r="G427" i="2"/>
  <c r="H427" i="2"/>
  <c r="I427" i="2"/>
  <c r="J427" i="2"/>
  <c r="K427" i="2"/>
  <c r="L427" i="2"/>
  <c r="M427" i="2"/>
  <c r="N427" i="2"/>
  <c r="O427" i="2"/>
  <c r="B428" i="2"/>
  <c r="C428" i="2"/>
  <c r="D428" i="2"/>
  <c r="E428" i="2"/>
  <c r="F428" i="2"/>
  <c r="G428" i="2"/>
  <c r="H428" i="2"/>
  <c r="I428" i="2"/>
  <c r="J428" i="2"/>
  <c r="K428" i="2"/>
  <c r="L428" i="2"/>
  <c r="M428" i="2"/>
  <c r="N428" i="2"/>
  <c r="O428" i="2"/>
  <c r="B429" i="2"/>
  <c r="C429" i="2"/>
  <c r="D429" i="2"/>
  <c r="E429" i="2"/>
  <c r="F429" i="2"/>
  <c r="G429" i="2"/>
  <c r="H429" i="2"/>
  <c r="I429" i="2"/>
  <c r="J429" i="2"/>
  <c r="K429" i="2"/>
  <c r="L429" i="2"/>
  <c r="M429" i="2"/>
  <c r="N429" i="2"/>
  <c r="O429" i="2"/>
  <c r="B430" i="2"/>
  <c r="C430" i="2"/>
  <c r="D430" i="2"/>
  <c r="E430" i="2"/>
  <c r="F430" i="2"/>
  <c r="G430" i="2"/>
  <c r="H430" i="2"/>
  <c r="I430" i="2"/>
  <c r="J430" i="2"/>
  <c r="K430" i="2"/>
  <c r="L430" i="2"/>
  <c r="M430" i="2"/>
  <c r="N430" i="2"/>
  <c r="O430" i="2"/>
  <c r="B431" i="2"/>
  <c r="C431" i="2"/>
  <c r="D431" i="2"/>
  <c r="E431" i="2"/>
  <c r="F431" i="2"/>
  <c r="G431" i="2"/>
  <c r="H431" i="2"/>
  <c r="I431" i="2"/>
  <c r="J431" i="2"/>
  <c r="K431" i="2"/>
  <c r="L431" i="2"/>
  <c r="M431" i="2"/>
  <c r="N431" i="2"/>
  <c r="O431" i="2"/>
  <c r="B432" i="2"/>
  <c r="C432" i="2"/>
  <c r="D432" i="2"/>
  <c r="E432" i="2"/>
  <c r="F432" i="2"/>
  <c r="G432" i="2"/>
  <c r="H432" i="2"/>
  <c r="I432" i="2"/>
  <c r="J432" i="2"/>
  <c r="K432" i="2"/>
  <c r="L432" i="2"/>
  <c r="M432" i="2"/>
  <c r="N432" i="2"/>
  <c r="O432" i="2"/>
  <c r="B433" i="2"/>
  <c r="C433" i="2"/>
  <c r="D433" i="2"/>
  <c r="E433" i="2"/>
  <c r="F433" i="2"/>
  <c r="G433" i="2"/>
  <c r="H433" i="2"/>
  <c r="I433" i="2"/>
  <c r="J433" i="2"/>
  <c r="K433" i="2"/>
  <c r="L433" i="2"/>
  <c r="M433" i="2"/>
  <c r="N433" i="2"/>
  <c r="O433" i="2"/>
  <c r="B434" i="2"/>
  <c r="C434" i="2"/>
  <c r="D434" i="2"/>
  <c r="E434" i="2"/>
  <c r="F434" i="2"/>
  <c r="G434" i="2"/>
  <c r="H434" i="2"/>
  <c r="I434" i="2"/>
  <c r="J434" i="2"/>
  <c r="K434" i="2"/>
  <c r="L434" i="2"/>
  <c r="M434" i="2"/>
  <c r="N434" i="2"/>
  <c r="O434" i="2"/>
  <c r="B435" i="2"/>
  <c r="C435" i="2"/>
  <c r="D435" i="2"/>
  <c r="E435" i="2"/>
  <c r="F435" i="2"/>
  <c r="G435" i="2"/>
  <c r="H435" i="2"/>
  <c r="I435" i="2"/>
  <c r="J435" i="2"/>
  <c r="K435" i="2"/>
  <c r="L435" i="2"/>
  <c r="M435" i="2"/>
  <c r="N435" i="2"/>
  <c r="O435" i="2"/>
  <c r="B436" i="2"/>
  <c r="C436" i="2"/>
  <c r="D436" i="2"/>
  <c r="E436" i="2"/>
  <c r="F436" i="2"/>
  <c r="G436" i="2"/>
  <c r="H436" i="2"/>
  <c r="I436" i="2"/>
  <c r="J436" i="2"/>
  <c r="K436" i="2"/>
  <c r="L436" i="2"/>
  <c r="M436" i="2"/>
  <c r="N436" i="2"/>
  <c r="O436" i="2"/>
  <c r="B437" i="2"/>
  <c r="C437" i="2"/>
  <c r="D437" i="2"/>
  <c r="E437" i="2"/>
  <c r="F437" i="2"/>
  <c r="G437" i="2"/>
  <c r="H437" i="2"/>
  <c r="I437" i="2"/>
  <c r="J437" i="2"/>
  <c r="K437" i="2"/>
  <c r="L437" i="2"/>
  <c r="M437" i="2"/>
  <c r="N437" i="2"/>
  <c r="O437" i="2"/>
  <c r="B438" i="2"/>
  <c r="C438" i="2"/>
  <c r="D438" i="2"/>
  <c r="E438" i="2"/>
  <c r="F438" i="2"/>
  <c r="G438" i="2"/>
  <c r="H438" i="2"/>
  <c r="I438" i="2"/>
  <c r="J438" i="2"/>
  <c r="K438" i="2"/>
  <c r="L438" i="2"/>
  <c r="M438" i="2"/>
  <c r="N438" i="2"/>
  <c r="O438" i="2"/>
  <c r="B439" i="2"/>
  <c r="C439" i="2"/>
  <c r="D439" i="2"/>
  <c r="E439" i="2"/>
  <c r="F439" i="2"/>
  <c r="G439" i="2"/>
  <c r="H439" i="2"/>
  <c r="I439" i="2"/>
  <c r="J439" i="2"/>
  <c r="K439" i="2"/>
  <c r="L439" i="2"/>
  <c r="M439" i="2"/>
  <c r="N439" i="2"/>
  <c r="O439" i="2"/>
  <c r="B440" i="2"/>
  <c r="C440" i="2"/>
  <c r="D440" i="2"/>
  <c r="E440" i="2"/>
  <c r="F440" i="2"/>
  <c r="G440" i="2"/>
  <c r="H440" i="2"/>
  <c r="I440" i="2"/>
  <c r="J440" i="2"/>
  <c r="K440" i="2"/>
  <c r="L440" i="2"/>
  <c r="M440" i="2"/>
  <c r="N440" i="2"/>
  <c r="O440" i="2"/>
  <c r="B441" i="2"/>
  <c r="C441" i="2"/>
  <c r="D441" i="2"/>
  <c r="E441" i="2"/>
  <c r="F441" i="2"/>
  <c r="G441" i="2"/>
  <c r="H441" i="2"/>
  <c r="I441" i="2"/>
  <c r="J441" i="2"/>
  <c r="K441" i="2"/>
  <c r="L441" i="2"/>
  <c r="M441" i="2"/>
  <c r="N441" i="2"/>
  <c r="O441" i="2"/>
  <c r="B442" i="2"/>
  <c r="C442" i="2"/>
  <c r="D442" i="2"/>
  <c r="E442" i="2"/>
  <c r="F442" i="2"/>
  <c r="G442" i="2"/>
  <c r="H442" i="2"/>
  <c r="I442" i="2"/>
  <c r="J442" i="2"/>
  <c r="K442" i="2"/>
  <c r="L442" i="2"/>
  <c r="M442" i="2"/>
  <c r="N442" i="2"/>
  <c r="O442" i="2"/>
  <c r="B443" i="2"/>
  <c r="C443" i="2"/>
  <c r="D443" i="2"/>
  <c r="E443" i="2"/>
  <c r="F443" i="2"/>
  <c r="G443" i="2"/>
  <c r="H443" i="2"/>
  <c r="I443" i="2"/>
  <c r="J443" i="2"/>
  <c r="K443" i="2"/>
  <c r="L443" i="2"/>
  <c r="M443" i="2"/>
  <c r="N443" i="2"/>
  <c r="O443" i="2"/>
  <c r="B444" i="2"/>
  <c r="C444" i="2"/>
  <c r="D444" i="2"/>
  <c r="E444" i="2"/>
  <c r="F444" i="2"/>
  <c r="G444" i="2"/>
  <c r="H444" i="2"/>
  <c r="I444" i="2"/>
  <c r="J444" i="2"/>
  <c r="K444" i="2"/>
  <c r="L444" i="2"/>
  <c r="M444" i="2"/>
  <c r="N444" i="2"/>
  <c r="O444" i="2"/>
  <c r="B445" i="2"/>
  <c r="C445" i="2"/>
  <c r="D445" i="2"/>
  <c r="E445" i="2"/>
  <c r="F445" i="2"/>
  <c r="G445" i="2"/>
  <c r="H445" i="2"/>
  <c r="I445" i="2"/>
  <c r="J445" i="2"/>
  <c r="K445" i="2"/>
  <c r="L445" i="2"/>
  <c r="M445" i="2"/>
  <c r="N445" i="2"/>
  <c r="O445" i="2"/>
  <c r="B446" i="2"/>
  <c r="C446" i="2"/>
  <c r="D446" i="2"/>
  <c r="E446" i="2"/>
  <c r="F446" i="2"/>
  <c r="G446" i="2"/>
  <c r="H446" i="2"/>
  <c r="I446" i="2"/>
  <c r="J446" i="2"/>
  <c r="K446" i="2"/>
  <c r="L446" i="2"/>
  <c r="M446" i="2"/>
  <c r="N446" i="2"/>
  <c r="O446" i="2"/>
  <c r="B447" i="2"/>
  <c r="C447" i="2"/>
  <c r="D447" i="2"/>
  <c r="E447" i="2"/>
  <c r="F447" i="2"/>
  <c r="G447" i="2"/>
  <c r="H447" i="2"/>
  <c r="I447" i="2"/>
  <c r="J447" i="2"/>
  <c r="K447" i="2"/>
  <c r="L447" i="2"/>
  <c r="M447" i="2"/>
  <c r="N447" i="2"/>
  <c r="O447" i="2"/>
  <c r="B448" i="2"/>
  <c r="C448" i="2"/>
  <c r="D448" i="2"/>
  <c r="E448" i="2"/>
  <c r="F448" i="2"/>
  <c r="G448" i="2"/>
  <c r="H448" i="2"/>
  <c r="I448" i="2"/>
  <c r="J448" i="2"/>
  <c r="K448" i="2"/>
  <c r="L448" i="2"/>
  <c r="M448" i="2"/>
  <c r="N448" i="2"/>
  <c r="O448" i="2"/>
  <c r="B449" i="2"/>
  <c r="C449" i="2"/>
  <c r="D449" i="2"/>
  <c r="E449" i="2"/>
  <c r="F449" i="2"/>
  <c r="G449" i="2"/>
  <c r="H449" i="2"/>
  <c r="I449" i="2"/>
  <c r="J449" i="2"/>
  <c r="K449" i="2"/>
  <c r="L449" i="2"/>
  <c r="M449" i="2"/>
  <c r="N449" i="2"/>
  <c r="O449" i="2"/>
  <c r="B450" i="2"/>
  <c r="C450" i="2"/>
  <c r="D450" i="2"/>
  <c r="E450" i="2"/>
  <c r="F450" i="2"/>
  <c r="G450" i="2"/>
  <c r="H450" i="2"/>
  <c r="I450" i="2"/>
  <c r="J450" i="2"/>
  <c r="K450" i="2"/>
  <c r="L450" i="2"/>
  <c r="M450" i="2"/>
  <c r="N450" i="2"/>
  <c r="O450" i="2"/>
  <c r="B451" i="2"/>
  <c r="C451" i="2"/>
  <c r="D451" i="2"/>
  <c r="E451" i="2"/>
  <c r="F451" i="2"/>
  <c r="G451" i="2"/>
  <c r="H451" i="2"/>
  <c r="I451" i="2"/>
  <c r="J451" i="2"/>
  <c r="K451" i="2"/>
  <c r="L451" i="2"/>
  <c r="M451" i="2"/>
  <c r="N451" i="2"/>
  <c r="O451" i="2"/>
  <c r="B452" i="2"/>
  <c r="C452" i="2"/>
  <c r="D452" i="2"/>
  <c r="E452" i="2"/>
  <c r="F452" i="2"/>
  <c r="G452" i="2"/>
  <c r="H452" i="2"/>
  <c r="I452" i="2"/>
  <c r="J452" i="2"/>
  <c r="K452" i="2"/>
  <c r="L452" i="2"/>
  <c r="M452" i="2"/>
  <c r="N452" i="2"/>
  <c r="O452" i="2"/>
  <c r="B453" i="2"/>
  <c r="C453" i="2"/>
  <c r="D453" i="2"/>
  <c r="E453" i="2"/>
  <c r="F453" i="2"/>
  <c r="G453" i="2"/>
  <c r="H453" i="2"/>
  <c r="I453" i="2"/>
  <c r="J453" i="2"/>
  <c r="K453" i="2"/>
  <c r="L453" i="2"/>
  <c r="M453" i="2"/>
  <c r="N453" i="2"/>
  <c r="O453" i="2"/>
  <c r="B454" i="2"/>
  <c r="C454" i="2"/>
  <c r="D454" i="2"/>
  <c r="E454" i="2"/>
  <c r="F454" i="2"/>
  <c r="G454" i="2"/>
  <c r="H454" i="2"/>
  <c r="I454" i="2"/>
  <c r="J454" i="2"/>
  <c r="K454" i="2"/>
  <c r="L454" i="2"/>
  <c r="M454" i="2"/>
  <c r="N454" i="2"/>
  <c r="O454" i="2"/>
  <c r="B455" i="2"/>
  <c r="C455" i="2"/>
  <c r="D455" i="2"/>
  <c r="E455" i="2"/>
  <c r="F455" i="2"/>
  <c r="G455" i="2"/>
  <c r="H455" i="2"/>
  <c r="I455" i="2"/>
  <c r="J455" i="2"/>
  <c r="K455" i="2"/>
  <c r="L455" i="2"/>
  <c r="M455" i="2"/>
  <c r="N455" i="2"/>
  <c r="O455" i="2"/>
  <c r="B456" i="2"/>
  <c r="C456" i="2"/>
  <c r="D456" i="2"/>
  <c r="E456" i="2"/>
  <c r="F456" i="2"/>
  <c r="G456" i="2"/>
  <c r="H456" i="2"/>
  <c r="I456" i="2"/>
  <c r="J456" i="2"/>
  <c r="K456" i="2"/>
  <c r="L456" i="2"/>
  <c r="M456" i="2"/>
  <c r="N456" i="2"/>
  <c r="O456" i="2"/>
  <c r="B457" i="2"/>
  <c r="C457" i="2"/>
  <c r="D457" i="2"/>
  <c r="E457" i="2"/>
  <c r="F457" i="2"/>
  <c r="G457" i="2"/>
  <c r="H457" i="2"/>
  <c r="I457" i="2"/>
  <c r="J457" i="2"/>
  <c r="K457" i="2"/>
  <c r="L457" i="2"/>
  <c r="M457" i="2"/>
  <c r="N457" i="2"/>
  <c r="O457" i="2"/>
  <c r="B458" i="2"/>
  <c r="C458" i="2"/>
  <c r="D458" i="2"/>
  <c r="E458" i="2"/>
  <c r="F458" i="2"/>
  <c r="G458" i="2"/>
  <c r="H458" i="2"/>
  <c r="I458" i="2"/>
  <c r="J458" i="2"/>
  <c r="K458" i="2"/>
  <c r="L458" i="2"/>
  <c r="M458" i="2"/>
  <c r="N458" i="2"/>
  <c r="O458" i="2"/>
  <c r="B459" i="2"/>
  <c r="C459" i="2"/>
  <c r="D459" i="2"/>
  <c r="E459" i="2"/>
  <c r="F459" i="2"/>
  <c r="G459" i="2"/>
  <c r="H459" i="2"/>
  <c r="I459" i="2"/>
  <c r="J459" i="2"/>
  <c r="K459" i="2"/>
  <c r="L459" i="2"/>
  <c r="M459" i="2"/>
  <c r="N459" i="2"/>
  <c r="O459" i="2"/>
  <c r="B460" i="2"/>
  <c r="C460" i="2"/>
  <c r="D460" i="2"/>
  <c r="E460" i="2"/>
  <c r="F460" i="2"/>
  <c r="G460" i="2"/>
  <c r="H460" i="2"/>
  <c r="I460" i="2"/>
  <c r="J460" i="2"/>
  <c r="K460" i="2"/>
  <c r="L460" i="2"/>
  <c r="M460" i="2"/>
  <c r="N460" i="2"/>
  <c r="O460" i="2"/>
  <c r="B461" i="2"/>
  <c r="C461" i="2"/>
  <c r="D461" i="2"/>
  <c r="E461" i="2"/>
  <c r="F461" i="2"/>
  <c r="G461" i="2"/>
  <c r="H461" i="2"/>
  <c r="I461" i="2"/>
  <c r="J461" i="2"/>
  <c r="K461" i="2"/>
  <c r="L461" i="2"/>
  <c r="M461" i="2"/>
  <c r="N461" i="2"/>
  <c r="O461" i="2"/>
  <c r="B462" i="2"/>
  <c r="C462" i="2"/>
  <c r="D462" i="2"/>
  <c r="E462" i="2"/>
  <c r="F462" i="2"/>
  <c r="G462" i="2"/>
  <c r="H462" i="2"/>
  <c r="I462" i="2"/>
  <c r="J462" i="2"/>
  <c r="K462" i="2"/>
  <c r="L462" i="2"/>
  <c r="M462" i="2"/>
  <c r="N462" i="2"/>
  <c r="O462" i="2"/>
  <c r="B463" i="2"/>
  <c r="C463" i="2"/>
  <c r="D463" i="2"/>
  <c r="E463" i="2"/>
  <c r="F463" i="2"/>
  <c r="G463" i="2"/>
  <c r="H463" i="2"/>
  <c r="I463" i="2"/>
  <c r="J463" i="2"/>
  <c r="K463" i="2"/>
  <c r="L463" i="2"/>
  <c r="M463" i="2"/>
  <c r="N463" i="2"/>
  <c r="O463" i="2"/>
  <c r="B464" i="2"/>
  <c r="C464" i="2"/>
  <c r="D464" i="2"/>
  <c r="E464" i="2"/>
  <c r="F464" i="2"/>
  <c r="G464" i="2"/>
  <c r="H464" i="2"/>
  <c r="I464" i="2"/>
  <c r="J464" i="2"/>
  <c r="K464" i="2"/>
  <c r="L464" i="2"/>
  <c r="M464" i="2"/>
  <c r="N464" i="2"/>
  <c r="O464" i="2"/>
  <c r="B465" i="2"/>
  <c r="C465" i="2"/>
  <c r="D465" i="2"/>
  <c r="E465" i="2"/>
  <c r="F465" i="2"/>
  <c r="G465" i="2"/>
  <c r="H465" i="2"/>
  <c r="I465" i="2"/>
  <c r="J465" i="2"/>
  <c r="K465" i="2"/>
  <c r="L465" i="2"/>
  <c r="M465" i="2"/>
  <c r="N465" i="2"/>
  <c r="O465" i="2"/>
  <c r="B466" i="2"/>
  <c r="C466" i="2"/>
  <c r="D466" i="2"/>
  <c r="E466" i="2"/>
  <c r="F466" i="2"/>
  <c r="G466" i="2"/>
  <c r="H466" i="2"/>
  <c r="I466" i="2"/>
  <c r="J466" i="2"/>
  <c r="K466" i="2"/>
  <c r="L466" i="2"/>
  <c r="M466" i="2"/>
  <c r="N466" i="2"/>
  <c r="O466" i="2"/>
  <c r="B467" i="2"/>
  <c r="C467" i="2"/>
  <c r="D467" i="2"/>
  <c r="E467" i="2"/>
  <c r="F467" i="2"/>
  <c r="G467" i="2"/>
  <c r="H467" i="2"/>
  <c r="I467" i="2"/>
  <c r="J467" i="2"/>
  <c r="K467" i="2"/>
  <c r="L467" i="2"/>
  <c r="M467" i="2"/>
  <c r="N467" i="2"/>
  <c r="O467" i="2"/>
  <c r="B468" i="2"/>
  <c r="C468" i="2"/>
  <c r="D468" i="2"/>
  <c r="E468" i="2"/>
  <c r="F468" i="2"/>
  <c r="G468" i="2"/>
  <c r="H468" i="2"/>
  <c r="I468" i="2"/>
  <c r="J468" i="2"/>
  <c r="K468" i="2"/>
  <c r="L468" i="2"/>
  <c r="M468" i="2"/>
  <c r="N468" i="2"/>
  <c r="O468" i="2"/>
  <c r="B469" i="2"/>
  <c r="C469" i="2"/>
  <c r="D469" i="2"/>
  <c r="E469" i="2"/>
  <c r="F469" i="2"/>
  <c r="G469" i="2"/>
  <c r="H469" i="2"/>
  <c r="I469" i="2"/>
  <c r="J469" i="2"/>
  <c r="K469" i="2"/>
  <c r="L469" i="2"/>
  <c r="M469" i="2"/>
  <c r="N469" i="2"/>
  <c r="O469" i="2"/>
  <c r="B470" i="2"/>
  <c r="C470" i="2"/>
  <c r="D470" i="2"/>
  <c r="E470" i="2"/>
  <c r="F470" i="2"/>
  <c r="G470" i="2"/>
  <c r="H470" i="2"/>
  <c r="I470" i="2"/>
  <c r="J470" i="2"/>
  <c r="K470" i="2"/>
  <c r="L470" i="2"/>
  <c r="M470" i="2"/>
  <c r="N470" i="2"/>
  <c r="O470" i="2"/>
  <c r="B471" i="2"/>
  <c r="C471" i="2"/>
  <c r="D471" i="2"/>
  <c r="E471" i="2"/>
  <c r="F471" i="2"/>
  <c r="G471" i="2"/>
  <c r="H471" i="2"/>
  <c r="I471" i="2"/>
  <c r="J471" i="2"/>
  <c r="K471" i="2"/>
  <c r="L471" i="2"/>
  <c r="M471" i="2"/>
  <c r="N471" i="2"/>
  <c r="O471" i="2"/>
  <c r="B472" i="2"/>
  <c r="C472" i="2"/>
  <c r="D472" i="2"/>
  <c r="E472" i="2"/>
  <c r="F472" i="2"/>
  <c r="G472" i="2"/>
  <c r="H472" i="2"/>
  <c r="I472" i="2"/>
  <c r="J472" i="2"/>
  <c r="K472" i="2"/>
  <c r="L472" i="2"/>
  <c r="M472" i="2"/>
  <c r="N472" i="2"/>
  <c r="O472" i="2"/>
  <c r="B473" i="2"/>
  <c r="C473" i="2"/>
  <c r="D473" i="2"/>
  <c r="E473" i="2"/>
  <c r="F473" i="2"/>
  <c r="G473" i="2"/>
  <c r="H473" i="2"/>
  <c r="I473" i="2"/>
  <c r="J473" i="2"/>
  <c r="K473" i="2"/>
  <c r="L473" i="2"/>
  <c r="M473" i="2"/>
  <c r="N473" i="2"/>
  <c r="O473" i="2"/>
  <c r="B474" i="2"/>
  <c r="C474" i="2"/>
  <c r="D474" i="2"/>
  <c r="E474" i="2"/>
  <c r="F474" i="2"/>
  <c r="G474" i="2"/>
  <c r="H474" i="2"/>
  <c r="I474" i="2"/>
  <c r="J474" i="2"/>
  <c r="K474" i="2"/>
  <c r="L474" i="2"/>
  <c r="M474" i="2"/>
  <c r="N474" i="2"/>
  <c r="O474" i="2"/>
  <c r="B475" i="2"/>
  <c r="C475" i="2"/>
  <c r="D475" i="2"/>
  <c r="E475" i="2"/>
  <c r="F475" i="2"/>
  <c r="G475" i="2"/>
  <c r="H475" i="2"/>
  <c r="I475" i="2"/>
  <c r="J475" i="2"/>
  <c r="K475" i="2"/>
  <c r="L475" i="2"/>
  <c r="M475" i="2"/>
  <c r="N475" i="2"/>
  <c r="O475" i="2"/>
  <c r="B476" i="2"/>
  <c r="C476" i="2"/>
  <c r="D476" i="2"/>
  <c r="E476" i="2"/>
  <c r="F476" i="2"/>
  <c r="G476" i="2"/>
  <c r="H476" i="2"/>
  <c r="I476" i="2"/>
  <c r="J476" i="2"/>
  <c r="K476" i="2"/>
  <c r="L476" i="2"/>
  <c r="M476" i="2"/>
  <c r="N476" i="2"/>
  <c r="O476" i="2"/>
  <c r="B477" i="2"/>
  <c r="C477" i="2"/>
  <c r="D477" i="2"/>
  <c r="E477" i="2"/>
  <c r="F477" i="2"/>
  <c r="G477" i="2"/>
  <c r="H477" i="2"/>
  <c r="I477" i="2"/>
  <c r="J477" i="2"/>
  <c r="K477" i="2"/>
  <c r="L477" i="2"/>
  <c r="M477" i="2"/>
  <c r="N477" i="2"/>
  <c r="O477" i="2"/>
  <c r="B478" i="2"/>
  <c r="C478" i="2"/>
  <c r="D478" i="2"/>
  <c r="E478" i="2"/>
  <c r="F478" i="2"/>
  <c r="G478" i="2"/>
  <c r="H478" i="2"/>
  <c r="I478" i="2"/>
  <c r="J478" i="2"/>
  <c r="K478" i="2"/>
  <c r="L478" i="2"/>
  <c r="M478" i="2"/>
  <c r="N478" i="2"/>
  <c r="O478" i="2"/>
  <c r="B479" i="2"/>
  <c r="C479" i="2"/>
  <c r="D479" i="2"/>
  <c r="E479" i="2"/>
  <c r="F479" i="2"/>
  <c r="G479" i="2"/>
  <c r="H479" i="2"/>
  <c r="I479" i="2"/>
  <c r="J479" i="2"/>
  <c r="K479" i="2"/>
  <c r="L479" i="2"/>
  <c r="M479" i="2"/>
  <c r="N479" i="2"/>
  <c r="O479" i="2"/>
  <c r="B480" i="2"/>
  <c r="C480" i="2"/>
  <c r="D480" i="2"/>
  <c r="E480" i="2"/>
  <c r="F480" i="2"/>
  <c r="G480" i="2"/>
  <c r="H480" i="2"/>
  <c r="I480" i="2"/>
  <c r="J480" i="2"/>
  <c r="K480" i="2"/>
  <c r="L480" i="2"/>
  <c r="M480" i="2"/>
  <c r="N480" i="2"/>
  <c r="O480" i="2"/>
  <c r="B481" i="2"/>
  <c r="C481" i="2"/>
  <c r="D481" i="2"/>
  <c r="E481" i="2"/>
  <c r="F481" i="2"/>
  <c r="G481" i="2"/>
  <c r="H481" i="2"/>
  <c r="I481" i="2"/>
  <c r="J481" i="2"/>
  <c r="K481" i="2"/>
  <c r="L481" i="2"/>
  <c r="M481" i="2"/>
  <c r="N481" i="2"/>
  <c r="O481" i="2"/>
  <c r="B482" i="2"/>
  <c r="C482" i="2"/>
  <c r="D482" i="2"/>
  <c r="E482" i="2"/>
  <c r="F482" i="2"/>
  <c r="G482" i="2"/>
  <c r="H482" i="2"/>
  <c r="I482" i="2"/>
  <c r="J482" i="2"/>
  <c r="K482" i="2"/>
  <c r="L482" i="2"/>
  <c r="M482" i="2"/>
  <c r="N482" i="2"/>
  <c r="O482" i="2"/>
  <c r="B483" i="2"/>
  <c r="C483" i="2"/>
  <c r="D483" i="2"/>
  <c r="E483" i="2"/>
  <c r="F483" i="2"/>
  <c r="G483" i="2"/>
  <c r="H483" i="2"/>
  <c r="I483" i="2"/>
  <c r="J483" i="2"/>
  <c r="K483" i="2"/>
  <c r="L483" i="2"/>
  <c r="M483" i="2"/>
  <c r="N483" i="2"/>
  <c r="O483" i="2"/>
  <c r="B484" i="2"/>
  <c r="C484" i="2"/>
  <c r="D484" i="2"/>
  <c r="E484" i="2"/>
  <c r="F484" i="2"/>
  <c r="G484" i="2"/>
  <c r="H484" i="2"/>
  <c r="I484" i="2"/>
  <c r="J484" i="2"/>
  <c r="K484" i="2"/>
  <c r="L484" i="2"/>
  <c r="M484" i="2"/>
  <c r="N484" i="2"/>
  <c r="O484" i="2"/>
  <c r="B485" i="2"/>
  <c r="C485" i="2"/>
  <c r="D485" i="2"/>
  <c r="E485" i="2"/>
  <c r="F485" i="2"/>
  <c r="G485" i="2"/>
  <c r="H485" i="2"/>
  <c r="I485" i="2"/>
  <c r="J485" i="2"/>
  <c r="K485" i="2"/>
  <c r="L485" i="2"/>
  <c r="M485" i="2"/>
  <c r="N485" i="2"/>
  <c r="O485" i="2"/>
  <c r="B486" i="2"/>
  <c r="C486" i="2"/>
  <c r="D486" i="2"/>
  <c r="E486" i="2"/>
  <c r="F486" i="2"/>
  <c r="G486" i="2"/>
  <c r="H486" i="2"/>
  <c r="I486" i="2"/>
  <c r="J486" i="2"/>
  <c r="K486" i="2"/>
  <c r="L486" i="2"/>
  <c r="M486" i="2"/>
  <c r="N486" i="2"/>
  <c r="O486" i="2"/>
  <c r="B487" i="2"/>
  <c r="C487" i="2"/>
  <c r="D487" i="2"/>
  <c r="E487" i="2"/>
  <c r="F487" i="2"/>
  <c r="G487" i="2"/>
  <c r="H487" i="2"/>
  <c r="I487" i="2"/>
  <c r="J487" i="2"/>
  <c r="K487" i="2"/>
  <c r="L487" i="2"/>
  <c r="M487" i="2"/>
  <c r="N487" i="2"/>
  <c r="O487" i="2"/>
  <c r="B488" i="2"/>
  <c r="C488" i="2"/>
  <c r="D488" i="2"/>
  <c r="E488" i="2"/>
  <c r="F488" i="2"/>
  <c r="G488" i="2"/>
  <c r="H488" i="2"/>
  <c r="I488" i="2"/>
  <c r="J488" i="2"/>
  <c r="K488" i="2"/>
  <c r="L488" i="2"/>
  <c r="M488" i="2"/>
  <c r="N488" i="2"/>
  <c r="O488" i="2"/>
  <c r="B489" i="2"/>
  <c r="C489" i="2"/>
  <c r="D489" i="2"/>
  <c r="E489" i="2"/>
  <c r="F489" i="2"/>
  <c r="G489" i="2"/>
  <c r="H489" i="2"/>
  <c r="I489" i="2"/>
  <c r="J489" i="2"/>
  <c r="K489" i="2"/>
  <c r="L489" i="2"/>
  <c r="M489" i="2"/>
  <c r="N489" i="2"/>
  <c r="O489" i="2"/>
  <c r="B490" i="2"/>
  <c r="C490" i="2"/>
  <c r="D490" i="2"/>
  <c r="E490" i="2"/>
  <c r="F490" i="2"/>
  <c r="G490" i="2"/>
  <c r="H490" i="2"/>
  <c r="I490" i="2"/>
  <c r="J490" i="2"/>
  <c r="K490" i="2"/>
  <c r="L490" i="2"/>
  <c r="M490" i="2"/>
  <c r="N490" i="2"/>
  <c r="O490" i="2"/>
  <c r="B491" i="2"/>
  <c r="C491" i="2"/>
  <c r="D491" i="2"/>
  <c r="E491" i="2"/>
  <c r="F491" i="2"/>
  <c r="G491" i="2"/>
  <c r="H491" i="2"/>
  <c r="I491" i="2"/>
  <c r="J491" i="2"/>
  <c r="K491" i="2"/>
  <c r="L491" i="2"/>
  <c r="M491" i="2"/>
  <c r="N491" i="2"/>
  <c r="O491" i="2"/>
  <c r="B492" i="2"/>
  <c r="C492" i="2"/>
  <c r="D492" i="2"/>
  <c r="E492" i="2"/>
  <c r="F492" i="2"/>
  <c r="G492" i="2"/>
  <c r="H492" i="2"/>
  <c r="I492" i="2"/>
  <c r="J492" i="2"/>
  <c r="K492" i="2"/>
  <c r="L492" i="2"/>
  <c r="M492" i="2"/>
  <c r="N492" i="2"/>
  <c r="O492" i="2"/>
  <c r="B493" i="2"/>
  <c r="C493" i="2"/>
  <c r="D493" i="2"/>
  <c r="E493" i="2"/>
  <c r="F493" i="2"/>
  <c r="G493" i="2"/>
  <c r="H493" i="2"/>
  <c r="I493" i="2"/>
  <c r="J493" i="2"/>
  <c r="K493" i="2"/>
  <c r="L493" i="2"/>
  <c r="M493" i="2"/>
  <c r="N493" i="2"/>
  <c r="O493" i="2"/>
  <c r="B494" i="2"/>
  <c r="C494" i="2"/>
  <c r="D494" i="2"/>
  <c r="E494" i="2"/>
  <c r="F494" i="2"/>
  <c r="G494" i="2"/>
  <c r="H494" i="2"/>
  <c r="I494" i="2"/>
  <c r="J494" i="2"/>
  <c r="K494" i="2"/>
  <c r="L494" i="2"/>
  <c r="M494" i="2"/>
  <c r="N494" i="2"/>
  <c r="O494" i="2"/>
  <c r="B495" i="2"/>
  <c r="C495" i="2"/>
  <c r="D495" i="2"/>
  <c r="E495" i="2"/>
  <c r="F495" i="2"/>
  <c r="G495" i="2"/>
  <c r="H495" i="2"/>
  <c r="I495" i="2"/>
  <c r="J495" i="2"/>
  <c r="K495" i="2"/>
  <c r="L495" i="2"/>
  <c r="M495" i="2"/>
  <c r="N495" i="2"/>
  <c r="O495" i="2"/>
  <c r="B496" i="2"/>
  <c r="C496" i="2"/>
  <c r="D496" i="2"/>
  <c r="E496" i="2"/>
  <c r="F496" i="2"/>
  <c r="G496" i="2"/>
  <c r="H496" i="2"/>
  <c r="I496" i="2"/>
  <c r="J496" i="2"/>
  <c r="K496" i="2"/>
  <c r="L496" i="2"/>
  <c r="M496" i="2"/>
  <c r="N496" i="2"/>
  <c r="O496" i="2"/>
  <c r="B497" i="2"/>
  <c r="C497" i="2"/>
  <c r="D497" i="2"/>
  <c r="E497" i="2"/>
  <c r="F497" i="2"/>
  <c r="G497" i="2"/>
  <c r="H497" i="2"/>
  <c r="I497" i="2"/>
  <c r="J497" i="2"/>
  <c r="K497" i="2"/>
  <c r="L497" i="2"/>
  <c r="M497" i="2"/>
  <c r="N497" i="2"/>
  <c r="O497" i="2"/>
  <c r="B498" i="2"/>
  <c r="C498" i="2"/>
  <c r="D498" i="2"/>
  <c r="E498" i="2"/>
  <c r="F498" i="2"/>
  <c r="G498" i="2"/>
  <c r="H498" i="2"/>
  <c r="I498" i="2"/>
  <c r="J498" i="2"/>
  <c r="K498" i="2"/>
  <c r="L498" i="2"/>
  <c r="M498" i="2"/>
  <c r="N498" i="2"/>
  <c r="O498" i="2"/>
  <c r="B499" i="2"/>
  <c r="C499" i="2"/>
  <c r="D499" i="2"/>
  <c r="E499" i="2"/>
  <c r="F499" i="2"/>
  <c r="G499" i="2"/>
  <c r="H499" i="2"/>
  <c r="I499" i="2"/>
  <c r="J499" i="2"/>
  <c r="K499" i="2"/>
  <c r="L499" i="2"/>
  <c r="M499" i="2"/>
  <c r="N499" i="2"/>
  <c r="O499" i="2"/>
  <c r="B500" i="2"/>
  <c r="C500" i="2"/>
  <c r="D500" i="2"/>
  <c r="E500" i="2"/>
  <c r="F500" i="2"/>
  <c r="G500" i="2"/>
  <c r="H500" i="2"/>
  <c r="I500" i="2"/>
  <c r="J500" i="2"/>
  <c r="K500" i="2"/>
  <c r="L500" i="2"/>
  <c r="M500" i="2"/>
  <c r="N500" i="2"/>
  <c r="O500" i="2"/>
  <c r="B501" i="2"/>
  <c r="C501" i="2"/>
  <c r="D501" i="2"/>
  <c r="E501" i="2"/>
  <c r="F501" i="2"/>
  <c r="G501" i="2"/>
  <c r="H501" i="2"/>
  <c r="I501" i="2"/>
  <c r="J501" i="2"/>
  <c r="K501" i="2"/>
  <c r="L501" i="2"/>
  <c r="M501" i="2"/>
  <c r="N501" i="2"/>
  <c r="O501" i="2"/>
  <c r="B502" i="2"/>
  <c r="C502" i="2"/>
  <c r="D502" i="2"/>
  <c r="E502" i="2"/>
  <c r="F502" i="2"/>
  <c r="G502" i="2"/>
  <c r="H502" i="2"/>
  <c r="I502" i="2"/>
  <c r="J502" i="2"/>
  <c r="K502" i="2"/>
  <c r="L502" i="2"/>
  <c r="M502" i="2"/>
  <c r="N502" i="2"/>
  <c r="O502" i="2"/>
  <c r="B503" i="2"/>
  <c r="C503" i="2"/>
  <c r="D503" i="2"/>
  <c r="E503" i="2"/>
  <c r="F503" i="2"/>
  <c r="G503" i="2"/>
  <c r="H503" i="2"/>
  <c r="I503" i="2"/>
  <c r="J503" i="2"/>
  <c r="K503" i="2"/>
  <c r="L503" i="2"/>
  <c r="M503" i="2"/>
  <c r="N503" i="2"/>
  <c r="O503" i="2"/>
  <c r="B504" i="2"/>
  <c r="C504" i="2"/>
  <c r="D504" i="2"/>
  <c r="E504" i="2"/>
  <c r="F504" i="2"/>
  <c r="G504" i="2"/>
  <c r="H504" i="2"/>
  <c r="I504" i="2"/>
  <c r="J504" i="2"/>
  <c r="K504" i="2"/>
  <c r="L504" i="2"/>
  <c r="M504" i="2"/>
  <c r="N504" i="2"/>
  <c r="O504" i="2"/>
  <c r="B505" i="2"/>
  <c r="C505" i="2"/>
  <c r="D505" i="2"/>
  <c r="E505" i="2"/>
  <c r="F505" i="2"/>
  <c r="G505" i="2"/>
  <c r="H505" i="2"/>
  <c r="I505" i="2"/>
  <c r="J505" i="2"/>
  <c r="K505" i="2"/>
  <c r="L505" i="2"/>
  <c r="M505" i="2"/>
  <c r="N505" i="2"/>
  <c r="O505" i="2"/>
  <c r="B506" i="2"/>
  <c r="C506" i="2"/>
  <c r="D506" i="2"/>
  <c r="E506" i="2"/>
  <c r="F506" i="2"/>
  <c r="G506" i="2"/>
  <c r="H506" i="2"/>
  <c r="I506" i="2"/>
  <c r="J506" i="2"/>
  <c r="K506" i="2"/>
  <c r="L506" i="2"/>
  <c r="M506" i="2"/>
  <c r="N506" i="2"/>
  <c r="O506" i="2"/>
  <c r="B507" i="2"/>
  <c r="C507" i="2"/>
  <c r="D507" i="2"/>
  <c r="E507" i="2"/>
  <c r="F507" i="2"/>
  <c r="G507" i="2"/>
  <c r="H507" i="2"/>
  <c r="I507" i="2"/>
  <c r="J507" i="2"/>
  <c r="K507" i="2"/>
  <c r="L507" i="2"/>
  <c r="M507" i="2"/>
  <c r="N507" i="2"/>
  <c r="O507" i="2"/>
  <c r="B508" i="2"/>
  <c r="C508" i="2"/>
  <c r="D508" i="2"/>
  <c r="E508" i="2"/>
  <c r="F508" i="2"/>
  <c r="G508" i="2"/>
  <c r="H508" i="2"/>
  <c r="I508" i="2"/>
  <c r="J508" i="2"/>
  <c r="K508" i="2"/>
  <c r="L508" i="2"/>
  <c r="M508" i="2"/>
  <c r="N508" i="2"/>
  <c r="O508" i="2"/>
  <c r="B509" i="2"/>
  <c r="C509" i="2"/>
  <c r="D509" i="2"/>
  <c r="E509" i="2"/>
  <c r="F509" i="2"/>
  <c r="G509" i="2"/>
  <c r="H509" i="2"/>
  <c r="I509" i="2"/>
  <c r="J509" i="2"/>
  <c r="K509" i="2"/>
  <c r="L509" i="2"/>
  <c r="M509" i="2"/>
  <c r="N509" i="2"/>
  <c r="O509" i="2"/>
  <c r="B510" i="2"/>
  <c r="C510" i="2"/>
  <c r="D510" i="2"/>
  <c r="E510" i="2"/>
  <c r="F510" i="2"/>
  <c r="G510" i="2"/>
  <c r="H510" i="2"/>
  <c r="I510" i="2"/>
  <c r="J510" i="2"/>
  <c r="K510" i="2"/>
  <c r="L510" i="2"/>
  <c r="M510" i="2"/>
  <c r="N510" i="2"/>
  <c r="O510" i="2"/>
  <c r="B511" i="2"/>
  <c r="C511" i="2"/>
  <c r="D511" i="2"/>
  <c r="E511" i="2"/>
  <c r="F511" i="2"/>
  <c r="G511" i="2"/>
  <c r="H511" i="2"/>
  <c r="I511" i="2"/>
  <c r="J511" i="2"/>
  <c r="K511" i="2"/>
  <c r="L511" i="2"/>
  <c r="M511" i="2"/>
  <c r="N511" i="2"/>
  <c r="O511" i="2"/>
  <c r="B512" i="2"/>
  <c r="C512" i="2"/>
  <c r="D512" i="2"/>
  <c r="E512" i="2"/>
  <c r="F512" i="2"/>
  <c r="G512" i="2"/>
  <c r="H512" i="2"/>
  <c r="I512" i="2"/>
  <c r="J512" i="2"/>
  <c r="K512" i="2"/>
  <c r="L512" i="2"/>
  <c r="M512" i="2"/>
  <c r="N512" i="2"/>
  <c r="O512" i="2"/>
  <c r="B513" i="2"/>
  <c r="C513" i="2"/>
  <c r="D513" i="2"/>
  <c r="E513" i="2"/>
  <c r="F513" i="2"/>
  <c r="G513" i="2"/>
  <c r="H513" i="2"/>
  <c r="I513" i="2"/>
  <c r="J513" i="2"/>
  <c r="K513" i="2"/>
  <c r="L513" i="2"/>
  <c r="M513" i="2"/>
  <c r="N513" i="2"/>
  <c r="O513" i="2"/>
  <c r="B514" i="2"/>
  <c r="C514" i="2"/>
  <c r="D514" i="2"/>
  <c r="E514" i="2"/>
  <c r="F514" i="2"/>
  <c r="G514" i="2"/>
  <c r="H514" i="2"/>
  <c r="I514" i="2"/>
  <c r="J514" i="2"/>
  <c r="K514" i="2"/>
  <c r="L514" i="2"/>
  <c r="M514" i="2"/>
  <c r="N514" i="2"/>
  <c r="O514" i="2"/>
  <c r="B515" i="2"/>
  <c r="C515" i="2"/>
  <c r="D515" i="2"/>
  <c r="E515" i="2"/>
  <c r="F515" i="2"/>
  <c r="G515" i="2"/>
  <c r="H515" i="2"/>
  <c r="I515" i="2"/>
  <c r="J515" i="2"/>
  <c r="K515" i="2"/>
  <c r="L515" i="2"/>
  <c r="M515" i="2"/>
  <c r="N515" i="2"/>
  <c r="O515" i="2"/>
  <c r="B516" i="2"/>
  <c r="C516" i="2"/>
  <c r="D516" i="2"/>
  <c r="E516" i="2"/>
  <c r="F516" i="2"/>
  <c r="G516" i="2"/>
  <c r="H516" i="2"/>
  <c r="I516" i="2"/>
  <c r="J516" i="2"/>
  <c r="K516" i="2"/>
  <c r="L516" i="2"/>
  <c r="M516" i="2"/>
  <c r="N516" i="2"/>
  <c r="O516" i="2"/>
  <c r="B517" i="2"/>
  <c r="C517" i="2"/>
  <c r="D517" i="2"/>
  <c r="E517" i="2"/>
  <c r="F517" i="2"/>
  <c r="G517" i="2"/>
  <c r="H517" i="2"/>
  <c r="I517" i="2"/>
  <c r="J517" i="2"/>
  <c r="K517" i="2"/>
  <c r="L517" i="2"/>
  <c r="M517" i="2"/>
  <c r="N517" i="2"/>
  <c r="O517" i="2"/>
  <c r="B518" i="2"/>
  <c r="C518" i="2"/>
  <c r="D518" i="2"/>
  <c r="E518" i="2"/>
  <c r="F518" i="2"/>
  <c r="G518" i="2"/>
  <c r="H518" i="2"/>
  <c r="I518" i="2"/>
  <c r="J518" i="2"/>
  <c r="K518" i="2"/>
  <c r="L518" i="2"/>
  <c r="M518" i="2"/>
  <c r="N518" i="2"/>
  <c r="O518" i="2"/>
  <c r="B519" i="2"/>
  <c r="C519" i="2"/>
  <c r="D519" i="2"/>
  <c r="E519" i="2"/>
  <c r="F519" i="2"/>
  <c r="G519" i="2"/>
  <c r="H519" i="2"/>
  <c r="I519" i="2"/>
  <c r="J519" i="2"/>
  <c r="K519" i="2"/>
  <c r="L519" i="2"/>
  <c r="M519" i="2"/>
  <c r="N519" i="2"/>
  <c r="O519" i="2"/>
  <c r="B520" i="2"/>
  <c r="C520" i="2"/>
  <c r="D520" i="2"/>
  <c r="E520" i="2"/>
  <c r="F520" i="2"/>
  <c r="G520" i="2"/>
  <c r="H520" i="2"/>
  <c r="I520" i="2"/>
  <c r="J520" i="2"/>
  <c r="K520" i="2"/>
  <c r="L520" i="2"/>
  <c r="M520" i="2"/>
  <c r="N520" i="2"/>
  <c r="O520" i="2"/>
  <c r="B521" i="2"/>
  <c r="C521" i="2"/>
  <c r="D521" i="2"/>
  <c r="E521" i="2"/>
  <c r="F521" i="2"/>
  <c r="G521" i="2"/>
  <c r="H521" i="2"/>
  <c r="I521" i="2"/>
  <c r="J521" i="2"/>
  <c r="K521" i="2"/>
  <c r="L521" i="2"/>
  <c r="M521" i="2"/>
  <c r="N521" i="2"/>
  <c r="O521" i="2"/>
  <c r="B522" i="2"/>
  <c r="C522" i="2"/>
  <c r="D522" i="2"/>
  <c r="E522" i="2"/>
  <c r="F522" i="2"/>
  <c r="G522" i="2"/>
  <c r="H522" i="2"/>
  <c r="I522" i="2"/>
  <c r="J522" i="2"/>
  <c r="K522" i="2"/>
  <c r="L522" i="2"/>
  <c r="M522" i="2"/>
  <c r="N522" i="2"/>
  <c r="O522" i="2"/>
  <c r="B523" i="2"/>
  <c r="C523" i="2"/>
  <c r="D523" i="2"/>
  <c r="E523" i="2"/>
  <c r="F523" i="2"/>
  <c r="G523" i="2"/>
  <c r="H523" i="2"/>
  <c r="I523" i="2"/>
  <c r="J523" i="2"/>
  <c r="K523" i="2"/>
  <c r="L523" i="2"/>
  <c r="M523" i="2"/>
  <c r="N523" i="2"/>
  <c r="O523" i="2"/>
  <c r="B524" i="2"/>
  <c r="C524" i="2"/>
  <c r="D524" i="2"/>
  <c r="E524" i="2"/>
  <c r="F524" i="2"/>
  <c r="G524" i="2"/>
  <c r="H524" i="2"/>
  <c r="I524" i="2"/>
  <c r="J524" i="2"/>
  <c r="K524" i="2"/>
  <c r="L524" i="2"/>
  <c r="M524" i="2"/>
  <c r="N524" i="2"/>
  <c r="O524" i="2"/>
  <c r="B525" i="2"/>
  <c r="C525" i="2"/>
  <c r="D525" i="2"/>
  <c r="E525" i="2"/>
  <c r="F525" i="2"/>
  <c r="G525" i="2"/>
  <c r="H525" i="2"/>
  <c r="I525" i="2"/>
  <c r="J525" i="2"/>
  <c r="K525" i="2"/>
  <c r="L525" i="2"/>
  <c r="M525" i="2"/>
  <c r="N525" i="2"/>
  <c r="O525" i="2"/>
  <c r="B526" i="2"/>
  <c r="C526" i="2"/>
  <c r="D526" i="2"/>
  <c r="E526" i="2"/>
  <c r="F526" i="2"/>
  <c r="G526" i="2"/>
  <c r="H526" i="2"/>
  <c r="I526" i="2"/>
  <c r="J526" i="2"/>
  <c r="K526" i="2"/>
  <c r="L526" i="2"/>
  <c r="M526" i="2"/>
  <c r="N526" i="2"/>
  <c r="O526" i="2"/>
  <c r="B527" i="2"/>
  <c r="C527" i="2"/>
  <c r="D527" i="2"/>
  <c r="E527" i="2"/>
  <c r="F527" i="2"/>
  <c r="G527" i="2"/>
  <c r="H527" i="2"/>
  <c r="I527" i="2"/>
  <c r="J527" i="2"/>
  <c r="K527" i="2"/>
  <c r="L527" i="2"/>
  <c r="M527" i="2"/>
  <c r="N527" i="2"/>
  <c r="O527" i="2"/>
  <c r="B528" i="2"/>
  <c r="C528" i="2"/>
  <c r="D528" i="2"/>
  <c r="E528" i="2"/>
  <c r="F528" i="2"/>
  <c r="G528" i="2"/>
  <c r="H528" i="2"/>
  <c r="I528" i="2"/>
  <c r="J528" i="2"/>
  <c r="K528" i="2"/>
  <c r="L528" i="2"/>
  <c r="M528" i="2"/>
  <c r="N528" i="2"/>
  <c r="O528" i="2"/>
  <c r="B529" i="2"/>
  <c r="C529" i="2"/>
  <c r="D529" i="2"/>
  <c r="E529" i="2"/>
  <c r="F529" i="2"/>
  <c r="G529" i="2"/>
  <c r="H529" i="2"/>
  <c r="I529" i="2"/>
  <c r="J529" i="2"/>
  <c r="K529" i="2"/>
  <c r="L529" i="2"/>
  <c r="M529" i="2"/>
  <c r="N529" i="2"/>
  <c r="O529" i="2"/>
  <c r="B530" i="2"/>
  <c r="C530" i="2"/>
  <c r="D530" i="2"/>
  <c r="E530" i="2"/>
  <c r="F530" i="2"/>
  <c r="G530" i="2"/>
  <c r="H530" i="2"/>
  <c r="I530" i="2"/>
  <c r="J530" i="2"/>
  <c r="K530" i="2"/>
  <c r="L530" i="2"/>
  <c r="M530" i="2"/>
  <c r="N530" i="2"/>
  <c r="O530" i="2"/>
  <c r="B531" i="2"/>
  <c r="C531" i="2"/>
  <c r="D531" i="2"/>
  <c r="E531" i="2"/>
  <c r="F531" i="2"/>
  <c r="G531" i="2"/>
  <c r="H531" i="2"/>
  <c r="I531" i="2"/>
  <c r="J531" i="2"/>
  <c r="K531" i="2"/>
  <c r="L531" i="2"/>
  <c r="M531" i="2"/>
  <c r="N531" i="2"/>
  <c r="O531" i="2"/>
  <c r="B532" i="2"/>
  <c r="C532" i="2"/>
  <c r="D532" i="2"/>
  <c r="E532" i="2"/>
  <c r="F532" i="2"/>
  <c r="G532" i="2"/>
  <c r="H532" i="2"/>
  <c r="I532" i="2"/>
  <c r="J532" i="2"/>
  <c r="K532" i="2"/>
  <c r="L532" i="2"/>
  <c r="M532" i="2"/>
  <c r="N532" i="2"/>
  <c r="O532" i="2"/>
  <c r="B533" i="2"/>
  <c r="C533" i="2"/>
  <c r="D533" i="2"/>
  <c r="E533" i="2"/>
  <c r="F533" i="2"/>
  <c r="G533" i="2"/>
  <c r="H533" i="2"/>
  <c r="I533" i="2"/>
  <c r="J533" i="2"/>
  <c r="K533" i="2"/>
  <c r="L533" i="2"/>
  <c r="M533" i="2"/>
  <c r="N533" i="2"/>
  <c r="O533" i="2"/>
  <c r="B534" i="2"/>
  <c r="C534" i="2"/>
  <c r="D534" i="2"/>
  <c r="E534" i="2"/>
  <c r="F534" i="2"/>
  <c r="G534" i="2"/>
  <c r="H534" i="2"/>
  <c r="I534" i="2"/>
  <c r="J534" i="2"/>
  <c r="K534" i="2"/>
  <c r="L534" i="2"/>
  <c r="M534" i="2"/>
  <c r="N534" i="2"/>
  <c r="O534" i="2"/>
  <c r="B535" i="2"/>
  <c r="C535" i="2"/>
  <c r="D535" i="2"/>
  <c r="E535" i="2"/>
  <c r="F535" i="2"/>
  <c r="G535" i="2"/>
  <c r="H535" i="2"/>
  <c r="I535" i="2"/>
  <c r="J535" i="2"/>
  <c r="K535" i="2"/>
  <c r="L535" i="2"/>
  <c r="M535" i="2"/>
  <c r="N535" i="2"/>
  <c r="O535" i="2"/>
  <c r="B536" i="2"/>
  <c r="C536" i="2"/>
  <c r="D536" i="2"/>
  <c r="E536" i="2"/>
  <c r="F536" i="2"/>
  <c r="G536" i="2"/>
  <c r="H536" i="2"/>
  <c r="I536" i="2"/>
  <c r="J536" i="2"/>
  <c r="K536" i="2"/>
  <c r="L536" i="2"/>
  <c r="M536" i="2"/>
  <c r="N536" i="2"/>
  <c r="O536" i="2"/>
  <c r="B537" i="2"/>
  <c r="C537" i="2"/>
  <c r="D537" i="2"/>
  <c r="E537" i="2"/>
  <c r="F537" i="2"/>
  <c r="G537" i="2"/>
  <c r="H537" i="2"/>
  <c r="I537" i="2"/>
  <c r="J537" i="2"/>
  <c r="K537" i="2"/>
  <c r="L537" i="2"/>
  <c r="M537" i="2"/>
  <c r="N537" i="2"/>
  <c r="O537" i="2"/>
  <c r="B538" i="2"/>
  <c r="C538" i="2"/>
  <c r="D538" i="2"/>
  <c r="E538" i="2"/>
  <c r="F538" i="2"/>
  <c r="G538" i="2"/>
  <c r="H538" i="2"/>
  <c r="I538" i="2"/>
  <c r="J538" i="2"/>
  <c r="K538" i="2"/>
  <c r="L538" i="2"/>
  <c r="M538" i="2"/>
  <c r="N538" i="2"/>
  <c r="O538" i="2"/>
  <c r="B539" i="2"/>
  <c r="C539" i="2"/>
  <c r="D539" i="2"/>
  <c r="E539" i="2"/>
  <c r="F539" i="2"/>
  <c r="G539" i="2"/>
  <c r="H539" i="2"/>
  <c r="I539" i="2"/>
  <c r="J539" i="2"/>
  <c r="K539" i="2"/>
  <c r="L539" i="2"/>
  <c r="M539" i="2"/>
  <c r="N539" i="2"/>
  <c r="O539" i="2"/>
  <c r="B540" i="2"/>
  <c r="C540" i="2"/>
  <c r="D540" i="2"/>
  <c r="E540" i="2"/>
  <c r="F540" i="2"/>
  <c r="G540" i="2"/>
  <c r="H540" i="2"/>
  <c r="I540" i="2"/>
  <c r="J540" i="2"/>
  <c r="K540" i="2"/>
  <c r="L540" i="2"/>
  <c r="M540" i="2"/>
  <c r="N540" i="2"/>
  <c r="O540" i="2"/>
  <c r="B541" i="2"/>
  <c r="C541" i="2"/>
  <c r="D541" i="2"/>
  <c r="E541" i="2"/>
  <c r="F541" i="2"/>
  <c r="G541" i="2"/>
  <c r="H541" i="2"/>
  <c r="I541" i="2"/>
  <c r="J541" i="2"/>
  <c r="K541" i="2"/>
  <c r="L541" i="2"/>
  <c r="M541" i="2"/>
  <c r="N541" i="2"/>
  <c r="O541" i="2"/>
  <c r="B542" i="2"/>
  <c r="C542" i="2"/>
  <c r="D542" i="2"/>
  <c r="E542" i="2"/>
  <c r="F542" i="2"/>
  <c r="G542" i="2"/>
  <c r="H542" i="2"/>
  <c r="I542" i="2"/>
  <c r="J542" i="2"/>
  <c r="K542" i="2"/>
  <c r="L542" i="2"/>
  <c r="M542" i="2"/>
  <c r="N542" i="2"/>
  <c r="O542" i="2"/>
  <c r="B543" i="2"/>
  <c r="C543" i="2"/>
  <c r="D543" i="2"/>
  <c r="E543" i="2"/>
  <c r="F543" i="2"/>
  <c r="G543" i="2"/>
  <c r="H543" i="2"/>
  <c r="I543" i="2"/>
  <c r="J543" i="2"/>
  <c r="K543" i="2"/>
  <c r="L543" i="2"/>
  <c r="M543" i="2"/>
  <c r="N543" i="2"/>
  <c r="O543" i="2"/>
  <c r="B544" i="2"/>
  <c r="C544" i="2"/>
  <c r="D544" i="2"/>
  <c r="E544" i="2"/>
  <c r="F544" i="2"/>
  <c r="G544" i="2"/>
  <c r="H544" i="2"/>
  <c r="I544" i="2"/>
  <c r="J544" i="2"/>
  <c r="K544" i="2"/>
  <c r="L544" i="2"/>
  <c r="M544" i="2"/>
  <c r="N544" i="2"/>
  <c r="O544" i="2"/>
  <c r="B545" i="2"/>
  <c r="C545" i="2"/>
  <c r="D545" i="2"/>
  <c r="E545" i="2"/>
  <c r="F545" i="2"/>
  <c r="G545" i="2"/>
  <c r="H545" i="2"/>
  <c r="I545" i="2"/>
  <c r="J545" i="2"/>
  <c r="K545" i="2"/>
  <c r="L545" i="2"/>
  <c r="M545" i="2"/>
  <c r="N545" i="2"/>
  <c r="O545" i="2"/>
  <c r="B546" i="2"/>
  <c r="C546" i="2"/>
  <c r="D546" i="2"/>
  <c r="E546" i="2"/>
  <c r="F546" i="2"/>
  <c r="G546" i="2"/>
  <c r="H546" i="2"/>
  <c r="I546" i="2"/>
  <c r="J546" i="2"/>
  <c r="K546" i="2"/>
  <c r="L546" i="2"/>
  <c r="M546" i="2"/>
  <c r="N546" i="2"/>
  <c r="O546" i="2"/>
  <c r="B547" i="2"/>
  <c r="C547" i="2"/>
  <c r="D547" i="2"/>
  <c r="E547" i="2"/>
  <c r="F547" i="2"/>
  <c r="G547" i="2"/>
  <c r="H547" i="2"/>
  <c r="I547" i="2"/>
  <c r="J547" i="2"/>
  <c r="K547" i="2"/>
  <c r="L547" i="2"/>
  <c r="M547" i="2"/>
  <c r="N547" i="2"/>
  <c r="O547" i="2"/>
  <c r="B548" i="2"/>
  <c r="C548" i="2"/>
  <c r="D548" i="2"/>
  <c r="E548" i="2"/>
  <c r="F548" i="2"/>
  <c r="G548" i="2"/>
  <c r="H548" i="2"/>
  <c r="I548" i="2"/>
  <c r="J548" i="2"/>
  <c r="K548" i="2"/>
  <c r="L548" i="2"/>
  <c r="M548" i="2"/>
  <c r="N548" i="2"/>
  <c r="O548" i="2"/>
  <c r="B549" i="2"/>
  <c r="C549" i="2"/>
  <c r="D549" i="2"/>
  <c r="E549" i="2"/>
  <c r="F549" i="2"/>
  <c r="G549" i="2"/>
  <c r="H549" i="2"/>
  <c r="I549" i="2"/>
  <c r="J549" i="2"/>
  <c r="K549" i="2"/>
  <c r="L549" i="2"/>
  <c r="M549" i="2"/>
  <c r="N549" i="2"/>
  <c r="O549" i="2"/>
  <c r="B550" i="2"/>
  <c r="C550" i="2"/>
  <c r="D550" i="2"/>
  <c r="E550" i="2"/>
  <c r="F550" i="2"/>
  <c r="G550" i="2"/>
  <c r="H550" i="2"/>
  <c r="I550" i="2"/>
  <c r="J550" i="2"/>
  <c r="K550" i="2"/>
  <c r="L550" i="2"/>
  <c r="M550" i="2"/>
  <c r="N550" i="2"/>
  <c r="O550" i="2"/>
  <c r="B551" i="2"/>
  <c r="C551" i="2"/>
  <c r="D551" i="2"/>
  <c r="E551" i="2"/>
  <c r="F551" i="2"/>
  <c r="G551" i="2"/>
  <c r="H551" i="2"/>
  <c r="I551" i="2"/>
  <c r="J551" i="2"/>
  <c r="K551" i="2"/>
  <c r="L551" i="2"/>
  <c r="M551" i="2"/>
  <c r="N551" i="2"/>
  <c r="O551" i="2"/>
  <c r="B552" i="2"/>
  <c r="C552" i="2"/>
  <c r="D552" i="2"/>
  <c r="E552" i="2"/>
  <c r="F552" i="2"/>
  <c r="G552" i="2"/>
  <c r="H552" i="2"/>
  <c r="I552" i="2"/>
  <c r="J552" i="2"/>
  <c r="K552" i="2"/>
  <c r="L552" i="2"/>
  <c r="M552" i="2"/>
  <c r="N552" i="2"/>
  <c r="O552" i="2"/>
  <c r="B553" i="2"/>
  <c r="C553" i="2"/>
  <c r="D553" i="2"/>
  <c r="E553" i="2"/>
  <c r="F553" i="2"/>
  <c r="G553" i="2"/>
  <c r="H553" i="2"/>
  <c r="I553" i="2"/>
  <c r="J553" i="2"/>
  <c r="K553" i="2"/>
  <c r="L553" i="2"/>
  <c r="M553" i="2"/>
  <c r="N553" i="2"/>
  <c r="O553" i="2"/>
  <c r="B554" i="2"/>
  <c r="C554" i="2"/>
  <c r="D554" i="2"/>
  <c r="E554" i="2"/>
  <c r="F554" i="2"/>
  <c r="G554" i="2"/>
  <c r="H554" i="2"/>
  <c r="I554" i="2"/>
  <c r="J554" i="2"/>
  <c r="K554" i="2"/>
  <c r="L554" i="2"/>
  <c r="M554" i="2"/>
  <c r="N554" i="2"/>
  <c r="O554" i="2"/>
  <c r="B555" i="2"/>
  <c r="C555" i="2"/>
  <c r="D555" i="2"/>
  <c r="E555" i="2"/>
  <c r="F555" i="2"/>
  <c r="G555" i="2"/>
  <c r="H555" i="2"/>
  <c r="I555" i="2"/>
  <c r="J555" i="2"/>
  <c r="K555" i="2"/>
  <c r="L555" i="2"/>
  <c r="M555" i="2"/>
  <c r="N555" i="2"/>
  <c r="O555" i="2"/>
  <c r="B556" i="2"/>
  <c r="C556" i="2"/>
  <c r="D556" i="2"/>
  <c r="E556" i="2"/>
  <c r="F556" i="2"/>
  <c r="G556" i="2"/>
  <c r="H556" i="2"/>
  <c r="I556" i="2"/>
  <c r="J556" i="2"/>
  <c r="K556" i="2"/>
  <c r="L556" i="2"/>
  <c r="M556" i="2"/>
  <c r="N556" i="2"/>
  <c r="O556" i="2"/>
  <c r="B557" i="2"/>
  <c r="C557" i="2"/>
  <c r="D557" i="2"/>
  <c r="E557" i="2"/>
  <c r="F557" i="2"/>
  <c r="G557" i="2"/>
  <c r="H557" i="2"/>
  <c r="I557" i="2"/>
  <c r="J557" i="2"/>
  <c r="K557" i="2"/>
  <c r="L557" i="2"/>
  <c r="M557" i="2"/>
  <c r="N557" i="2"/>
  <c r="O557" i="2"/>
  <c r="B558" i="2"/>
  <c r="C558" i="2"/>
  <c r="D558" i="2"/>
  <c r="E558" i="2"/>
  <c r="F558" i="2"/>
  <c r="G558" i="2"/>
  <c r="H558" i="2"/>
  <c r="I558" i="2"/>
  <c r="J558" i="2"/>
  <c r="K558" i="2"/>
  <c r="L558" i="2"/>
  <c r="M558" i="2"/>
  <c r="N558" i="2"/>
  <c r="O558" i="2"/>
  <c r="B559" i="2"/>
  <c r="C559" i="2"/>
  <c r="D559" i="2"/>
  <c r="E559" i="2"/>
  <c r="F559" i="2"/>
  <c r="G559" i="2"/>
  <c r="H559" i="2"/>
  <c r="I559" i="2"/>
  <c r="J559" i="2"/>
  <c r="K559" i="2"/>
  <c r="L559" i="2"/>
  <c r="M559" i="2"/>
  <c r="N559" i="2"/>
  <c r="O559" i="2"/>
  <c r="B560" i="2"/>
  <c r="C560" i="2"/>
  <c r="D560" i="2"/>
  <c r="E560" i="2"/>
  <c r="F560" i="2"/>
  <c r="G560" i="2"/>
  <c r="H560" i="2"/>
  <c r="I560" i="2"/>
  <c r="J560" i="2"/>
  <c r="K560" i="2"/>
  <c r="L560" i="2"/>
  <c r="M560" i="2"/>
  <c r="N560" i="2"/>
  <c r="O560" i="2"/>
  <c r="B561" i="2"/>
  <c r="C561" i="2"/>
  <c r="D561" i="2"/>
  <c r="E561" i="2"/>
  <c r="F561" i="2"/>
  <c r="G561" i="2"/>
  <c r="H561" i="2"/>
  <c r="I561" i="2"/>
  <c r="J561" i="2"/>
  <c r="K561" i="2"/>
  <c r="L561" i="2"/>
  <c r="M561" i="2"/>
  <c r="N561" i="2"/>
  <c r="O561" i="2"/>
  <c r="B562" i="2"/>
  <c r="C562" i="2"/>
  <c r="D562" i="2"/>
  <c r="E562" i="2"/>
  <c r="F562" i="2"/>
  <c r="G562" i="2"/>
  <c r="H562" i="2"/>
  <c r="I562" i="2"/>
  <c r="J562" i="2"/>
  <c r="K562" i="2"/>
  <c r="L562" i="2"/>
  <c r="M562" i="2"/>
  <c r="N562" i="2"/>
  <c r="O562" i="2"/>
  <c r="B563" i="2"/>
  <c r="C563" i="2"/>
  <c r="D563" i="2"/>
  <c r="E563" i="2"/>
  <c r="F563" i="2"/>
  <c r="G563" i="2"/>
  <c r="H563" i="2"/>
  <c r="I563" i="2"/>
  <c r="J563" i="2"/>
  <c r="K563" i="2"/>
  <c r="L563" i="2"/>
  <c r="M563" i="2"/>
  <c r="N563" i="2"/>
  <c r="O563" i="2"/>
  <c r="B564" i="2"/>
  <c r="C564" i="2"/>
  <c r="D564" i="2"/>
  <c r="E564" i="2"/>
  <c r="F564" i="2"/>
  <c r="G564" i="2"/>
  <c r="H564" i="2"/>
  <c r="I564" i="2"/>
  <c r="J564" i="2"/>
  <c r="K564" i="2"/>
  <c r="L564" i="2"/>
  <c r="M564" i="2"/>
  <c r="N564" i="2"/>
  <c r="O564" i="2"/>
  <c r="B565" i="2"/>
  <c r="C565" i="2"/>
  <c r="D565" i="2"/>
  <c r="E565" i="2"/>
  <c r="F565" i="2"/>
  <c r="G565" i="2"/>
  <c r="H565" i="2"/>
  <c r="I565" i="2"/>
  <c r="J565" i="2"/>
  <c r="K565" i="2"/>
  <c r="L565" i="2"/>
  <c r="M565" i="2"/>
  <c r="N565" i="2"/>
  <c r="O565" i="2"/>
  <c r="B566" i="2"/>
  <c r="C566" i="2"/>
  <c r="D566" i="2"/>
  <c r="E566" i="2"/>
  <c r="F566" i="2"/>
  <c r="G566" i="2"/>
  <c r="H566" i="2"/>
  <c r="I566" i="2"/>
  <c r="J566" i="2"/>
  <c r="K566" i="2"/>
  <c r="L566" i="2"/>
  <c r="M566" i="2"/>
  <c r="N566" i="2"/>
  <c r="O566" i="2"/>
  <c r="B567" i="2"/>
  <c r="C567" i="2"/>
  <c r="D567" i="2"/>
  <c r="E567" i="2"/>
  <c r="F567" i="2"/>
  <c r="G567" i="2"/>
  <c r="H567" i="2"/>
  <c r="I567" i="2"/>
  <c r="J567" i="2"/>
  <c r="K567" i="2"/>
  <c r="L567" i="2"/>
  <c r="M567" i="2"/>
  <c r="N567" i="2"/>
  <c r="O567" i="2"/>
  <c r="B568" i="2"/>
  <c r="C568" i="2"/>
  <c r="D568" i="2"/>
  <c r="E568" i="2"/>
  <c r="F568" i="2"/>
  <c r="G568" i="2"/>
  <c r="H568" i="2"/>
  <c r="I568" i="2"/>
  <c r="J568" i="2"/>
  <c r="K568" i="2"/>
  <c r="L568" i="2"/>
  <c r="M568" i="2"/>
  <c r="N568" i="2"/>
  <c r="O568" i="2"/>
  <c r="B569" i="2"/>
  <c r="C569" i="2"/>
  <c r="D569" i="2"/>
  <c r="E569" i="2"/>
  <c r="F569" i="2"/>
  <c r="G569" i="2"/>
  <c r="H569" i="2"/>
  <c r="I569" i="2"/>
  <c r="J569" i="2"/>
  <c r="K569" i="2"/>
  <c r="L569" i="2"/>
  <c r="M569" i="2"/>
  <c r="N569" i="2"/>
  <c r="O569" i="2"/>
  <c r="B570" i="2"/>
  <c r="C570" i="2"/>
  <c r="D570" i="2"/>
  <c r="E570" i="2"/>
  <c r="F570" i="2"/>
  <c r="G570" i="2"/>
  <c r="H570" i="2"/>
  <c r="I570" i="2"/>
  <c r="J570" i="2"/>
  <c r="K570" i="2"/>
  <c r="L570" i="2"/>
  <c r="M570" i="2"/>
  <c r="N570" i="2"/>
  <c r="O570" i="2"/>
  <c r="B571" i="2"/>
  <c r="C571" i="2"/>
  <c r="D571" i="2"/>
  <c r="E571" i="2"/>
  <c r="F571" i="2"/>
  <c r="G571" i="2"/>
  <c r="H571" i="2"/>
  <c r="I571" i="2"/>
  <c r="J571" i="2"/>
  <c r="K571" i="2"/>
  <c r="L571" i="2"/>
  <c r="M571" i="2"/>
  <c r="N571" i="2"/>
  <c r="O571" i="2"/>
  <c r="B572" i="2"/>
  <c r="C572" i="2"/>
  <c r="D572" i="2"/>
  <c r="E572" i="2"/>
  <c r="F572" i="2"/>
  <c r="G572" i="2"/>
  <c r="H572" i="2"/>
  <c r="I572" i="2"/>
  <c r="J572" i="2"/>
  <c r="K572" i="2"/>
  <c r="L572" i="2"/>
  <c r="M572" i="2"/>
  <c r="N572" i="2"/>
  <c r="O572" i="2"/>
  <c r="B573" i="2"/>
  <c r="C573" i="2"/>
  <c r="D573" i="2"/>
  <c r="E573" i="2"/>
  <c r="F573" i="2"/>
  <c r="G573" i="2"/>
  <c r="H573" i="2"/>
  <c r="I573" i="2"/>
  <c r="J573" i="2"/>
  <c r="K573" i="2"/>
  <c r="L573" i="2"/>
  <c r="M573" i="2"/>
  <c r="N573" i="2"/>
  <c r="O573" i="2"/>
  <c r="B574" i="2"/>
  <c r="C574" i="2"/>
  <c r="D574" i="2"/>
  <c r="E574" i="2"/>
  <c r="F574" i="2"/>
  <c r="G574" i="2"/>
  <c r="H574" i="2"/>
  <c r="I574" i="2"/>
  <c r="J574" i="2"/>
  <c r="K574" i="2"/>
  <c r="L574" i="2"/>
  <c r="M574" i="2"/>
  <c r="N574" i="2"/>
  <c r="O574" i="2"/>
  <c r="B575" i="2"/>
  <c r="C575" i="2"/>
  <c r="D575" i="2"/>
  <c r="E575" i="2"/>
  <c r="F575" i="2"/>
  <c r="G575" i="2"/>
  <c r="H575" i="2"/>
  <c r="I575" i="2"/>
  <c r="J575" i="2"/>
  <c r="K575" i="2"/>
  <c r="L575" i="2"/>
  <c r="M575" i="2"/>
  <c r="N575" i="2"/>
  <c r="O575" i="2"/>
  <c r="B576" i="2"/>
  <c r="C576" i="2"/>
  <c r="D576" i="2"/>
  <c r="E576" i="2"/>
  <c r="F576" i="2"/>
  <c r="G576" i="2"/>
  <c r="H576" i="2"/>
  <c r="I576" i="2"/>
  <c r="J576" i="2"/>
  <c r="K576" i="2"/>
  <c r="L576" i="2"/>
  <c r="M576" i="2"/>
  <c r="N576" i="2"/>
  <c r="O576" i="2"/>
  <c r="B577" i="2"/>
  <c r="C577" i="2"/>
  <c r="D577" i="2"/>
  <c r="E577" i="2"/>
  <c r="F577" i="2"/>
  <c r="G577" i="2"/>
  <c r="H577" i="2"/>
  <c r="I577" i="2"/>
  <c r="J577" i="2"/>
  <c r="K577" i="2"/>
  <c r="L577" i="2"/>
  <c r="M577" i="2"/>
  <c r="N577" i="2"/>
  <c r="O577" i="2"/>
  <c r="B578" i="2"/>
  <c r="C578" i="2"/>
  <c r="D578" i="2"/>
  <c r="E578" i="2"/>
  <c r="F578" i="2"/>
  <c r="G578" i="2"/>
  <c r="H578" i="2"/>
  <c r="I578" i="2"/>
  <c r="J578" i="2"/>
  <c r="K578" i="2"/>
  <c r="L578" i="2"/>
  <c r="M578" i="2"/>
  <c r="N578" i="2"/>
  <c r="O578" i="2"/>
  <c r="B579" i="2"/>
  <c r="C579" i="2"/>
  <c r="D579" i="2"/>
  <c r="E579" i="2"/>
  <c r="F579" i="2"/>
  <c r="G579" i="2"/>
  <c r="H579" i="2"/>
  <c r="I579" i="2"/>
  <c r="J579" i="2"/>
  <c r="K579" i="2"/>
  <c r="L579" i="2"/>
  <c r="M579" i="2"/>
  <c r="N579" i="2"/>
  <c r="O579" i="2"/>
  <c r="B580" i="2"/>
  <c r="C580" i="2"/>
  <c r="D580" i="2"/>
  <c r="E580" i="2"/>
  <c r="F580" i="2"/>
  <c r="G580" i="2"/>
  <c r="H580" i="2"/>
  <c r="I580" i="2"/>
  <c r="J580" i="2"/>
  <c r="K580" i="2"/>
  <c r="L580" i="2"/>
  <c r="M580" i="2"/>
  <c r="N580" i="2"/>
  <c r="O580" i="2"/>
  <c r="B581" i="2"/>
  <c r="C581" i="2"/>
  <c r="D581" i="2"/>
  <c r="E581" i="2"/>
  <c r="F581" i="2"/>
  <c r="G581" i="2"/>
  <c r="H581" i="2"/>
  <c r="I581" i="2"/>
  <c r="J581" i="2"/>
  <c r="K581" i="2"/>
  <c r="L581" i="2"/>
  <c r="M581" i="2"/>
  <c r="N581" i="2"/>
  <c r="O581" i="2"/>
  <c r="B582" i="2"/>
  <c r="C582" i="2"/>
  <c r="D582" i="2"/>
  <c r="E582" i="2"/>
  <c r="F582" i="2"/>
  <c r="G582" i="2"/>
  <c r="H582" i="2"/>
  <c r="I582" i="2"/>
  <c r="J582" i="2"/>
  <c r="K582" i="2"/>
  <c r="L582" i="2"/>
  <c r="M582" i="2"/>
  <c r="N582" i="2"/>
  <c r="O582" i="2"/>
  <c r="B583" i="2"/>
  <c r="C583" i="2"/>
  <c r="D583" i="2"/>
  <c r="E583" i="2"/>
  <c r="F583" i="2"/>
  <c r="G583" i="2"/>
  <c r="H583" i="2"/>
  <c r="I583" i="2"/>
  <c r="J583" i="2"/>
  <c r="K583" i="2"/>
  <c r="L583" i="2"/>
  <c r="M583" i="2"/>
  <c r="N583" i="2"/>
  <c r="O583" i="2"/>
  <c r="B584" i="2"/>
  <c r="C584" i="2"/>
  <c r="D584" i="2"/>
  <c r="E584" i="2"/>
  <c r="F584" i="2"/>
  <c r="G584" i="2"/>
  <c r="H584" i="2"/>
  <c r="I584" i="2"/>
  <c r="J584" i="2"/>
  <c r="K584" i="2"/>
  <c r="L584" i="2"/>
  <c r="M584" i="2"/>
  <c r="N584" i="2"/>
  <c r="O584" i="2"/>
  <c r="B585" i="2"/>
  <c r="C585" i="2"/>
  <c r="D585" i="2"/>
  <c r="E585" i="2"/>
  <c r="F585" i="2"/>
  <c r="G585" i="2"/>
  <c r="H585" i="2"/>
  <c r="I585" i="2"/>
  <c r="J585" i="2"/>
  <c r="K585" i="2"/>
  <c r="L585" i="2"/>
  <c r="M585" i="2"/>
  <c r="N585" i="2"/>
  <c r="O585" i="2"/>
  <c r="B586" i="2"/>
  <c r="C586" i="2"/>
  <c r="D586" i="2"/>
  <c r="E586" i="2"/>
  <c r="F586" i="2"/>
  <c r="G586" i="2"/>
  <c r="H586" i="2"/>
  <c r="I586" i="2"/>
  <c r="J586" i="2"/>
  <c r="K586" i="2"/>
  <c r="L586" i="2"/>
  <c r="M586" i="2"/>
  <c r="N586" i="2"/>
  <c r="O586" i="2"/>
  <c r="B587" i="2"/>
  <c r="C587" i="2"/>
  <c r="D587" i="2"/>
  <c r="E587" i="2"/>
  <c r="F587" i="2"/>
  <c r="G587" i="2"/>
  <c r="H587" i="2"/>
  <c r="I587" i="2"/>
  <c r="J587" i="2"/>
  <c r="K587" i="2"/>
  <c r="L587" i="2"/>
  <c r="M587" i="2"/>
  <c r="N587" i="2"/>
  <c r="O587" i="2"/>
  <c r="B588" i="2"/>
  <c r="C588" i="2"/>
  <c r="D588" i="2"/>
  <c r="E588" i="2"/>
  <c r="F588" i="2"/>
  <c r="G588" i="2"/>
  <c r="H588" i="2"/>
  <c r="I588" i="2"/>
  <c r="J588" i="2"/>
  <c r="K588" i="2"/>
  <c r="L588" i="2"/>
  <c r="M588" i="2"/>
  <c r="N588" i="2"/>
  <c r="O588" i="2"/>
  <c r="B589" i="2"/>
  <c r="C589" i="2"/>
  <c r="D589" i="2"/>
  <c r="E589" i="2"/>
  <c r="F589" i="2"/>
  <c r="G589" i="2"/>
  <c r="H589" i="2"/>
  <c r="I589" i="2"/>
  <c r="J589" i="2"/>
  <c r="K589" i="2"/>
  <c r="L589" i="2"/>
  <c r="M589" i="2"/>
  <c r="N589" i="2"/>
  <c r="O589" i="2"/>
  <c r="B590" i="2"/>
  <c r="C590" i="2"/>
  <c r="D590" i="2"/>
  <c r="E590" i="2"/>
  <c r="F590" i="2"/>
  <c r="G590" i="2"/>
  <c r="H590" i="2"/>
  <c r="I590" i="2"/>
  <c r="J590" i="2"/>
  <c r="K590" i="2"/>
  <c r="L590" i="2"/>
  <c r="M590" i="2"/>
  <c r="N590" i="2"/>
  <c r="O590" i="2"/>
  <c r="B591" i="2"/>
  <c r="C591" i="2"/>
  <c r="D591" i="2"/>
  <c r="E591" i="2"/>
  <c r="F591" i="2"/>
  <c r="G591" i="2"/>
  <c r="H591" i="2"/>
  <c r="I591" i="2"/>
  <c r="J591" i="2"/>
  <c r="K591" i="2"/>
  <c r="L591" i="2"/>
  <c r="M591" i="2"/>
  <c r="N591" i="2"/>
  <c r="O591" i="2"/>
  <c r="B592" i="2"/>
  <c r="C592" i="2"/>
  <c r="D592" i="2"/>
  <c r="E592" i="2"/>
  <c r="F592" i="2"/>
  <c r="G592" i="2"/>
  <c r="H592" i="2"/>
  <c r="I592" i="2"/>
  <c r="J592" i="2"/>
  <c r="K592" i="2"/>
  <c r="L592" i="2"/>
  <c r="M592" i="2"/>
  <c r="N592" i="2"/>
  <c r="O592" i="2"/>
  <c r="B593" i="2"/>
  <c r="C593" i="2"/>
  <c r="D593" i="2"/>
  <c r="E593" i="2"/>
  <c r="F593" i="2"/>
  <c r="G593" i="2"/>
  <c r="H593" i="2"/>
  <c r="I593" i="2"/>
  <c r="J593" i="2"/>
  <c r="K593" i="2"/>
  <c r="L593" i="2"/>
  <c r="M593" i="2"/>
  <c r="N593" i="2"/>
  <c r="O593" i="2"/>
  <c r="B594" i="2"/>
  <c r="C594" i="2"/>
  <c r="D594" i="2"/>
  <c r="E594" i="2"/>
  <c r="F594" i="2"/>
  <c r="G594" i="2"/>
  <c r="H594" i="2"/>
  <c r="I594" i="2"/>
  <c r="J594" i="2"/>
  <c r="K594" i="2"/>
  <c r="L594" i="2"/>
  <c r="M594" i="2"/>
  <c r="N594" i="2"/>
  <c r="O594" i="2"/>
  <c r="B595" i="2"/>
  <c r="C595" i="2"/>
  <c r="D595" i="2"/>
  <c r="E595" i="2"/>
  <c r="F595" i="2"/>
  <c r="G595" i="2"/>
  <c r="H595" i="2"/>
  <c r="I595" i="2"/>
  <c r="J595" i="2"/>
  <c r="K595" i="2"/>
  <c r="L595" i="2"/>
  <c r="M595" i="2"/>
  <c r="N595" i="2"/>
  <c r="O595" i="2"/>
  <c r="B596" i="2"/>
  <c r="C596" i="2"/>
  <c r="D596" i="2"/>
  <c r="E596" i="2"/>
  <c r="F596" i="2"/>
  <c r="G596" i="2"/>
  <c r="H596" i="2"/>
  <c r="I596" i="2"/>
  <c r="J596" i="2"/>
  <c r="K596" i="2"/>
  <c r="L596" i="2"/>
  <c r="M596" i="2"/>
  <c r="N596" i="2"/>
  <c r="O596" i="2"/>
  <c r="B597" i="2"/>
  <c r="C597" i="2"/>
  <c r="D597" i="2"/>
  <c r="E597" i="2"/>
  <c r="F597" i="2"/>
  <c r="G597" i="2"/>
  <c r="H597" i="2"/>
  <c r="I597" i="2"/>
  <c r="J597" i="2"/>
  <c r="K597" i="2"/>
  <c r="L597" i="2"/>
  <c r="M597" i="2"/>
  <c r="N597" i="2"/>
  <c r="O597" i="2"/>
  <c r="B598" i="2"/>
  <c r="C598" i="2"/>
  <c r="D598" i="2"/>
  <c r="E598" i="2"/>
  <c r="F598" i="2"/>
  <c r="G598" i="2"/>
  <c r="H598" i="2"/>
  <c r="I598" i="2"/>
  <c r="J598" i="2"/>
  <c r="K598" i="2"/>
  <c r="L598" i="2"/>
  <c r="M598" i="2"/>
  <c r="N598" i="2"/>
  <c r="O598" i="2"/>
  <c r="B599" i="2"/>
  <c r="C599" i="2"/>
  <c r="D599" i="2"/>
  <c r="E599" i="2"/>
  <c r="F599" i="2"/>
  <c r="G599" i="2"/>
  <c r="H599" i="2"/>
  <c r="I599" i="2"/>
  <c r="J599" i="2"/>
  <c r="K599" i="2"/>
  <c r="L599" i="2"/>
  <c r="M599" i="2"/>
  <c r="N599" i="2"/>
  <c r="O599" i="2"/>
  <c r="B600" i="2"/>
  <c r="C600" i="2"/>
  <c r="D600" i="2"/>
  <c r="E600" i="2"/>
  <c r="F600" i="2"/>
  <c r="G600" i="2"/>
  <c r="H600" i="2"/>
  <c r="I600" i="2"/>
  <c r="J600" i="2"/>
  <c r="K600" i="2"/>
  <c r="L600" i="2"/>
  <c r="M600" i="2"/>
  <c r="N600" i="2"/>
  <c r="O600" i="2"/>
  <c r="B601" i="2"/>
  <c r="C601" i="2"/>
  <c r="D601" i="2"/>
  <c r="E601" i="2"/>
  <c r="F601" i="2"/>
  <c r="G601" i="2"/>
  <c r="H601" i="2"/>
  <c r="I601" i="2"/>
  <c r="J601" i="2"/>
  <c r="K601" i="2"/>
  <c r="L601" i="2"/>
  <c r="M601" i="2"/>
  <c r="N601" i="2"/>
  <c r="O601" i="2"/>
  <c r="B603" i="2"/>
  <c r="C603" i="2"/>
  <c r="D603" i="2"/>
  <c r="E603" i="2"/>
  <c r="F603" i="2"/>
  <c r="G603" i="2"/>
  <c r="H603" i="2"/>
  <c r="I603" i="2"/>
  <c r="J603" i="2"/>
  <c r="K603" i="2"/>
  <c r="L603" i="2"/>
  <c r="M603" i="2"/>
  <c r="N603" i="2"/>
  <c r="O603" i="2"/>
  <c r="B604" i="2"/>
  <c r="C604" i="2"/>
  <c r="D604" i="2"/>
  <c r="E604" i="2"/>
  <c r="F604" i="2"/>
  <c r="G604" i="2"/>
  <c r="H604" i="2"/>
  <c r="I604" i="2"/>
  <c r="J604" i="2"/>
  <c r="K604" i="2"/>
  <c r="L604" i="2"/>
  <c r="M604" i="2"/>
  <c r="N604" i="2"/>
  <c r="O604" i="2"/>
  <c r="B605" i="2"/>
  <c r="C605" i="2"/>
  <c r="D605" i="2"/>
  <c r="E605" i="2"/>
  <c r="F605" i="2"/>
  <c r="G605" i="2"/>
  <c r="H605" i="2"/>
  <c r="I605" i="2"/>
  <c r="J605" i="2"/>
  <c r="K605" i="2"/>
  <c r="L605" i="2"/>
  <c r="M605" i="2"/>
  <c r="N605" i="2"/>
  <c r="O605" i="2"/>
  <c r="B606" i="2"/>
  <c r="C606" i="2"/>
  <c r="D606" i="2"/>
  <c r="E606" i="2"/>
  <c r="F606" i="2"/>
  <c r="G606" i="2"/>
  <c r="H606" i="2"/>
  <c r="I606" i="2"/>
  <c r="J606" i="2"/>
  <c r="K606" i="2"/>
  <c r="L606" i="2"/>
  <c r="M606" i="2"/>
  <c r="N606" i="2"/>
  <c r="O606" i="2"/>
  <c r="B607" i="2"/>
  <c r="C607" i="2"/>
  <c r="D607" i="2"/>
  <c r="E607" i="2"/>
  <c r="F607" i="2"/>
  <c r="G607" i="2"/>
  <c r="H607" i="2"/>
  <c r="I607" i="2"/>
  <c r="J607" i="2"/>
  <c r="K607" i="2"/>
  <c r="L607" i="2"/>
  <c r="M607" i="2"/>
  <c r="N607" i="2"/>
  <c r="O607" i="2"/>
  <c r="B608" i="2"/>
  <c r="C608" i="2"/>
  <c r="D608" i="2"/>
  <c r="E608" i="2"/>
  <c r="F608" i="2"/>
  <c r="G608" i="2"/>
  <c r="H608" i="2"/>
  <c r="I608" i="2"/>
  <c r="J608" i="2"/>
  <c r="K608" i="2"/>
  <c r="L608" i="2"/>
  <c r="M608" i="2"/>
  <c r="N608" i="2"/>
  <c r="O608" i="2"/>
  <c r="B609" i="2"/>
  <c r="C609" i="2"/>
  <c r="D609" i="2"/>
  <c r="E609" i="2"/>
  <c r="F609" i="2"/>
  <c r="G609" i="2"/>
  <c r="H609" i="2"/>
  <c r="I609" i="2"/>
  <c r="J609" i="2"/>
  <c r="K609" i="2"/>
  <c r="L609" i="2"/>
  <c r="M609" i="2"/>
  <c r="N609" i="2"/>
  <c r="O609" i="2"/>
  <c r="B610" i="2"/>
  <c r="C610" i="2"/>
  <c r="D610" i="2"/>
  <c r="E610" i="2"/>
  <c r="F610" i="2"/>
  <c r="G610" i="2"/>
  <c r="H610" i="2"/>
  <c r="I610" i="2"/>
  <c r="J610" i="2"/>
  <c r="K610" i="2"/>
  <c r="L610" i="2"/>
  <c r="M610" i="2"/>
  <c r="N610" i="2"/>
  <c r="O610" i="2"/>
  <c r="B611" i="2"/>
  <c r="C611" i="2"/>
  <c r="D611" i="2"/>
  <c r="E611" i="2"/>
  <c r="F611" i="2"/>
  <c r="G611" i="2"/>
  <c r="H611" i="2"/>
  <c r="I611" i="2"/>
  <c r="J611" i="2"/>
  <c r="K611" i="2"/>
  <c r="L611" i="2"/>
  <c r="M611" i="2"/>
  <c r="N611" i="2"/>
  <c r="O611" i="2"/>
  <c r="B612" i="2"/>
  <c r="C612" i="2"/>
  <c r="D612" i="2"/>
  <c r="E612" i="2"/>
  <c r="F612" i="2"/>
  <c r="G612" i="2"/>
  <c r="H612" i="2"/>
  <c r="I612" i="2"/>
  <c r="J612" i="2"/>
  <c r="K612" i="2"/>
  <c r="L612" i="2"/>
  <c r="M612" i="2"/>
  <c r="N612" i="2"/>
  <c r="O612" i="2"/>
  <c r="B613" i="2"/>
  <c r="C613" i="2"/>
  <c r="D613" i="2"/>
  <c r="E613" i="2"/>
  <c r="F613" i="2"/>
  <c r="G613" i="2"/>
  <c r="H613" i="2"/>
  <c r="I613" i="2"/>
  <c r="J613" i="2"/>
  <c r="K613" i="2"/>
  <c r="L613" i="2"/>
  <c r="M613" i="2"/>
  <c r="N613" i="2"/>
  <c r="O613" i="2"/>
  <c r="B614" i="2"/>
  <c r="C614" i="2"/>
  <c r="D614" i="2"/>
  <c r="E614" i="2"/>
  <c r="F614" i="2"/>
  <c r="G614" i="2"/>
  <c r="H614" i="2"/>
  <c r="I614" i="2"/>
  <c r="J614" i="2"/>
  <c r="K614" i="2"/>
  <c r="L614" i="2"/>
  <c r="M614" i="2"/>
  <c r="N614" i="2"/>
  <c r="O614" i="2"/>
  <c r="B615" i="2"/>
  <c r="C615" i="2"/>
  <c r="D615" i="2"/>
  <c r="E615" i="2"/>
  <c r="F615" i="2"/>
  <c r="G615" i="2"/>
  <c r="H615" i="2"/>
  <c r="I615" i="2"/>
  <c r="J615" i="2"/>
  <c r="K615" i="2"/>
  <c r="L615" i="2"/>
  <c r="M615" i="2"/>
  <c r="N615" i="2"/>
  <c r="O615" i="2"/>
  <c r="B616" i="2"/>
  <c r="C616" i="2"/>
  <c r="D616" i="2"/>
  <c r="E616" i="2"/>
  <c r="F616" i="2"/>
  <c r="G616" i="2"/>
  <c r="H616" i="2"/>
  <c r="I616" i="2"/>
  <c r="J616" i="2"/>
  <c r="K616" i="2"/>
  <c r="L616" i="2"/>
  <c r="M616" i="2"/>
  <c r="N616" i="2"/>
  <c r="O616" i="2"/>
  <c r="B617" i="2"/>
  <c r="C617" i="2"/>
  <c r="D617" i="2"/>
  <c r="E617" i="2"/>
  <c r="F617" i="2"/>
  <c r="G617" i="2"/>
  <c r="H617" i="2"/>
  <c r="I617" i="2"/>
  <c r="J617" i="2"/>
  <c r="K617" i="2"/>
  <c r="L617" i="2"/>
  <c r="M617" i="2"/>
  <c r="N617" i="2"/>
  <c r="O617" i="2"/>
  <c r="B618" i="2"/>
  <c r="C618" i="2"/>
  <c r="D618" i="2"/>
  <c r="E618" i="2"/>
  <c r="F618" i="2"/>
  <c r="G618" i="2"/>
  <c r="H618" i="2"/>
  <c r="I618" i="2"/>
  <c r="J618" i="2"/>
  <c r="K618" i="2"/>
  <c r="L618" i="2"/>
  <c r="M618" i="2"/>
  <c r="N618" i="2"/>
  <c r="O618" i="2"/>
  <c r="B619" i="2"/>
  <c r="C619" i="2"/>
  <c r="D619" i="2"/>
  <c r="E619" i="2"/>
  <c r="F619" i="2"/>
  <c r="G619" i="2"/>
  <c r="H619" i="2"/>
  <c r="I619" i="2"/>
  <c r="J619" i="2"/>
  <c r="K619" i="2"/>
  <c r="L619" i="2"/>
  <c r="M619" i="2"/>
  <c r="N619" i="2"/>
  <c r="O619" i="2"/>
  <c r="B620" i="2"/>
  <c r="C620" i="2"/>
  <c r="D620" i="2"/>
  <c r="E620" i="2"/>
  <c r="F620" i="2"/>
  <c r="G620" i="2"/>
  <c r="H620" i="2"/>
  <c r="I620" i="2"/>
  <c r="J620" i="2"/>
  <c r="K620" i="2"/>
  <c r="L620" i="2"/>
  <c r="M620" i="2"/>
  <c r="N620" i="2"/>
  <c r="O620" i="2"/>
  <c r="B621" i="2"/>
  <c r="C621" i="2"/>
  <c r="D621" i="2"/>
  <c r="E621" i="2"/>
  <c r="F621" i="2"/>
  <c r="G621" i="2"/>
  <c r="H621" i="2"/>
  <c r="I621" i="2"/>
  <c r="J621" i="2"/>
  <c r="K621" i="2"/>
  <c r="L621" i="2"/>
  <c r="M621" i="2"/>
  <c r="N621" i="2"/>
  <c r="O621" i="2"/>
  <c r="B622" i="2"/>
  <c r="C622" i="2"/>
  <c r="D622" i="2"/>
  <c r="E622" i="2"/>
  <c r="F622" i="2"/>
  <c r="G622" i="2"/>
  <c r="H622" i="2"/>
  <c r="I622" i="2"/>
  <c r="J622" i="2"/>
  <c r="K622" i="2"/>
  <c r="L622" i="2"/>
  <c r="M622" i="2"/>
  <c r="N622" i="2"/>
  <c r="O622" i="2"/>
  <c r="B623" i="2"/>
  <c r="C623" i="2"/>
  <c r="D623" i="2"/>
  <c r="E623" i="2"/>
  <c r="F623" i="2"/>
  <c r="G623" i="2"/>
  <c r="H623" i="2"/>
  <c r="I623" i="2"/>
  <c r="J623" i="2"/>
  <c r="K623" i="2"/>
  <c r="L623" i="2"/>
  <c r="M623" i="2"/>
  <c r="N623" i="2"/>
  <c r="O623" i="2"/>
  <c r="B624" i="2"/>
  <c r="C624" i="2"/>
  <c r="D624" i="2"/>
  <c r="E624" i="2"/>
  <c r="F624" i="2"/>
  <c r="G624" i="2"/>
  <c r="H624" i="2"/>
  <c r="I624" i="2"/>
  <c r="J624" i="2"/>
  <c r="K624" i="2"/>
  <c r="L624" i="2"/>
  <c r="M624" i="2"/>
  <c r="N624" i="2"/>
  <c r="O624" i="2"/>
  <c r="B625" i="2"/>
  <c r="C625" i="2"/>
  <c r="D625" i="2"/>
  <c r="E625" i="2"/>
  <c r="F625" i="2"/>
  <c r="G625" i="2"/>
  <c r="H625" i="2"/>
  <c r="I625" i="2"/>
  <c r="J625" i="2"/>
  <c r="K625" i="2"/>
  <c r="L625" i="2"/>
  <c r="M625" i="2"/>
  <c r="N625" i="2"/>
  <c r="O625" i="2"/>
  <c r="B626" i="2"/>
  <c r="C626" i="2"/>
  <c r="D626" i="2"/>
  <c r="E626" i="2"/>
  <c r="F626" i="2"/>
  <c r="G626" i="2"/>
  <c r="H626" i="2"/>
  <c r="I626" i="2"/>
  <c r="J626" i="2"/>
  <c r="K626" i="2"/>
  <c r="L626" i="2"/>
  <c r="M626" i="2"/>
  <c r="N626" i="2"/>
  <c r="O626" i="2"/>
  <c r="B627" i="2"/>
  <c r="C627" i="2"/>
  <c r="D627" i="2"/>
  <c r="E627" i="2"/>
  <c r="F627" i="2"/>
  <c r="G627" i="2"/>
  <c r="H627" i="2"/>
  <c r="I627" i="2"/>
  <c r="J627" i="2"/>
  <c r="K627" i="2"/>
  <c r="L627" i="2"/>
  <c r="M627" i="2"/>
  <c r="N627" i="2"/>
  <c r="O627" i="2"/>
  <c r="A628" i="2"/>
  <c r="B628" i="2"/>
  <c r="C628" i="2"/>
  <c r="D628" i="2"/>
  <c r="E628" i="2"/>
  <c r="F628" i="2"/>
  <c r="G628" i="2"/>
  <c r="H628" i="2"/>
  <c r="I628" i="2"/>
  <c r="J628" i="2"/>
  <c r="K628" i="2"/>
  <c r="L628" i="2"/>
  <c r="M628" i="2"/>
  <c r="N628" i="2"/>
  <c r="O628" i="2"/>
  <c r="A629" i="2"/>
  <c r="B629" i="2"/>
  <c r="C629" i="2"/>
  <c r="D629" i="2"/>
  <c r="E629" i="2"/>
  <c r="F629" i="2"/>
  <c r="G629" i="2"/>
  <c r="H629" i="2"/>
  <c r="I629" i="2"/>
  <c r="J629" i="2"/>
  <c r="K629" i="2"/>
  <c r="L629" i="2"/>
  <c r="M629" i="2"/>
  <c r="N629" i="2"/>
  <c r="O629" i="2"/>
  <c r="A630" i="2"/>
  <c r="B630" i="2"/>
  <c r="C630" i="2"/>
  <c r="D630" i="2"/>
  <c r="E630" i="2"/>
  <c r="F630" i="2"/>
  <c r="G630" i="2"/>
  <c r="H630" i="2"/>
  <c r="I630" i="2"/>
  <c r="J630" i="2"/>
  <c r="K630" i="2"/>
  <c r="L630" i="2"/>
  <c r="M630" i="2"/>
  <c r="N630" i="2"/>
  <c r="O630" i="2"/>
  <c r="A631" i="2"/>
  <c r="B631" i="2"/>
  <c r="C631" i="2"/>
  <c r="D631" i="2"/>
  <c r="E631" i="2"/>
  <c r="F631" i="2"/>
  <c r="G631" i="2"/>
  <c r="H631" i="2"/>
  <c r="I631" i="2"/>
  <c r="J631" i="2"/>
  <c r="K631" i="2"/>
  <c r="L631" i="2"/>
  <c r="M631" i="2"/>
  <c r="N631" i="2"/>
  <c r="O631" i="2"/>
  <c r="A632" i="2"/>
  <c r="B632" i="2"/>
  <c r="C632" i="2"/>
  <c r="D632" i="2"/>
  <c r="E632" i="2"/>
  <c r="F632" i="2"/>
  <c r="G632" i="2"/>
  <c r="H632" i="2"/>
  <c r="I632" i="2"/>
  <c r="J632" i="2"/>
  <c r="K632" i="2"/>
  <c r="L632" i="2"/>
  <c r="M632" i="2"/>
  <c r="N632" i="2"/>
  <c r="O632" i="2"/>
  <c r="A633" i="2"/>
  <c r="B633" i="2"/>
  <c r="C633" i="2"/>
  <c r="D633" i="2"/>
  <c r="E633" i="2"/>
  <c r="F633" i="2"/>
  <c r="G633" i="2"/>
  <c r="H633" i="2"/>
  <c r="I633" i="2"/>
  <c r="J633" i="2"/>
  <c r="K633" i="2"/>
  <c r="L633" i="2"/>
  <c r="M633" i="2"/>
  <c r="N633" i="2"/>
  <c r="O633" i="2"/>
  <c r="A634" i="2"/>
  <c r="B634" i="2"/>
  <c r="C634" i="2"/>
  <c r="D634" i="2"/>
  <c r="E634" i="2"/>
  <c r="F634" i="2"/>
  <c r="G634" i="2"/>
  <c r="H634" i="2"/>
  <c r="I634" i="2"/>
  <c r="J634" i="2"/>
  <c r="K634" i="2"/>
  <c r="L634" i="2"/>
  <c r="M634" i="2"/>
  <c r="N634" i="2"/>
  <c r="O634" i="2"/>
  <c r="A635" i="2"/>
  <c r="B635" i="2"/>
  <c r="C635" i="2"/>
  <c r="D635" i="2"/>
  <c r="E635" i="2"/>
  <c r="F635" i="2"/>
  <c r="G635" i="2"/>
  <c r="H635" i="2"/>
  <c r="I635" i="2"/>
  <c r="J635" i="2"/>
  <c r="K635" i="2"/>
  <c r="L635" i="2"/>
  <c r="M635" i="2"/>
  <c r="N635" i="2"/>
  <c r="O635" i="2"/>
  <c r="A636" i="2"/>
  <c r="B636" i="2"/>
  <c r="C636" i="2"/>
  <c r="D636" i="2"/>
  <c r="E636" i="2"/>
  <c r="F636" i="2"/>
  <c r="G636" i="2"/>
  <c r="H636" i="2"/>
  <c r="I636" i="2"/>
  <c r="J636" i="2"/>
  <c r="K636" i="2"/>
  <c r="L636" i="2"/>
  <c r="M636" i="2"/>
  <c r="N636" i="2"/>
  <c r="O636" i="2"/>
  <c r="A637" i="2"/>
  <c r="B637" i="2"/>
  <c r="C637" i="2"/>
  <c r="D637" i="2"/>
  <c r="E637" i="2"/>
  <c r="F637" i="2"/>
  <c r="G637" i="2"/>
  <c r="H637" i="2"/>
  <c r="I637" i="2"/>
  <c r="J637" i="2"/>
  <c r="K637" i="2"/>
  <c r="L637" i="2"/>
  <c r="M637" i="2"/>
  <c r="N637" i="2"/>
  <c r="O637" i="2"/>
  <c r="A638" i="2"/>
  <c r="B638" i="2"/>
  <c r="C638" i="2"/>
  <c r="D638" i="2"/>
  <c r="E638" i="2"/>
  <c r="F638" i="2"/>
  <c r="G638" i="2"/>
  <c r="H638" i="2"/>
  <c r="I638" i="2"/>
  <c r="J638" i="2"/>
  <c r="K638" i="2"/>
  <c r="L638" i="2"/>
  <c r="M638" i="2"/>
  <c r="N638" i="2"/>
  <c r="O638" i="2"/>
  <c r="A639" i="2"/>
  <c r="B639" i="2"/>
  <c r="C639" i="2"/>
  <c r="D639" i="2"/>
  <c r="E639" i="2"/>
  <c r="F639" i="2"/>
  <c r="G639" i="2"/>
  <c r="H639" i="2"/>
  <c r="I639" i="2"/>
  <c r="J639" i="2"/>
  <c r="K639" i="2"/>
  <c r="L639" i="2"/>
  <c r="M639" i="2"/>
  <c r="N639" i="2"/>
  <c r="O639" i="2"/>
  <c r="A640" i="2"/>
  <c r="B640" i="2"/>
  <c r="C640" i="2"/>
  <c r="D640" i="2"/>
  <c r="E640" i="2"/>
  <c r="F640" i="2"/>
  <c r="G640" i="2"/>
  <c r="H640" i="2"/>
  <c r="I640" i="2"/>
  <c r="J640" i="2"/>
  <c r="K640" i="2"/>
  <c r="L640" i="2"/>
  <c r="M640" i="2"/>
  <c r="N640" i="2"/>
  <c r="O640" i="2"/>
  <c r="A641" i="2"/>
  <c r="B641" i="2"/>
  <c r="C641" i="2"/>
  <c r="D641" i="2"/>
  <c r="E641" i="2"/>
  <c r="F641" i="2"/>
  <c r="G641" i="2"/>
  <c r="H641" i="2"/>
  <c r="I641" i="2"/>
  <c r="J641" i="2"/>
  <c r="K641" i="2"/>
  <c r="L641" i="2"/>
  <c r="M641" i="2"/>
  <c r="N641" i="2"/>
  <c r="O641" i="2"/>
  <c r="A642" i="2"/>
  <c r="B642" i="2"/>
  <c r="C642" i="2"/>
  <c r="D642" i="2"/>
  <c r="E642" i="2"/>
  <c r="F642" i="2"/>
  <c r="G642" i="2"/>
  <c r="H642" i="2"/>
  <c r="I642" i="2"/>
  <c r="J642" i="2"/>
  <c r="K642" i="2"/>
  <c r="L642" i="2"/>
  <c r="M642" i="2"/>
  <c r="N642" i="2"/>
  <c r="O642" i="2"/>
  <c r="A643" i="2"/>
  <c r="B643" i="2"/>
  <c r="C643" i="2"/>
  <c r="D643" i="2"/>
  <c r="E643" i="2"/>
  <c r="F643" i="2"/>
  <c r="G643" i="2"/>
  <c r="H643" i="2"/>
  <c r="I643" i="2"/>
  <c r="J643" i="2"/>
  <c r="K643" i="2"/>
  <c r="L643" i="2"/>
  <c r="M643" i="2"/>
  <c r="N643" i="2"/>
  <c r="O643" i="2"/>
  <c r="A644" i="2"/>
  <c r="B644" i="2"/>
  <c r="C644" i="2"/>
  <c r="D644" i="2"/>
  <c r="E644" i="2"/>
  <c r="F644" i="2"/>
  <c r="G644" i="2"/>
  <c r="H644" i="2"/>
  <c r="I644" i="2"/>
  <c r="J644" i="2"/>
  <c r="K644" i="2"/>
  <c r="L644" i="2"/>
  <c r="M644" i="2"/>
  <c r="N644" i="2"/>
  <c r="O644" i="2"/>
  <c r="A645" i="2"/>
  <c r="B645" i="2"/>
  <c r="C645" i="2"/>
  <c r="D645" i="2"/>
  <c r="E645" i="2"/>
  <c r="F645" i="2"/>
  <c r="G645" i="2"/>
  <c r="H645" i="2"/>
  <c r="I645" i="2"/>
  <c r="J645" i="2"/>
  <c r="K645" i="2"/>
  <c r="L645" i="2"/>
  <c r="M645" i="2"/>
  <c r="N645" i="2"/>
  <c r="O645" i="2"/>
  <c r="A646" i="2"/>
  <c r="B646" i="2"/>
  <c r="C646" i="2"/>
  <c r="D646" i="2"/>
  <c r="E646" i="2"/>
  <c r="F646" i="2"/>
  <c r="G646" i="2"/>
  <c r="H646" i="2"/>
  <c r="I646" i="2"/>
  <c r="J646" i="2"/>
  <c r="K646" i="2"/>
  <c r="L646" i="2"/>
  <c r="M646" i="2"/>
  <c r="N646" i="2"/>
  <c r="O646" i="2"/>
  <c r="A647" i="2"/>
  <c r="B647" i="2"/>
  <c r="C647" i="2"/>
  <c r="D647" i="2"/>
  <c r="E647" i="2"/>
  <c r="F647" i="2"/>
  <c r="G647" i="2"/>
  <c r="H647" i="2"/>
  <c r="I647" i="2"/>
  <c r="J647" i="2"/>
  <c r="K647" i="2"/>
  <c r="L647" i="2"/>
  <c r="M647" i="2"/>
  <c r="N647" i="2"/>
  <c r="O647" i="2"/>
  <c r="A648" i="2"/>
  <c r="B648" i="2"/>
  <c r="C648" i="2"/>
  <c r="D648" i="2"/>
  <c r="E648" i="2"/>
  <c r="F648" i="2"/>
  <c r="G648" i="2"/>
  <c r="H648" i="2"/>
  <c r="I648" i="2"/>
  <c r="J648" i="2"/>
  <c r="K648" i="2"/>
  <c r="L648" i="2"/>
  <c r="M648" i="2"/>
  <c r="N648" i="2"/>
  <c r="O648" i="2"/>
  <c r="A649" i="2"/>
  <c r="B649" i="2"/>
  <c r="C649" i="2"/>
  <c r="D649" i="2"/>
  <c r="E649" i="2"/>
  <c r="F649" i="2"/>
  <c r="G649" i="2"/>
  <c r="H649" i="2"/>
  <c r="I649" i="2"/>
  <c r="J649" i="2"/>
  <c r="K649" i="2"/>
  <c r="L649" i="2"/>
  <c r="M649" i="2"/>
  <c r="N649" i="2"/>
  <c r="O649" i="2"/>
  <c r="A650" i="2"/>
  <c r="B650" i="2"/>
  <c r="C650" i="2"/>
  <c r="D650" i="2"/>
  <c r="E650" i="2"/>
  <c r="F650" i="2"/>
  <c r="G650" i="2"/>
  <c r="H650" i="2"/>
  <c r="I650" i="2"/>
  <c r="J650" i="2"/>
  <c r="K650" i="2"/>
  <c r="L650" i="2"/>
  <c r="M650" i="2"/>
  <c r="N650" i="2"/>
  <c r="O650" i="2"/>
  <c r="A651" i="2"/>
  <c r="B651" i="2"/>
  <c r="C651" i="2"/>
  <c r="D651" i="2"/>
  <c r="E651" i="2"/>
  <c r="F651" i="2"/>
  <c r="G651" i="2"/>
  <c r="H651" i="2"/>
  <c r="I651" i="2"/>
  <c r="J651" i="2"/>
  <c r="K651" i="2"/>
  <c r="L651" i="2"/>
  <c r="M651" i="2"/>
  <c r="N651" i="2"/>
  <c r="O651" i="2"/>
  <c r="AB636" i="5" l="1"/>
  <c r="AC635" i="5"/>
  <c r="AC636" i="5"/>
  <c r="AB635" i="5"/>
  <c r="E634" i="4"/>
  <c r="G634" i="4"/>
  <c r="C634" i="4"/>
  <c r="I633" i="4"/>
  <c r="E633" i="4"/>
  <c r="F633" i="4"/>
  <c r="B633" i="4"/>
  <c r="G633" i="4"/>
  <c r="C633" i="4"/>
  <c r="I632" i="4"/>
  <c r="E632" i="4"/>
  <c r="G632" i="4"/>
  <c r="C632" i="4"/>
  <c r="H632" i="4"/>
  <c r="D632" i="4"/>
  <c r="I631" i="4"/>
  <c r="E631" i="4"/>
  <c r="F631" i="4"/>
  <c r="B631" i="4"/>
  <c r="G631" i="4"/>
  <c r="C631" i="4"/>
  <c r="I630" i="4"/>
  <c r="E630" i="4"/>
  <c r="G630" i="4"/>
  <c r="C630" i="4"/>
  <c r="H630" i="4"/>
  <c r="D630" i="4"/>
  <c r="I629" i="4"/>
  <c r="E629" i="4"/>
  <c r="F629" i="4"/>
  <c r="B629" i="4"/>
  <c r="G629" i="4"/>
  <c r="C629" i="4"/>
  <c r="I628" i="4"/>
  <c r="E628" i="4"/>
  <c r="G628" i="4"/>
  <c r="C628" i="4"/>
  <c r="H628" i="4"/>
  <c r="D628" i="4"/>
  <c r="I627" i="4"/>
  <c r="E627" i="4"/>
  <c r="F627" i="4"/>
  <c r="B627" i="4"/>
  <c r="G627" i="4"/>
  <c r="C627" i="4"/>
  <c r="I626" i="4"/>
  <c r="E626" i="4"/>
  <c r="G626" i="4"/>
  <c r="C626" i="4"/>
  <c r="H626" i="4"/>
  <c r="D626" i="4"/>
  <c r="I625" i="4"/>
  <c r="E625" i="4"/>
  <c r="F625" i="4"/>
  <c r="B625" i="4"/>
  <c r="G625" i="4"/>
  <c r="C625" i="4"/>
  <c r="F624" i="4"/>
  <c r="B624" i="4"/>
  <c r="G624" i="4"/>
  <c r="C624" i="4"/>
  <c r="H624" i="4"/>
  <c r="D624" i="4"/>
  <c r="I623" i="4"/>
  <c r="E623" i="4"/>
  <c r="G623" i="4"/>
  <c r="C623" i="4"/>
  <c r="H623" i="4"/>
  <c r="D623" i="4"/>
  <c r="I622" i="4"/>
  <c r="E622" i="4"/>
  <c r="F622" i="4"/>
  <c r="B622" i="4"/>
  <c r="H622" i="4"/>
  <c r="D622" i="4"/>
  <c r="AC634" i="5"/>
  <c r="M650" i="5"/>
  <c r="M649" i="5"/>
  <c r="M648" i="5"/>
  <c r="M647" i="5"/>
  <c r="AB600" i="5"/>
  <c r="AB598" i="5"/>
  <c r="AB596" i="5"/>
  <c r="AB594" i="5"/>
  <c r="AB592" i="5"/>
  <c r="AB590" i="5"/>
  <c r="AB588" i="5"/>
  <c r="AB586" i="5"/>
  <c r="AB584" i="5"/>
  <c r="AB582" i="5"/>
  <c r="AB580" i="5"/>
  <c r="AB578" i="5"/>
  <c r="AB576" i="5"/>
  <c r="AB574" i="5"/>
  <c r="AB572" i="5"/>
  <c r="AB570" i="5"/>
  <c r="AB568" i="5"/>
  <c r="AB566" i="5"/>
  <c r="AB564" i="5"/>
  <c r="AB562" i="5"/>
  <c r="AB560" i="5"/>
  <c r="AB558" i="5"/>
  <c r="AB556" i="5"/>
  <c r="AB554" i="5"/>
  <c r="AB552" i="5"/>
  <c r="AB550" i="5"/>
  <c r="AB548" i="5"/>
  <c r="AB546" i="5"/>
  <c r="AB544" i="5"/>
  <c r="AB542" i="5"/>
  <c r="AB540" i="5"/>
  <c r="AB538" i="5"/>
  <c r="AB536" i="5"/>
  <c r="AB534" i="5"/>
  <c r="AB532" i="5"/>
  <c r="AB530" i="5"/>
  <c r="AB528" i="5"/>
  <c r="AB526" i="5"/>
  <c r="AB524" i="5"/>
  <c r="AB644" i="5" s="1"/>
  <c r="AB522" i="5"/>
  <c r="AB520" i="5"/>
  <c r="AB518" i="5"/>
  <c r="AB516" i="5"/>
  <c r="AB514" i="5"/>
  <c r="AB512" i="5"/>
  <c r="AB510" i="5"/>
  <c r="AB508" i="5"/>
  <c r="AB506" i="5"/>
  <c r="AB504" i="5"/>
  <c r="AB502" i="5"/>
  <c r="AB500" i="5"/>
  <c r="AB642" i="5" s="1"/>
  <c r="AB498" i="5"/>
  <c r="AB496" i="5"/>
  <c r="AB494" i="5"/>
  <c r="AB492" i="5"/>
  <c r="AB490" i="5"/>
  <c r="AB488" i="5"/>
  <c r="AB486" i="5"/>
  <c r="AB484" i="5"/>
  <c r="AB482" i="5"/>
  <c r="AB480" i="5"/>
  <c r="AB478" i="5"/>
  <c r="AB476" i="5"/>
  <c r="AB640" i="5" s="1"/>
  <c r="AB474" i="5"/>
  <c r="AB472" i="5"/>
  <c r="AB470" i="5"/>
  <c r="AB468" i="5"/>
  <c r="AB466" i="5"/>
  <c r="AB464" i="5"/>
  <c r="AB462" i="5"/>
  <c r="AB460" i="5"/>
  <c r="AB639" i="5" s="1"/>
  <c r="AB458" i="5"/>
  <c r="AB456" i="5"/>
  <c r="AB454" i="5"/>
  <c r="AB452" i="5"/>
  <c r="AB638" i="5" s="1"/>
  <c r="AB450" i="5"/>
  <c r="AB448" i="5"/>
  <c r="AB446" i="5"/>
  <c r="AB444" i="5"/>
  <c r="AB442" i="5"/>
  <c r="AB440" i="5"/>
  <c r="AB398" i="5"/>
  <c r="AB634" i="5" s="1"/>
  <c r="AB396" i="5"/>
  <c r="AB394" i="5"/>
  <c r="AB392" i="5"/>
  <c r="AB390" i="5"/>
  <c r="AB388" i="5"/>
  <c r="AB386" i="5"/>
  <c r="AB384" i="5"/>
  <c r="AB382" i="5"/>
  <c r="AB377" i="5"/>
  <c r="AB374" i="5"/>
  <c r="AB369" i="5"/>
  <c r="AB366" i="5"/>
  <c r="AB361" i="5"/>
  <c r="AB631" i="5" s="1"/>
  <c r="AB358" i="5"/>
  <c r="AB380" i="5"/>
  <c r="AB378" i="5"/>
  <c r="AC377" i="5"/>
  <c r="AC632" i="5" s="1"/>
  <c r="AB373" i="5"/>
  <c r="AB372" i="5"/>
  <c r="AB370" i="5"/>
  <c r="AC369" i="5"/>
  <c r="AB365" i="5"/>
  <c r="AB364" i="5"/>
  <c r="AB362" i="5"/>
  <c r="AC361" i="5"/>
  <c r="AC631" i="5" s="1"/>
  <c r="AB357" i="5"/>
  <c r="AB356" i="5"/>
  <c r="AB630" i="5" s="1"/>
  <c r="AB232" i="5"/>
  <c r="AB230" i="5"/>
  <c r="AB620" i="5" s="1"/>
  <c r="AB227" i="5"/>
  <c r="AB224" i="5"/>
  <c r="AB231" i="5"/>
  <c r="AB228" i="5"/>
  <c r="AB226" i="5"/>
  <c r="AB223" i="5"/>
  <c r="AB650" i="5"/>
  <c r="AB649" i="5"/>
  <c r="AB648" i="5"/>
  <c r="AB647" i="5"/>
  <c r="AB646" i="5"/>
  <c r="AB645" i="5"/>
  <c r="AB643" i="5"/>
  <c r="AB641" i="5"/>
  <c r="AB637" i="5"/>
  <c r="AC650" i="5"/>
  <c r="AC649" i="5"/>
  <c r="AC648" i="5"/>
  <c r="AC647" i="5"/>
  <c r="AC646" i="5"/>
  <c r="AC645" i="5"/>
  <c r="AC644" i="5"/>
  <c r="AC643" i="5"/>
  <c r="AC642" i="5"/>
  <c r="AC641" i="5"/>
  <c r="AC640" i="5"/>
  <c r="AC639" i="5"/>
  <c r="AC638" i="5"/>
  <c r="AC637" i="5"/>
  <c r="S408" i="6"/>
  <c r="S634" i="6" s="1"/>
  <c r="Q634" i="6"/>
  <c r="L634" i="6"/>
  <c r="S396" i="6"/>
  <c r="S633" i="6" s="1"/>
  <c r="Q633" i="6"/>
  <c r="L633" i="6"/>
  <c r="S384" i="6"/>
  <c r="S632" i="6" s="1"/>
  <c r="Q632" i="6"/>
  <c r="L632" i="6"/>
  <c r="Q631" i="6"/>
  <c r="S373" i="6"/>
  <c r="S631" i="6" s="1"/>
  <c r="L631" i="6"/>
  <c r="S360" i="6"/>
  <c r="S630" i="6" s="1"/>
  <c r="Q630" i="6"/>
  <c r="L630" i="6"/>
  <c r="Q629" i="6"/>
  <c r="S349" i="6"/>
  <c r="S629" i="6" s="1"/>
  <c r="L629" i="6"/>
  <c r="S336" i="6"/>
  <c r="S628" i="6" s="1"/>
  <c r="Q628" i="6"/>
  <c r="L628" i="6"/>
  <c r="Q627" i="6"/>
  <c r="S325" i="6"/>
  <c r="S627" i="6" s="1"/>
  <c r="L627" i="6"/>
  <c r="S444" i="6"/>
  <c r="S637" i="6" s="1"/>
  <c r="Q637" i="6"/>
  <c r="S433" i="6"/>
  <c r="S636" i="6" s="1"/>
  <c r="Q636" i="6"/>
  <c r="S420" i="6"/>
  <c r="S635" i="6" s="1"/>
  <c r="Q635" i="6"/>
  <c r="L635" i="6"/>
  <c r="S314" i="6"/>
  <c r="S626" i="6" s="1"/>
  <c r="Q626" i="6"/>
  <c r="L311" i="6"/>
  <c r="L308" i="6"/>
  <c r="L306" i="6"/>
  <c r="L304" i="6"/>
  <c r="L302" i="6"/>
  <c r="L313" i="6"/>
  <c r="L626" i="6" s="1"/>
  <c r="L309" i="6"/>
  <c r="L307" i="6"/>
  <c r="L305" i="6"/>
  <c r="L303" i="6"/>
  <c r="L260" i="6"/>
  <c r="L258" i="6"/>
  <c r="L256" i="6"/>
  <c r="L254" i="6"/>
  <c r="L259" i="6"/>
  <c r="L257" i="6"/>
  <c r="L255" i="6"/>
  <c r="L130" i="6"/>
  <c r="L610" i="6" s="1"/>
  <c r="S32" i="6"/>
  <c r="S28" i="6"/>
  <c r="S21" i="6"/>
  <c r="S17" i="6"/>
  <c r="AB619" i="5" l="1"/>
  <c r="AB632" i="5"/>
  <c r="AB633" i="5"/>
  <c r="L625" i="6"/>
  <c r="S601" i="6"/>
  <c r="S602" i="6"/>
  <c r="L621" i="6"/>
</calcChain>
</file>

<file path=xl/sharedStrings.xml><?xml version="1.0" encoding="utf-8"?>
<sst xmlns="http://schemas.openxmlformats.org/spreadsheetml/2006/main" count="256" uniqueCount="102">
  <si>
    <t>WITHOUT NOx</t>
  </si>
  <si>
    <t>WITH NOx</t>
  </si>
  <si>
    <t>Selection</t>
  </si>
  <si>
    <t>Natural Gas</t>
  </si>
  <si>
    <t>WITHOUT SO2 &amp; NOx</t>
  </si>
  <si>
    <t>WITH SO2 &amp; NOx</t>
  </si>
  <si>
    <t>Heavy Oil SO2</t>
  </si>
  <si>
    <t>HIGH PRICES</t>
  </si>
  <si>
    <t>MEDIUM PRICES</t>
  </si>
  <si>
    <t>LOW PRICES</t>
  </si>
  <si>
    <t>Coal</t>
  </si>
  <si>
    <t>Light Oil SO2</t>
  </si>
  <si>
    <t>Heavy Oil</t>
  </si>
  <si>
    <t>Light Oil</t>
  </si>
  <si>
    <t>$/MMBTU</t>
  </si>
  <si>
    <t>MONTH</t>
  </si>
  <si>
    <t>DISPATCH PRICE WITH SO2 &amp; NOx</t>
  </si>
  <si>
    <t>DISPATCH PRICE WITHOUT SO2 &amp; NOx</t>
  </si>
  <si>
    <t>WEIGHTED AVERAGE WITH SO2 &amp; NOx</t>
  </si>
  <si>
    <t>WEIGHTED AVERAGE WITHOUT SO2 &amp; NOx</t>
  </si>
  <si>
    <t>CEDAR BAY</t>
  </si>
  <si>
    <t>ICL</t>
  </si>
  <si>
    <t>ST. JOHNS RIVER POWER PARK</t>
  </si>
  <si>
    <t>PLANT SCHERER UNIT 4</t>
  </si>
  <si>
    <t>HIGH</t>
  </si>
  <si>
    <t>LOW</t>
  </si>
  <si>
    <t xml:space="preserve"> </t>
  </si>
  <si>
    <t>January 07, 2013 - EUGENE UNGAR</t>
  </si>
  <si>
    <t>DESOTO</t>
  </si>
  <si>
    <t>RIVIERA</t>
  </si>
  <si>
    <t>CANAVERAL</t>
  </si>
  <si>
    <t>MARTIN</t>
  </si>
  <si>
    <t>PUTNAM</t>
  </si>
  <si>
    <t>FT MYERS</t>
  </si>
  <si>
    <t>LAUDERDALE</t>
  </si>
  <si>
    <t>PORT EVERGLADES</t>
  </si>
  <si>
    <t>OLEANDER</t>
  </si>
  <si>
    <t>WCEC</t>
  </si>
  <si>
    <t>TURKEY POINT</t>
  </si>
  <si>
    <t>$/BBL.</t>
  </si>
  <si>
    <t>WTI</t>
  </si>
  <si>
    <t>RIVIERA 1%</t>
  </si>
  <si>
    <t>SANFORD 1%</t>
  </si>
  <si>
    <t>INDIAN RIVER &amp; CANAVERAL 1%</t>
  </si>
  <si>
    <r>
      <t>TURKEY POINT 1%</t>
    </r>
    <r>
      <rPr>
        <b/>
        <sz val="14"/>
        <rFont val="Arial"/>
        <family val="2"/>
      </rPr>
      <t>/</t>
    </r>
    <r>
      <rPr>
        <b/>
        <sz val="14"/>
        <color indexed="17"/>
        <rFont val="Arial"/>
        <family val="2"/>
      </rPr>
      <t>0.7%</t>
    </r>
  </si>
  <si>
    <t>MANATEE 1%</t>
  </si>
  <si>
    <t>PORT EVERGLADES 1%</t>
  </si>
  <si>
    <t>MARTIN 1%</t>
  </si>
  <si>
    <t>MARTIN 0.7%</t>
  </si>
  <si>
    <t>MM$</t>
  </si>
  <si>
    <t>WEIGHTED AVERAGE GULFSTREAM FIRM</t>
  </si>
  <si>
    <t>WEIGHTED AVERAGE FGT FIRM</t>
  </si>
  <si>
    <t>UPS REPLACEMENT SUNK DEMAND CHARGE</t>
  </si>
  <si>
    <t>UPS REPLACEMENT DISPATCH PRICE</t>
  </si>
  <si>
    <t>BAY GAS STORAGE DEMAND CHARGE</t>
  </si>
  <si>
    <t>GULF SOUTH</t>
  </si>
  <si>
    <t>TRANSCO 4A</t>
  </si>
  <si>
    <t>SESH</t>
  </si>
  <si>
    <t>GULFSTREAM</t>
  </si>
  <si>
    <t>FGT</t>
  </si>
  <si>
    <t>HENRY HUB</t>
  </si>
  <si>
    <t>GULFSTREAM NON-FIRM BACKHAUL</t>
  </si>
  <si>
    <t>GULFSTREAM NON-FIRM</t>
  </si>
  <si>
    <r>
      <t xml:space="preserve">GULFSTREAM FIRN </t>
    </r>
    <r>
      <rPr>
        <b/>
        <sz val="12"/>
        <color indexed="10"/>
        <rFont val="Arial"/>
        <family val="2"/>
      </rPr>
      <t>TRANSNCO 4A</t>
    </r>
    <r>
      <rPr>
        <b/>
        <sz val="12"/>
        <rFont val="Arial"/>
        <family val="2"/>
      </rPr>
      <t xml:space="preserve"> VOLUMES</t>
    </r>
  </si>
  <si>
    <t>GULFSTREAM FIRM CONTRACTUAL DISPATCH PRICE</t>
  </si>
  <si>
    <r>
      <t xml:space="preserve">GULFSTREAM FIRM </t>
    </r>
    <r>
      <rPr>
        <b/>
        <sz val="12"/>
        <color indexed="12"/>
        <rFont val="Arial"/>
        <family val="2"/>
      </rPr>
      <t xml:space="preserve">GULF SOUTH </t>
    </r>
    <r>
      <rPr>
        <b/>
        <sz val="12"/>
        <rFont val="Arial"/>
        <family val="2"/>
      </rPr>
      <t>DISPATCH PRICE</t>
    </r>
  </si>
  <si>
    <r>
      <t xml:space="preserve">GULFSTREAM FIRM </t>
    </r>
    <r>
      <rPr>
        <b/>
        <sz val="12"/>
        <color indexed="17"/>
        <rFont val="Arial"/>
        <family val="2"/>
      </rPr>
      <t>SESH</t>
    </r>
    <r>
      <rPr>
        <b/>
        <sz val="12"/>
        <rFont val="Arial"/>
        <family val="2"/>
      </rPr>
      <t xml:space="preserve"> DISPATCH PRICE</t>
    </r>
  </si>
  <si>
    <t>FGT NON-FIRM</t>
  </si>
  <si>
    <t>FUTURE GAS PIPELINE</t>
  </si>
  <si>
    <r>
      <t xml:space="preserve">PHASE VIII FGT FIRM FROM </t>
    </r>
    <r>
      <rPr>
        <b/>
        <sz val="12"/>
        <color indexed="17"/>
        <rFont val="Arial"/>
        <family val="2"/>
      </rPr>
      <t>SESH</t>
    </r>
  </si>
  <si>
    <r>
      <t xml:space="preserve">PHASE VIII FGT FIRM FROM </t>
    </r>
    <r>
      <rPr>
        <b/>
        <sz val="12"/>
        <color indexed="10"/>
        <rFont val="Arial"/>
        <family val="2"/>
      </rPr>
      <t>TRANSCO 4A</t>
    </r>
  </si>
  <si>
    <t>PHASE VIII ZONE 3 MOBILE BAY/DESTIN FGT FIRM</t>
  </si>
  <si>
    <r>
      <t xml:space="preserve">ZONE 3 MOBILE BAY/DESTIN FGT FIRM </t>
    </r>
    <r>
      <rPr>
        <b/>
        <sz val="12"/>
        <color indexed="12"/>
        <rFont val="Arial"/>
        <family val="2"/>
      </rPr>
      <t>GULF SOUTH</t>
    </r>
  </si>
  <si>
    <r>
      <t xml:space="preserve">ZONE 3 MOBILE BAY/DESTIN FGT FIRM </t>
    </r>
    <r>
      <rPr>
        <b/>
        <sz val="12"/>
        <color indexed="17"/>
        <rFont val="Arial"/>
        <family val="2"/>
      </rPr>
      <t>SESH</t>
    </r>
  </si>
  <si>
    <t>ZONE 3 MOBILE BAY/DESTIN FGT FIRM</t>
  </si>
  <si>
    <t>ZONE 3 FGT FIRM</t>
  </si>
  <si>
    <t>ZONE 2 FGT FIRM</t>
  </si>
  <si>
    <t>ZONE 1 FGT FIRM</t>
  </si>
  <si>
    <t>ESTMATED SUNK DEMAND CHARGE FOR THE NEW PIPELINE IS PROVIDED UPON REQUEST</t>
  </si>
  <si>
    <t>FIRM TRANSPORT AND STORAGE CONTRACTS THROUGH FGT PHASE VIII</t>
  </si>
  <si>
    <t>SUNK DEMAND CHARGE FOR ALL CURRENT</t>
  </si>
  <si>
    <t>MMCF/DAY</t>
  </si>
  <si>
    <t>DAYS</t>
  </si>
  <si>
    <t>GULFSTREAM NON-FIRM &amp; NON-FIRM BACKHAUL</t>
  </si>
  <si>
    <t>TOTAL GULFSTREAM FIRM</t>
  </si>
  <si>
    <t>GULFSTREAM FIRM CONTRACTUAL BALANCE</t>
  </si>
  <si>
    <r>
      <t xml:space="preserve">GULFSTREAM FIRM </t>
    </r>
    <r>
      <rPr>
        <b/>
        <sz val="12"/>
        <color indexed="12"/>
        <rFont val="Arial"/>
        <family val="2"/>
      </rPr>
      <t>GULF SOUTH</t>
    </r>
    <r>
      <rPr>
        <b/>
        <sz val="12"/>
        <rFont val="Arial"/>
        <family val="2"/>
      </rPr>
      <t xml:space="preserve"> VOLUMES</t>
    </r>
  </si>
  <si>
    <r>
      <t xml:space="preserve">GULFSTREAM FIRM </t>
    </r>
    <r>
      <rPr>
        <b/>
        <sz val="12"/>
        <color indexed="17"/>
        <rFont val="Arial"/>
        <family val="2"/>
      </rPr>
      <t>SESH</t>
    </r>
    <r>
      <rPr>
        <b/>
        <sz val="12"/>
        <rFont val="Arial"/>
        <family val="2"/>
      </rPr>
      <t xml:space="preserve"> VOLUMES</t>
    </r>
  </si>
  <si>
    <t>TOTAL FGT FIRM</t>
  </si>
  <si>
    <t>PHASE VIII FTS 3</t>
  </si>
  <si>
    <t>FGT FIRM BY ZONE</t>
  </si>
  <si>
    <t>Florida Power &amp; Light Company</t>
  </si>
  <si>
    <t>Docket No. 160154-EI</t>
  </si>
  <si>
    <t>Staff's First Set of Interrogatories</t>
  </si>
  <si>
    <t>Interrogatory No. 2</t>
  </si>
  <si>
    <t>Tab 1 of 6</t>
  </si>
  <si>
    <t>Attachment No. 12</t>
  </si>
  <si>
    <t>Tab 2 of 6</t>
  </si>
  <si>
    <t>Tab 3 of 6</t>
  </si>
  <si>
    <t>Tab 4 of 6</t>
  </si>
  <si>
    <t>Tab 5 of 6</t>
  </si>
  <si>
    <t>Tab 6 of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</si>
</sst>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00"/>
    <numFmt numFmtId="165" formatCode="0_)"/>
    <numFmt numFmtId="166" formatCode="&quot;$&quot;#,##0.00"/>
    <numFmt numFmtId="167" formatCode="[$-409]mmm\-yy;@"/>
    <numFmt numFmtId="168" formatCode="&quot;$&quot;#,##0.0"/>
    <numFmt numFmtId="169" formatCode="&quot;$&quot;#,##0.0_);[Red]\(&quot;$&quot;#,##0.0\)"/>
    <numFmt numFmtId="170" formatCode="0.0"/>
  </numFmts>
  <fonts count="20" x14ac:knownFonts="1">
    <font>
      <sz val="12"/>
      <name val="Helv"/>
    </font>
    <font>
      <sz val="12"/>
      <name val="Helv"/>
    </font>
    <font>
      <sz val="12"/>
      <color indexed="12"/>
      <name val="Helv"/>
    </font>
    <font>
      <b/>
      <sz val="12"/>
      <name val="Helv"/>
    </font>
    <font>
      <sz val="10"/>
      <name val="Arial"/>
      <family val="2"/>
    </font>
    <font>
      <sz val="12"/>
      <name val="Arial"/>
      <family val="2"/>
    </font>
    <font>
      <b/>
      <u val="singleAccounting"/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2"/>
      <color indexed="12"/>
      <name val="Arial"/>
      <family val="2"/>
    </font>
    <font>
      <b/>
      <sz val="14"/>
      <name val="Arial"/>
      <family val="2"/>
    </font>
    <font>
      <b/>
      <sz val="14"/>
      <color indexed="17"/>
      <name val="Arial"/>
      <family val="2"/>
    </font>
    <font>
      <sz val="12"/>
      <color indexed="12"/>
      <name val="Arial"/>
      <family val="2"/>
    </font>
    <font>
      <sz val="12"/>
      <color theme="3"/>
      <name val="Arial"/>
      <family val="2"/>
    </font>
    <font>
      <b/>
      <sz val="12"/>
      <color theme="3"/>
      <name val="Arial"/>
      <family val="2"/>
    </font>
    <font>
      <b/>
      <sz val="12"/>
      <color indexed="10"/>
      <name val="Arial"/>
      <family val="2"/>
    </font>
    <font>
      <b/>
      <sz val="12"/>
      <color indexed="17"/>
      <name val="Arial"/>
      <family val="2"/>
    </font>
    <font>
      <b/>
      <sz val="16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66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22">
    <xf numFmtId="164" fontId="0" fillId="0" borderId="0">
      <alignment horizontal="left" wrapText="1"/>
    </xf>
    <xf numFmtId="44" fontId="4" fillId="0" borderId="0" applyFont="0" applyFill="0" applyBorder="0" applyAlignment="0" applyProtection="0"/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0" fontId="4" fillId="0" borderId="0"/>
  </cellStyleXfs>
  <cellXfs count="119">
    <xf numFmtId="164" fontId="0" fillId="0" borderId="0" xfId="0">
      <alignment horizontal="left" wrapText="1"/>
    </xf>
    <xf numFmtId="165" fontId="0" fillId="0" borderId="0" xfId="0" applyNumberFormat="1" applyAlignment="1"/>
    <xf numFmtId="165" fontId="2" fillId="0" borderId="1" xfId="0" quotePrefix="1" applyNumberFormat="1" applyFont="1" applyBorder="1" applyAlignment="1">
      <alignment horizontal="left"/>
    </xf>
    <xf numFmtId="165" fontId="2" fillId="0" borderId="3" xfId="0" quotePrefix="1" applyNumberFormat="1" applyFont="1" applyBorder="1" applyAlignment="1">
      <alignment horizontal="left"/>
    </xf>
    <xf numFmtId="165" fontId="3" fillId="0" borderId="4" xfId="0" applyNumberFormat="1" applyFont="1" applyBorder="1" applyAlignment="1"/>
    <xf numFmtId="165" fontId="2" fillId="0" borderId="1" xfId="0" applyNumberFormat="1" applyFont="1" applyBorder="1" applyAlignment="1"/>
    <xf numFmtId="165" fontId="2" fillId="0" borderId="3" xfId="0" applyNumberFormat="1" applyFont="1" applyBorder="1" applyAlignment="1"/>
    <xf numFmtId="165" fontId="3" fillId="0" borderId="4" xfId="0" quotePrefix="1" applyNumberFormat="1" applyFont="1" applyBorder="1" applyAlignment="1">
      <alignment horizontal="left"/>
    </xf>
    <xf numFmtId="0" fontId="4" fillId="0" borderId="0" xfId="21"/>
    <xf numFmtId="166" fontId="5" fillId="0" borderId="0" xfId="1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 applyAlignment="1"/>
    <xf numFmtId="17" fontId="1" fillId="0" borderId="0" xfId="0" applyNumberFormat="1" applyFont="1" applyAlignment="1">
      <alignment horizontal="center"/>
    </xf>
    <xf numFmtId="17" fontId="0" fillId="0" borderId="0" xfId="0" applyNumberFormat="1" applyAlignment="1">
      <alignment horizontal="center"/>
    </xf>
    <xf numFmtId="167" fontId="5" fillId="0" borderId="0" xfId="0" applyNumberFormat="1" applyFont="1" applyAlignment="1">
      <alignment horizontal="center"/>
    </xf>
    <xf numFmtId="17" fontId="5" fillId="0" borderId="0" xfId="0" applyNumberFormat="1" applyFont="1" applyAlignment="1">
      <alignment horizontal="center"/>
    </xf>
    <xf numFmtId="166" fontId="5" fillId="0" borderId="0" xfId="21" applyNumberFormat="1" applyFont="1" applyAlignment="1">
      <alignment horizontal="center"/>
    </xf>
    <xf numFmtId="44" fontId="6" fillId="0" borderId="0" xfId="1" applyFont="1" applyAlignment="1">
      <alignment horizontal="center"/>
    </xf>
    <xf numFmtId="0" fontId="7" fillId="0" borderId="0" xfId="21" applyFont="1" applyAlignment="1">
      <alignment horizontal="center"/>
    </xf>
    <xf numFmtId="165" fontId="8" fillId="0" borderId="0" xfId="0" quotePrefix="1" applyNumberFormat="1" applyFont="1" applyFill="1" applyAlignment="1">
      <alignment horizontal="center"/>
    </xf>
    <xf numFmtId="165" fontId="8" fillId="0" borderId="0" xfId="0" applyNumberFormat="1" applyFont="1" applyFill="1" applyAlignment="1">
      <alignment horizontal="center"/>
    </xf>
    <xf numFmtId="165" fontId="8" fillId="2" borderId="0" xfId="0" quotePrefix="1" applyNumberFormat="1" applyFont="1" applyFill="1" applyAlignment="1">
      <alignment horizontal="center"/>
    </xf>
    <xf numFmtId="165" fontId="8" fillId="3" borderId="0" xfId="0" quotePrefix="1" applyNumberFormat="1" applyFont="1" applyFill="1" applyAlignment="1">
      <alignment horizontal="center"/>
    </xf>
    <xf numFmtId="165" fontId="8" fillId="4" borderId="0" xfId="0" quotePrefix="1" applyNumberFormat="1" applyFont="1" applyFill="1" applyAlignment="1">
      <alignment horizontal="center"/>
    </xf>
    <xf numFmtId="0" fontId="4" fillId="0" borderId="0" xfId="21" applyFill="1"/>
    <xf numFmtId="165" fontId="8" fillId="2" borderId="0" xfId="0" quotePrefix="1" applyNumberFormat="1" applyFont="1" applyFill="1" applyAlignment="1">
      <alignment horizontal="center" vertical="center" wrapText="1"/>
    </xf>
    <xf numFmtId="165" fontId="8" fillId="3" borderId="0" xfId="0" quotePrefix="1" applyNumberFormat="1" applyFont="1" applyFill="1" applyAlignment="1">
      <alignment horizontal="center" vertical="center" wrapText="1"/>
    </xf>
    <xf numFmtId="165" fontId="8" fillId="4" borderId="0" xfId="0" quotePrefix="1" applyNumberFormat="1" applyFont="1" applyFill="1" applyAlignment="1">
      <alignment horizontal="center" vertical="center" wrapText="1"/>
    </xf>
    <xf numFmtId="0" fontId="9" fillId="0" borderId="0" xfId="21" applyFont="1"/>
    <xf numFmtId="10" fontId="8" fillId="7" borderId="0" xfId="21" quotePrefix="1" applyNumberFormat="1" applyFont="1" applyFill="1" applyAlignment="1">
      <alignment horizontal="center"/>
    </xf>
    <xf numFmtId="15" fontId="8" fillId="7" borderId="0" xfId="21" applyNumberFormat="1" applyFont="1" applyFill="1" applyAlignment="1">
      <alignment horizontal="left"/>
    </xf>
    <xf numFmtId="15" fontId="8" fillId="0" borderId="0" xfId="21" quotePrefix="1" applyNumberFormat="1" applyFont="1" applyAlignment="1">
      <alignment horizontal="left"/>
    </xf>
    <xf numFmtId="0" fontId="10" fillId="0" borderId="0" xfId="21" applyFont="1"/>
    <xf numFmtId="0" fontId="4" fillId="0" borderId="0" xfId="21" applyAlignment="1">
      <alignment horizontal="center"/>
    </xf>
    <xf numFmtId="8" fontId="4" fillId="0" borderId="0" xfId="21" applyNumberFormat="1"/>
    <xf numFmtId="0" fontId="4" fillId="0" borderId="0" xfId="21" applyAlignment="1">
      <alignment horizontal="center" wrapText="1"/>
    </xf>
    <xf numFmtId="0" fontId="8" fillId="0" borderId="0" xfId="21" applyFont="1" applyAlignment="1">
      <alignment horizontal="center" wrapText="1"/>
    </xf>
    <xf numFmtId="0" fontId="7" fillId="0" borderId="0" xfId="21" applyFont="1" applyAlignment="1">
      <alignment horizontal="center" wrapText="1"/>
    </xf>
    <xf numFmtId="0" fontId="8" fillId="0" borderId="0" xfId="21" quotePrefix="1" applyFont="1" applyAlignment="1">
      <alignment horizontal="center" wrapText="1"/>
    </xf>
    <xf numFmtId="10" fontId="11" fillId="7" borderId="0" xfId="21" applyNumberFormat="1" applyFont="1" applyFill="1" applyAlignment="1">
      <alignment horizontal="center"/>
    </xf>
    <xf numFmtId="0" fontId="8" fillId="7" borderId="0" xfId="21" applyFont="1" applyFill="1" applyAlignment="1">
      <alignment horizontal="center"/>
    </xf>
    <xf numFmtId="166" fontId="8" fillId="0" borderId="0" xfId="21" applyNumberFormat="1" applyFont="1" applyFill="1" applyAlignment="1">
      <alignment horizontal="center"/>
    </xf>
    <xf numFmtId="15" fontId="8" fillId="0" borderId="0" xfId="21" applyNumberFormat="1" applyFont="1" applyAlignment="1">
      <alignment horizontal="left"/>
    </xf>
    <xf numFmtId="0" fontId="5" fillId="0" borderId="0" xfId="21" applyFont="1" applyAlignment="1">
      <alignment horizontal="center"/>
    </xf>
    <xf numFmtId="8" fontId="5" fillId="0" borderId="0" xfId="21" applyNumberFormat="1" applyFont="1" applyAlignment="1">
      <alignment horizontal="center"/>
    </xf>
    <xf numFmtId="166" fontId="5" fillId="6" borderId="0" xfId="21" applyNumberFormat="1" applyFont="1" applyFill="1" applyAlignment="1">
      <alignment horizontal="center"/>
    </xf>
    <xf numFmtId="15" fontId="8" fillId="0" borderId="0" xfId="21" applyNumberFormat="1" applyFont="1" applyFill="1" applyAlignment="1">
      <alignment horizontal="left"/>
    </xf>
    <xf numFmtId="0" fontId="4" fillId="0" borderId="0" xfId="21" applyFill="1" applyAlignment="1">
      <alignment horizontal="center"/>
    </xf>
    <xf numFmtId="166" fontId="5" fillId="3" borderId="0" xfId="21" applyNumberFormat="1" applyFont="1" applyFill="1" applyAlignment="1">
      <alignment horizontal="center"/>
    </xf>
    <xf numFmtId="168" fontId="4" fillId="0" borderId="0" xfId="21" applyNumberFormat="1"/>
    <xf numFmtId="166" fontId="4" fillId="0" borderId="0" xfId="21" applyNumberFormat="1"/>
    <xf numFmtId="168" fontId="5" fillId="0" borderId="0" xfId="21" applyNumberFormat="1" applyFont="1" applyAlignment="1">
      <alignment horizontal="center"/>
    </xf>
    <xf numFmtId="166" fontId="8" fillId="5" borderId="0" xfId="21" applyNumberFormat="1" applyFont="1" applyFill="1" applyAlignment="1">
      <alignment horizontal="center"/>
    </xf>
    <xf numFmtId="168" fontId="5" fillId="0" borderId="0" xfId="21" applyNumberFormat="1" applyFont="1"/>
    <xf numFmtId="166" fontId="5" fillId="0" borderId="0" xfId="21" applyNumberFormat="1" applyFont="1"/>
    <xf numFmtId="168" fontId="14" fillId="0" borderId="0" xfId="21" applyNumberFormat="1" applyFont="1" applyAlignment="1">
      <alignment horizontal="center"/>
    </xf>
    <xf numFmtId="169" fontId="5" fillId="0" borderId="0" xfId="21" applyNumberFormat="1" applyFont="1" applyAlignment="1">
      <alignment horizontal="center"/>
    </xf>
    <xf numFmtId="169" fontId="5" fillId="5" borderId="0" xfId="21" applyNumberFormat="1" applyFont="1" applyFill="1" applyAlignment="1">
      <alignment horizontal="center"/>
    </xf>
    <xf numFmtId="166" fontId="5" fillId="5" borderId="0" xfId="21" applyNumberFormat="1" applyFont="1" applyFill="1" applyAlignment="1">
      <alignment horizontal="center"/>
    </xf>
    <xf numFmtId="166" fontId="15" fillId="6" borderId="0" xfId="21" applyNumberFormat="1" applyFont="1" applyFill="1" applyAlignment="1">
      <alignment horizontal="center"/>
    </xf>
    <xf numFmtId="166" fontId="15" fillId="3" borderId="0" xfId="21" applyNumberFormat="1" applyFont="1" applyFill="1" applyAlignment="1">
      <alignment horizontal="center"/>
    </xf>
    <xf numFmtId="168" fontId="15" fillId="0" borderId="0" xfId="21" applyNumberFormat="1" applyFont="1" applyAlignment="1">
      <alignment horizontal="center"/>
    </xf>
    <xf numFmtId="166" fontId="15" fillId="0" borderId="0" xfId="21" applyNumberFormat="1" applyFont="1" applyAlignment="1">
      <alignment horizontal="center"/>
    </xf>
    <xf numFmtId="169" fontId="15" fillId="0" borderId="0" xfId="21" applyNumberFormat="1" applyFont="1" applyAlignment="1">
      <alignment horizontal="center"/>
    </xf>
    <xf numFmtId="166" fontId="16" fillId="5" borderId="0" xfId="21" applyNumberFormat="1" applyFont="1" applyFill="1" applyAlignment="1">
      <alignment horizontal="center"/>
    </xf>
    <xf numFmtId="0" fontId="8" fillId="6" borderId="0" xfId="21" applyFont="1" applyFill="1" applyAlignment="1">
      <alignment horizontal="center" wrapText="1"/>
    </xf>
    <xf numFmtId="0" fontId="8" fillId="3" borderId="0" xfId="21" applyFont="1" applyFill="1" applyAlignment="1">
      <alignment horizontal="center" wrapText="1"/>
    </xf>
    <xf numFmtId="0" fontId="8" fillId="5" borderId="0" xfId="21" applyFont="1" applyFill="1" applyAlignment="1">
      <alignment horizontal="center" wrapText="1"/>
    </xf>
    <xf numFmtId="0" fontId="8" fillId="6" borderId="0" xfId="21" quotePrefix="1" applyFont="1" applyFill="1" applyAlignment="1">
      <alignment horizontal="center" wrapText="1"/>
    </xf>
    <xf numFmtId="0" fontId="8" fillId="2" borderId="0" xfId="21" quotePrefix="1" applyFont="1" applyFill="1" applyAlignment="1">
      <alignment horizontal="center" wrapText="1"/>
    </xf>
    <xf numFmtId="0" fontId="8" fillId="3" borderId="0" xfId="21" quotePrefix="1" applyFont="1" applyFill="1" applyAlignment="1">
      <alignment horizontal="center" wrapText="1"/>
    </xf>
    <xf numFmtId="0" fontId="8" fillId="0" borderId="0" xfId="21" applyFont="1" applyAlignment="1">
      <alignment horizontal="center"/>
    </xf>
    <xf numFmtId="10" fontId="8" fillId="0" borderId="0" xfId="21" applyNumberFormat="1" applyFont="1" applyFill="1" applyAlignment="1">
      <alignment horizontal="center"/>
    </xf>
    <xf numFmtId="0" fontId="8" fillId="0" borderId="0" xfId="21" applyFont="1" applyFill="1" applyAlignment="1">
      <alignment horizontal="center"/>
    </xf>
    <xf numFmtId="10" fontId="8" fillId="7" borderId="0" xfId="21" applyNumberFormat="1" applyFont="1" applyFill="1" applyAlignment="1">
      <alignment horizontal="center"/>
    </xf>
    <xf numFmtId="0" fontId="8" fillId="0" borderId="0" xfId="21" quotePrefix="1" applyFont="1" applyAlignment="1">
      <alignment horizontal="center"/>
    </xf>
    <xf numFmtId="1" fontId="4" fillId="0" borderId="0" xfId="21" applyNumberFormat="1" applyAlignment="1">
      <alignment horizontal="center"/>
    </xf>
    <xf numFmtId="1" fontId="4" fillId="0" borderId="0" xfId="21" applyNumberFormat="1"/>
    <xf numFmtId="1" fontId="5" fillId="0" borderId="0" xfId="21" applyNumberFormat="1" applyFont="1" applyAlignment="1">
      <alignment horizontal="center"/>
    </xf>
    <xf numFmtId="1" fontId="5" fillId="8" borderId="0" xfId="21" applyNumberFormat="1" applyFont="1" applyFill="1" applyAlignment="1">
      <alignment horizontal="center"/>
    </xf>
    <xf numFmtId="1" fontId="5" fillId="0" borderId="0" xfId="21" applyNumberFormat="1" applyFont="1" applyFill="1" applyAlignment="1">
      <alignment horizontal="center"/>
    </xf>
    <xf numFmtId="3" fontId="5" fillId="0" borderId="0" xfId="21" applyNumberFormat="1" applyFont="1" applyAlignment="1">
      <alignment horizontal="center"/>
    </xf>
    <xf numFmtId="3" fontId="5" fillId="0" borderId="0" xfId="21" applyNumberFormat="1" applyFont="1" applyFill="1" applyAlignment="1">
      <alignment horizontal="center"/>
    </xf>
    <xf numFmtId="3" fontId="5" fillId="8" borderId="0" xfId="21" applyNumberFormat="1" applyFont="1" applyFill="1" applyAlignment="1">
      <alignment horizontal="center"/>
    </xf>
    <xf numFmtId="170" fontId="8" fillId="5" borderId="0" xfId="21" applyNumberFormat="1" applyFont="1" applyFill="1" applyAlignment="1">
      <alignment horizontal="center"/>
    </xf>
    <xf numFmtId="3" fontId="5" fillId="5" borderId="0" xfId="21" applyNumberFormat="1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1" fontId="5" fillId="0" borderId="0" xfId="0" applyNumberFormat="1" applyFont="1" applyAlignment="1"/>
    <xf numFmtId="1" fontId="8" fillId="5" borderId="0" xfId="21" applyNumberFormat="1" applyFont="1" applyFill="1" applyAlignment="1">
      <alignment horizontal="center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5" borderId="0" xfId="21" applyNumberFormat="1" applyFont="1" applyFill="1" applyAlignment="1">
      <alignment horizontal="center"/>
    </xf>
    <xf numFmtId="0" fontId="7" fillId="5" borderId="0" xfId="21" applyFont="1" applyFill="1" applyAlignment="1">
      <alignment horizontal="center" wrapText="1"/>
    </xf>
    <xf numFmtId="0" fontId="8" fillId="2" borderId="0" xfId="21" applyFont="1" applyFill="1" applyAlignment="1">
      <alignment horizontal="center" wrapText="1"/>
    </xf>
    <xf numFmtId="0" fontId="5" fillId="0" borderId="0" xfId="21" applyFont="1" applyAlignment="1">
      <alignment horizontal="center" wrapText="1"/>
    </xf>
    <xf numFmtId="0" fontId="8" fillId="0" borderId="0" xfId="21" quotePrefix="1" applyFont="1" applyFill="1" applyAlignment="1">
      <alignment horizontal="center"/>
    </xf>
    <xf numFmtId="0" fontId="8" fillId="0" borderId="0" xfId="21" applyFont="1" applyFill="1" applyAlignment="1"/>
    <xf numFmtId="0" fontId="8" fillId="4" borderId="0" xfId="21" applyFont="1" applyFill="1" applyAlignment="1">
      <alignment horizontal="center"/>
    </xf>
    <xf numFmtId="0" fontId="8" fillId="6" borderId="0" xfId="21" quotePrefix="1" applyFont="1" applyFill="1" applyAlignment="1">
      <alignment horizontal="center"/>
    </xf>
    <xf numFmtId="0" fontId="8" fillId="0" borderId="0" xfId="21" applyFont="1"/>
    <xf numFmtId="165" fontId="0" fillId="0" borderId="0" xfId="0" applyNumberFormat="1" applyFill="1" applyAlignment="1"/>
    <xf numFmtId="165" fontId="3" fillId="0" borderId="0" xfId="0" applyNumberFormat="1" applyFont="1" applyAlignment="1">
      <alignment horizontal="left"/>
    </xf>
    <xf numFmtId="165" fontId="2" fillId="0" borderId="2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8" fillId="6" borderId="0" xfId="0" quotePrefix="1" applyNumberFormat="1" applyFont="1" applyFill="1" applyAlignment="1">
      <alignment horizontal="center"/>
    </xf>
    <xf numFmtId="0" fontId="8" fillId="0" borderId="0" xfId="21" applyFont="1" applyAlignment="1">
      <alignment horizontal="center"/>
    </xf>
    <xf numFmtId="0" fontId="8" fillId="5" borderId="0" xfId="21" quotePrefix="1" applyFont="1" applyFill="1" applyAlignment="1">
      <alignment horizontal="center"/>
    </xf>
    <xf numFmtId="0" fontId="8" fillId="5" borderId="0" xfId="21" applyFont="1" applyFill="1" applyAlignment="1">
      <alignment horizontal="center"/>
    </xf>
    <xf numFmtId="0" fontId="8" fillId="6" borderId="0" xfId="21" applyFont="1" applyFill="1" applyAlignment="1">
      <alignment horizontal="center"/>
    </xf>
    <xf numFmtId="0" fontId="8" fillId="6" borderId="0" xfId="21" quotePrefix="1" applyFont="1" applyFill="1" applyAlignment="1">
      <alignment horizontal="center"/>
    </xf>
    <xf numFmtId="0" fontId="19" fillId="6" borderId="7" xfId="21" quotePrefix="1" applyFont="1" applyFill="1" applyBorder="1" applyAlignment="1">
      <alignment horizontal="center"/>
    </xf>
    <xf numFmtId="0" fontId="19" fillId="6" borderId="6" xfId="21" quotePrefix="1" applyFont="1" applyFill="1" applyBorder="1" applyAlignment="1">
      <alignment horizontal="center"/>
    </xf>
    <xf numFmtId="0" fontId="19" fillId="6" borderId="5" xfId="21" quotePrefix="1" applyFont="1" applyFill="1" applyBorder="1" applyAlignment="1">
      <alignment horizontal="center"/>
    </xf>
    <xf numFmtId="0" fontId="8" fillId="0" borderId="0" xfId="21" quotePrefix="1" applyFont="1" applyFill="1" applyAlignment="1">
      <alignment horizontal="center"/>
    </xf>
    <xf numFmtId="0" fontId="8" fillId="4" borderId="0" xfId="21" quotePrefix="1" applyFont="1" applyFill="1" applyAlignment="1">
      <alignment horizontal="center"/>
    </xf>
    <xf numFmtId="0" fontId="8" fillId="4" borderId="0" xfId="21" applyFont="1" applyFill="1" applyAlignment="1">
      <alignment horizontal="center"/>
    </xf>
  </cellXfs>
  <cellStyles count="22">
    <cellStyle name="_CC Oil" xfId="2"/>
    <cellStyle name="_DSO Oil" xfId="3"/>
    <cellStyle name="_FLCC Oil" xfId="4"/>
    <cellStyle name="_FLPEGT Oil" xfId="5"/>
    <cellStyle name="_FMCT Oil" xfId="6"/>
    <cellStyle name="_GTDW_DataTemplate" xfId="7"/>
    <cellStyle name="_Gulfstream Gas" xfId="8"/>
    <cellStyle name="_MR .7 Oil" xfId="9"/>
    <cellStyle name="_MR 1 Oil" xfId="10"/>
    <cellStyle name="_MRCT Oil" xfId="11"/>
    <cellStyle name="_MT Gulfstream Gas" xfId="12"/>
    <cellStyle name="_MT Oil" xfId="13"/>
    <cellStyle name="_OLCT Oil" xfId="14"/>
    <cellStyle name="_PE Oil" xfId="15"/>
    <cellStyle name="_PN Oil" xfId="16"/>
    <cellStyle name="_RV Oil" xfId="17"/>
    <cellStyle name="_SHCT Oil" xfId="18"/>
    <cellStyle name="_SN Oil" xfId="19"/>
    <cellStyle name="_TP Oil" xfId="20"/>
    <cellStyle name="Currency" xfId="1" builtinId="4"/>
    <cellStyle name="Normal" xfId="0" builtinId="0"/>
    <cellStyle name="Normal_060415 RAP Fuel Price Forecast Template - Case 1 (Historical Spread)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8" fmlaLink="CONTROL!$C$32" fmlaRange="CONTROL!$B$32:$B$34" sel="2" val="0"/>
</file>

<file path=xl/ctrlProps/ctrlProp2.xml><?xml version="1.0" encoding="utf-8"?>
<formControlPr xmlns="http://schemas.microsoft.com/office/spreadsheetml/2009/9/main" objectType="Drop" dropLines="3" dropStyle="combo" dx="18" fmlaLink="CONTROL!$C$9" fmlaRange="CONTROL!$B$9:$B$11" sel="2" val="0"/>
</file>

<file path=xl/ctrlProps/ctrlProp3.xml><?xml version="1.0" encoding="utf-8"?>
<formControlPr xmlns="http://schemas.microsoft.com/office/spreadsheetml/2009/9/main" objectType="Drop" dropLines="2" dropStyle="combo" dx="18" fmlaLink="CONTROL!$C$27" fmlaRange="CONTROL!$B$27:$B$28" val="0"/>
</file>

<file path=xl/ctrlProps/ctrlProp4.xml><?xml version="1.0" encoding="utf-8"?>
<formControlPr xmlns="http://schemas.microsoft.com/office/spreadsheetml/2009/9/main" objectType="Drop" dropLines="3" dropStyle="combo" dx="18" fmlaLink="CONTROL!$C$15" fmlaRange="CONTROL!$B$15:$B$17" sel="2" val="0"/>
</file>

<file path=xl/ctrlProps/ctrlProp5.xml><?xml version="1.0" encoding="utf-8"?>
<formControlPr xmlns="http://schemas.microsoft.com/office/spreadsheetml/2009/9/main" objectType="Drop" dropLines="2" dropStyle="combo" dx="18" fmlaLink="CONTROL!$C$38" fmlaRange="CONTROL!$B$38:$B$39" val="0"/>
</file>

<file path=xl/ctrlProps/ctrlProp6.xml><?xml version="1.0" encoding="utf-8"?>
<formControlPr xmlns="http://schemas.microsoft.com/office/spreadsheetml/2009/9/main" objectType="Drop" dropLines="3" dropStyle="combo" dx="18" fmlaLink="CONTROL!$C$21" fmlaRange="CONTROL!$B$21:$B$23" sel="2" val="0"/>
</file>

<file path=xl/ctrlProps/ctrlProp7.xml><?xml version="1.0" encoding="utf-8"?>
<formControlPr xmlns="http://schemas.microsoft.com/office/spreadsheetml/2009/9/main" objectType="Drop" dropLines="2" dropStyle="combo" dx="18" fmlaLink="CONTROL!$C$42" fmlaRange="CONTROL!$B$42:$B$43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7</xdr:row>
          <xdr:rowOff>38100</xdr:rowOff>
        </xdr:from>
        <xdr:to>
          <xdr:col>6</xdr:col>
          <xdr:colOff>381000</xdr:colOff>
          <xdr:row>8</xdr:row>
          <xdr:rowOff>95250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7</xdr:row>
          <xdr:rowOff>85725</xdr:rowOff>
        </xdr:from>
        <xdr:to>
          <xdr:col>7</xdr:col>
          <xdr:colOff>104775</xdr:colOff>
          <xdr:row>8</xdr:row>
          <xdr:rowOff>171450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7</xdr:row>
          <xdr:rowOff>114300</xdr:rowOff>
        </xdr:from>
        <xdr:to>
          <xdr:col>8</xdr:col>
          <xdr:colOff>295275</xdr:colOff>
          <xdr:row>9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7</xdr:row>
          <xdr:rowOff>180975</xdr:rowOff>
        </xdr:from>
        <xdr:to>
          <xdr:col>8</xdr:col>
          <xdr:colOff>342900</xdr:colOff>
          <xdr:row>9</xdr:row>
          <xdr:rowOff>85725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7</xdr:row>
          <xdr:rowOff>180975</xdr:rowOff>
        </xdr:from>
        <xdr:to>
          <xdr:col>9</xdr:col>
          <xdr:colOff>609600</xdr:colOff>
          <xdr:row>9</xdr:row>
          <xdr:rowOff>85725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7</xdr:row>
          <xdr:rowOff>85725</xdr:rowOff>
        </xdr:from>
        <xdr:to>
          <xdr:col>8</xdr:col>
          <xdr:colOff>600075</xdr:colOff>
          <xdr:row>8</xdr:row>
          <xdr:rowOff>171450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7</xdr:row>
          <xdr:rowOff>180975</xdr:rowOff>
        </xdr:from>
        <xdr:to>
          <xdr:col>12</xdr:col>
          <xdr:colOff>323850</xdr:colOff>
          <xdr:row>9</xdr:row>
          <xdr:rowOff>66675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exu0ocl\040609%20FUEL%20COST%20RECOVERY%20-%20IRP%20SHORT%20&amp;%20LONG-TERM%20FOSSIL%20FUEL%20PRICE%20FORECA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XD0FJ7\AppData\Local\Temp\Temp1_2013.zip\2013\1.%20January\130107%202013%20-%202061%20LONG-TERM%20FORECAST%20FPL%20METHODOLOGY%20-%20To%20Delet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%20Analys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REG\GenTrader%20Data\Weekly%20Long%20Run\040914\Inputs\GTDW_Data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_Setup_"/>
      <sheetName val="PIRA - LONG TERM OIL BACKUP"/>
      <sheetName val="PIRA - LONG TERM GAS BACKUP"/>
      <sheetName val="OIL &amp; GAS SEASONALITY"/>
      <sheetName val="DISTILLATE &amp; RESIDUAL FUEL OIL"/>
      <sheetName val="FGT NON-FIRM"/>
      <sheetName val="FGT PRIMARY FIRM ZONE 1"/>
      <sheetName val="FGT PRIMARY FIRM ZONE 2"/>
      <sheetName val="FGT PRIMARY FIRM ZONE 3"/>
      <sheetName val="FGT FIRM ZONE 3 MOBILE BAY-DES"/>
      <sheetName val="FTS 3  FIRM ZONE 3 MOBILE BAY-D"/>
      <sheetName val="TRANSCO 4A LATERAL TO FTS 3"/>
      <sheetName val="TRANSCO 4 LATERAL TO GULFSTREAM"/>
      <sheetName val="SESH TO FGT FIRM ZONE 3 MOB BAY"/>
      <sheetName val="SESH TO FTS 3"/>
      <sheetName val="SESH TO GULFSTREAM"/>
      <sheetName val="GULFSTREAM FIRM "/>
      <sheetName val="GULFSTREAM NON-FIRM"/>
      <sheetName val="GULFSTREAM NON-FIRM  BACKHAUL "/>
      <sheetName val="UPS REPLACEMENT"/>
      <sheetName val="FUTURE GAS PIPELINE"/>
      <sheetName val="Upload"/>
      <sheetName val="MOST LIKELY COAL &amp; PET COKE"/>
      <sheetName val="GULF SOUTH TO FGT Z3 MOBILE BAY"/>
      <sheetName val="GULF SOUTH TO GULFSTRE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C43"/>
  <sheetViews>
    <sheetView showGridLines="0" tabSelected="1" workbookViewId="0">
      <selection activeCell="A6" sqref="A6"/>
    </sheetView>
  </sheetViews>
  <sheetFormatPr defaultColWidth="8.88671875" defaultRowHeight="15.75" x14ac:dyDescent="0.25"/>
  <cols>
    <col min="1" max="1" width="8.88671875" style="1"/>
    <col min="2" max="2" width="15.5546875" style="1" bestFit="1" customWidth="1"/>
    <col min="3" max="3" width="9.5546875" style="1" bestFit="1" customWidth="1"/>
    <col min="4" max="16384" width="8.88671875" style="1"/>
  </cols>
  <sheetData>
    <row r="1" spans="1:3" x14ac:dyDescent="0.25">
      <c r="A1" s="103" t="s">
        <v>91</v>
      </c>
    </row>
    <row r="2" spans="1:3" x14ac:dyDescent="0.25">
      <c r="A2" s="103" t="s">
        <v>92</v>
      </c>
    </row>
    <row r="3" spans="1:3" x14ac:dyDescent="0.25">
      <c r="A3" s="103" t="s">
        <v>93</v>
      </c>
    </row>
    <row r="4" spans="1:3" x14ac:dyDescent="0.25">
      <c r="A4" s="103" t="s">
        <v>94</v>
      </c>
    </row>
    <row r="5" spans="1:3" s="102" customFormat="1" x14ac:dyDescent="0.25">
      <c r="A5" s="103" t="s">
        <v>96</v>
      </c>
    </row>
    <row r="6" spans="1:3" s="102" customFormat="1" x14ac:dyDescent="0.25">
      <c r="A6" s="103" t="s">
        <v>95</v>
      </c>
    </row>
    <row r="8" spans="1:3" x14ac:dyDescent="0.25">
      <c r="B8" s="4" t="s">
        <v>13</v>
      </c>
      <c r="C8" s="4" t="s">
        <v>2</v>
      </c>
    </row>
    <row r="9" spans="1:3" x14ac:dyDescent="0.25">
      <c r="B9" s="6" t="s">
        <v>9</v>
      </c>
      <c r="C9" s="104">
        <v>2</v>
      </c>
    </row>
    <row r="10" spans="1:3" x14ac:dyDescent="0.25">
      <c r="B10" s="6" t="s">
        <v>8</v>
      </c>
      <c r="C10" s="106"/>
    </row>
    <row r="11" spans="1:3" x14ac:dyDescent="0.25">
      <c r="B11" s="5" t="s">
        <v>7</v>
      </c>
      <c r="C11" s="105"/>
    </row>
    <row r="14" spans="1:3" x14ac:dyDescent="0.25">
      <c r="B14" s="4" t="s">
        <v>12</v>
      </c>
      <c r="C14" s="4" t="s">
        <v>2</v>
      </c>
    </row>
    <row r="15" spans="1:3" x14ac:dyDescent="0.25">
      <c r="B15" s="6" t="s">
        <v>9</v>
      </c>
      <c r="C15" s="104">
        <v>2</v>
      </c>
    </row>
    <row r="16" spans="1:3" x14ac:dyDescent="0.25">
      <c r="B16" s="6" t="s">
        <v>8</v>
      </c>
      <c r="C16" s="106"/>
    </row>
    <row r="17" spans="2:3" x14ac:dyDescent="0.25">
      <c r="B17" s="5" t="s">
        <v>7</v>
      </c>
      <c r="C17" s="105"/>
    </row>
    <row r="20" spans="2:3" x14ac:dyDescent="0.25">
      <c r="B20" s="4" t="s">
        <v>3</v>
      </c>
      <c r="C20" s="4" t="s">
        <v>2</v>
      </c>
    </row>
    <row r="21" spans="2:3" x14ac:dyDescent="0.25">
      <c r="B21" s="6" t="s">
        <v>9</v>
      </c>
      <c r="C21" s="104">
        <v>2</v>
      </c>
    </row>
    <row r="22" spans="2:3" x14ac:dyDescent="0.25">
      <c r="B22" s="6" t="s">
        <v>8</v>
      </c>
      <c r="C22" s="106"/>
    </row>
    <row r="23" spans="2:3" x14ac:dyDescent="0.25">
      <c r="B23" s="5" t="s">
        <v>7</v>
      </c>
      <c r="C23" s="105"/>
    </row>
    <row r="26" spans="2:3" x14ac:dyDescent="0.25">
      <c r="B26" s="7" t="s">
        <v>11</v>
      </c>
      <c r="C26" s="7" t="s">
        <v>2</v>
      </c>
    </row>
    <row r="27" spans="2:3" x14ac:dyDescent="0.25">
      <c r="B27" s="3" t="s">
        <v>5</v>
      </c>
      <c r="C27" s="104">
        <v>1</v>
      </c>
    </row>
    <row r="28" spans="2:3" x14ac:dyDescent="0.25">
      <c r="B28" s="2" t="s">
        <v>4</v>
      </c>
      <c r="C28" s="105"/>
    </row>
    <row r="31" spans="2:3" x14ac:dyDescent="0.25">
      <c r="B31" s="4" t="s">
        <v>10</v>
      </c>
      <c r="C31" s="4" t="s">
        <v>2</v>
      </c>
    </row>
    <row r="32" spans="2:3" x14ac:dyDescent="0.25">
      <c r="B32" s="6" t="s">
        <v>9</v>
      </c>
      <c r="C32" s="104">
        <v>2</v>
      </c>
    </row>
    <row r="33" spans="2:3" x14ac:dyDescent="0.25">
      <c r="B33" s="6" t="s">
        <v>8</v>
      </c>
      <c r="C33" s="106"/>
    </row>
    <row r="34" spans="2:3" x14ac:dyDescent="0.25">
      <c r="B34" s="5" t="s">
        <v>7</v>
      </c>
      <c r="C34" s="105"/>
    </row>
    <row r="37" spans="2:3" x14ac:dyDescent="0.25">
      <c r="B37" s="4" t="s">
        <v>6</v>
      </c>
      <c r="C37" s="4" t="s">
        <v>2</v>
      </c>
    </row>
    <row r="38" spans="2:3" x14ac:dyDescent="0.25">
      <c r="B38" s="3" t="s">
        <v>5</v>
      </c>
      <c r="C38" s="104">
        <v>1</v>
      </c>
    </row>
    <row r="39" spans="2:3" x14ac:dyDescent="0.25">
      <c r="B39" s="2" t="s">
        <v>4</v>
      </c>
      <c r="C39" s="105"/>
    </row>
    <row r="41" spans="2:3" x14ac:dyDescent="0.25">
      <c r="B41" s="4" t="s">
        <v>3</v>
      </c>
      <c r="C41" s="4" t="s">
        <v>2</v>
      </c>
    </row>
    <row r="42" spans="2:3" x14ac:dyDescent="0.25">
      <c r="B42" s="3" t="s">
        <v>1</v>
      </c>
      <c r="C42" s="104">
        <v>1</v>
      </c>
    </row>
    <row r="43" spans="2:3" x14ac:dyDescent="0.25">
      <c r="B43" s="2" t="s">
        <v>0</v>
      </c>
      <c r="C43" s="105"/>
    </row>
  </sheetData>
  <mergeCells count="7">
    <mergeCell ref="C42:C43"/>
    <mergeCell ref="C32:C34"/>
    <mergeCell ref="C38:C39"/>
    <mergeCell ref="C9:C11"/>
    <mergeCell ref="C15:C17"/>
    <mergeCell ref="C21:C23"/>
    <mergeCell ref="C27:C28"/>
  </mergeCells>
  <pageMargins left="0.25" right="0.25" top="0.5" bottom="0.5" header="0.25" footer="0.25"/>
  <pageSetup scale="70" orientation="landscape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S652"/>
  <sheetViews>
    <sheetView zoomScale="70" workbookViewId="0">
      <pane xSplit="1" ySplit="13" topLeftCell="B14" activePane="bottomRight" state="frozen"/>
      <selection activeCell="A6" sqref="A6"/>
      <selection pane="topRight" activeCell="A6" sqref="A6"/>
      <selection pane="bottomLeft" activeCell="A6" sqref="A6"/>
      <selection pane="bottomRight" activeCell="B14" sqref="B14"/>
    </sheetView>
  </sheetViews>
  <sheetFormatPr defaultColWidth="7.109375" defaultRowHeight="12.75" x14ac:dyDescent="0.2"/>
  <cols>
    <col min="1" max="1" width="14.5546875" style="8" customWidth="1"/>
    <col min="2" max="2" width="19" style="8" customWidth="1"/>
    <col min="3" max="3" width="16.109375" style="8" customWidth="1"/>
    <col min="4" max="4" width="20.21875" style="8" customWidth="1"/>
    <col min="5" max="5" width="20.6640625" style="8" customWidth="1"/>
    <col min="6" max="6" width="16.109375" style="8" customWidth="1"/>
    <col min="7" max="9" width="20" style="8" customWidth="1"/>
    <col min="10" max="10" width="16.109375" style="8" customWidth="1"/>
    <col min="11" max="13" width="19.109375" style="8" customWidth="1"/>
    <col min="14" max="14" width="16.109375" style="8" customWidth="1"/>
    <col min="15" max="15" width="19.77734375" style="8" customWidth="1"/>
    <col min="16" max="16" width="16.109375" style="8" customWidth="1"/>
    <col min="17" max="19" width="17.6640625" style="8" customWidth="1"/>
    <col min="20" max="16384" width="7.109375" style="8"/>
  </cols>
  <sheetData>
    <row r="1" spans="1:19" ht="15.75" x14ac:dyDescent="0.25">
      <c r="A1" s="103" t="s">
        <v>91</v>
      </c>
    </row>
    <row r="2" spans="1:19" ht="15.75" x14ac:dyDescent="0.25">
      <c r="A2" s="103" t="s">
        <v>92</v>
      </c>
    </row>
    <row r="3" spans="1:19" ht="15.75" x14ac:dyDescent="0.25">
      <c r="A3" s="103" t="s">
        <v>93</v>
      </c>
    </row>
    <row r="4" spans="1:19" ht="15.75" x14ac:dyDescent="0.25">
      <c r="A4" s="103" t="s">
        <v>94</v>
      </c>
    </row>
    <row r="5" spans="1:19" ht="15.75" x14ac:dyDescent="0.25">
      <c r="A5" s="103" t="s">
        <v>96</v>
      </c>
    </row>
    <row r="6" spans="1:19" ht="15.75" x14ac:dyDescent="0.25">
      <c r="A6" s="103" t="s">
        <v>97</v>
      </c>
    </row>
    <row r="7" spans="1:19" ht="20.25" x14ac:dyDescent="0.3">
      <c r="A7" s="33"/>
    </row>
    <row r="8" spans="1:19" ht="18" x14ac:dyDescent="0.25">
      <c r="A8" s="32" t="s">
        <v>27</v>
      </c>
      <c r="B8" s="32"/>
      <c r="H8" s="29" t="s">
        <v>26</v>
      </c>
    </row>
    <row r="9" spans="1:19" ht="18" x14ac:dyDescent="0.25">
      <c r="A9" s="32"/>
      <c r="B9" s="31" t="s">
        <v>25</v>
      </c>
      <c r="C9" s="30">
        <f>1-0.149</f>
        <v>0.85099999999999998</v>
      </c>
      <c r="D9" s="31" t="s">
        <v>24</v>
      </c>
      <c r="E9" s="30">
        <v>1.149</v>
      </c>
      <c r="H9" s="29"/>
      <c r="P9" s="108"/>
      <c r="Q9" s="108"/>
      <c r="R9" s="108"/>
      <c r="S9" s="108"/>
    </row>
    <row r="10" spans="1:19" ht="15.75" x14ac:dyDescent="0.25">
      <c r="B10" s="107" t="s">
        <v>23</v>
      </c>
      <c r="C10" s="107"/>
      <c r="D10" s="107"/>
      <c r="E10" s="109" t="s">
        <v>22</v>
      </c>
      <c r="F10" s="109"/>
      <c r="G10" s="110"/>
      <c r="H10" s="111" t="s">
        <v>21</v>
      </c>
      <c r="I10" s="111"/>
      <c r="J10" s="111"/>
      <c r="K10" s="111"/>
      <c r="L10" s="110" t="s">
        <v>20</v>
      </c>
      <c r="M10" s="110"/>
      <c r="N10" s="110"/>
      <c r="O10" s="110"/>
      <c r="P10" s="108"/>
      <c r="Q10" s="108"/>
      <c r="R10" s="108"/>
      <c r="S10" s="108"/>
    </row>
    <row r="11" spans="1:19" ht="63" x14ac:dyDescent="0.25">
      <c r="B11" s="28" t="s">
        <v>19</v>
      </c>
      <c r="C11" s="27" t="s">
        <v>17</v>
      </c>
      <c r="D11" s="26" t="s">
        <v>16</v>
      </c>
      <c r="E11" s="28" t="s">
        <v>19</v>
      </c>
      <c r="F11" s="27" t="s">
        <v>17</v>
      </c>
      <c r="G11" s="26" t="s">
        <v>16</v>
      </c>
      <c r="H11" s="28" t="s">
        <v>19</v>
      </c>
      <c r="I11" s="28" t="s">
        <v>18</v>
      </c>
      <c r="J11" s="27" t="s">
        <v>17</v>
      </c>
      <c r="K11" s="26" t="s">
        <v>16</v>
      </c>
      <c r="L11" s="28" t="s">
        <v>19</v>
      </c>
      <c r="M11" s="28" t="s">
        <v>18</v>
      </c>
      <c r="N11" s="27" t="s">
        <v>17</v>
      </c>
      <c r="O11" s="26" t="s">
        <v>16</v>
      </c>
      <c r="P11" s="25"/>
      <c r="Q11" s="21"/>
      <c r="R11" s="21"/>
      <c r="S11" s="21"/>
    </row>
    <row r="12" spans="1:19" ht="13.5" customHeight="1" x14ac:dyDescent="0.25">
      <c r="B12" s="24"/>
      <c r="C12" s="23"/>
      <c r="D12" s="22"/>
      <c r="E12" s="24"/>
      <c r="F12" s="23"/>
      <c r="G12" s="22"/>
      <c r="H12" s="24"/>
      <c r="I12" s="24"/>
      <c r="J12" s="23"/>
      <c r="K12" s="22"/>
      <c r="L12" s="24"/>
      <c r="M12" s="24"/>
      <c r="N12" s="23"/>
      <c r="O12" s="22"/>
      <c r="P12" s="21"/>
      <c r="Q12" s="20"/>
      <c r="R12" s="20"/>
      <c r="S12" s="20"/>
    </row>
    <row r="13" spans="1:19" ht="20.25" x14ac:dyDescent="0.55000000000000004">
      <c r="A13" s="19" t="s">
        <v>15</v>
      </c>
      <c r="B13" s="18" t="s">
        <v>14</v>
      </c>
      <c r="C13" s="18" t="s">
        <v>14</v>
      </c>
      <c r="D13" s="18" t="s">
        <v>14</v>
      </c>
      <c r="E13" s="18" t="s">
        <v>14</v>
      </c>
      <c r="F13" s="18" t="s">
        <v>14</v>
      </c>
      <c r="G13" s="18" t="s">
        <v>14</v>
      </c>
      <c r="H13" s="18" t="s">
        <v>14</v>
      </c>
      <c r="I13" s="18" t="s">
        <v>14</v>
      </c>
      <c r="J13" s="18" t="s">
        <v>14</v>
      </c>
      <c r="K13" s="18" t="s">
        <v>14</v>
      </c>
      <c r="L13" s="18" t="s">
        <v>14</v>
      </c>
      <c r="M13" s="18" t="s">
        <v>14</v>
      </c>
      <c r="N13" s="18" t="s">
        <v>14</v>
      </c>
      <c r="O13" s="18" t="s">
        <v>14</v>
      </c>
      <c r="P13" s="18"/>
      <c r="Q13" s="18"/>
      <c r="R13" s="18"/>
      <c r="S13" s="18"/>
    </row>
    <row r="14" spans="1:19" ht="15" x14ac:dyDescent="0.2">
      <c r="A14" s="16">
        <v>41275</v>
      </c>
      <c r="B14" s="10">
        <f>2.4363 * CHOOSE(CONTROL!$C$32, $C$9, 100%, $E$9)</f>
        <v>2.4363000000000001</v>
      </c>
      <c r="C14" s="10">
        <f>2.4856 * CHOOSE(CONTROL!$C$32, $C$9, 100%, $E$9)</f>
        <v>2.4855999999999998</v>
      </c>
      <c r="D14" s="10">
        <f>2.5223 * CHOOSE(CONTROL!$C$32, $C$9, 100%, $E$9)</f>
        <v>2.5223</v>
      </c>
      <c r="E14" s="9">
        <f>4.0897 * CHOOSE(CONTROL!$C$32, $C$9, 100%, $E$9)</f>
        <v>4.0896999999999997</v>
      </c>
      <c r="F14" s="9">
        <f>3.5487 * CHOOSE(CONTROL!$C$32, $C$9, 100%, $E$9)</f>
        <v>3.5487000000000002</v>
      </c>
      <c r="G14" s="9">
        <f>3.5609 * CHOOSE(CONTROL!$C$32, $C$9, 100%, $E$9)</f>
        <v>3.5609000000000002</v>
      </c>
      <c r="H14" s="9">
        <f>3.832 * CHOOSE(CONTROL!$C$32, $C$9, 100%, $E$9)</f>
        <v>3.8319999999999999</v>
      </c>
      <c r="I14" s="9">
        <f>3.8442 * CHOOSE(CONTROL!$C$32, $C$9, 100%, $E$9)</f>
        <v>3.8441999999999998</v>
      </c>
      <c r="J14" s="9">
        <f>3.832 * CHOOSE(CONTROL!$C$32, $C$9, 100%, $E$9)</f>
        <v>3.8319999999999999</v>
      </c>
      <c r="K14" s="9">
        <f>3.8442 * CHOOSE(CONTROL!$C$32, $C$9, 100%, $E$9)</f>
        <v>3.8441999999999998</v>
      </c>
      <c r="L14" s="9">
        <f>4.0897 * CHOOSE(CONTROL!$C$32, $C$9, 100%, $E$9)</f>
        <v>4.0896999999999997</v>
      </c>
      <c r="M14" s="9">
        <f>4.1019 * CHOOSE(CONTROL!$C$32, $C$9, 100%, $E$9)</f>
        <v>4.1018999999999997</v>
      </c>
      <c r="N14" s="9">
        <f>4.0897 * CHOOSE(CONTROL!$C$32, $C$9, 100%, $E$9)</f>
        <v>4.0896999999999997</v>
      </c>
      <c r="O14" s="9">
        <f>4.1019 * CHOOSE(CONTROL!$C$32, $C$9, 100%, $E$9)</f>
        <v>4.1018999999999997</v>
      </c>
      <c r="P14" s="17"/>
      <c r="Q14" s="9"/>
      <c r="R14" s="9"/>
    </row>
    <row r="15" spans="1:19" ht="15" x14ac:dyDescent="0.2">
      <c r="A15" s="16">
        <v>41306</v>
      </c>
      <c r="B15" s="10">
        <f>2.441 * CHOOSE(CONTROL!$C$32, $C$9, 100%, $E$9)</f>
        <v>2.4409999999999998</v>
      </c>
      <c r="C15" s="10">
        <f>2.4903 * CHOOSE(CONTROL!$C$32, $C$9, 100%, $E$9)</f>
        <v>2.4903</v>
      </c>
      <c r="D15" s="10">
        <f>2.5271 * CHOOSE(CONTROL!$C$32, $C$9, 100%, $E$9)</f>
        <v>2.5270999999999999</v>
      </c>
      <c r="E15" s="9">
        <f>3.9826 * CHOOSE(CONTROL!$C$32, $C$9, 100%, $E$9)</f>
        <v>3.9826000000000001</v>
      </c>
      <c r="F15" s="9">
        <f>3.5669 * CHOOSE(CONTROL!$C$32, $C$9, 100%, $E$9)</f>
        <v>3.5669</v>
      </c>
      <c r="G15" s="9">
        <f>3.5791 * CHOOSE(CONTROL!$C$32, $C$9, 100%, $E$9)</f>
        <v>3.5790999999999999</v>
      </c>
      <c r="H15" s="9">
        <f>3.828 * CHOOSE(CONTROL!$C$32, $C$9, 100%, $E$9)</f>
        <v>3.8279999999999998</v>
      </c>
      <c r="I15" s="9">
        <f>3.8402 * CHOOSE(CONTROL!$C$32, $C$9, 100%, $E$9)</f>
        <v>3.8401999999999998</v>
      </c>
      <c r="J15" s="9">
        <f>3.828 * CHOOSE(CONTROL!$C$32, $C$9, 100%, $E$9)</f>
        <v>3.8279999999999998</v>
      </c>
      <c r="K15" s="9">
        <f>3.8402 * CHOOSE(CONTROL!$C$32, $C$9, 100%, $E$9)</f>
        <v>3.8401999999999998</v>
      </c>
      <c r="L15" s="9">
        <f>3.9826 * CHOOSE(CONTROL!$C$32, $C$9, 100%, $E$9)</f>
        <v>3.9826000000000001</v>
      </c>
      <c r="M15" s="9">
        <f>3.9947 * CHOOSE(CONTROL!$C$32, $C$9, 100%, $E$9)</f>
        <v>3.9946999999999999</v>
      </c>
      <c r="N15" s="9">
        <f>3.9826 * CHOOSE(CONTROL!$C$32, $C$9, 100%, $E$9)</f>
        <v>3.9826000000000001</v>
      </c>
      <c r="O15" s="9">
        <f>3.9947 * CHOOSE(CONTROL!$C$32, $C$9, 100%, $E$9)</f>
        <v>3.9946999999999999</v>
      </c>
      <c r="P15" s="17"/>
      <c r="Q15" s="9"/>
      <c r="R15" s="9"/>
    </row>
    <row r="16" spans="1:19" ht="15" x14ac:dyDescent="0.2">
      <c r="A16" s="16">
        <v>41334</v>
      </c>
      <c r="B16" s="10">
        <f>2.4418 * CHOOSE(CONTROL!$C$32, $C$9, 100%, $E$9)</f>
        <v>2.4418000000000002</v>
      </c>
      <c r="C16" s="10">
        <f>2.4932 * CHOOSE(CONTROL!$C$32, $C$9, 100%, $E$9)</f>
        <v>2.4931999999999999</v>
      </c>
      <c r="D16" s="10">
        <f>2.53 * CHOOSE(CONTROL!$C$32, $C$9, 100%, $E$9)</f>
        <v>2.5299999999999998</v>
      </c>
      <c r="E16" s="9">
        <f>3.9826 * CHOOSE(CONTROL!$C$32, $C$9, 100%, $E$9)</f>
        <v>3.9826000000000001</v>
      </c>
      <c r="F16" s="9">
        <f>3.5919 * CHOOSE(CONTROL!$C$32, $C$9, 100%, $E$9)</f>
        <v>3.5918999999999999</v>
      </c>
      <c r="G16" s="9">
        <f>3.6041 * CHOOSE(CONTROL!$C$32, $C$9, 100%, $E$9)</f>
        <v>3.6040999999999999</v>
      </c>
      <c r="H16" s="9">
        <f>3.822 * CHOOSE(CONTROL!$C$32, $C$9, 100%, $E$9)</f>
        <v>3.8220000000000001</v>
      </c>
      <c r="I16" s="9">
        <f>3.8342 * CHOOSE(CONTROL!$C$32, $C$9, 100%, $E$9)</f>
        <v>3.8342000000000001</v>
      </c>
      <c r="J16" s="9">
        <f>3.822 * CHOOSE(CONTROL!$C$32, $C$9, 100%, $E$9)</f>
        <v>3.8220000000000001</v>
      </c>
      <c r="K16" s="9">
        <f>3.8342 * CHOOSE(CONTROL!$C$32, $C$9, 100%, $E$9)</f>
        <v>3.8342000000000001</v>
      </c>
      <c r="L16" s="9">
        <f>3.9826 * CHOOSE(CONTROL!$C$32, $C$9, 100%, $E$9)</f>
        <v>3.9826000000000001</v>
      </c>
      <c r="M16" s="9">
        <f>3.9947 * CHOOSE(CONTROL!$C$32, $C$9, 100%, $E$9)</f>
        <v>3.9946999999999999</v>
      </c>
      <c r="N16" s="9">
        <f>3.9826 * CHOOSE(CONTROL!$C$32, $C$9, 100%, $E$9)</f>
        <v>3.9826000000000001</v>
      </c>
      <c r="O16" s="9">
        <f>3.9947 * CHOOSE(CONTROL!$C$32, $C$9, 100%, $E$9)</f>
        <v>3.9946999999999999</v>
      </c>
      <c r="P16" s="17"/>
      <c r="Q16" s="9"/>
      <c r="R16" s="9"/>
    </row>
    <row r="17" spans="1:18" ht="15" x14ac:dyDescent="0.2">
      <c r="A17" s="16">
        <v>41365</v>
      </c>
      <c r="B17" s="10">
        <f>2.4427 * CHOOSE(CONTROL!$C$32, $C$9, 100%, $E$9)</f>
        <v>2.4426999999999999</v>
      </c>
      <c r="C17" s="10">
        <f>2.4963 * CHOOSE(CONTROL!$C$32, $C$9, 100%, $E$9)</f>
        <v>2.4963000000000002</v>
      </c>
      <c r="D17" s="10">
        <f>2.533 * CHOOSE(CONTROL!$C$32, $C$9, 100%, $E$9)</f>
        <v>2.5329999999999999</v>
      </c>
      <c r="E17" s="9">
        <f>4.0701 * CHOOSE(CONTROL!$C$32, $C$9, 100%, $E$9)</f>
        <v>4.0701000000000001</v>
      </c>
      <c r="F17" s="9">
        <f>3.5985 * CHOOSE(CONTROL!$C$32, $C$9, 100%, $E$9)</f>
        <v>3.5985</v>
      </c>
      <c r="G17" s="9">
        <f>3.6107 * CHOOSE(CONTROL!$C$32, $C$9, 100%, $E$9)</f>
        <v>3.6107</v>
      </c>
      <c r="H17" s="9">
        <f>3.8213 * CHOOSE(CONTROL!$C$32, $C$9, 100%, $E$9)</f>
        <v>3.8212999999999999</v>
      </c>
      <c r="I17" s="9">
        <f>3.8335 * CHOOSE(CONTROL!$C$32, $C$9, 100%, $E$9)</f>
        <v>3.8334999999999999</v>
      </c>
      <c r="J17" s="9">
        <f>3.8213 * CHOOSE(CONTROL!$C$32, $C$9, 100%, $E$9)</f>
        <v>3.8212999999999999</v>
      </c>
      <c r="K17" s="9">
        <f>3.8335 * CHOOSE(CONTROL!$C$32, $C$9, 100%, $E$9)</f>
        <v>3.8334999999999999</v>
      </c>
      <c r="L17" s="9">
        <f>4.0701 * CHOOSE(CONTROL!$C$32, $C$9, 100%, $E$9)</f>
        <v>4.0701000000000001</v>
      </c>
      <c r="M17" s="9">
        <f>4.0822 * CHOOSE(CONTROL!$C$32, $C$9, 100%, $E$9)</f>
        <v>4.0822000000000003</v>
      </c>
      <c r="N17" s="9">
        <f>4.0701 * CHOOSE(CONTROL!$C$32, $C$9, 100%, $E$9)</f>
        <v>4.0701000000000001</v>
      </c>
      <c r="O17" s="9">
        <f>4.0822 * CHOOSE(CONTROL!$C$32, $C$9, 100%, $E$9)</f>
        <v>4.0822000000000003</v>
      </c>
      <c r="P17" s="17"/>
      <c r="Q17" s="9"/>
      <c r="R17" s="9"/>
    </row>
    <row r="18" spans="1:18" ht="15" x14ac:dyDescent="0.2">
      <c r="A18" s="16">
        <v>41395</v>
      </c>
      <c r="B18" s="10">
        <f>2.4463 * CHOOSE(CONTROL!$C$32, $C$9, 100%, $E$9)</f>
        <v>2.4462999999999999</v>
      </c>
      <c r="C18" s="10">
        <f>2.4978 * CHOOSE(CONTROL!$C$32, $C$9, 100%, $E$9)</f>
        <v>2.4977999999999998</v>
      </c>
      <c r="D18" s="10">
        <f>2.5453 * CHOOSE(CONTROL!$C$32, $C$9, 100%, $E$9)</f>
        <v>2.5453000000000001</v>
      </c>
      <c r="E18" s="9">
        <f>4.1148 * CHOOSE(CONTROL!$C$32, $C$9, 100%, $E$9)</f>
        <v>4.1147999999999998</v>
      </c>
      <c r="F18" s="9">
        <f>3.5985 * CHOOSE(CONTROL!$C$32, $C$9, 100%, $E$9)</f>
        <v>3.5985</v>
      </c>
      <c r="G18" s="9">
        <f>3.6142 * CHOOSE(CONTROL!$C$32, $C$9, 100%, $E$9)</f>
        <v>3.6141999999999999</v>
      </c>
      <c r="H18" s="9">
        <f>3.8133 * CHOOSE(CONTROL!$C$32, $C$9, 100%, $E$9)</f>
        <v>3.8132999999999999</v>
      </c>
      <c r="I18" s="9">
        <f>3.829 * CHOOSE(CONTROL!$C$32, $C$9, 100%, $E$9)</f>
        <v>3.8290000000000002</v>
      </c>
      <c r="J18" s="9">
        <f>3.8133 * CHOOSE(CONTROL!$C$32, $C$9, 100%, $E$9)</f>
        <v>3.8132999999999999</v>
      </c>
      <c r="K18" s="9">
        <f>3.829 * CHOOSE(CONTROL!$C$32, $C$9, 100%, $E$9)</f>
        <v>3.8290000000000002</v>
      </c>
      <c r="L18" s="9">
        <f>4.1148 * CHOOSE(CONTROL!$C$32, $C$9, 100%, $E$9)</f>
        <v>4.1147999999999998</v>
      </c>
      <c r="M18" s="9">
        <f>4.1305 * CHOOSE(CONTROL!$C$32, $C$9, 100%, $E$9)</f>
        <v>4.1304999999999996</v>
      </c>
      <c r="N18" s="9">
        <f>4.1148 * CHOOSE(CONTROL!$C$32, $C$9, 100%, $E$9)</f>
        <v>4.1147999999999998</v>
      </c>
      <c r="O18" s="9">
        <f>4.1305 * CHOOSE(CONTROL!$C$32, $C$9, 100%, $E$9)</f>
        <v>4.1304999999999996</v>
      </c>
      <c r="P18" s="17"/>
      <c r="Q18" s="9"/>
      <c r="R18" s="9"/>
    </row>
    <row r="19" spans="1:18" ht="15" x14ac:dyDescent="0.2">
      <c r="A19" s="16">
        <v>41426</v>
      </c>
      <c r="B19" s="10">
        <f>2.4471 * CHOOSE(CONTROL!$C$32, $C$9, 100%, $E$9)</f>
        <v>2.4470999999999998</v>
      </c>
      <c r="C19" s="10">
        <f>2.5007 * CHOOSE(CONTROL!$C$32, $C$9, 100%, $E$9)</f>
        <v>2.5007000000000001</v>
      </c>
      <c r="D19" s="10">
        <f>2.5482 * CHOOSE(CONTROL!$C$32, $C$9, 100%, $E$9)</f>
        <v>2.5482</v>
      </c>
      <c r="E19" s="9">
        <f>4.1148 * CHOOSE(CONTROL!$C$32, $C$9, 100%, $E$9)</f>
        <v>4.1147999999999998</v>
      </c>
      <c r="F19" s="9">
        <f>3.5985 * CHOOSE(CONTROL!$C$32, $C$9, 100%, $E$9)</f>
        <v>3.5985</v>
      </c>
      <c r="G19" s="9">
        <f>3.6142 * CHOOSE(CONTROL!$C$32, $C$9, 100%, $E$9)</f>
        <v>3.6141999999999999</v>
      </c>
      <c r="H19" s="9">
        <f>3.8253 * CHOOSE(CONTROL!$C$32, $C$9, 100%, $E$9)</f>
        <v>3.8252999999999999</v>
      </c>
      <c r="I19" s="9">
        <f>3.841 * CHOOSE(CONTROL!$C$32, $C$9, 100%, $E$9)</f>
        <v>3.8410000000000002</v>
      </c>
      <c r="J19" s="9">
        <f>3.8253 * CHOOSE(CONTROL!$C$32, $C$9, 100%, $E$9)</f>
        <v>3.8252999999999999</v>
      </c>
      <c r="K19" s="9">
        <f>3.841 * CHOOSE(CONTROL!$C$32, $C$9, 100%, $E$9)</f>
        <v>3.8410000000000002</v>
      </c>
      <c r="L19" s="9">
        <f>4.1148 * CHOOSE(CONTROL!$C$32, $C$9, 100%, $E$9)</f>
        <v>4.1147999999999998</v>
      </c>
      <c r="M19" s="9">
        <f>4.1305 * CHOOSE(CONTROL!$C$32, $C$9, 100%, $E$9)</f>
        <v>4.1304999999999996</v>
      </c>
      <c r="N19" s="9">
        <f>4.1148 * CHOOSE(CONTROL!$C$32, $C$9, 100%, $E$9)</f>
        <v>4.1147999999999998</v>
      </c>
      <c r="O19" s="9">
        <f>4.1305 * CHOOSE(CONTROL!$C$32, $C$9, 100%, $E$9)</f>
        <v>4.1304999999999996</v>
      </c>
      <c r="P19" s="17"/>
      <c r="Q19" s="9"/>
      <c r="R19" s="9"/>
    </row>
    <row r="20" spans="1:18" ht="15" x14ac:dyDescent="0.2">
      <c r="A20" s="16">
        <v>41456</v>
      </c>
      <c r="B20" s="10">
        <f>2.449 * CHOOSE(CONTROL!$C$32, $C$9, 100%, $E$9)</f>
        <v>2.4489999999999998</v>
      </c>
      <c r="C20" s="10">
        <f>2.5067 * CHOOSE(CONTROL!$C$32, $C$9, 100%, $E$9)</f>
        <v>2.5066999999999999</v>
      </c>
      <c r="D20" s="10">
        <f>2.5543 * CHOOSE(CONTROL!$C$32, $C$9, 100%, $E$9)</f>
        <v>2.5543</v>
      </c>
      <c r="E20" s="9">
        <f>4.2046 * CHOOSE(CONTROL!$C$32, $C$9, 100%, $E$9)</f>
        <v>4.2046000000000001</v>
      </c>
      <c r="F20" s="9">
        <f>3.6027 * CHOOSE(CONTROL!$C$32, $C$9, 100%, $E$9)</f>
        <v>3.6027</v>
      </c>
      <c r="G20" s="9">
        <f>3.6184 * CHOOSE(CONTROL!$C$32, $C$9, 100%, $E$9)</f>
        <v>3.6183999999999998</v>
      </c>
      <c r="H20" s="9">
        <f>3.822 * CHOOSE(CONTROL!$C$32, $C$9, 100%, $E$9)</f>
        <v>3.8220000000000001</v>
      </c>
      <c r="I20" s="9">
        <f>3.8377 * CHOOSE(CONTROL!$C$32, $C$9, 100%, $E$9)</f>
        <v>3.8376999999999999</v>
      </c>
      <c r="J20" s="9">
        <f>3.822 * CHOOSE(CONTROL!$C$32, $C$9, 100%, $E$9)</f>
        <v>3.8220000000000001</v>
      </c>
      <c r="K20" s="9">
        <f>3.8377 * CHOOSE(CONTROL!$C$32, $C$9, 100%, $E$9)</f>
        <v>3.8376999999999999</v>
      </c>
      <c r="L20" s="9">
        <f>4.2046 * CHOOSE(CONTROL!$C$32, $C$9, 100%, $E$9)</f>
        <v>4.2046000000000001</v>
      </c>
      <c r="M20" s="9">
        <f>4.2203 * CHOOSE(CONTROL!$C$32, $C$9, 100%, $E$9)</f>
        <v>4.2202999999999999</v>
      </c>
      <c r="N20" s="9">
        <f>4.2046 * CHOOSE(CONTROL!$C$32, $C$9, 100%, $E$9)</f>
        <v>4.2046000000000001</v>
      </c>
      <c r="O20" s="9">
        <f>4.2203 * CHOOSE(CONTROL!$C$32, $C$9, 100%, $E$9)</f>
        <v>4.2202999999999999</v>
      </c>
      <c r="P20" s="17"/>
      <c r="Q20" s="9"/>
      <c r="R20" s="9"/>
    </row>
    <row r="21" spans="1:18" ht="15" x14ac:dyDescent="0.2">
      <c r="A21" s="16">
        <v>41487</v>
      </c>
      <c r="B21" s="10">
        <f>2.4554 * CHOOSE(CONTROL!$C$32, $C$9, 100%, $E$9)</f>
        <v>2.4554</v>
      </c>
      <c r="C21" s="10">
        <f>2.5174 * CHOOSE(CONTROL!$C$32, $C$9, 100%, $E$9)</f>
        <v>2.5173999999999999</v>
      </c>
      <c r="D21" s="10">
        <f>2.5649 * CHOOSE(CONTROL!$C$32, $C$9, 100%, $E$9)</f>
        <v>2.5649000000000002</v>
      </c>
      <c r="E21" s="9">
        <f>4.1681 * CHOOSE(CONTROL!$C$32, $C$9, 100%, $E$9)</f>
        <v>4.1680999999999999</v>
      </c>
      <c r="F21" s="9">
        <f>3.605 * CHOOSE(CONTROL!$C$32, $C$9, 100%, $E$9)</f>
        <v>3.605</v>
      </c>
      <c r="G21" s="9">
        <f>3.6207 * CHOOSE(CONTROL!$C$32, $C$9, 100%, $E$9)</f>
        <v>3.6206999999999998</v>
      </c>
      <c r="H21" s="9">
        <f>3.8213 * CHOOSE(CONTROL!$C$32, $C$9, 100%, $E$9)</f>
        <v>3.8212999999999999</v>
      </c>
      <c r="I21" s="9">
        <f>3.837 * CHOOSE(CONTROL!$C$32, $C$9, 100%, $E$9)</f>
        <v>3.8370000000000002</v>
      </c>
      <c r="J21" s="9">
        <f>3.8213 * CHOOSE(CONTROL!$C$32, $C$9, 100%, $E$9)</f>
        <v>3.8212999999999999</v>
      </c>
      <c r="K21" s="9">
        <f>3.837 * CHOOSE(CONTROL!$C$32, $C$9, 100%, $E$9)</f>
        <v>3.8370000000000002</v>
      </c>
      <c r="L21" s="9">
        <f>4.1681 * CHOOSE(CONTROL!$C$32, $C$9, 100%, $E$9)</f>
        <v>4.1680999999999999</v>
      </c>
      <c r="M21" s="9">
        <f>4.1838 * CHOOSE(CONTROL!$C$32, $C$9, 100%, $E$9)</f>
        <v>4.1837999999999997</v>
      </c>
      <c r="N21" s="9">
        <f>4.1681 * CHOOSE(CONTROL!$C$32, $C$9, 100%, $E$9)</f>
        <v>4.1680999999999999</v>
      </c>
      <c r="O21" s="9">
        <f>4.1838 * CHOOSE(CONTROL!$C$32, $C$9, 100%, $E$9)</f>
        <v>4.1837999999999997</v>
      </c>
      <c r="P21" s="17"/>
      <c r="Q21" s="9"/>
      <c r="R21" s="9"/>
    </row>
    <row r="22" spans="1:18" ht="15" x14ac:dyDescent="0.2">
      <c r="A22" s="16">
        <v>41518</v>
      </c>
      <c r="B22" s="10">
        <f>2.4534 * CHOOSE(CONTROL!$C$32, $C$9, 100%, $E$9)</f>
        <v>2.4533999999999998</v>
      </c>
      <c r="C22" s="10">
        <f>2.5111 * CHOOSE(CONTROL!$C$32, $C$9, 100%, $E$9)</f>
        <v>2.5110999999999999</v>
      </c>
      <c r="D22" s="10">
        <f>2.5587 * CHOOSE(CONTROL!$C$32, $C$9, 100%, $E$9)</f>
        <v>2.5587</v>
      </c>
      <c r="E22" s="9">
        <f>4.1681 * CHOOSE(CONTROL!$C$32, $C$9, 100%, $E$9)</f>
        <v>4.1680999999999999</v>
      </c>
      <c r="F22" s="9">
        <f>3.6459 * CHOOSE(CONTROL!$C$32, $C$9, 100%, $E$9)</f>
        <v>3.6459000000000001</v>
      </c>
      <c r="G22" s="9">
        <f>3.6616 * CHOOSE(CONTROL!$C$32, $C$9, 100%, $E$9)</f>
        <v>3.6616</v>
      </c>
      <c r="H22" s="9">
        <f>3.8566 * CHOOSE(CONTROL!$C$32, $C$9, 100%, $E$9)</f>
        <v>3.8565999999999998</v>
      </c>
      <c r="I22" s="9">
        <f>3.8723 * CHOOSE(CONTROL!$C$32, $C$9, 100%, $E$9)</f>
        <v>3.8723000000000001</v>
      </c>
      <c r="J22" s="9">
        <f>3.8566 * CHOOSE(CONTROL!$C$32, $C$9, 100%, $E$9)</f>
        <v>3.8565999999999998</v>
      </c>
      <c r="K22" s="9">
        <f>3.8723 * CHOOSE(CONTROL!$C$32, $C$9, 100%, $E$9)</f>
        <v>3.8723000000000001</v>
      </c>
      <c r="L22" s="9">
        <f>4.1681 * CHOOSE(CONTROL!$C$32, $C$9, 100%, $E$9)</f>
        <v>4.1680999999999999</v>
      </c>
      <c r="M22" s="9">
        <f>4.1838 * CHOOSE(CONTROL!$C$32, $C$9, 100%, $E$9)</f>
        <v>4.1837999999999997</v>
      </c>
      <c r="N22" s="9">
        <f>4.1681 * CHOOSE(CONTROL!$C$32, $C$9, 100%, $E$9)</f>
        <v>4.1680999999999999</v>
      </c>
      <c r="O22" s="9">
        <f>4.1838 * CHOOSE(CONTROL!$C$32, $C$9, 100%, $E$9)</f>
        <v>4.1837999999999997</v>
      </c>
      <c r="P22" s="17"/>
      <c r="Q22" s="9"/>
      <c r="R22" s="9"/>
    </row>
    <row r="23" spans="1:18" ht="15" x14ac:dyDescent="0.2">
      <c r="A23" s="16">
        <v>41548</v>
      </c>
      <c r="B23" s="10">
        <f>2.4506 * CHOOSE(CONTROL!$C$32, $C$9, 100%, $E$9)</f>
        <v>2.4506000000000001</v>
      </c>
      <c r="C23" s="10">
        <f>2.502 * CHOOSE(CONTROL!$C$32, $C$9, 100%, $E$9)</f>
        <v>2.5019999999999998</v>
      </c>
      <c r="D23" s="10">
        <f>2.5387 * CHOOSE(CONTROL!$C$32, $C$9, 100%, $E$9)</f>
        <v>2.5387</v>
      </c>
      <c r="E23" s="9">
        <f>4.2553 * CHOOSE(CONTROL!$C$32, $C$9, 100%, $E$9)</f>
        <v>4.2553000000000001</v>
      </c>
      <c r="F23" s="9">
        <f>3.6481 * CHOOSE(CONTROL!$C$32, $C$9, 100%, $E$9)</f>
        <v>3.6480999999999999</v>
      </c>
      <c r="G23" s="9">
        <f>3.6603 * CHOOSE(CONTROL!$C$32, $C$9, 100%, $E$9)</f>
        <v>3.6602999999999999</v>
      </c>
      <c r="H23" s="9">
        <f>3.8489 * CHOOSE(CONTROL!$C$32, $C$9, 100%, $E$9)</f>
        <v>3.8489</v>
      </c>
      <c r="I23" s="9">
        <f>3.8611 * CHOOSE(CONTROL!$C$32, $C$9, 100%, $E$9)</f>
        <v>3.8611</v>
      </c>
      <c r="J23" s="9">
        <f>3.8489 * CHOOSE(CONTROL!$C$32, $C$9, 100%, $E$9)</f>
        <v>3.8489</v>
      </c>
      <c r="K23" s="9">
        <f>3.8611 * CHOOSE(CONTROL!$C$32, $C$9, 100%, $E$9)</f>
        <v>3.8611</v>
      </c>
      <c r="L23" s="9">
        <f>4.2553 * CHOOSE(CONTROL!$C$32, $C$9, 100%, $E$9)</f>
        <v>4.2553000000000001</v>
      </c>
      <c r="M23" s="9">
        <f>4.2675 * CHOOSE(CONTROL!$C$32, $C$9, 100%, $E$9)</f>
        <v>4.2675000000000001</v>
      </c>
      <c r="N23" s="9">
        <f>4.2553 * CHOOSE(CONTROL!$C$32, $C$9, 100%, $E$9)</f>
        <v>4.2553000000000001</v>
      </c>
      <c r="O23" s="9">
        <f>4.2675 * CHOOSE(CONTROL!$C$32, $C$9, 100%, $E$9)</f>
        <v>4.2675000000000001</v>
      </c>
      <c r="P23" s="17"/>
      <c r="Q23" s="9"/>
      <c r="R23" s="9"/>
    </row>
    <row r="24" spans="1:18" ht="15" x14ac:dyDescent="0.2">
      <c r="A24" s="16">
        <v>41579</v>
      </c>
      <c r="B24" s="10">
        <f>2.4533 * CHOOSE(CONTROL!$C$32, $C$9, 100%, $E$9)</f>
        <v>2.4533</v>
      </c>
      <c r="C24" s="10">
        <f>2.5005 * CHOOSE(CONTROL!$C$32, $C$9, 100%, $E$9)</f>
        <v>2.5005000000000002</v>
      </c>
      <c r="D24" s="10">
        <f>2.5372 * CHOOSE(CONTROL!$C$32, $C$9, 100%, $E$9)</f>
        <v>2.5371999999999999</v>
      </c>
      <c r="E24" s="9">
        <f>4.2163 * CHOOSE(CONTROL!$C$32, $C$9, 100%, $E$9)</f>
        <v>4.2163000000000004</v>
      </c>
      <c r="F24" s="9">
        <f>3.6458 * CHOOSE(CONTROL!$C$32, $C$9, 100%, $E$9)</f>
        <v>3.6457999999999999</v>
      </c>
      <c r="G24" s="9">
        <f>3.658 * CHOOSE(CONTROL!$C$32, $C$9, 100%, $E$9)</f>
        <v>3.6579999999999999</v>
      </c>
      <c r="H24" s="9">
        <f>3.8649 * CHOOSE(CONTROL!$C$32, $C$9, 100%, $E$9)</f>
        <v>3.8649</v>
      </c>
      <c r="I24" s="9">
        <f>3.8771 * CHOOSE(CONTROL!$C$32, $C$9, 100%, $E$9)</f>
        <v>3.8771</v>
      </c>
      <c r="J24" s="9">
        <f>3.8649 * CHOOSE(CONTROL!$C$32, $C$9, 100%, $E$9)</f>
        <v>3.8649</v>
      </c>
      <c r="K24" s="9">
        <f>3.8771 * CHOOSE(CONTROL!$C$32, $C$9, 100%, $E$9)</f>
        <v>3.8771</v>
      </c>
      <c r="L24" s="9">
        <f>4.2163 * CHOOSE(CONTROL!$C$32, $C$9, 100%, $E$9)</f>
        <v>4.2163000000000004</v>
      </c>
      <c r="M24" s="9">
        <f>4.2285 * CHOOSE(CONTROL!$C$32, $C$9, 100%, $E$9)</f>
        <v>4.2285000000000004</v>
      </c>
      <c r="N24" s="9">
        <f>4.2163 * CHOOSE(CONTROL!$C$32, $C$9, 100%, $E$9)</f>
        <v>4.2163000000000004</v>
      </c>
      <c r="O24" s="9">
        <f>4.2285 * CHOOSE(CONTROL!$C$32, $C$9, 100%, $E$9)</f>
        <v>4.2285000000000004</v>
      </c>
      <c r="P24" s="17"/>
      <c r="Q24" s="9"/>
      <c r="R24" s="9"/>
    </row>
    <row r="25" spans="1:18" ht="15" x14ac:dyDescent="0.2">
      <c r="A25" s="16">
        <v>41609</v>
      </c>
      <c r="B25" s="10">
        <f>2.4559 * CHOOSE(CONTROL!$C$32, $C$9, 100%, $E$9)</f>
        <v>2.4559000000000002</v>
      </c>
      <c r="C25" s="10">
        <f>2.5094 * CHOOSE(CONTROL!$C$32, $C$9, 100%, $E$9)</f>
        <v>2.5093999999999999</v>
      </c>
      <c r="D25" s="10">
        <f>2.5462 * CHOOSE(CONTROL!$C$32, $C$9, 100%, $E$9)</f>
        <v>2.5461999999999998</v>
      </c>
      <c r="E25" s="9">
        <f>4.1195 * CHOOSE(CONTROL!$C$32, $C$9, 100%, $E$9)</f>
        <v>4.1195000000000004</v>
      </c>
      <c r="F25" s="9">
        <f>3.6458 * CHOOSE(CONTROL!$C$32, $C$9, 100%, $E$9)</f>
        <v>3.6457999999999999</v>
      </c>
      <c r="G25" s="9">
        <f>3.658 * CHOOSE(CONTROL!$C$32, $C$9, 100%, $E$9)</f>
        <v>3.6579999999999999</v>
      </c>
      <c r="H25" s="9">
        <f>3.8829 * CHOOSE(CONTROL!$C$32, $C$9, 100%, $E$9)</f>
        <v>3.8828999999999998</v>
      </c>
      <c r="I25" s="9">
        <f>3.8951 * CHOOSE(CONTROL!$C$32, $C$9, 100%, $E$9)</f>
        <v>3.8950999999999998</v>
      </c>
      <c r="J25" s="9">
        <f>3.8829 * CHOOSE(CONTROL!$C$32, $C$9, 100%, $E$9)</f>
        <v>3.8828999999999998</v>
      </c>
      <c r="K25" s="9">
        <f>3.8951 * CHOOSE(CONTROL!$C$32, $C$9, 100%, $E$9)</f>
        <v>3.8950999999999998</v>
      </c>
      <c r="L25" s="9">
        <f>4.1195 * CHOOSE(CONTROL!$C$32, $C$9, 100%, $E$9)</f>
        <v>4.1195000000000004</v>
      </c>
      <c r="M25" s="9">
        <f>4.1317 * CHOOSE(CONTROL!$C$32, $C$9, 100%, $E$9)</f>
        <v>4.1317000000000004</v>
      </c>
      <c r="N25" s="9">
        <f>4.1195 * CHOOSE(CONTROL!$C$32, $C$9, 100%, $E$9)</f>
        <v>4.1195000000000004</v>
      </c>
      <c r="O25" s="9">
        <f>4.1317 * CHOOSE(CONTROL!$C$32, $C$9, 100%, $E$9)</f>
        <v>4.1317000000000004</v>
      </c>
      <c r="P25" s="17"/>
      <c r="Q25" s="9"/>
      <c r="R25" s="9"/>
    </row>
    <row r="26" spans="1:18" ht="15" x14ac:dyDescent="0.2">
      <c r="A26" s="16">
        <v>41640</v>
      </c>
      <c r="B26" s="10">
        <f>2.4985 * CHOOSE(CONTROL!$C$32, $C$9, 100%, $E$9)</f>
        <v>2.4984999999999999</v>
      </c>
      <c r="C26" s="10">
        <f>2.5259 * CHOOSE(CONTROL!$C$32, $C$9, 100%, $E$9)</f>
        <v>2.5259</v>
      </c>
      <c r="D26" s="10">
        <f>2.5627 * CHOOSE(CONTROL!$C$32, $C$9, 100%, $E$9)</f>
        <v>2.5627</v>
      </c>
      <c r="E26" s="9">
        <f>3.5428 * CHOOSE(CONTROL!$C$32, $C$9, 100%, $E$9)</f>
        <v>3.5428000000000002</v>
      </c>
      <c r="F26" s="9">
        <f>3.525 * CHOOSE(CONTROL!$C$32, $C$9, 100%, $E$9)</f>
        <v>3.5249999999999999</v>
      </c>
      <c r="G26" s="9">
        <f>3.5372 * CHOOSE(CONTROL!$C$32, $C$9, 100%, $E$9)</f>
        <v>3.5371999999999999</v>
      </c>
      <c r="H26" s="9">
        <f>3.9139 * CHOOSE(CONTROL!$C$32, $C$9, 100%, $E$9)</f>
        <v>3.9138999999999999</v>
      </c>
      <c r="I26" s="9">
        <f>3.9261 * CHOOSE(CONTROL!$C$32, $C$9, 100%, $E$9)</f>
        <v>3.9260999999999999</v>
      </c>
      <c r="J26" s="9">
        <f>3.9139 * CHOOSE(CONTROL!$C$32, $C$9, 100%, $E$9)</f>
        <v>3.9138999999999999</v>
      </c>
      <c r="K26" s="9">
        <f>3.9261 * CHOOSE(CONTROL!$C$32, $C$9, 100%, $E$9)</f>
        <v>3.9260999999999999</v>
      </c>
      <c r="L26" s="9">
        <f>3.5428 * CHOOSE(CONTROL!$C$32, $C$9, 100%, $E$9)</f>
        <v>3.5428000000000002</v>
      </c>
      <c r="M26" s="9">
        <f>3.555 * CHOOSE(CONTROL!$C$32, $C$9, 100%, $E$9)</f>
        <v>3.5550000000000002</v>
      </c>
      <c r="N26" s="9">
        <f>3.5428 * CHOOSE(CONTROL!$C$32, $C$9, 100%, $E$9)</f>
        <v>3.5428000000000002</v>
      </c>
      <c r="O26" s="9">
        <f>3.555 * CHOOSE(CONTROL!$C$32, $C$9, 100%, $E$9)</f>
        <v>3.5550000000000002</v>
      </c>
      <c r="P26" s="17"/>
      <c r="Q26" s="9"/>
      <c r="R26" s="9"/>
    </row>
    <row r="27" spans="1:18" ht="15" x14ac:dyDescent="0.2">
      <c r="A27" s="16">
        <v>41671</v>
      </c>
      <c r="B27" s="10">
        <f>2.5018 * CHOOSE(CONTROL!$C$32, $C$9, 100%, $E$9)</f>
        <v>2.5017999999999998</v>
      </c>
      <c r="C27" s="10">
        <f>2.5277 * CHOOSE(CONTROL!$C$32, $C$9, 100%, $E$9)</f>
        <v>2.5276999999999998</v>
      </c>
      <c r="D27" s="10">
        <f>2.5644 * CHOOSE(CONTROL!$C$32, $C$9, 100%, $E$9)</f>
        <v>2.5644</v>
      </c>
      <c r="E27" s="9">
        <f>3.5391 * CHOOSE(CONTROL!$C$32, $C$9, 100%, $E$9)</f>
        <v>3.5390999999999999</v>
      </c>
      <c r="F27" s="9">
        <f>3.517 * CHOOSE(CONTROL!$C$32, $C$9, 100%, $E$9)</f>
        <v>3.5169999999999999</v>
      </c>
      <c r="G27" s="9">
        <f>3.5292 * CHOOSE(CONTROL!$C$32, $C$9, 100%, $E$9)</f>
        <v>3.5291999999999999</v>
      </c>
      <c r="H27" s="9">
        <f>3.9059 * CHOOSE(CONTROL!$C$32, $C$9, 100%, $E$9)</f>
        <v>3.9058999999999999</v>
      </c>
      <c r="I27" s="9">
        <f>3.9181 * CHOOSE(CONTROL!$C$32, $C$9, 100%, $E$9)</f>
        <v>3.9180999999999999</v>
      </c>
      <c r="J27" s="9">
        <f>3.9059 * CHOOSE(CONTROL!$C$32, $C$9, 100%, $E$9)</f>
        <v>3.9058999999999999</v>
      </c>
      <c r="K27" s="9">
        <f>3.9181 * CHOOSE(CONTROL!$C$32, $C$9, 100%, $E$9)</f>
        <v>3.9180999999999999</v>
      </c>
      <c r="L27" s="9">
        <f>3.5391 * CHOOSE(CONTROL!$C$32, $C$9, 100%, $E$9)</f>
        <v>3.5390999999999999</v>
      </c>
      <c r="M27" s="9">
        <f>3.5512 * CHOOSE(CONTROL!$C$32, $C$9, 100%, $E$9)</f>
        <v>3.5512000000000001</v>
      </c>
      <c r="N27" s="9">
        <f>3.5391 * CHOOSE(CONTROL!$C$32, $C$9, 100%, $E$9)</f>
        <v>3.5390999999999999</v>
      </c>
      <c r="O27" s="9">
        <f>3.5512 * CHOOSE(CONTROL!$C$32, $C$9, 100%, $E$9)</f>
        <v>3.5512000000000001</v>
      </c>
      <c r="P27" s="17"/>
      <c r="Q27" s="9"/>
      <c r="R27" s="9"/>
    </row>
    <row r="28" spans="1:18" ht="15" x14ac:dyDescent="0.2">
      <c r="A28" s="16">
        <v>41699</v>
      </c>
      <c r="B28" s="10">
        <f>2.5001 * CHOOSE(CONTROL!$C$32, $C$9, 100%, $E$9)</f>
        <v>2.5001000000000002</v>
      </c>
      <c r="C28" s="10">
        <f>2.5244 * CHOOSE(CONTROL!$C$32, $C$9, 100%, $E$9)</f>
        <v>2.5244</v>
      </c>
      <c r="D28" s="10">
        <f>2.5612 * CHOOSE(CONTROL!$C$32, $C$9, 100%, $E$9)</f>
        <v>2.5611999999999999</v>
      </c>
      <c r="E28" s="9">
        <f>3.5362 * CHOOSE(CONTROL!$C$32, $C$9, 100%, $E$9)</f>
        <v>3.5362</v>
      </c>
      <c r="F28" s="9">
        <f>3.511 * CHOOSE(CONTROL!$C$32, $C$9, 100%, $E$9)</f>
        <v>3.5110000000000001</v>
      </c>
      <c r="G28" s="9">
        <f>3.5232 * CHOOSE(CONTROL!$C$32, $C$9, 100%, $E$9)</f>
        <v>3.5232000000000001</v>
      </c>
      <c r="H28" s="9">
        <f>3.8999 * CHOOSE(CONTROL!$C$32, $C$9, 100%, $E$9)</f>
        <v>3.8999000000000001</v>
      </c>
      <c r="I28" s="9">
        <f>3.9121 * CHOOSE(CONTROL!$C$32, $C$9, 100%, $E$9)</f>
        <v>3.9121000000000001</v>
      </c>
      <c r="J28" s="9">
        <f>3.8999 * CHOOSE(CONTROL!$C$32, $C$9, 100%, $E$9)</f>
        <v>3.8999000000000001</v>
      </c>
      <c r="K28" s="9">
        <f>3.9121 * CHOOSE(CONTROL!$C$32, $C$9, 100%, $E$9)</f>
        <v>3.9121000000000001</v>
      </c>
      <c r="L28" s="9">
        <f>3.5362 * CHOOSE(CONTROL!$C$32, $C$9, 100%, $E$9)</f>
        <v>3.5362</v>
      </c>
      <c r="M28" s="9">
        <f>3.5484 * CHOOSE(CONTROL!$C$32, $C$9, 100%, $E$9)</f>
        <v>3.5484</v>
      </c>
      <c r="N28" s="9">
        <f>3.5362 * CHOOSE(CONTROL!$C$32, $C$9, 100%, $E$9)</f>
        <v>3.5362</v>
      </c>
      <c r="O28" s="9">
        <f>3.5484 * CHOOSE(CONTROL!$C$32, $C$9, 100%, $E$9)</f>
        <v>3.5484</v>
      </c>
      <c r="P28" s="17"/>
      <c r="Q28" s="9"/>
      <c r="R28" s="9"/>
    </row>
    <row r="29" spans="1:18" ht="15" x14ac:dyDescent="0.2">
      <c r="A29" s="16">
        <v>41730</v>
      </c>
      <c r="B29" s="10">
        <f>2.4986 * CHOOSE(CONTROL!$C$32, $C$9, 100%, $E$9)</f>
        <v>2.4986000000000002</v>
      </c>
      <c r="C29" s="10">
        <f>2.5214 * CHOOSE(CONTROL!$C$32, $C$9, 100%, $E$9)</f>
        <v>2.5213999999999999</v>
      </c>
      <c r="D29" s="10">
        <f>2.5581 * CHOOSE(CONTROL!$C$32, $C$9, 100%, $E$9)</f>
        <v>2.5581</v>
      </c>
      <c r="E29" s="9">
        <f>3.5358 * CHOOSE(CONTROL!$C$32, $C$9, 100%, $E$9)</f>
        <v>3.5358000000000001</v>
      </c>
      <c r="F29" s="9">
        <f>3.5101 * CHOOSE(CONTROL!$C$32, $C$9, 100%, $E$9)</f>
        <v>3.5101</v>
      </c>
      <c r="G29" s="9">
        <f>3.5223 * CHOOSE(CONTROL!$C$32, $C$9, 100%, $E$9)</f>
        <v>3.5223</v>
      </c>
      <c r="H29" s="9">
        <f>3.9001 * CHOOSE(CONTROL!$C$32, $C$9, 100%, $E$9)</f>
        <v>3.9001000000000001</v>
      </c>
      <c r="I29" s="9">
        <f>3.9123 * CHOOSE(CONTROL!$C$32, $C$9, 100%, $E$9)</f>
        <v>3.9123000000000001</v>
      </c>
      <c r="J29" s="9">
        <f>3.9001 * CHOOSE(CONTROL!$C$32, $C$9, 100%, $E$9)</f>
        <v>3.9001000000000001</v>
      </c>
      <c r="K29" s="9">
        <f>3.9123 * CHOOSE(CONTROL!$C$32, $C$9, 100%, $E$9)</f>
        <v>3.9123000000000001</v>
      </c>
      <c r="L29" s="9">
        <f>3.5358 * CHOOSE(CONTROL!$C$32, $C$9, 100%, $E$9)</f>
        <v>3.5358000000000001</v>
      </c>
      <c r="M29" s="9">
        <f>3.5479 * CHOOSE(CONTROL!$C$32, $C$9, 100%, $E$9)</f>
        <v>3.5478999999999998</v>
      </c>
      <c r="N29" s="9">
        <f>3.5358 * CHOOSE(CONTROL!$C$32, $C$9, 100%, $E$9)</f>
        <v>3.5358000000000001</v>
      </c>
      <c r="O29" s="9">
        <f>3.5479 * CHOOSE(CONTROL!$C$32, $C$9, 100%, $E$9)</f>
        <v>3.5478999999999998</v>
      </c>
      <c r="P29" s="17"/>
      <c r="Q29" s="9"/>
      <c r="R29" s="9"/>
    </row>
    <row r="30" spans="1:18" ht="15" x14ac:dyDescent="0.2">
      <c r="A30" s="16">
        <v>41760</v>
      </c>
      <c r="B30" s="10">
        <f>2.5017 * CHOOSE(CONTROL!$C$32, $C$9, 100%, $E$9)</f>
        <v>2.5017</v>
      </c>
      <c r="C30" s="10">
        <f>2.5229 * CHOOSE(CONTROL!$C$32, $C$9, 100%, $E$9)</f>
        <v>2.5228999999999999</v>
      </c>
      <c r="D30" s="10">
        <f>2.5705 * CHOOSE(CONTROL!$C$32, $C$9, 100%, $E$9)</f>
        <v>2.5705</v>
      </c>
      <c r="E30" s="9">
        <f>3.5348 * CHOOSE(CONTROL!$C$32, $C$9, 100%, $E$9)</f>
        <v>3.5348000000000002</v>
      </c>
      <c r="F30" s="9">
        <f>3.5081 * CHOOSE(CONTROL!$C$32, $C$9, 100%, $E$9)</f>
        <v>3.5081000000000002</v>
      </c>
      <c r="G30" s="9">
        <f>3.5238 * CHOOSE(CONTROL!$C$32, $C$9, 100%, $E$9)</f>
        <v>3.5238</v>
      </c>
      <c r="H30" s="9">
        <f>3.8981 * CHOOSE(CONTROL!$C$32, $C$9, 100%, $E$9)</f>
        <v>3.8980999999999999</v>
      </c>
      <c r="I30" s="9">
        <f>3.9138 * CHOOSE(CONTROL!$C$32, $C$9, 100%, $E$9)</f>
        <v>3.9138000000000002</v>
      </c>
      <c r="J30" s="9">
        <f>3.8981 * CHOOSE(CONTROL!$C$32, $C$9, 100%, $E$9)</f>
        <v>3.8980999999999999</v>
      </c>
      <c r="K30" s="9">
        <f>3.9138 * CHOOSE(CONTROL!$C$32, $C$9, 100%, $E$9)</f>
        <v>3.9138000000000002</v>
      </c>
      <c r="L30" s="9">
        <f>3.5348 * CHOOSE(CONTROL!$C$32, $C$9, 100%, $E$9)</f>
        <v>3.5348000000000002</v>
      </c>
      <c r="M30" s="9">
        <f>3.5506 * CHOOSE(CONTROL!$C$32, $C$9, 100%, $E$9)</f>
        <v>3.5506000000000002</v>
      </c>
      <c r="N30" s="9">
        <f>3.5348 * CHOOSE(CONTROL!$C$32, $C$9, 100%, $E$9)</f>
        <v>3.5348000000000002</v>
      </c>
      <c r="O30" s="9">
        <f>3.5506 * CHOOSE(CONTROL!$C$32, $C$9, 100%, $E$9)</f>
        <v>3.5506000000000002</v>
      </c>
      <c r="P30" s="17"/>
      <c r="Q30" s="9"/>
      <c r="R30" s="9"/>
    </row>
    <row r="31" spans="1:18" ht="15" x14ac:dyDescent="0.2">
      <c r="A31" s="16">
        <v>41791</v>
      </c>
      <c r="B31" s="10">
        <f>2.5045 * CHOOSE(CONTROL!$C$32, $C$9, 100%, $E$9)</f>
        <v>2.5045000000000002</v>
      </c>
      <c r="C31" s="10">
        <f>2.5288 * CHOOSE(CONTROL!$C$32, $C$9, 100%, $E$9)</f>
        <v>2.5287999999999999</v>
      </c>
      <c r="D31" s="10">
        <f>2.5763 * CHOOSE(CONTROL!$C$32, $C$9, 100%, $E$9)</f>
        <v>2.5762999999999998</v>
      </c>
      <c r="E31" s="9">
        <f>3.5367 * CHOOSE(CONTROL!$C$32, $C$9, 100%, $E$9)</f>
        <v>3.5367000000000002</v>
      </c>
      <c r="F31" s="9">
        <f>3.5121 * CHOOSE(CONTROL!$C$32, $C$9, 100%, $E$9)</f>
        <v>3.5121000000000002</v>
      </c>
      <c r="G31" s="9">
        <f>3.5278 * CHOOSE(CONTROL!$C$32, $C$9, 100%, $E$9)</f>
        <v>3.5278</v>
      </c>
      <c r="H31" s="9">
        <f>3.9021 * CHOOSE(CONTROL!$C$32, $C$9, 100%, $E$9)</f>
        <v>3.9020999999999999</v>
      </c>
      <c r="I31" s="9">
        <f>3.9178 * CHOOSE(CONTROL!$C$32, $C$9, 100%, $E$9)</f>
        <v>3.9178000000000002</v>
      </c>
      <c r="J31" s="9">
        <f>3.9021 * CHOOSE(CONTROL!$C$32, $C$9, 100%, $E$9)</f>
        <v>3.9020999999999999</v>
      </c>
      <c r="K31" s="9">
        <f>3.9178 * CHOOSE(CONTROL!$C$32, $C$9, 100%, $E$9)</f>
        <v>3.9178000000000002</v>
      </c>
      <c r="L31" s="9">
        <f>3.5367 * CHOOSE(CONTROL!$C$32, $C$9, 100%, $E$9)</f>
        <v>3.5367000000000002</v>
      </c>
      <c r="M31" s="9">
        <f>3.5524 * CHOOSE(CONTROL!$C$32, $C$9, 100%, $E$9)</f>
        <v>3.5524</v>
      </c>
      <c r="N31" s="9">
        <f>3.5367 * CHOOSE(CONTROL!$C$32, $C$9, 100%, $E$9)</f>
        <v>3.5367000000000002</v>
      </c>
      <c r="O31" s="9">
        <f>3.5524 * CHOOSE(CONTROL!$C$32, $C$9, 100%, $E$9)</f>
        <v>3.5524</v>
      </c>
      <c r="P31" s="17"/>
      <c r="Q31" s="9"/>
      <c r="R31" s="9"/>
    </row>
    <row r="32" spans="1:18" ht="15" x14ac:dyDescent="0.2">
      <c r="A32" s="16">
        <v>41821</v>
      </c>
      <c r="B32" s="10">
        <f>2.506 * CHOOSE(CONTROL!$C$32, $C$9, 100%, $E$9)</f>
        <v>2.5059999999999998</v>
      </c>
      <c r="C32" s="10">
        <f>2.5318 * CHOOSE(CONTROL!$C$32, $C$9, 100%, $E$9)</f>
        <v>2.5318000000000001</v>
      </c>
      <c r="D32" s="10">
        <f>2.5794 * CHOOSE(CONTROL!$C$32, $C$9, 100%, $E$9)</f>
        <v>2.5794000000000001</v>
      </c>
      <c r="E32" s="9">
        <f>3.5464 * CHOOSE(CONTROL!$C$32, $C$9, 100%, $E$9)</f>
        <v>3.5464000000000002</v>
      </c>
      <c r="F32" s="9">
        <f>3.5326 * CHOOSE(CONTROL!$C$32, $C$9, 100%, $E$9)</f>
        <v>3.5326</v>
      </c>
      <c r="G32" s="9">
        <f>3.5483 * CHOOSE(CONTROL!$C$32, $C$9, 100%, $E$9)</f>
        <v>3.5482999999999998</v>
      </c>
      <c r="H32" s="9">
        <f>3.9243 * CHOOSE(CONTROL!$C$32, $C$9, 100%, $E$9)</f>
        <v>3.9243000000000001</v>
      </c>
      <c r="I32" s="9">
        <f>3.94 * CHOOSE(CONTROL!$C$32, $C$9, 100%, $E$9)</f>
        <v>3.94</v>
      </c>
      <c r="J32" s="9">
        <f>3.9243 * CHOOSE(CONTROL!$C$32, $C$9, 100%, $E$9)</f>
        <v>3.9243000000000001</v>
      </c>
      <c r="K32" s="9">
        <f>3.94 * CHOOSE(CONTROL!$C$32, $C$9, 100%, $E$9)</f>
        <v>3.94</v>
      </c>
      <c r="L32" s="9">
        <f>3.5464 * CHOOSE(CONTROL!$C$32, $C$9, 100%, $E$9)</f>
        <v>3.5464000000000002</v>
      </c>
      <c r="M32" s="9">
        <f>3.5621 * CHOOSE(CONTROL!$C$32, $C$9, 100%, $E$9)</f>
        <v>3.5621</v>
      </c>
      <c r="N32" s="9">
        <f>3.5464 * CHOOSE(CONTROL!$C$32, $C$9, 100%, $E$9)</f>
        <v>3.5464000000000002</v>
      </c>
      <c r="O32" s="9">
        <f>3.5621 * CHOOSE(CONTROL!$C$32, $C$9, 100%, $E$9)</f>
        <v>3.5621</v>
      </c>
      <c r="P32" s="17"/>
      <c r="Q32" s="9"/>
      <c r="R32" s="9"/>
    </row>
    <row r="33" spans="1:18" ht="15" x14ac:dyDescent="0.2">
      <c r="A33" s="16">
        <v>41852</v>
      </c>
      <c r="B33" s="10">
        <f>2.5091 * CHOOSE(CONTROL!$C$32, $C$9, 100%, $E$9)</f>
        <v>2.5091000000000001</v>
      </c>
      <c r="C33" s="10">
        <f>2.5334 * CHOOSE(CONTROL!$C$32, $C$9, 100%, $E$9)</f>
        <v>2.5333999999999999</v>
      </c>
      <c r="D33" s="10">
        <f>2.581 * CHOOSE(CONTROL!$C$32, $C$9, 100%, $E$9)</f>
        <v>2.581</v>
      </c>
      <c r="E33" s="9">
        <f>3.5511 * CHOOSE(CONTROL!$C$32, $C$9, 100%, $E$9)</f>
        <v>3.5510999999999999</v>
      </c>
      <c r="F33" s="9">
        <f>3.5426 * CHOOSE(CONTROL!$C$32, $C$9, 100%, $E$9)</f>
        <v>3.5426000000000002</v>
      </c>
      <c r="G33" s="9">
        <f>3.5583 * CHOOSE(CONTROL!$C$32, $C$9, 100%, $E$9)</f>
        <v>3.5583</v>
      </c>
      <c r="H33" s="9">
        <f>3.9343 * CHOOSE(CONTROL!$C$32, $C$9, 100%, $E$9)</f>
        <v>3.9342999999999999</v>
      </c>
      <c r="I33" s="9">
        <f>3.95 * CHOOSE(CONTROL!$C$32, $C$9, 100%, $E$9)</f>
        <v>3.95</v>
      </c>
      <c r="J33" s="9">
        <f>3.9343 * CHOOSE(CONTROL!$C$32, $C$9, 100%, $E$9)</f>
        <v>3.9342999999999999</v>
      </c>
      <c r="K33" s="9">
        <f>3.95 * CHOOSE(CONTROL!$C$32, $C$9, 100%, $E$9)</f>
        <v>3.95</v>
      </c>
      <c r="L33" s="9">
        <f>3.5511 * CHOOSE(CONTROL!$C$32, $C$9, 100%, $E$9)</f>
        <v>3.5510999999999999</v>
      </c>
      <c r="M33" s="9">
        <f>3.5669 * CHOOSE(CONTROL!$C$32, $C$9, 100%, $E$9)</f>
        <v>3.5669</v>
      </c>
      <c r="N33" s="9">
        <f>3.5511 * CHOOSE(CONTROL!$C$32, $C$9, 100%, $E$9)</f>
        <v>3.5510999999999999</v>
      </c>
      <c r="O33" s="9">
        <f>3.5669 * CHOOSE(CONTROL!$C$32, $C$9, 100%, $E$9)</f>
        <v>3.5669</v>
      </c>
      <c r="P33" s="17"/>
      <c r="Q33" s="9"/>
      <c r="R33" s="9"/>
    </row>
    <row r="34" spans="1:18" ht="15" x14ac:dyDescent="0.2">
      <c r="A34" s="16">
        <v>41883</v>
      </c>
      <c r="B34" s="10">
        <f>2.5029 * CHOOSE(CONTROL!$C$32, $C$9, 100%, $E$9)</f>
        <v>2.5028999999999999</v>
      </c>
      <c r="C34" s="10">
        <f>2.521 * CHOOSE(CONTROL!$C$32, $C$9, 100%, $E$9)</f>
        <v>2.5209999999999999</v>
      </c>
      <c r="D34" s="10">
        <f>2.5686 * CHOOSE(CONTROL!$C$32, $C$9, 100%, $E$9)</f>
        <v>2.5686</v>
      </c>
      <c r="E34" s="9">
        <f>3.5445 * CHOOSE(CONTROL!$C$32, $C$9, 100%, $E$9)</f>
        <v>3.5445000000000002</v>
      </c>
      <c r="F34" s="9">
        <f>3.5286 * CHOOSE(CONTROL!$C$32, $C$9, 100%, $E$9)</f>
        <v>3.5286</v>
      </c>
      <c r="G34" s="9">
        <f>3.5443 * CHOOSE(CONTROL!$C$32, $C$9, 100%, $E$9)</f>
        <v>3.5442999999999998</v>
      </c>
      <c r="H34" s="9">
        <f>3.9203 * CHOOSE(CONTROL!$C$32, $C$9, 100%, $E$9)</f>
        <v>3.9203000000000001</v>
      </c>
      <c r="I34" s="9">
        <f>3.936 * CHOOSE(CONTROL!$C$32, $C$9, 100%, $E$9)</f>
        <v>3.9359999999999999</v>
      </c>
      <c r="J34" s="9">
        <f>3.9203 * CHOOSE(CONTROL!$C$32, $C$9, 100%, $E$9)</f>
        <v>3.9203000000000001</v>
      </c>
      <c r="K34" s="9">
        <f>3.936 * CHOOSE(CONTROL!$C$32, $C$9, 100%, $E$9)</f>
        <v>3.9359999999999999</v>
      </c>
      <c r="L34" s="9">
        <f>3.5445 * CHOOSE(CONTROL!$C$32, $C$9, 100%, $E$9)</f>
        <v>3.5445000000000002</v>
      </c>
      <c r="M34" s="9">
        <f>3.5602 * CHOOSE(CONTROL!$C$32, $C$9, 100%, $E$9)</f>
        <v>3.5602</v>
      </c>
      <c r="N34" s="9">
        <f>3.5445 * CHOOSE(CONTROL!$C$32, $C$9, 100%, $E$9)</f>
        <v>3.5445000000000002</v>
      </c>
      <c r="O34" s="9">
        <f>3.5602 * CHOOSE(CONTROL!$C$32, $C$9, 100%, $E$9)</f>
        <v>3.5602</v>
      </c>
      <c r="P34" s="17"/>
      <c r="Q34" s="9"/>
      <c r="R34" s="9"/>
    </row>
    <row r="35" spans="1:18" ht="15" x14ac:dyDescent="0.2">
      <c r="A35" s="16">
        <v>41913</v>
      </c>
      <c r="B35" s="10">
        <f>2.497 * CHOOSE(CONTROL!$C$32, $C$9, 100%, $E$9)</f>
        <v>2.4969999999999999</v>
      </c>
      <c r="C35" s="10">
        <f>2.5088 * CHOOSE(CONTROL!$C$32, $C$9, 100%, $E$9)</f>
        <v>2.5087999999999999</v>
      </c>
      <c r="D35" s="10">
        <f>2.5456 * CHOOSE(CONTROL!$C$32, $C$9, 100%, $E$9)</f>
        <v>2.5455999999999999</v>
      </c>
      <c r="E35" s="9">
        <f>3.5338 * CHOOSE(CONTROL!$C$32, $C$9, 100%, $E$9)</f>
        <v>3.5337999999999998</v>
      </c>
      <c r="F35" s="9">
        <f>3.5059 * CHOOSE(CONTROL!$C$32, $C$9, 100%, $E$9)</f>
        <v>3.5059</v>
      </c>
      <c r="G35" s="9">
        <f>3.5181 * CHOOSE(CONTROL!$C$32, $C$9, 100%, $E$9)</f>
        <v>3.5181</v>
      </c>
      <c r="H35" s="9">
        <f>3.9004 * CHOOSE(CONTROL!$C$32, $C$9, 100%, $E$9)</f>
        <v>3.9003999999999999</v>
      </c>
      <c r="I35" s="9">
        <f>3.9126 * CHOOSE(CONTROL!$C$32, $C$9, 100%, $E$9)</f>
        <v>3.9125999999999999</v>
      </c>
      <c r="J35" s="9">
        <f>3.9004 * CHOOSE(CONTROL!$C$32, $C$9, 100%, $E$9)</f>
        <v>3.9003999999999999</v>
      </c>
      <c r="K35" s="9">
        <f>3.9126 * CHOOSE(CONTROL!$C$32, $C$9, 100%, $E$9)</f>
        <v>3.9125999999999999</v>
      </c>
      <c r="L35" s="9">
        <f>3.5338 * CHOOSE(CONTROL!$C$32, $C$9, 100%, $E$9)</f>
        <v>3.5337999999999998</v>
      </c>
      <c r="M35" s="9">
        <f>3.546 * CHOOSE(CONTROL!$C$32, $C$9, 100%, $E$9)</f>
        <v>3.5459999999999998</v>
      </c>
      <c r="N35" s="9">
        <f>3.5338 * CHOOSE(CONTROL!$C$32, $C$9, 100%, $E$9)</f>
        <v>3.5337999999999998</v>
      </c>
      <c r="O35" s="9">
        <f>3.546 * CHOOSE(CONTROL!$C$32, $C$9, 100%, $E$9)</f>
        <v>3.5459999999999998</v>
      </c>
      <c r="P35" s="17"/>
      <c r="Q35" s="9"/>
      <c r="R35" s="9"/>
    </row>
    <row r="36" spans="1:18" ht="15" x14ac:dyDescent="0.2">
      <c r="A36" s="16">
        <v>41944</v>
      </c>
      <c r="B36" s="10">
        <f>2.5002 * CHOOSE(CONTROL!$C$32, $C$9, 100%, $E$9)</f>
        <v>2.5002</v>
      </c>
      <c r="C36" s="10">
        <f>2.5105 * CHOOSE(CONTROL!$C$32, $C$9, 100%, $E$9)</f>
        <v>2.5105</v>
      </c>
      <c r="D36" s="10">
        <f>2.5472 * CHOOSE(CONTROL!$C$32, $C$9, 100%, $E$9)</f>
        <v>2.5472000000000001</v>
      </c>
      <c r="E36" s="9">
        <f>3.5206 * CHOOSE(CONTROL!$C$32, $C$9, 100%, $E$9)</f>
        <v>3.5206</v>
      </c>
      <c r="F36" s="9">
        <f>3.4779 * CHOOSE(CONTROL!$C$32, $C$9, 100%, $E$9)</f>
        <v>3.4779</v>
      </c>
      <c r="G36" s="9">
        <f>3.4901 * CHOOSE(CONTROL!$C$32, $C$9, 100%, $E$9)</f>
        <v>3.4901</v>
      </c>
      <c r="H36" s="9">
        <f>3.8724 * CHOOSE(CONTROL!$C$32, $C$9, 100%, $E$9)</f>
        <v>3.8723999999999998</v>
      </c>
      <c r="I36" s="9">
        <f>3.8846 * CHOOSE(CONTROL!$C$32, $C$9, 100%, $E$9)</f>
        <v>3.8845999999999998</v>
      </c>
      <c r="J36" s="9">
        <f>3.8724 * CHOOSE(CONTROL!$C$32, $C$9, 100%, $E$9)</f>
        <v>3.8723999999999998</v>
      </c>
      <c r="K36" s="9">
        <f>3.8846 * CHOOSE(CONTROL!$C$32, $C$9, 100%, $E$9)</f>
        <v>3.8845999999999998</v>
      </c>
      <c r="L36" s="9">
        <f>3.5206 * CHOOSE(CONTROL!$C$32, $C$9, 100%, $E$9)</f>
        <v>3.5206</v>
      </c>
      <c r="M36" s="9">
        <f>3.5328 * CHOOSE(CONTROL!$C$32, $C$9, 100%, $E$9)</f>
        <v>3.5327999999999999</v>
      </c>
      <c r="N36" s="9">
        <f>3.5206 * CHOOSE(CONTROL!$C$32, $C$9, 100%, $E$9)</f>
        <v>3.5206</v>
      </c>
      <c r="O36" s="9">
        <f>3.5328 * CHOOSE(CONTROL!$C$32, $C$9, 100%, $E$9)</f>
        <v>3.5327999999999999</v>
      </c>
      <c r="P36" s="17"/>
      <c r="Q36" s="9"/>
      <c r="R36" s="9"/>
    </row>
    <row r="37" spans="1:18" ht="15" x14ac:dyDescent="0.2">
      <c r="A37" s="16">
        <v>41974</v>
      </c>
      <c r="B37" s="10">
        <f>2.4999 * CHOOSE(CONTROL!$C$32, $C$9, 100%, $E$9)</f>
        <v>2.4998999999999998</v>
      </c>
      <c r="C37" s="10">
        <f>2.5102 * CHOOSE(CONTROL!$C$32, $C$9, 100%, $E$9)</f>
        <v>2.5102000000000002</v>
      </c>
      <c r="D37" s="10">
        <f>2.5469 * CHOOSE(CONTROL!$C$32, $C$9, 100%, $E$9)</f>
        <v>2.5468999999999999</v>
      </c>
      <c r="E37" s="9">
        <f>3.5215 * CHOOSE(CONTROL!$C$32, $C$9, 100%, $E$9)</f>
        <v>3.5215000000000001</v>
      </c>
      <c r="F37" s="9">
        <f>3.4799 * CHOOSE(CONTROL!$C$32, $C$9, 100%, $E$9)</f>
        <v>3.4799000000000002</v>
      </c>
      <c r="G37" s="9">
        <f>3.4921 * CHOOSE(CONTROL!$C$32, $C$9, 100%, $E$9)</f>
        <v>3.4921000000000002</v>
      </c>
      <c r="H37" s="9">
        <f>3.8744 * CHOOSE(CONTROL!$C$32, $C$9, 100%, $E$9)</f>
        <v>3.8744000000000001</v>
      </c>
      <c r="I37" s="9">
        <f>3.8866 * CHOOSE(CONTROL!$C$32, $C$9, 100%, $E$9)</f>
        <v>3.8866000000000001</v>
      </c>
      <c r="J37" s="9">
        <f>3.8744 * CHOOSE(CONTROL!$C$32, $C$9, 100%, $E$9)</f>
        <v>3.8744000000000001</v>
      </c>
      <c r="K37" s="9">
        <f>3.8866 * CHOOSE(CONTROL!$C$32, $C$9, 100%, $E$9)</f>
        <v>3.8866000000000001</v>
      </c>
      <c r="L37" s="9">
        <f>3.5215 * CHOOSE(CONTROL!$C$32, $C$9, 100%, $E$9)</f>
        <v>3.5215000000000001</v>
      </c>
      <c r="M37" s="9">
        <f>3.5337 * CHOOSE(CONTROL!$C$32, $C$9, 100%, $E$9)</f>
        <v>3.5337000000000001</v>
      </c>
      <c r="N37" s="9">
        <f>3.5215 * CHOOSE(CONTROL!$C$32, $C$9, 100%, $E$9)</f>
        <v>3.5215000000000001</v>
      </c>
      <c r="O37" s="9">
        <f>3.5337 * CHOOSE(CONTROL!$C$32, $C$9, 100%, $E$9)</f>
        <v>3.5337000000000001</v>
      </c>
      <c r="P37" s="17"/>
      <c r="Q37" s="9"/>
      <c r="R37" s="9"/>
    </row>
    <row r="38" spans="1:18" ht="15" x14ac:dyDescent="0.2">
      <c r="A38" s="16">
        <v>42005</v>
      </c>
      <c r="B38" s="10">
        <f>2.5418 * CHOOSE(CONTROL!$C$32, $C$9, 100%, $E$9)</f>
        <v>2.5417999999999998</v>
      </c>
      <c r="C38" s="10">
        <f>2.5418 * CHOOSE(CONTROL!$C$32, $C$9, 100%, $E$9)</f>
        <v>2.5417999999999998</v>
      </c>
      <c r="D38" s="10">
        <f>2.5428 * CHOOSE(CONTROL!$C$32, $C$9, 100%, $E$9)</f>
        <v>2.5428000000000002</v>
      </c>
      <c r="E38" s="9">
        <f>3.6045 * CHOOSE(CONTROL!$C$32, $C$9, 100%, $E$9)</f>
        <v>3.6044999999999998</v>
      </c>
      <c r="F38" s="9">
        <f>3.5836 * CHOOSE(CONTROL!$C$32, $C$9, 100%, $E$9)</f>
        <v>3.5836000000000001</v>
      </c>
      <c r="G38" s="9">
        <f>3.587 * CHOOSE(CONTROL!$C$32, $C$9, 100%, $E$9)</f>
        <v>3.5870000000000002</v>
      </c>
      <c r="H38" s="9">
        <f>3.9275 * CHOOSE(CONTROL!$C$32, $C$9, 100%, $E$9)</f>
        <v>3.9275000000000002</v>
      </c>
      <c r="I38" s="9">
        <f>3.9308 * CHOOSE(CONTROL!$C$32, $C$9, 100%, $E$9)</f>
        <v>3.9308000000000001</v>
      </c>
      <c r="J38" s="9">
        <f>3.9275 * CHOOSE(CONTROL!$C$32, $C$9, 100%, $E$9)</f>
        <v>3.9275000000000002</v>
      </c>
      <c r="K38" s="9">
        <f>3.9308 * CHOOSE(CONTROL!$C$32, $C$9, 100%, $E$9)</f>
        <v>3.9308000000000001</v>
      </c>
      <c r="L38" s="9">
        <f>3.6045 * CHOOSE(CONTROL!$C$32, $C$9, 100%, $E$9)</f>
        <v>3.6044999999999998</v>
      </c>
      <c r="M38" s="9">
        <f>3.6078 * CHOOSE(CONTROL!$C$32, $C$9, 100%, $E$9)</f>
        <v>3.6078000000000001</v>
      </c>
      <c r="N38" s="9">
        <f>3.6045 * CHOOSE(CONTROL!$C$32, $C$9, 100%, $E$9)</f>
        <v>3.6044999999999998</v>
      </c>
      <c r="O38" s="9">
        <f>3.6078 * CHOOSE(CONTROL!$C$32, $C$9, 100%, $E$9)</f>
        <v>3.6078000000000001</v>
      </c>
      <c r="P38" s="17"/>
      <c r="Q38" s="9"/>
      <c r="R38" s="9"/>
    </row>
    <row r="39" spans="1:18" ht="15" x14ac:dyDescent="0.2">
      <c r="A39" s="16">
        <v>42036</v>
      </c>
      <c r="B39" s="10">
        <f>2.5436 * CHOOSE(CONTROL!$C$32, $C$9, 100%, $E$9)</f>
        <v>2.5436000000000001</v>
      </c>
      <c r="C39" s="10">
        <f>2.5436 * CHOOSE(CONTROL!$C$32, $C$9, 100%, $E$9)</f>
        <v>2.5436000000000001</v>
      </c>
      <c r="D39" s="10">
        <f>2.5446 * CHOOSE(CONTROL!$C$32, $C$9, 100%, $E$9)</f>
        <v>2.5446</v>
      </c>
      <c r="E39" s="9">
        <f>3.6045 * CHOOSE(CONTROL!$C$32, $C$9, 100%, $E$9)</f>
        <v>3.6044999999999998</v>
      </c>
      <c r="F39" s="9">
        <f>3.5836 * CHOOSE(CONTROL!$C$32, $C$9, 100%, $E$9)</f>
        <v>3.5836000000000001</v>
      </c>
      <c r="G39" s="9">
        <f>3.587 * CHOOSE(CONTROL!$C$32, $C$9, 100%, $E$9)</f>
        <v>3.5870000000000002</v>
      </c>
      <c r="H39" s="9">
        <f>3.9255 * CHOOSE(CONTROL!$C$32, $C$9, 100%, $E$9)</f>
        <v>3.9255</v>
      </c>
      <c r="I39" s="9">
        <f>3.9288 * CHOOSE(CONTROL!$C$32, $C$9, 100%, $E$9)</f>
        <v>3.9287999999999998</v>
      </c>
      <c r="J39" s="9">
        <f>3.9255 * CHOOSE(CONTROL!$C$32, $C$9, 100%, $E$9)</f>
        <v>3.9255</v>
      </c>
      <c r="K39" s="9">
        <f>3.9288 * CHOOSE(CONTROL!$C$32, $C$9, 100%, $E$9)</f>
        <v>3.9287999999999998</v>
      </c>
      <c r="L39" s="9">
        <f>3.6045 * CHOOSE(CONTROL!$C$32, $C$9, 100%, $E$9)</f>
        <v>3.6044999999999998</v>
      </c>
      <c r="M39" s="9">
        <f>3.6078 * CHOOSE(CONTROL!$C$32, $C$9, 100%, $E$9)</f>
        <v>3.6078000000000001</v>
      </c>
      <c r="N39" s="9">
        <f>3.6045 * CHOOSE(CONTROL!$C$32, $C$9, 100%, $E$9)</f>
        <v>3.6044999999999998</v>
      </c>
      <c r="O39" s="9">
        <f>3.6078 * CHOOSE(CONTROL!$C$32, $C$9, 100%, $E$9)</f>
        <v>3.6078000000000001</v>
      </c>
      <c r="P39" s="17"/>
      <c r="Q39" s="9"/>
      <c r="R39" s="9"/>
    </row>
    <row r="40" spans="1:18" ht="15" x14ac:dyDescent="0.2">
      <c r="A40" s="16">
        <v>42064</v>
      </c>
      <c r="B40" s="10">
        <f>2.5403 * CHOOSE(CONTROL!$C$32, $C$9, 100%, $E$9)</f>
        <v>2.5402999999999998</v>
      </c>
      <c r="C40" s="10">
        <f>2.5403 * CHOOSE(CONTROL!$C$32, $C$9, 100%, $E$9)</f>
        <v>2.5402999999999998</v>
      </c>
      <c r="D40" s="10">
        <f>2.5414 * CHOOSE(CONTROL!$C$32, $C$9, 100%, $E$9)</f>
        <v>2.5413999999999999</v>
      </c>
      <c r="E40" s="9">
        <f>3.6045 * CHOOSE(CONTROL!$C$32, $C$9, 100%, $E$9)</f>
        <v>3.6044999999999998</v>
      </c>
      <c r="F40" s="9">
        <f>3.5836 * CHOOSE(CONTROL!$C$32, $C$9, 100%, $E$9)</f>
        <v>3.5836000000000001</v>
      </c>
      <c r="G40" s="9">
        <f>3.587 * CHOOSE(CONTROL!$C$32, $C$9, 100%, $E$9)</f>
        <v>3.5870000000000002</v>
      </c>
      <c r="H40" s="9">
        <f>3.9235 * CHOOSE(CONTROL!$C$32, $C$9, 100%, $E$9)</f>
        <v>3.9235000000000002</v>
      </c>
      <c r="I40" s="9">
        <f>3.9268 * CHOOSE(CONTROL!$C$32, $C$9, 100%, $E$9)</f>
        <v>3.9268000000000001</v>
      </c>
      <c r="J40" s="9">
        <f>3.9235 * CHOOSE(CONTROL!$C$32, $C$9, 100%, $E$9)</f>
        <v>3.9235000000000002</v>
      </c>
      <c r="K40" s="9">
        <f>3.9268 * CHOOSE(CONTROL!$C$32, $C$9, 100%, $E$9)</f>
        <v>3.9268000000000001</v>
      </c>
      <c r="L40" s="9">
        <f>3.6045 * CHOOSE(CONTROL!$C$32, $C$9, 100%, $E$9)</f>
        <v>3.6044999999999998</v>
      </c>
      <c r="M40" s="9">
        <f>3.6078 * CHOOSE(CONTROL!$C$32, $C$9, 100%, $E$9)</f>
        <v>3.6078000000000001</v>
      </c>
      <c r="N40" s="9">
        <f>3.6045 * CHOOSE(CONTROL!$C$32, $C$9, 100%, $E$9)</f>
        <v>3.6044999999999998</v>
      </c>
      <c r="O40" s="9">
        <f>3.6078 * CHOOSE(CONTROL!$C$32, $C$9, 100%, $E$9)</f>
        <v>3.6078000000000001</v>
      </c>
      <c r="P40" s="17"/>
      <c r="Q40" s="9"/>
      <c r="R40" s="9"/>
    </row>
    <row r="41" spans="1:18" ht="15" x14ac:dyDescent="0.2">
      <c r="A41" s="16">
        <v>42095</v>
      </c>
      <c r="B41" s="10">
        <f>2.5343 * CHOOSE(CONTROL!$C$32, $C$9, 100%, $E$9)</f>
        <v>2.5343</v>
      </c>
      <c r="C41" s="10">
        <f>2.5343 * CHOOSE(CONTROL!$C$32, $C$9, 100%, $E$9)</f>
        <v>2.5343</v>
      </c>
      <c r="D41" s="10">
        <f>2.5353 * CHOOSE(CONTROL!$C$32, $C$9, 100%, $E$9)</f>
        <v>2.5352999999999999</v>
      </c>
      <c r="E41" s="9">
        <f>3.6045 * CHOOSE(CONTROL!$C$32, $C$9, 100%, $E$9)</f>
        <v>3.6044999999999998</v>
      </c>
      <c r="F41" s="9">
        <f>3.5836 * CHOOSE(CONTROL!$C$32, $C$9, 100%, $E$9)</f>
        <v>3.5836000000000001</v>
      </c>
      <c r="G41" s="9">
        <f>3.587 * CHOOSE(CONTROL!$C$32, $C$9, 100%, $E$9)</f>
        <v>3.5870000000000002</v>
      </c>
      <c r="H41" s="9">
        <f>3.9214 * CHOOSE(CONTROL!$C$32, $C$9, 100%, $E$9)</f>
        <v>3.9214000000000002</v>
      </c>
      <c r="I41" s="9">
        <f>3.9247 * CHOOSE(CONTROL!$C$32, $C$9, 100%, $E$9)</f>
        <v>3.9247000000000001</v>
      </c>
      <c r="J41" s="9">
        <f>3.9214 * CHOOSE(CONTROL!$C$32, $C$9, 100%, $E$9)</f>
        <v>3.9214000000000002</v>
      </c>
      <c r="K41" s="9">
        <f>3.9247 * CHOOSE(CONTROL!$C$32, $C$9, 100%, $E$9)</f>
        <v>3.9247000000000001</v>
      </c>
      <c r="L41" s="9">
        <f>3.6045 * CHOOSE(CONTROL!$C$32, $C$9, 100%, $E$9)</f>
        <v>3.6044999999999998</v>
      </c>
      <c r="M41" s="9">
        <f>3.6078 * CHOOSE(CONTROL!$C$32, $C$9, 100%, $E$9)</f>
        <v>3.6078000000000001</v>
      </c>
      <c r="N41" s="9">
        <f>3.6045 * CHOOSE(CONTROL!$C$32, $C$9, 100%, $E$9)</f>
        <v>3.6044999999999998</v>
      </c>
      <c r="O41" s="9">
        <f>3.6078 * CHOOSE(CONTROL!$C$32, $C$9, 100%, $E$9)</f>
        <v>3.6078000000000001</v>
      </c>
      <c r="P41" s="17"/>
      <c r="Q41" s="9"/>
      <c r="R41" s="9"/>
    </row>
    <row r="42" spans="1:18" ht="15" x14ac:dyDescent="0.2">
      <c r="A42" s="16">
        <v>42125</v>
      </c>
      <c r="B42" s="10">
        <f>2.539 * CHOOSE(CONTROL!$C$32, $C$9, 100%, $E$9)</f>
        <v>2.5390000000000001</v>
      </c>
      <c r="C42" s="10">
        <f>2.539 * CHOOSE(CONTROL!$C$32, $C$9, 100%, $E$9)</f>
        <v>2.5390000000000001</v>
      </c>
      <c r="D42" s="10">
        <f>2.5403 * CHOOSE(CONTROL!$C$32, $C$9, 100%, $E$9)</f>
        <v>2.5402999999999998</v>
      </c>
      <c r="E42" s="9">
        <f>3.6045 * CHOOSE(CONTROL!$C$32, $C$9, 100%, $E$9)</f>
        <v>3.6044999999999998</v>
      </c>
      <c r="F42" s="9">
        <f>3.5836 * CHOOSE(CONTROL!$C$32, $C$9, 100%, $E$9)</f>
        <v>3.5836000000000001</v>
      </c>
      <c r="G42" s="9">
        <f>3.588 * CHOOSE(CONTROL!$C$32, $C$9, 100%, $E$9)</f>
        <v>3.5880000000000001</v>
      </c>
      <c r="H42" s="9">
        <f>3.9214 * CHOOSE(CONTROL!$C$32, $C$9, 100%, $E$9)</f>
        <v>3.9214000000000002</v>
      </c>
      <c r="I42" s="9">
        <f>3.9257 * CHOOSE(CONTROL!$C$32, $C$9, 100%, $E$9)</f>
        <v>3.9257</v>
      </c>
      <c r="J42" s="9">
        <f>3.9214 * CHOOSE(CONTROL!$C$32, $C$9, 100%, $E$9)</f>
        <v>3.9214000000000002</v>
      </c>
      <c r="K42" s="9">
        <f>3.9257 * CHOOSE(CONTROL!$C$32, $C$9, 100%, $E$9)</f>
        <v>3.9257</v>
      </c>
      <c r="L42" s="9">
        <f>3.6045 * CHOOSE(CONTROL!$C$32, $C$9, 100%, $E$9)</f>
        <v>3.6044999999999998</v>
      </c>
      <c r="M42" s="9">
        <f>3.6088 * CHOOSE(CONTROL!$C$32, $C$9, 100%, $E$9)</f>
        <v>3.6088</v>
      </c>
      <c r="N42" s="9">
        <f>3.6045 * CHOOSE(CONTROL!$C$32, $C$9, 100%, $E$9)</f>
        <v>3.6044999999999998</v>
      </c>
      <c r="O42" s="9">
        <f>3.6088 * CHOOSE(CONTROL!$C$32, $C$9, 100%, $E$9)</f>
        <v>3.6088</v>
      </c>
      <c r="P42" s="17"/>
      <c r="Q42" s="9"/>
      <c r="R42" s="9"/>
    </row>
    <row r="43" spans="1:18" ht="15" x14ac:dyDescent="0.2">
      <c r="A43" s="16">
        <v>42156</v>
      </c>
      <c r="B43" s="10">
        <f>2.5448 * CHOOSE(CONTROL!$C$32, $C$9, 100%, $E$9)</f>
        <v>2.5448</v>
      </c>
      <c r="C43" s="10">
        <f>2.5448 * CHOOSE(CONTROL!$C$32, $C$9, 100%, $E$9)</f>
        <v>2.5448</v>
      </c>
      <c r="D43" s="10">
        <f>2.5461 * CHOOSE(CONTROL!$C$32, $C$9, 100%, $E$9)</f>
        <v>2.5461</v>
      </c>
      <c r="E43" s="9">
        <f>3.6045 * CHOOSE(CONTROL!$C$32, $C$9, 100%, $E$9)</f>
        <v>3.6044999999999998</v>
      </c>
      <c r="F43" s="9">
        <f>3.5836 * CHOOSE(CONTROL!$C$32, $C$9, 100%, $E$9)</f>
        <v>3.5836000000000001</v>
      </c>
      <c r="G43" s="9">
        <f>3.588 * CHOOSE(CONTROL!$C$32, $C$9, 100%, $E$9)</f>
        <v>3.5880000000000001</v>
      </c>
      <c r="H43" s="9">
        <f>3.9254 * CHOOSE(CONTROL!$C$32, $C$9, 100%, $E$9)</f>
        <v>3.9253999999999998</v>
      </c>
      <c r="I43" s="9">
        <f>3.9297 * CHOOSE(CONTROL!$C$32, $C$9, 100%, $E$9)</f>
        <v>3.9297</v>
      </c>
      <c r="J43" s="9">
        <f>3.9254 * CHOOSE(CONTROL!$C$32, $C$9, 100%, $E$9)</f>
        <v>3.9253999999999998</v>
      </c>
      <c r="K43" s="9">
        <f>3.9297 * CHOOSE(CONTROL!$C$32, $C$9, 100%, $E$9)</f>
        <v>3.9297</v>
      </c>
      <c r="L43" s="9">
        <f>3.6045 * CHOOSE(CONTROL!$C$32, $C$9, 100%, $E$9)</f>
        <v>3.6044999999999998</v>
      </c>
      <c r="M43" s="9">
        <f>3.6088 * CHOOSE(CONTROL!$C$32, $C$9, 100%, $E$9)</f>
        <v>3.6088</v>
      </c>
      <c r="N43" s="9">
        <f>3.6045 * CHOOSE(CONTROL!$C$32, $C$9, 100%, $E$9)</f>
        <v>3.6044999999999998</v>
      </c>
      <c r="O43" s="9">
        <f>3.6088 * CHOOSE(CONTROL!$C$32, $C$9, 100%, $E$9)</f>
        <v>3.6088</v>
      </c>
      <c r="P43" s="17"/>
      <c r="Q43" s="9"/>
      <c r="R43" s="9"/>
    </row>
    <row r="44" spans="1:18" ht="15" x14ac:dyDescent="0.2">
      <c r="A44" s="16">
        <v>42186</v>
      </c>
      <c r="B44" s="10">
        <f>2.5884 * CHOOSE(CONTROL!$C$32, $C$9, 100%, $E$9)</f>
        <v>2.5884</v>
      </c>
      <c r="C44" s="10">
        <f>2.5884 * CHOOSE(CONTROL!$C$32, $C$9, 100%, $E$9)</f>
        <v>2.5884</v>
      </c>
      <c r="D44" s="10">
        <f>2.5897 * CHOOSE(CONTROL!$C$32, $C$9, 100%, $E$9)</f>
        <v>2.5897000000000001</v>
      </c>
      <c r="E44" s="9">
        <f>3.6045 * CHOOSE(CONTROL!$C$32, $C$9, 100%, $E$9)</f>
        <v>3.6044999999999998</v>
      </c>
      <c r="F44" s="9">
        <f>3.5836 * CHOOSE(CONTROL!$C$32, $C$9, 100%, $E$9)</f>
        <v>3.5836000000000001</v>
      </c>
      <c r="G44" s="9">
        <f>3.588 * CHOOSE(CONTROL!$C$32, $C$9, 100%, $E$9)</f>
        <v>3.5880000000000001</v>
      </c>
      <c r="H44" s="9">
        <f>4.0448 * CHOOSE(CONTROL!$C$32, $C$9, 100%, $E$9)</f>
        <v>4.0448000000000004</v>
      </c>
      <c r="I44" s="9">
        <f>4.0492 * CHOOSE(CONTROL!$C$32, $C$9, 100%, $E$9)</f>
        <v>4.0491999999999999</v>
      </c>
      <c r="J44" s="9">
        <f>4.0448 * CHOOSE(CONTROL!$C$32, $C$9, 100%, $E$9)</f>
        <v>4.0448000000000004</v>
      </c>
      <c r="K44" s="9">
        <f>4.0492 * CHOOSE(CONTROL!$C$32, $C$9, 100%, $E$9)</f>
        <v>4.0491999999999999</v>
      </c>
      <c r="L44" s="9">
        <f>3.6045 * CHOOSE(CONTROL!$C$32, $C$9, 100%, $E$9)</f>
        <v>3.6044999999999998</v>
      </c>
      <c r="M44" s="9">
        <f>3.6088 * CHOOSE(CONTROL!$C$32, $C$9, 100%, $E$9)</f>
        <v>3.6088</v>
      </c>
      <c r="N44" s="9">
        <f>3.6045 * CHOOSE(CONTROL!$C$32, $C$9, 100%, $E$9)</f>
        <v>3.6044999999999998</v>
      </c>
      <c r="O44" s="9">
        <f>3.6088 * CHOOSE(CONTROL!$C$32, $C$9, 100%, $E$9)</f>
        <v>3.6088</v>
      </c>
      <c r="P44" s="17"/>
      <c r="Q44" s="9"/>
      <c r="R44" s="9"/>
    </row>
    <row r="45" spans="1:18" ht="15" x14ac:dyDescent="0.2">
      <c r="A45" s="16">
        <v>42217</v>
      </c>
      <c r="B45" s="10">
        <f>2.5998 * CHOOSE(CONTROL!$C$32, $C$9, 100%, $E$9)</f>
        <v>2.5998000000000001</v>
      </c>
      <c r="C45" s="10">
        <f>2.5998 * CHOOSE(CONTROL!$C$32, $C$9, 100%, $E$9)</f>
        <v>2.5998000000000001</v>
      </c>
      <c r="D45" s="10">
        <f>2.6012 * CHOOSE(CONTROL!$C$32, $C$9, 100%, $E$9)</f>
        <v>2.6012</v>
      </c>
      <c r="E45" s="9">
        <f>3.6045 * CHOOSE(CONTROL!$C$32, $C$9, 100%, $E$9)</f>
        <v>3.6044999999999998</v>
      </c>
      <c r="F45" s="9">
        <f>3.5836 * CHOOSE(CONTROL!$C$32, $C$9, 100%, $E$9)</f>
        <v>3.5836000000000001</v>
      </c>
      <c r="G45" s="9">
        <f>3.588 * CHOOSE(CONTROL!$C$32, $C$9, 100%, $E$9)</f>
        <v>3.5880000000000001</v>
      </c>
      <c r="H45" s="9">
        <f>4.0492 * CHOOSE(CONTROL!$C$32, $C$9, 100%, $E$9)</f>
        <v>4.0491999999999999</v>
      </c>
      <c r="I45" s="9">
        <f>4.0536 * CHOOSE(CONTROL!$C$32, $C$9, 100%, $E$9)</f>
        <v>4.0536000000000003</v>
      </c>
      <c r="J45" s="9">
        <f>4.0492 * CHOOSE(CONTROL!$C$32, $C$9, 100%, $E$9)</f>
        <v>4.0491999999999999</v>
      </c>
      <c r="K45" s="9">
        <f>4.0536 * CHOOSE(CONTROL!$C$32, $C$9, 100%, $E$9)</f>
        <v>4.0536000000000003</v>
      </c>
      <c r="L45" s="9">
        <f>3.6045 * CHOOSE(CONTROL!$C$32, $C$9, 100%, $E$9)</f>
        <v>3.6044999999999998</v>
      </c>
      <c r="M45" s="9">
        <f>3.6088 * CHOOSE(CONTROL!$C$32, $C$9, 100%, $E$9)</f>
        <v>3.6088</v>
      </c>
      <c r="N45" s="9">
        <f>3.6045 * CHOOSE(CONTROL!$C$32, $C$9, 100%, $E$9)</f>
        <v>3.6044999999999998</v>
      </c>
      <c r="O45" s="9">
        <f>3.6088 * CHOOSE(CONTROL!$C$32, $C$9, 100%, $E$9)</f>
        <v>3.6088</v>
      </c>
      <c r="P45" s="17"/>
      <c r="Q45" s="9"/>
      <c r="R45" s="9"/>
    </row>
    <row r="46" spans="1:18" ht="15" x14ac:dyDescent="0.2">
      <c r="A46" s="16">
        <v>42248</v>
      </c>
      <c r="B46" s="10">
        <f>2.5965 * CHOOSE(CONTROL!$C$32, $C$9, 100%, $E$9)</f>
        <v>2.5964999999999998</v>
      </c>
      <c r="C46" s="10">
        <f>2.5965 * CHOOSE(CONTROL!$C$32, $C$9, 100%, $E$9)</f>
        <v>2.5964999999999998</v>
      </c>
      <c r="D46" s="10">
        <f>2.5979 * CHOOSE(CONTROL!$C$32, $C$9, 100%, $E$9)</f>
        <v>2.5979000000000001</v>
      </c>
      <c r="E46" s="9">
        <f>3.6045 * CHOOSE(CONTROL!$C$32, $C$9, 100%, $E$9)</f>
        <v>3.6044999999999998</v>
      </c>
      <c r="F46" s="9">
        <f>3.5836 * CHOOSE(CONTROL!$C$32, $C$9, 100%, $E$9)</f>
        <v>3.5836000000000001</v>
      </c>
      <c r="G46" s="9">
        <f>3.588 * CHOOSE(CONTROL!$C$32, $C$9, 100%, $E$9)</f>
        <v>3.5880000000000001</v>
      </c>
      <c r="H46" s="9">
        <f>4.0472 * CHOOSE(CONTROL!$C$32, $C$9, 100%, $E$9)</f>
        <v>4.0472000000000001</v>
      </c>
      <c r="I46" s="9">
        <f>4.0516 * CHOOSE(CONTROL!$C$32, $C$9, 100%, $E$9)</f>
        <v>4.0515999999999996</v>
      </c>
      <c r="J46" s="9">
        <f>4.0472 * CHOOSE(CONTROL!$C$32, $C$9, 100%, $E$9)</f>
        <v>4.0472000000000001</v>
      </c>
      <c r="K46" s="9">
        <f>4.0516 * CHOOSE(CONTROL!$C$32, $C$9, 100%, $E$9)</f>
        <v>4.0515999999999996</v>
      </c>
      <c r="L46" s="9">
        <f>3.6045 * CHOOSE(CONTROL!$C$32, $C$9, 100%, $E$9)</f>
        <v>3.6044999999999998</v>
      </c>
      <c r="M46" s="9">
        <f>3.6088 * CHOOSE(CONTROL!$C$32, $C$9, 100%, $E$9)</f>
        <v>3.6088</v>
      </c>
      <c r="N46" s="9">
        <f>3.6045 * CHOOSE(CONTROL!$C$32, $C$9, 100%, $E$9)</f>
        <v>3.6044999999999998</v>
      </c>
      <c r="O46" s="9">
        <f>3.6088 * CHOOSE(CONTROL!$C$32, $C$9, 100%, $E$9)</f>
        <v>3.6088</v>
      </c>
      <c r="P46" s="17"/>
      <c r="Q46" s="9"/>
      <c r="R46" s="9"/>
    </row>
    <row r="47" spans="1:18" ht="15" x14ac:dyDescent="0.2">
      <c r="A47" s="16">
        <v>42278</v>
      </c>
      <c r="B47" s="10">
        <f>2.5773 * CHOOSE(CONTROL!$C$32, $C$9, 100%, $E$9)</f>
        <v>2.5773000000000001</v>
      </c>
      <c r="C47" s="10">
        <f>2.5773 * CHOOSE(CONTROL!$C$32, $C$9, 100%, $E$9)</f>
        <v>2.5773000000000001</v>
      </c>
      <c r="D47" s="10">
        <f>2.5783 * CHOOSE(CONTROL!$C$32, $C$9, 100%, $E$9)</f>
        <v>2.5783</v>
      </c>
      <c r="E47" s="9">
        <f>3.6045 * CHOOSE(CONTROL!$C$32, $C$9, 100%, $E$9)</f>
        <v>3.6044999999999998</v>
      </c>
      <c r="F47" s="9">
        <f>3.5836 * CHOOSE(CONTROL!$C$32, $C$9, 100%, $E$9)</f>
        <v>3.5836000000000001</v>
      </c>
      <c r="G47" s="9">
        <f>3.587 * CHOOSE(CONTROL!$C$32, $C$9, 100%, $E$9)</f>
        <v>3.5870000000000002</v>
      </c>
      <c r="H47" s="9">
        <f>4.042 * CHOOSE(CONTROL!$C$32, $C$9, 100%, $E$9)</f>
        <v>4.0419999999999998</v>
      </c>
      <c r="I47" s="9">
        <f>4.0453 * CHOOSE(CONTROL!$C$32, $C$9, 100%, $E$9)</f>
        <v>4.0453000000000001</v>
      </c>
      <c r="J47" s="9">
        <f>4.042 * CHOOSE(CONTROL!$C$32, $C$9, 100%, $E$9)</f>
        <v>4.0419999999999998</v>
      </c>
      <c r="K47" s="9">
        <f>4.0453 * CHOOSE(CONTROL!$C$32, $C$9, 100%, $E$9)</f>
        <v>4.0453000000000001</v>
      </c>
      <c r="L47" s="9">
        <f>3.6045 * CHOOSE(CONTROL!$C$32, $C$9, 100%, $E$9)</f>
        <v>3.6044999999999998</v>
      </c>
      <c r="M47" s="9">
        <f>3.6078 * CHOOSE(CONTROL!$C$32, $C$9, 100%, $E$9)</f>
        <v>3.6078000000000001</v>
      </c>
      <c r="N47" s="9">
        <f>3.6045 * CHOOSE(CONTROL!$C$32, $C$9, 100%, $E$9)</f>
        <v>3.6044999999999998</v>
      </c>
      <c r="O47" s="9">
        <f>3.6078 * CHOOSE(CONTROL!$C$32, $C$9, 100%, $E$9)</f>
        <v>3.6078000000000001</v>
      </c>
      <c r="P47" s="17"/>
      <c r="Q47" s="9"/>
      <c r="R47" s="9"/>
    </row>
    <row r="48" spans="1:18" ht="15" x14ac:dyDescent="0.2">
      <c r="A48" s="16">
        <v>42309</v>
      </c>
      <c r="B48" s="10">
        <f>2.5851 * CHOOSE(CONTROL!$C$32, $C$9, 100%, $E$9)</f>
        <v>2.5851000000000002</v>
      </c>
      <c r="C48" s="10">
        <f>2.5851 * CHOOSE(CONTROL!$C$32, $C$9, 100%, $E$9)</f>
        <v>2.5851000000000002</v>
      </c>
      <c r="D48" s="10">
        <f>2.5861 * CHOOSE(CONTROL!$C$32, $C$9, 100%, $E$9)</f>
        <v>2.5861000000000001</v>
      </c>
      <c r="E48" s="9">
        <f>3.6045 * CHOOSE(CONTROL!$C$32, $C$9, 100%, $E$9)</f>
        <v>3.6044999999999998</v>
      </c>
      <c r="F48" s="9">
        <f>3.5836 * CHOOSE(CONTROL!$C$32, $C$9, 100%, $E$9)</f>
        <v>3.5836000000000001</v>
      </c>
      <c r="G48" s="9">
        <f>3.587 * CHOOSE(CONTROL!$C$32, $C$9, 100%, $E$9)</f>
        <v>3.5870000000000002</v>
      </c>
      <c r="H48" s="9">
        <f>4.044 * CHOOSE(CONTROL!$C$32, $C$9, 100%, $E$9)</f>
        <v>4.0439999999999996</v>
      </c>
      <c r="I48" s="9">
        <f>4.0473 * CHOOSE(CONTROL!$C$32, $C$9, 100%, $E$9)</f>
        <v>4.0472999999999999</v>
      </c>
      <c r="J48" s="9">
        <f>4.044 * CHOOSE(CONTROL!$C$32, $C$9, 100%, $E$9)</f>
        <v>4.0439999999999996</v>
      </c>
      <c r="K48" s="9">
        <f>4.0473 * CHOOSE(CONTROL!$C$32, $C$9, 100%, $E$9)</f>
        <v>4.0472999999999999</v>
      </c>
      <c r="L48" s="9">
        <f>3.6045 * CHOOSE(CONTROL!$C$32, $C$9, 100%, $E$9)</f>
        <v>3.6044999999999998</v>
      </c>
      <c r="M48" s="9">
        <f>3.6078 * CHOOSE(CONTROL!$C$32, $C$9, 100%, $E$9)</f>
        <v>3.6078000000000001</v>
      </c>
      <c r="N48" s="9">
        <f>3.6045 * CHOOSE(CONTROL!$C$32, $C$9, 100%, $E$9)</f>
        <v>3.6044999999999998</v>
      </c>
      <c r="O48" s="9">
        <f>3.6078 * CHOOSE(CONTROL!$C$32, $C$9, 100%, $E$9)</f>
        <v>3.6078000000000001</v>
      </c>
      <c r="P48" s="17"/>
      <c r="Q48" s="9"/>
      <c r="R48" s="9"/>
    </row>
    <row r="49" spans="1:18" ht="15" x14ac:dyDescent="0.2">
      <c r="A49" s="16">
        <v>42339</v>
      </c>
      <c r="B49" s="10">
        <f>2.5848 * CHOOSE(CONTROL!$C$32, $C$9, 100%, $E$9)</f>
        <v>2.5848</v>
      </c>
      <c r="C49" s="10">
        <f>2.5848 * CHOOSE(CONTROL!$C$32, $C$9, 100%, $E$9)</f>
        <v>2.5848</v>
      </c>
      <c r="D49" s="10">
        <f>2.5858 * CHOOSE(CONTROL!$C$32, $C$9, 100%, $E$9)</f>
        <v>2.5857999999999999</v>
      </c>
      <c r="E49" s="9">
        <f>3.6045 * CHOOSE(CONTROL!$C$32, $C$9, 100%, $E$9)</f>
        <v>3.6044999999999998</v>
      </c>
      <c r="F49" s="9">
        <f>3.5836 * CHOOSE(CONTROL!$C$32, $C$9, 100%, $E$9)</f>
        <v>3.5836000000000001</v>
      </c>
      <c r="G49" s="9">
        <f>3.587 * CHOOSE(CONTROL!$C$32, $C$9, 100%, $E$9)</f>
        <v>3.5870000000000002</v>
      </c>
      <c r="H49" s="9">
        <f>4.044 * CHOOSE(CONTROL!$C$32, $C$9, 100%, $E$9)</f>
        <v>4.0439999999999996</v>
      </c>
      <c r="I49" s="9">
        <f>4.0473 * CHOOSE(CONTROL!$C$32, $C$9, 100%, $E$9)</f>
        <v>4.0472999999999999</v>
      </c>
      <c r="J49" s="9">
        <f>4.044 * CHOOSE(CONTROL!$C$32, $C$9, 100%, $E$9)</f>
        <v>4.0439999999999996</v>
      </c>
      <c r="K49" s="9">
        <f>4.0473 * CHOOSE(CONTROL!$C$32, $C$9, 100%, $E$9)</f>
        <v>4.0472999999999999</v>
      </c>
      <c r="L49" s="9">
        <f>3.6045 * CHOOSE(CONTROL!$C$32, $C$9, 100%, $E$9)</f>
        <v>3.6044999999999998</v>
      </c>
      <c r="M49" s="9">
        <f>3.6078 * CHOOSE(CONTROL!$C$32, $C$9, 100%, $E$9)</f>
        <v>3.6078000000000001</v>
      </c>
      <c r="N49" s="9">
        <f>3.6045 * CHOOSE(CONTROL!$C$32, $C$9, 100%, $E$9)</f>
        <v>3.6044999999999998</v>
      </c>
      <c r="O49" s="9">
        <f>3.6078 * CHOOSE(CONTROL!$C$32, $C$9, 100%, $E$9)</f>
        <v>3.6078000000000001</v>
      </c>
      <c r="P49" s="17"/>
      <c r="Q49" s="9"/>
      <c r="R49" s="9"/>
    </row>
    <row r="50" spans="1:18" ht="15" x14ac:dyDescent="0.2">
      <c r="A50" s="16">
        <v>42370</v>
      </c>
      <c r="B50" s="10">
        <f>2.5868 * CHOOSE(CONTROL!$C$32, $C$9, 100%, $E$9)</f>
        <v>2.5868000000000002</v>
      </c>
      <c r="C50" s="10">
        <f>2.5868 * CHOOSE(CONTROL!$C$32, $C$9, 100%, $E$9)</f>
        <v>2.5868000000000002</v>
      </c>
      <c r="D50" s="10">
        <f>2.5878 * CHOOSE(CONTROL!$C$32, $C$9, 100%, $E$9)</f>
        <v>2.5878000000000001</v>
      </c>
      <c r="E50" s="9">
        <f>3.7019 * CHOOSE(CONTROL!$C$32, $C$9, 100%, $E$9)</f>
        <v>3.7019000000000002</v>
      </c>
      <c r="F50" s="9">
        <f>3.6856 * CHOOSE(CONTROL!$C$32, $C$9, 100%, $E$9)</f>
        <v>3.6856</v>
      </c>
      <c r="G50" s="9">
        <f>3.689 * CHOOSE(CONTROL!$C$32, $C$9, 100%, $E$9)</f>
        <v>3.6890000000000001</v>
      </c>
      <c r="H50" s="9">
        <f>4.0739 * CHOOSE(CONTROL!$C$32, $C$9, 100%, $E$9)</f>
        <v>4.0739000000000001</v>
      </c>
      <c r="I50" s="9">
        <f>4.0772 * CHOOSE(CONTROL!$C$32, $C$9, 100%, $E$9)</f>
        <v>4.0772000000000004</v>
      </c>
      <c r="J50" s="9">
        <f>4.0739 * CHOOSE(CONTROL!$C$32, $C$9, 100%, $E$9)</f>
        <v>4.0739000000000001</v>
      </c>
      <c r="K50" s="9">
        <f>4.0772 * CHOOSE(CONTROL!$C$32, $C$9, 100%, $E$9)</f>
        <v>4.0772000000000004</v>
      </c>
      <c r="L50" s="9">
        <f>3.7019 * CHOOSE(CONTROL!$C$32, $C$9, 100%, $E$9)</f>
        <v>3.7019000000000002</v>
      </c>
      <c r="M50" s="9">
        <f>3.7053 * CHOOSE(CONTROL!$C$32, $C$9, 100%, $E$9)</f>
        <v>3.7052999999999998</v>
      </c>
      <c r="N50" s="9">
        <f>3.7019 * CHOOSE(CONTROL!$C$32, $C$9, 100%, $E$9)</f>
        <v>3.7019000000000002</v>
      </c>
      <c r="O50" s="9">
        <f>3.7053 * CHOOSE(CONTROL!$C$32, $C$9, 100%, $E$9)</f>
        <v>3.7052999999999998</v>
      </c>
      <c r="P50" s="17"/>
      <c r="Q50" s="9"/>
      <c r="R50" s="9"/>
    </row>
    <row r="51" spans="1:18" ht="15" x14ac:dyDescent="0.2">
      <c r="A51" s="16">
        <v>42401</v>
      </c>
      <c r="B51" s="10">
        <f>2.5887 * CHOOSE(CONTROL!$C$32, $C$9, 100%, $E$9)</f>
        <v>2.5886999999999998</v>
      </c>
      <c r="C51" s="10">
        <f>2.5887 * CHOOSE(CONTROL!$C$32, $C$9, 100%, $E$9)</f>
        <v>2.5886999999999998</v>
      </c>
      <c r="D51" s="10">
        <f>2.5897 * CHOOSE(CONTROL!$C$32, $C$9, 100%, $E$9)</f>
        <v>2.5897000000000001</v>
      </c>
      <c r="E51" s="9">
        <f>3.7019 * CHOOSE(CONTROL!$C$32, $C$9, 100%, $E$9)</f>
        <v>3.7019000000000002</v>
      </c>
      <c r="F51" s="9">
        <f>3.6856 * CHOOSE(CONTROL!$C$32, $C$9, 100%, $E$9)</f>
        <v>3.6856</v>
      </c>
      <c r="G51" s="9">
        <f>3.689 * CHOOSE(CONTROL!$C$32, $C$9, 100%, $E$9)</f>
        <v>3.6890000000000001</v>
      </c>
      <c r="H51" s="9">
        <f>4.0719 * CHOOSE(CONTROL!$C$32, $C$9, 100%, $E$9)</f>
        <v>4.0719000000000003</v>
      </c>
      <c r="I51" s="9">
        <f>4.0752 * CHOOSE(CONTROL!$C$32, $C$9, 100%, $E$9)</f>
        <v>4.0751999999999997</v>
      </c>
      <c r="J51" s="9">
        <f>4.0719 * CHOOSE(CONTROL!$C$32, $C$9, 100%, $E$9)</f>
        <v>4.0719000000000003</v>
      </c>
      <c r="K51" s="9">
        <f>4.0752 * CHOOSE(CONTROL!$C$32, $C$9, 100%, $E$9)</f>
        <v>4.0751999999999997</v>
      </c>
      <c r="L51" s="9">
        <f>3.7019 * CHOOSE(CONTROL!$C$32, $C$9, 100%, $E$9)</f>
        <v>3.7019000000000002</v>
      </c>
      <c r="M51" s="9">
        <f>3.7053 * CHOOSE(CONTROL!$C$32, $C$9, 100%, $E$9)</f>
        <v>3.7052999999999998</v>
      </c>
      <c r="N51" s="9">
        <f>3.7019 * CHOOSE(CONTROL!$C$32, $C$9, 100%, $E$9)</f>
        <v>3.7019000000000002</v>
      </c>
      <c r="O51" s="9">
        <f>3.7053 * CHOOSE(CONTROL!$C$32, $C$9, 100%, $E$9)</f>
        <v>3.7052999999999998</v>
      </c>
      <c r="P51" s="17"/>
      <c r="Q51" s="9"/>
      <c r="R51" s="9"/>
    </row>
    <row r="52" spans="1:18" ht="15" x14ac:dyDescent="0.2">
      <c r="A52" s="16">
        <v>42430</v>
      </c>
      <c r="B52" s="10">
        <f>2.5855 * CHOOSE(CONTROL!$C$32, $C$9, 100%, $E$9)</f>
        <v>2.5855000000000001</v>
      </c>
      <c r="C52" s="10">
        <f>2.5855 * CHOOSE(CONTROL!$C$32, $C$9, 100%, $E$9)</f>
        <v>2.5855000000000001</v>
      </c>
      <c r="D52" s="10">
        <f>2.5865 * CHOOSE(CONTROL!$C$32, $C$9, 100%, $E$9)</f>
        <v>2.5865</v>
      </c>
      <c r="E52" s="9">
        <f>3.7019 * CHOOSE(CONTROL!$C$32, $C$9, 100%, $E$9)</f>
        <v>3.7019000000000002</v>
      </c>
      <c r="F52" s="9">
        <f>3.6856 * CHOOSE(CONTROL!$C$32, $C$9, 100%, $E$9)</f>
        <v>3.6856</v>
      </c>
      <c r="G52" s="9">
        <f>3.689 * CHOOSE(CONTROL!$C$32, $C$9, 100%, $E$9)</f>
        <v>3.6890000000000001</v>
      </c>
      <c r="H52" s="9">
        <f>4.0699 * CHOOSE(CONTROL!$C$32, $C$9, 100%, $E$9)</f>
        <v>4.0698999999999996</v>
      </c>
      <c r="I52" s="9">
        <f>4.0732 * CHOOSE(CONTROL!$C$32, $C$9, 100%, $E$9)</f>
        <v>4.0731999999999999</v>
      </c>
      <c r="J52" s="9">
        <f>4.0699 * CHOOSE(CONTROL!$C$32, $C$9, 100%, $E$9)</f>
        <v>4.0698999999999996</v>
      </c>
      <c r="K52" s="9">
        <f>4.0732 * CHOOSE(CONTROL!$C$32, $C$9, 100%, $E$9)</f>
        <v>4.0731999999999999</v>
      </c>
      <c r="L52" s="9">
        <f>3.7019 * CHOOSE(CONTROL!$C$32, $C$9, 100%, $E$9)</f>
        <v>3.7019000000000002</v>
      </c>
      <c r="M52" s="9">
        <f>3.7053 * CHOOSE(CONTROL!$C$32, $C$9, 100%, $E$9)</f>
        <v>3.7052999999999998</v>
      </c>
      <c r="N52" s="9">
        <f>3.7019 * CHOOSE(CONTROL!$C$32, $C$9, 100%, $E$9)</f>
        <v>3.7019000000000002</v>
      </c>
      <c r="O52" s="9">
        <f>3.7053 * CHOOSE(CONTROL!$C$32, $C$9, 100%, $E$9)</f>
        <v>3.7052999999999998</v>
      </c>
      <c r="P52" s="17"/>
      <c r="Q52" s="9"/>
      <c r="R52" s="9"/>
    </row>
    <row r="53" spans="1:18" ht="15" x14ac:dyDescent="0.2">
      <c r="A53" s="16">
        <v>42461</v>
      </c>
      <c r="B53" s="10">
        <f>2.5794 * CHOOSE(CONTROL!$C$32, $C$9, 100%, $E$9)</f>
        <v>2.5794000000000001</v>
      </c>
      <c r="C53" s="10">
        <f>2.5794 * CHOOSE(CONTROL!$C$32, $C$9, 100%, $E$9)</f>
        <v>2.5794000000000001</v>
      </c>
      <c r="D53" s="10">
        <f>2.5804 * CHOOSE(CONTROL!$C$32, $C$9, 100%, $E$9)</f>
        <v>2.5804</v>
      </c>
      <c r="E53" s="9">
        <f>3.7019 * CHOOSE(CONTROL!$C$32, $C$9, 100%, $E$9)</f>
        <v>3.7019000000000002</v>
      </c>
      <c r="F53" s="9">
        <f>3.6856 * CHOOSE(CONTROL!$C$32, $C$9, 100%, $E$9)</f>
        <v>3.6856</v>
      </c>
      <c r="G53" s="9">
        <f>3.689 * CHOOSE(CONTROL!$C$32, $C$9, 100%, $E$9)</f>
        <v>3.6890000000000001</v>
      </c>
      <c r="H53" s="9">
        <f>4.0678 * CHOOSE(CONTROL!$C$32, $C$9, 100%, $E$9)</f>
        <v>4.0678000000000001</v>
      </c>
      <c r="I53" s="9">
        <f>4.0712 * CHOOSE(CONTROL!$C$32, $C$9, 100%, $E$9)</f>
        <v>4.0712000000000002</v>
      </c>
      <c r="J53" s="9">
        <f>4.0678 * CHOOSE(CONTROL!$C$32, $C$9, 100%, $E$9)</f>
        <v>4.0678000000000001</v>
      </c>
      <c r="K53" s="9">
        <f>4.0712 * CHOOSE(CONTROL!$C$32, $C$9, 100%, $E$9)</f>
        <v>4.0712000000000002</v>
      </c>
      <c r="L53" s="9">
        <f>3.7019 * CHOOSE(CONTROL!$C$32, $C$9, 100%, $E$9)</f>
        <v>3.7019000000000002</v>
      </c>
      <c r="M53" s="9">
        <f>3.7053 * CHOOSE(CONTROL!$C$32, $C$9, 100%, $E$9)</f>
        <v>3.7052999999999998</v>
      </c>
      <c r="N53" s="9">
        <f>3.7019 * CHOOSE(CONTROL!$C$32, $C$9, 100%, $E$9)</f>
        <v>3.7019000000000002</v>
      </c>
      <c r="O53" s="9">
        <f>3.7053 * CHOOSE(CONTROL!$C$32, $C$9, 100%, $E$9)</f>
        <v>3.7052999999999998</v>
      </c>
      <c r="P53" s="17"/>
      <c r="Q53" s="9"/>
      <c r="R53" s="9"/>
    </row>
    <row r="54" spans="1:18" ht="15" x14ac:dyDescent="0.2">
      <c r="A54" s="16">
        <v>42491</v>
      </c>
      <c r="B54" s="10">
        <f>2.5842 * CHOOSE(CONTROL!$C$32, $C$9, 100%, $E$9)</f>
        <v>2.5842000000000001</v>
      </c>
      <c r="C54" s="10">
        <f>2.5842 * CHOOSE(CONTROL!$C$32, $C$9, 100%, $E$9)</f>
        <v>2.5842000000000001</v>
      </c>
      <c r="D54" s="10">
        <f>2.5855 * CHOOSE(CONTROL!$C$32, $C$9, 100%, $E$9)</f>
        <v>2.5855000000000001</v>
      </c>
      <c r="E54" s="9">
        <f>3.7019 * CHOOSE(CONTROL!$C$32, $C$9, 100%, $E$9)</f>
        <v>3.7019000000000002</v>
      </c>
      <c r="F54" s="9">
        <f>3.6856 * CHOOSE(CONTROL!$C$32, $C$9, 100%, $E$9)</f>
        <v>3.6856</v>
      </c>
      <c r="G54" s="9">
        <f>3.69 * CHOOSE(CONTROL!$C$32, $C$9, 100%, $E$9)</f>
        <v>3.69</v>
      </c>
      <c r="H54" s="9">
        <f>4.0678 * CHOOSE(CONTROL!$C$32, $C$9, 100%, $E$9)</f>
        <v>4.0678000000000001</v>
      </c>
      <c r="I54" s="9">
        <f>4.0722 * CHOOSE(CONTROL!$C$32, $C$9, 100%, $E$9)</f>
        <v>4.0721999999999996</v>
      </c>
      <c r="J54" s="9">
        <f>4.0678 * CHOOSE(CONTROL!$C$32, $C$9, 100%, $E$9)</f>
        <v>4.0678000000000001</v>
      </c>
      <c r="K54" s="9">
        <f>4.0722 * CHOOSE(CONTROL!$C$32, $C$9, 100%, $E$9)</f>
        <v>4.0721999999999996</v>
      </c>
      <c r="L54" s="9">
        <f>3.7019 * CHOOSE(CONTROL!$C$32, $C$9, 100%, $E$9)</f>
        <v>3.7019000000000002</v>
      </c>
      <c r="M54" s="9">
        <f>3.7063 * CHOOSE(CONTROL!$C$32, $C$9, 100%, $E$9)</f>
        <v>3.7063000000000001</v>
      </c>
      <c r="N54" s="9">
        <f>3.7019 * CHOOSE(CONTROL!$C$32, $C$9, 100%, $E$9)</f>
        <v>3.7019000000000002</v>
      </c>
      <c r="O54" s="9">
        <f>3.7063 * CHOOSE(CONTROL!$C$32, $C$9, 100%, $E$9)</f>
        <v>3.7063000000000001</v>
      </c>
      <c r="P54" s="17"/>
      <c r="Q54" s="9"/>
      <c r="R54" s="9"/>
    </row>
    <row r="55" spans="1:18" ht="15" x14ac:dyDescent="0.2">
      <c r="A55" s="16">
        <v>42522</v>
      </c>
      <c r="B55" s="10">
        <f>2.59 * CHOOSE(CONTROL!$C$32, $C$9, 100%, $E$9)</f>
        <v>2.59</v>
      </c>
      <c r="C55" s="10">
        <f>2.59 * CHOOSE(CONTROL!$C$32, $C$9, 100%, $E$9)</f>
        <v>2.59</v>
      </c>
      <c r="D55" s="10">
        <f>2.5913 * CHOOSE(CONTROL!$C$32, $C$9, 100%, $E$9)</f>
        <v>2.5912999999999999</v>
      </c>
      <c r="E55" s="9">
        <f>3.7019 * CHOOSE(CONTROL!$C$32, $C$9, 100%, $E$9)</f>
        <v>3.7019000000000002</v>
      </c>
      <c r="F55" s="9">
        <f>3.6856 * CHOOSE(CONTROL!$C$32, $C$9, 100%, $E$9)</f>
        <v>3.6856</v>
      </c>
      <c r="G55" s="9">
        <f>3.69 * CHOOSE(CONTROL!$C$32, $C$9, 100%, $E$9)</f>
        <v>3.69</v>
      </c>
      <c r="H55" s="9">
        <f>4.0718 * CHOOSE(CONTROL!$C$32, $C$9, 100%, $E$9)</f>
        <v>4.0717999999999996</v>
      </c>
      <c r="I55" s="9">
        <f>4.0762 * CHOOSE(CONTROL!$C$32, $C$9, 100%, $E$9)</f>
        <v>4.0762</v>
      </c>
      <c r="J55" s="9">
        <f>4.0718 * CHOOSE(CONTROL!$C$32, $C$9, 100%, $E$9)</f>
        <v>4.0717999999999996</v>
      </c>
      <c r="K55" s="9">
        <f>4.0762 * CHOOSE(CONTROL!$C$32, $C$9, 100%, $E$9)</f>
        <v>4.0762</v>
      </c>
      <c r="L55" s="9">
        <f>3.7019 * CHOOSE(CONTROL!$C$32, $C$9, 100%, $E$9)</f>
        <v>3.7019000000000002</v>
      </c>
      <c r="M55" s="9">
        <f>3.7063 * CHOOSE(CONTROL!$C$32, $C$9, 100%, $E$9)</f>
        <v>3.7063000000000001</v>
      </c>
      <c r="N55" s="9">
        <f>3.7019 * CHOOSE(CONTROL!$C$32, $C$9, 100%, $E$9)</f>
        <v>3.7019000000000002</v>
      </c>
      <c r="O55" s="9">
        <f>3.7063 * CHOOSE(CONTROL!$C$32, $C$9, 100%, $E$9)</f>
        <v>3.7063000000000001</v>
      </c>
      <c r="P55" s="17"/>
      <c r="Q55" s="9"/>
      <c r="R55" s="9"/>
    </row>
    <row r="56" spans="1:18" ht="15" x14ac:dyDescent="0.2">
      <c r="A56" s="16">
        <v>42552</v>
      </c>
      <c r="B56" s="10">
        <f>2.5606 * CHOOSE(CONTROL!$C$32, $C$9, 100%, $E$9)</f>
        <v>2.5606</v>
      </c>
      <c r="C56" s="10">
        <f>2.5606 * CHOOSE(CONTROL!$C$32, $C$9, 100%, $E$9)</f>
        <v>2.5606</v>
      </c>
      <c r="D56" s="10">
        <f>2.5619 * CHOOSE(CONTROL!$C$32, $C$9, 100%, $E$9)</f>
        <v>2.5619000000000001</v>
      </c>
      <c r="E56" s="9">
        <f>3.7019 * CHOOSE(CONTROL!$C$32, $C$9, 100%, $E$9)</f>
        <v>3.7019000000000002</v>
      </c>
      <c r="F56" s="9">
        <f>3.6856 * CHOOSE(CONTROL!$C$32, $C$9, 100%, $E$9)</f>
        <v>3.6856</v>
      </c>
      <c r="G56" s="9">
        <f>3.69 * CHOOSE(CONTROL!$C$32, $C$9, 100%, $E$9)</f>
        <v>3.69</v>
      </c>
      <c r="H56" s="9">
        <f>4.1308 * CHOOSE(CONTROL!$C$32, $C$9, 100%, $E$9)</f>
        <v>4.1307999999999998</v>
      </c>
      <c r="I56" s="9">
        <f>4.1352 * CHOOSE(CONTROL!$C$32, $C$9, 100%, $E$9)</f>
        <v>4.1352000000000002</v>
      </c>
      <c r="J56" s="9">
        <f>4.1308 * CHOOSE(CONTROL!$C$32, $C$9, 100%, $E$9)</f>
        <v>4.1307999999999998</v>
      </c>
      <c r="K56" s="9">
        <f>4.1352 * CHOOSE(CONTROL!$C$32, $C$9, 100%, $E$9)</f>
        <v>4.1352000000000002</v>
      </c>
      <c r="L56" s="9">
        <f>3.7019 * CHOOSE(CONTROL!$C$32, $C$9, 100%, $E$9)</f>
        <v>3.7019000000000002</v>
      </c>
      <c r="M56" s="9">
        <f>3.7063 * CHOOSE(CONTROL!$C$32, $C$9, 100%, $E$9)</f>
        <v>3.7063000000000001</v>
      </c>
      <c r="N56" s="9">
        <f>3.7019 * CHOOSE(CONTROL!$C$32, $C$9, 100%, $E$9)</f>
        <v>3.7019000000000002</v>
      </c>
      <c r="O56" s="9">
        <f>3.7063 * CHOOSE(CONTROL!$C$32, $C$9, 100%, $E$9)</f>
        <v>3.7063000000000001</v>
      </c>
      <c r="P56" s="17"/>
      <c r="Q56" s="17"/>
      <c r="R56" s="17"/>
    </row>
    <row r="57" spans="1:18" ht="15" x14ac:dyDescent="0.2">
      <c r="A57" s="16">
        <v>42583</v>
      </c>
      <c r="B57" s="10">
        <f>2.5721 * CHOOSE(CONTROL!$C$32, $C$9, 100%, $E$9)</f>
        <v>2.5720999999999998</v>
      </c>
      <c r="C57" s="10">
        <f>2.5721 * CHOOSE(CONTROL!$C$32, $C$9, 100%, $E$9)</f>
        <v>2.5720999999999998</v>
      </c>
      <c r="D57" s="10">
        <f>2.5734 * CHOOSE(CONTROL!$C$32, $C$9, 100%, $E$9)</f>
        <v>2.5733999999999999</v>
      </c>
      <c r="E57" s="9">
        <f>3.7019 * CHOOSE(CONTROL!$C$32, $C$9, 100%, $E$9)</f>
        <v>3.7019000000000002</v>
      </c>
      <c r="F57" s="9">
        <f>3.6856 * CHOOSE(CONTROL!$C$32, $C$9, 100%, $E$9)</f>
        <v>3.6856</v>
      </c>
      <c r="G57" s="9">
        <f>3.69 * CHOOSE(CONTROL!$C$32, $C$9, 100%, $E$9)</f>
        <v>3.69</v>
      </c>
      <c r="H57" s="9">
        <f>4.1352 * CHOOSE(CONTROL!$C$32, $C$9, 100%, $E$9)</f>
        <v>4.1352000000000002</v>
      </c>
      <c r="I57" s="9">
        <f>4.1396 * CHOOSE(CONTROL!$C$32, $C$9, 100%, $E$9)</f>
        <v>4.1395999999999997</v>
      </c>
      <c r="J57" s="9">
        <f>4.1352 * CHOOSE(CONTROL!$C$32, $C$9, 100%, $E$9)</f>
        <v>4.1352000000000002</v>
      </c>
      <c r="K57" s="9">
        <f>4.1396 * CHOOSE(CONTROL!$C$32, $C$9, 100%, $E$9)</f>
        <v>4.1395999999999997</v>
      </c>
      <c r="L57" s="9">
        <f>3.7019 * CHOOSE(CONTROL!$C$32, $C$9, 100%, $E$9)</f>
        <v>3.7019000000000002</v>
      </c>
      <c r="M57" s="9">
        <f>3.7063 * CHOOSE(CONTROL!$C$32, $C$9, 100%, $E$9)</f>
        <v>3.7063000000000001</v>
      </c>
      <c r="N57" s="9">
        <f>3.7019 * CHOOSE(CONTROL!$C$32, $C$9, 100%, $E$9)</f>
        <v>3.7019000000000002</v>
      </c>
      <c r="O57" s="9">
        <f>3.7063 * CHOOSE(CONTROL!$C$32, $C$9, 100%, $E$9)</f>
        <v>3.7063000000000001</v>
      </c>
      <c r="P57" s="17"/>
      <c r="Q57" s="17"/>
      <c r="R57" s="17"/>
    </row>
    <row r="58" spans="1:18" ht="15" x14ac:dyDescent="0.2">
      <c r="A58" s="16">
        <v>42614</v>
      </c>
      <c r="B58" s="10">
        <f>2.5688 * CHOOSE(CONTROL!$C$32, $C$9, 100%, $E$9)</f>
        <v>2.5688</v>
      </c>
      <c r="C58" s="10">
        <f>2.5688 * CHOOSE(CONTROL!$C$32, $C$9, 100%, $E$9)</f>
        <v>2.5688</v>
      </c>
      <c r="D58" s="10">
        <f>2.5701 * CHOOSE(CONTROL!$C$32, $C$9, 100%, $E$9)</f>
        <v>2.5701000000000001</v>
      </c>
      <c r="E58" s="9">
        <f>3.7019 * CHOOSE(CONTROL!$C$32, $C$9, 100%, $E$9)</f>
        <v>3.7019000000000002</v>
      </c>
      <c r="F58" s="9">
        <f>3.6856 * CHOOSE(CONTROL!$C$32, $C$9, 100%, $E$9)</f>
        <v>3.6856</v>
      </c>
      <c r="G58" s="9">
        <f>3.69 * CHOOSE(CONTROL!$C$32, $C$9, 100%, $E$9)</f>
        <v>3.69</v>
      </c>
      <c r="H58" s="9">
        <f>4.1332 * CHOOSE(CONTROL!$C$32, $C$9, 100%, $E$9)</f>
        <v>4.1332000000000004</v>
      </c>
      <c r="I58" s="9">
        <f>4.1376 * CHOOSE(CONTROL!$C$32, $C$9, 100%, $E$9)</f>
        <v>4.1375999999999999</v>
      </c>
      <c r="J58" s="9">
        <f>4.1332 * CHOOSE(CONTROL!$C$32, $C$9, 100%, $E$9)</f>
        <v>4.1332000000000004</v>
      </c>
      <c r="K58" s="9">
        <f>4.1376 * CHOOSE(CONTROL!$C$32, $C$9, 100%, $E$9)</f>
        <v>4.1375999999999999</v>
      </c>
      <c r="L58" s="9">
        <f>3.7019 * CHOOSE(CONTROL!$C$32, $C$9, 100%, $E$9)</f>
        <v>3.7019000000000002</v>
      </c>
      <c r="M58" s="9">
        <f>3.7063 * CHOOSE(CONTROL!$C$32, $C$9, 100%, $E$9)</f>
        <v>3.7063000000000001</v>
      </c>
      <c r="N58" s="9">
        <f>3.7019 * CHOOSE(CONTROL!$C$32, $C$9, 100%, $E$9)</f>
        <v>3.7019000000000002</v>
      </c>
      <c r="O58" s="9">
        <f>3.7063 * CHOOSE(CONTROL!$C$32, $C$9, 100%, $E$9)</f>
        <v>3.7063000000000001</v>
      </c>
      <c r="P58" s="17"/>
      <c r="Q58" s="17"/>
      <c r="R58" s="17"/>
    </row>
    <row r="59" spans="1:18" ht="15" x14ac:dyDescent="0.2">
      <c r="A59" s="16">
        <v>42644</v>
      </c>
      <c r="B59" s="10">
        <f>2.5496 * CHOOSE(CONTROL!$C$32, $C$9, 100%, $E$9)</f>
        <v>2.5495999999999999</v>
      </c>
      <c r="C59" s="10">
        <f>2.5496 * CHOOSE(CONTROL!$C$32, $C$9, 100%, $E$9)</f>
        <v>2.5495999999999999</v>
      </c>
      <c r="D59" s="10">
        <f>2.5506 * CHOOSE(CONTROL!$C$32, $C$9, 100%, $E$9)</f>
        <v>2.5506000000000002</v>
      </c>
      <c r="E59" s="9">
        <f>3.7019 * CHOOSE(CONTROL!$C$32, $C$9, 100%, $E$9)</f>
        <v>3.7019000000000002</v>
      </c>
      <c r="F59" s="9">
        <f>3.6856 * CHOOSE(CONTROL!$C$32, $C$9, 100%, $E$9)</f>
        <v>3.6856</v>
      </c>
      <c r="G59" s="9">
        <f>3.689 * CHOOSE(CONTROL!$C$32, $C$9, 100%, $E$9)</f>
        <v>3.6890000000000001</v>
      </c>
      <c r="H59" s="9">
        <f>4.1283 * CHOOSE(CONTROL!$C$32, $C$9, 100%, $E$9)</f>
        <v>4.1283000000000003</v>
      </c>
      <c r="I59" s="9">
        <f>4.1317 * CHOOSE(CONTROL!$C$32, $C$9, 100%, $E$9)</f>
        <v>4.1317000000000004</v>
      </c>
      <c r="J59" s="9">
        <f>4.1283 * CHOOSE(CONTROL!$C$32, $C$9, 100%, $E$9)</f>
        <v>4.1283000000000003</v>
      </c>
      <c r="K59" s="9">
        <f>4.1317 * CHOOSE(CONTROL!$C$32, $C$9, 100%, $E$9)</f>
        <v>4.1317000000000004</v>
      </c>
      <c r="L59" s="9">
        <f>3.7019 * CHOOSE(CONTROL!$C$32, $C$9, 100%, $E$9)</f>
        <v>3.7019000000000002</v>
      </c>
      <c r="M59" s="9">
        <f>3.7053 * CHOOSE(CONTROL!$C$32, $C$9, 100%, $E$9)</f>
        <v>3.7052999999999998</v>
      </c>
      <c r="N59" s="9">
        <f>3.7019 * CHOOSE(CONTROL!$C$32, $C$9, 100%, $E$9)</f>
        <v>3.7019000000000002</v>
      </c>
      <c r="O59" s="9">
        <f>3.7053 * CHOOSE(CONTROL!$C$32, $C$9, 100%, $E$9)</f>
        <v>3.7052999999999998</v>
      </c>
      <c r="P59" s="17"/>
      <c r="Q59" s="17"/>
      <c r="R59" s="17"/>
    </row>
    <row r="60" spans="1:18" ht="15" x14ac:dyDescent="0.2">
      <c r="A60" s="16">
        <v>42675</v>
      </c>
      <c r="B60" s="10">
        <f>2.5575 * CHOOSE(CONTROL!$C$32, $C$9, 100%, $E$9)</f>
        <v>2.5575000000000001</v>
      </c>
      <c r="C60" s="10">
        <f>2.5575 * CHOOSE(CONTROL!$C$32, $C$9, 100%, $E$9)</f>
        <v>2.5575000000000001</v>
      </c>
      <c r="D60" s="10">
        <f>2.5585 * CHOOSE(CONTROL!$C$32, $C$9, 100%, $E$9)</f>
        <v>2.5585</v>
      </c>
      <c r="E60" s="9">
        <f>3.7019 * CHOOSE(CONTROL!$C$32, $C$9, 100%, $E$9)</f>
        <v>3.7019000000000002</v>
      </c>
      <c r="F60" s="9">
        <f>3.6856 * CHOOSE(CONTROL!$C$32, $C$9, 100%, $E$9)</f>
        <v>3.6856</v>
      </c>
      <c r="G60" s="9">
        <f>3.689 * CHOOSE(CONTROL!$C$32, $C$9, 100%, $E$9)</f>
        <v>3.6890000000000001</v>
      </c>
      <c r="H60" s="9">
        <f>4.1303 * CHOOSE(CONTROL!$C$32, $C$9, 100%, $E$9)</f>
        <v>4.1303000000000001</v>
      </c>
      <c r="I60" s="9">
        <f>4.1337 * CHOOSE(CONTROL!$C$32, $C$9, 100%, $E$9)</f>
        <v>4.1337000000000002</v>
      </c>
      <c r="J60" s="9">
        <f>4.1303 * CHOOSE(CONTROL!$C$32, $C$9, 100%, $E$9)</f>
        <v>4.1303000000000001</v>
      </c>
      <c r="K60" s="9">
        <f>4.1337 * CHOOSE(CONTROL!$C$32, $C$9, 100%, $E$9)</f>
        <v>4.1337000000000002</v>
      </c>
      <c r="L60" s="9">
        <f>3.7019 * CHOOSE(CONTROL!$C$32, $C$9, 100%, $E$9)</f>
        <v>3.7019000000000002</v>
      </c>
      <c r="M60" s="9">
        <f>3.7053 * CHOOSE(CONTROL!$C$32, $C$9, 100%, $E$9)</f>
        <v>3.7052999999999998</v>
      </c>
      <c r="N60" s="9">
        <f>3.7019 * CHOOSE(CONTROL!$C$32, $C$9, 100%, $E$9)</f>
        <v>3.7019000000000002</v>
      </c>
      <c r="O60" s="9">
        <f>3.7053 * CHOOSE(CONTROL!$C$32, $C$9, 100%, $E$9)</f>
        <v>3.7052999999999998</v>
      </c>
      <c r="P60" s="17"/>
      <c r="Q60" s="17"/>
      <c r="R60" s="17"/>
    </row>
    <row r="61" spans="1:18" ht="15" x14ac:dyDescent="0.2">
      <c r="A61" s="16">
        <v>42705</v>
      </c>
      <c r="B61" s="10">
        <f>2.5572 * CHOOSE(CONTROL!$C$32, $C$9, 100%, $E$9)</f>
        <v>2.5571999999999999</v>
      </c>
      <c r="C61" s="10">
        <f>2.5572 * CHOOSE(CONTROL!$C$32, $C$9, 100%, $E$9)</f>
        <v>2.5571999999999999</v>
      </c>
      <c r="D61" s="10">
        <f>2.5582 * CHOOSE(CONTROL!$C$32, $C$9, 100%, $E$9)</f>
        <v>2.5581999999999998</v>
      </c>
      <c r="E61" s="9">
        <f>3.7019 * CHOOSE(CONTROL!$C$32, $C$9, 100%, $E$9)</f>
        <v>3.7019000000000002</v>
      </c>
      <c r="F61" s="9">
        <f>3.6856 * CHOOSE(CONTROL!$C$32, $C$9, 100%, $E$9)</f>
        <v>3.6856</v>
      </c>
      <c r="G61" s="9">
        <f>3.689 * CHOOSE(CONTROL!$C$32, $C$9, 100%, $E$9)</f>
        <v>3.6890000000000001</v>
      </c>
      <c r="H61" s="9">
        <f>4.1303 * CHOOSE(CONTROL!$C$32, $C$9, 100%, $E$9)</f>
        <v>4.1303000000000001</v>
      </c>
      <c r="I61" s="9">
        <f>4.1337 * CHOOSE(CONTROL!$C$32, $C$9, 100%, $E$9)</f>
        <v>4.1337000000000002</v>
      </c>
      <c r="J61" s="9">
        <f>4.1303 * CHOOSE(CONTROL!$C$32, $C$9, 100%, $E$9)</f>
        <v>4.1303000000000001</v>
      </c>
      <c r="K61" s="9">
        <f>4.1337 * CHOOSE(CONTROL!$C$32, $C$9, 100%, $E$9)</f>
        <v>4.1337000000000002</v>
      </c>
      <c r="L61" s="9">
        <f>3.7019 * CHOOSE(CONTROL!$C$32, $C$9, 100%, $E$9)</f>
        <v>3.7019000000000002</v>
      </c>
      <c r="M61" s="9">
        <f>3.7053 * CHOOSE(CONTROL!$C$32, $C$9, 100%, $E$9)</f>
        <v>3.7052999999999998</v>
      </c>
      <c r="N61" s="9">
        <f>3.7019 * CHOOSE(CONTROL!$C$32, $C$9, 100%, $E$9)</f>
        <v>3.7019000000000002</v>
      </c>
      <c r="O61" s="9">
        <f>3.7053 * CHOOSE(CONTROL!$C$32, $C$9, 100%, $E$9)</f>
        <v>3.7052999999999998</v>
      </c>
      <c r="P61" s="17"/>
      <c r="Q61" s="17"/>
      <c r="R61" s="17"/>
    </row>
    <row r="62" spans="1:18" ht="15" x14ac:dyDescent="0.2">
      <c r="A62" s="16">
        <v>42736</v>
      </c>
      <c r="B62" s="10">
        <f>2.6003 * CHOOSE(CONTROL!$C$32, $C$9, 100%, $E$9)</f>
        <v>2.6002999999999998</v>
      </c>
      <c r="C62" s="10">
        <f>2.6003 * CHOOSE(CONTROL!$C$32, $C$9, 100%, $E$9)</f>
        <v>2.6002999999999998</v>
      </c>
      <c r="D62" s="10">
        <f>2.6013 * CHOOSE(CONTROL!$C$32, $C$9, 100%, $E$9)</f>
        <v>2.6013000000000002</v>
      </c>
      <c r="E62" s="9">
        <f>3.7587 * CHOOSE(CONTROL!$C$32, $C$9, 100%, $E$9)</f>
        <v>3.7587000000000002</v>
      </c>
      <c r="F62" s="9">
        <f>3.7587 * CHOOSE(CONTROL!$C$32, $C$9, 100%, $E$9)</f>
        <v>3.7587000000000002</v>
      </c>
      <c r="G62" s="9">
        <f>3.7621 * CHOOSE(CONTROL!$C$32, $C$9, 100%, $E$9)</f>
        <v>3.7621000000000002</v>
      </c>
      <c r="H62" s="9">
        <f>4.1828 * CHOOSE(CONTROL!$C$32, $C$9, 100%, $E$9)</f>
        <v>4.1828000000000003</v>
      </c>
      <c r="I62" s="9">
        <f>4.1862 * CHOOSE(CONTROL!$C$32, $C$9, 100%, $E$9)</f>
        <v>4.1862000000000004</v>
      </c>
      <c r="J62" s="9">
        <f>4.1828 * CHOOSE(CONTROL!$C$32, $C$9, 100%, $E$9)</f>
        <v>4.1828000000000003</v>
      </c>
      <c r="K62" s="9">
        <f>4.1862 * CHOOSE(CONTROL!$C$32, $C$9, 100%, $E$9)</f>
        <v>4.1862000000000004</v>
      </c>
      <c r="L62" s="9">
        <f>3.7587 * CHOOSE(CONTROL!$C$32, $C$9, 100%, $E$9)</f>
        <v>3.7587000000000002</v>
      </c>
      <c r="M62" s="9">
        <f>3.7621 * CHOOSE(CONTROL!$C$32, $C$9, 100%, $E$9)</f>
        <v>3.7621000000000002</v>
      </c>
      <c r="N62" s="9">
        <f>3.7587 * CHOOSE(CONTROL!$C$32, $C$9, 100%, $E$9)</f>
        <v>3.7587000000000002</v>
      </c>
      <c r="O62" s="9">
        <f>3.7621 * CHOOSE(CONTROL!$C$32, $C$9, 100%, $E$9)</f>
        <v>3.7621000000000002</v>
      </c>
      <c r="P62" s="17"/>
      <c r="Q62" s="17"/>
      <c r="R62" s="17"/>
    </row>
    <row r="63" spans="1:18" ht="15" x14ac:dyDescent="0.2">
      <c r="A63" s="16">
        <v>42767</v>
      </c>
      <c r="B63" s="10">
        <f>2.6023 * CHOOSE(CONTROL!$C$32, $C$9, 100%, $E$9)</f>
        <v>2.6023000000000001</v>
      </c>
      <c r="C63" s="10">
        <f>2.6023 * CHOOSE(CONTROL!$C$32, $C$9, 100%, $E$9)</f>
        <v>2.6023000000000001</v>
      </c>
      <c r="D63" s="10">
        <f>2.6034 * CHOOSE(CONTROL!$C$32, $C$9, 100%, $E$9)</f>
        <v>2.6034000000000002</v>
      </c>
      <c r="E63" s="9">
        <f>3.7567 * CHOOSE(CONTROL!$C$32, $C$9, 100%, $E$9)</f>
        <v>3.7566999999999999</v>
      </c>
      <c r="F63" s="9">
        <f>3.7567 * CHOOSE(CONTROL!$C$32, $C$9, 100%, $E$9)</f>
        <v>3.7566999999999999</v>
      </c>
      <c r="G63" s="9">
        <f>3.7601 * CHOOSE(CONTROL!$C$32, $C$9, 100%, $E$9)</f>
        <v>3.7601</v>
      </c>
      <c r="H63" s="9">
        <f>4.1808 * CHOOSE(CONTROL!$C$32, $C$9, 100%, $E$9)</f>
        <v>4.1807999999999996</v>
      </c>
      <c r="I63" s="9">
        <f>4.1842 * CHOOSE(CONTROL!$C$32, $C$9, 100%, $E$9)</f>
        <v>4.1841999999999997</v>
      </c>
      <c r="J63" s="9">
        <f>4.1808 * CHOOSE(CONTROL!$C$32, $C$9, 100%, $E$9)</f>
        <v>4.1807999999999996</v>
      </c>
      <c r="K63" s="9">
        <f>4.1842 * CHOOSE(CONTROL!$C$32, $C$9, 100%, $E$9)</f>
        <v>4.1841999999999997</v>
      </c>
      <c r="L63" s="9">
        <f>3.7567 * CHOOSE(CONTROL!$C$32, $C$9, 100%, $E$9)</f>
        <v>3.7566999999999999</v>
      </c>
      <c r="M63" s="9">
        <f>3.7601 * CHOOSE(CONTROL!$C$32, $C$9, 100%, $E$9)</f>
        <v>3.7601</v>
      </c>
      <c r="N63" s="9">
        <f>3.7567 * CHOOSE(CONTROL!$C$32, $C$9, 100%, $E$9)</f>
        <v>3.7566999999999999</v>
      </c>
      <c r="O63" s="9">
        <f>3.7601 * CHOOSE(CONTROL!$C$32, $C$9, 100%, $E$9)</f>
        <v>3.7601</v>
      </c>
      <c r="P63" s="17"/>
      <c r="Q63" s="17"/>
      <c r="R63" s="17"/>
    </row>
    <row r="64" spans="1:18" ht="15" x14ac:dyDescent="0.2">
      <c r="A64" s="16">
        <v>42795</v>
      </c>
      <c r="B64" s="10">
        <f>2.5991 * CHOOSE(CONTROL!$C$32, $C$9, 100%, $E$9)</f>
        <v>2.5991</v>
      </c>
      <c r="C64" s="10">
        <f>2.5991 * CHOOSE(CONTROL!$C$32, $C$9, 100%, $E$9)</f>
        <v>2.5991</v>
      </c>
      <c r="D64" s="10">
        <f>2.6001 * CHOOSE(CONTROL!$C$32, $C$9, 100%, $E$9)</f>
        <v>2.6000999999999999</v>
      </c>
      <c r="E64" s="9">
        <f>3.7547 * CHOOSE(CONTROL!$C$32, $C$9, 100%, $E$9)</f>
        <v>3.7547000000000001</v>
      </c>
      <c r="F64" s="9">
        <f>3.7547 * CHOOSE(CONTROL!$C$32, $C$9, 100%, $E$9)</f>
        <v>3.7547000000000001</v>
      </c>
      <c r="G64" s="9">
        <f>3.7581 * CHOOSE(CONTROL!$C$32, $C$9, 100%, $E$9)</f>
        <v>3.7581000000000002</v>
      </c>
      <c r="H64" s="9">
        <f>4.1788 * CHOOSE(CONTROL!$C$32, $C$9, 100%, $E$9)</f>
        <v>4.1787999999999998</v>
      </c>
      <c r="I64" s="9">
        <f>4.1822 * CHOOSE(CONTROL!$C$32, $C$9, 100%, $E$9)</f>
        <v>4.1821999999999999</v>
      </c>
      <c r="J64" s="9">
        <f>4.1788 * CHOOSE(CONTROL!$C$32, $C$9, 100%, $E$9)</f>
        <v>4.1787999999999998</v>
      </c>
      <c r="K64" s="9">
        <f>4.1822 * CHOOSE(CONTROL!$C$32, $C$9, 100%, $E$9)</f>
        <v>4.1821999999999999</v>
      </c>
      <c r="L64" s="9">
        <f>3.7547 * CHOOSE(CONTROL!$C$32, $C$9, 100%, $E$9)</f>
        <v>3.7547000000000001</v>
      </c>
      <c r="M64" s="9">
        <f>3.7581 * CHOOSE(CONTROL!$C$32, $C$9, 100%, $E$9)</f>
        <v>3.7581000000000002</v>
      </c>
      <c r="N64" s="9">
        <f>3.7547 * CHOOSE(CONTROL!$C$32, $C$9, 100%, $E$9)</f>
        <v>3.7547000000000001</v>
      </c>
      <c r="O64" s="9">
        <f>3.7581 * CHOOSE(CONTROL!$C$32, $C$9, 100%, $E$9)</f>
        <v>3.7581000000000002</v>
      </c>
      <c r="P64" s="17"/>
      <c r="Q64" s="17"/>
      <c r="R64" s="17"/>
    </row>
    <row r="65" spans="1:18" ht="15" x14ac:dyDescent="0.2">
      <c r="A65" s="16">
        <v>42826</v>
      </c>
      <c r="B65" s="10">
        <f>2.593 * CHOOSE(CONTROL!$C$32, $C$9, 100%, $E$9)</f>
        <v>2.593</v>
      </c>
      <c r="C65" s="10">
        <f>2.593 * CHOOSE(CONTROL!$C$32, $C$9, 100%, $E$9)</f>
        <v>2.593</v>
      </c>
      <c r="D65" s="10">
        <f>2.594 * CHOOSE(CONTROL!$C$32, $C$9, 100%, $E$9)</f>
        <v>2.5939999999999999</v>
      </c>
      <c r="E65" s="9">
        <f>3.7522 * CHOOSE(CONTROL!$C$32, $C$9, 100%, $E$9)</f>
        <v>3.7522000000000002</v>
      </c>
      <c r="F65" s="9">
        <f>3.7522 * CHOOSE(CONTROL!$C$32, $C$9, 100%, $E$9)</f>
        <v>3.7522000000000002</v>
      </c>
      <c r="G65" s="9">
        <f>3.7555 * CHOOSE(CONTROL!$C$32, $C$9, 100%, $E$9)</f>
        <v>3.7555000000000001</v>
      </c>
      <c r="H65" s="9">
        <f>4.1769 * CHOOSE(CONTROL!$C$32, $C$9, 100%, $E$9)</f>
        <v>4.1768999999999998</v>
      </c>
      <c r="I65" s="9">
        <f>4.1802 * CHOOSE(CONTROL!$C$32, $C$9, 100%, $E$9)</f>
        <v>4.1802000000000001</v>
      </c>
      <c r="J65" s="9">
        <f>4.1769 * CHOOSE(CONTROL!$C$32, $C$9, 100%, $E$9)</f>
        <v>4.1768999999999998</v>
      </c>
      <c r="K65" s="9">
        <f>4.1802 * CHOOSE(CONTROL!$C$32, $C$9, 100%, $E$9)</f>
        <v>4.1802000000000001</v>
      </c>
      <c r="L65" s="9">
        <f>3.7522 * CHOOSE(CONTROL!$C$32, $C$9, 100%, $E$9)</f>
        <v>3.7522000000000002</v>
      </c>
      <c r="M65" s="9">
        <f>3.7555 * CHOOSE(CONTROL!$C$32, $C$9, 100%, $E$9)</f>
        <v>3.7555000000000001</v>
      </c>
      <c r="N65" s="9">
        <f>3.7522 * CHOOSE(CONTROL!$C$32, $C$9, 100%, $E$9)</f>
        <v>3.7522000000000002</v>
      </c>
      <c r="O65" s="9">
        <f>3.7555 * CHOOSE(CONTROL!$C$32, $C$9, 100%, $E$9)</f>
        <v>3.7555000000000001</v>
      </c>
      <c r="P65" s="17"/>
      <c r="Q65" s="17"/>
      <c r="R65" s="17"/>
    </row>
    <row r="66" spans="1:18" ht="15" x14ac:dyDescent="0.2">
      <c r="A66" s="16">
        <v>42856</v>
      </c>
      <c r="B66" s="10">
        <f>2.5979 * CHOOSE(CONTROL!$C$32, $C$9, 100%, $E$9)</f>
        <v>2.5979000000000001</v>
      </c>
      <c r="C66" s="10">
        <f>2.5979 * CHOOSE(CONTROL!$C$32, $C$9, 100%, $E$9)</f>
        <v>2.5979000000000001</v>
      </c>
      <c r="D66" s="10">
        <f>2.5992 * CHOOSE(CONTROL!$C$32, $C$9, 100%, $E$9)</f>
        <v>2.5992000000000002</v>
      </c>
      <c r="E66" s="9">
        <f>3.7522 * CHOOSE(CONTROL!$C$32, $C$9, 100%, $E$9)</f>
        <v>3.7522000000000002</v>
      </c>
      <c r="F66" s="9">
        <f>3.7522 * CHOOSE(CONTROL!$C$32, $C$9, 100%, $E$9)</f>
        <v>3.7522000000000002</v>
      </c>
      <c r="G66" s="9">
        <f>3.7565 * CHOOSE(CONTROL!$C$32, $C$9, 100%, $E$9)</f>
        <v>3.7565</v>
      </c>
      <c r="H66" s="9">
        <f>4.1769 * CHOOSE(CONTROL!$C$32, $C$9, 100%, $E$9)</f>
        <v>4.1768999999999998</v>
      </c>
      <c r="I66" s="9">
        <f>4.1812 * CHOOSE(CONTROL!$C$32, $C$9, 100%, $E$9)</f>
        <v>4.1811999999999996</v>
      </c>
      <c r="J66" s="9">
        <f>4.1769 * CHOOSE(CONTROL!$C$32, $C$9, 100%, $E$9)</f>
        <v>4.1768999999999998</v>
      </c>
      <c r="K66" s="9">
        <f>4.1812 * CHOOSE(CONTROL!$C$32, $C$9, 100%, $E$9)</f>
        <v>4.1811999999999996</v>
      </c>
      <c r="L66" s="9">
        <f>3.7522 * CHOOSE(CONTROL!$C$32, $C$9, 100%, $E$9)</f>
        <v>3.7522000000000002</v>
      </c>
      <c r="M66" s="9">
        <f>3.7565 * CHOOSE(CONTROL!$C$32, $C$9, 100%, $E$9)</f>
        <v>3.7565</v>
      </c>
      <c r="N66" s="9">
        <f>3.7522 * CHOOSE(CONTROL!$C$32, $C$9, 100%, $E$9)</f>
        <v>3.7522000000000002</v>
      </c>
      <c r="O66" s="9">
        <f>3.7565 * CHOOSE(CONTROL!$C$32, $C$9, 100%, $E$9)</f>
        <v>3.7565</v>
      </c>
      <c r="P66" s="17"/>
      <c r="Q66" s="17"/>
      <c r="R66" s="17"/>
    </row>
    <row r="67" spans="1:18" ht="15" x14ac:dyDescent="0.2">
      <c r="A67" s="16">
        <v>42887</v>
      </c>
      <c r="B67" s="10">
        <f>2.6037 * CHOOSE(CONTROL!$C$32, $C$9, 100%, $E$9)</f>
        <v>2.6036999999999999</v>
      </c>
      <c r="C67" s="10">
        <f>2.6037 * CHOOSE(CONTROL!$C$32, $C$9, 100%, $E$9)</f>
        <v>2.6036999999999999</v>
      </c>
      <c r="D67" s="10">
        <f>2.605 * CHOOSE(CONTROL!$C$32, $C$9, 100%, $E$9)</f>
        <v>2.605</v>
      </c>
      <c r="E67" s="9">
        <f>3.7562 * CHOOSE(CONTROL!$C$32, $C$9, 100%, $E$9)</f>
        <v>3.7562000000000002</v>
      </c>
      <c r="F67" s="9">
        <f>3.7562 * CHOOSE(CONTROL!$C$32, $C$9, 100%, $E$9)</f>
        <v>3.7562000000000002</v>
      </c>
      <c r="G67" s="9">
        <f>3.7605 * CHOOSE(CONTROL!$C$32, $C$9, 100%, $E$9)</f>
        <v>3.7605</v>
      </c>
      <c r="H67" s="9">
        <f>4.1809 * CHOOSE(CONTROL!$C$32, $C$9, 100%, $E$9)</f>
        <v>4.1809000000000003</v>
      </c>
      <c r="I67" s="9">
        <f>4.1852 * CHOOSE(CONTROL!$C$32, $C$9, 100%, $E$9)</f>
        <v>4.1852</v>
      </c>
      <c r="J67" s="9">
        <f>4.1809 * CHOOSE(CONTROL!$C$32, $C$9, 100%, $E$9)</f>
        <v>4.1809000000000003</v>
      </c>
      <c r="K67" s="9">
        <f>4.1852 * CHOOSE(CONTROL!$C$32, $C$9, 100%, $E$9)</f>
        <v>4.1852</v>
      </c>
      <c r="L67" s="9">
        <f>3.7562 * CHOOSE(CONTROL!$C$32, $C$9, 100%, $E$9)</f>
        <v>3.7562000000000002</v>
      </c>
      <c r="M67" s="9">
        <f>3.7605 * CHOOSE(CONTROL!$C$32, $C$9, 100%, $E$9)</f>
        <v>3.7605</v>
      </c>
      <c r="N67" s="9">
        <f>3.7562 * CHOOSE(CONTROL!$C$32, $C$9, 100%, $E$9)</f>
        <v>3.7562000000000002</v>
      </c>
      <c r="O67" s="9">
        <f>3.7605 * CHOOSE(CONTROL!$C$32, $C$9, 100%, $E$9)</f>
        <v>3.7605</v>
      </c>
      <c r="P67" s="17"/>
      <c r="Q67" s="17"/>
      <c r="R67" s="17"/>
    </row>
    <row r="68" spans="1:18" ht="15" x14ac:dyDescent="0.2">
      <c r="A68" s="16">
        <v>42917</v>
      </c>
      <c r="B68" s="10">
        <f>2.6742 * CHOOSE(CONTROL!$C$32, $C$9, 100%, $E$9)</f>
        <v>2.6741999999999999</v>
      </c>
      <c r="C68" s="10">
        <f>2.6742 * CHOOSE(CONTROL!$C$32, $C$9, 100%, $E$9)</f>
        <v>2.6741999999999999</v>
      </c>
      <c r="D68" s="10">
        <f>2.6755 * CHOOSE(CONTROL!$C$32, $C$9, 100%, $E$9)</f>
        <v>2.6755</v>
      </c>
      <c r="E68" s="9">
        <f>3.8719 * CHOOSE(CONTROL!$C$32, $C$9, 100%, $E$9)</f>
        <v>3.8719000000000001</v>
      </c>
      <c r="F68" s="9">
        <f>3.8719 * CHOOSE(CONTROL!$C$32, $C$9, 100%, $E$9)</f>
        <v>3.8719000000000001</v>
      </c>
      <c r="G68" s="9">
        <f>3.8762 * CHOOSE(CONTROL!$C$32, $C$9, 100%, $E$9)</f>
        <v>3.8761999999999999</v>
      </c>
      <c r="H68" s="9">
        <f>4.2997 * CHOOSE(CONTROL!$C$32, $C$9, 100%, $E$9)</f>
        <v>4.2996999999999996</v>
      </c>
      <c r="I68" s="9">
        <f>4.3041 * CHOOSE(CONTROL!$C$32, $C$9, 100%, $E$9)</f>
        <v>4.3041</v>
      </c>
      <c r="J68" s="9">
        <f>4.2997 * CHOOSE(CONTROL!$C$32, $C$9, 100%, $E$9)</f>
        <v>4.2996999999999996</v>
      </c>
      <c r="K68" s="9">
        <f>4.3041 * CHOOSE(CONTROL!$C$32, $C$9, 100%, $E$9)</f>
        <v>4.3041</v>
      </c>
      <c r="L68" s="9">
        <f>3.8719 * CHOOSE(CONTROL!$C$32, $C$9, 100%, $E$9)</f>
        <v>3.8719000000000001</v>
      </c>
      <c r="M68" s="9">
        <f>3.8762 * CHOOSE(CONTROL!$C$32, $C$9, 100%, $E$9)</f>
        <v>3.8761999999999999</v>
      </c>
      <c r="N68" s="9">
        <f>3.8719 * CHOOSE(CONTROL!$C$32, $C$9, 100%, $E$9)</f>
        <v>3.8719000000000001</v>
      </c>
      <c r="O68" s="9">
        <f>3.8762 * CHOOSE(CONTROL!$C$32, $C$9, 100%, $E$9)</f>
        <v>3.8761999999999999</v>
      </c>
      <c r="P68" s="17"/>
      <c r="Q68" s="17"/>
      <c r="R68" s="17"/>
    </row>
    <row r="69" spans="1:18" ht="15" x14ac:dyDescent="0.2">
      <c r="A69" s="16">
        <v>42948</v>
      </c>
      <c r="B69" s="10">
        <f>2.6858 * CHOOSE(CONTROL!$C$32, $C$9, 100%, $E$9)</f>
        <v>2.6858</v>
      </c>
      <c r="C69" s="10">
        <f>2.6858 * CHOOSE(CONTROL!$C$32, $C$9, 100%, $E$9)</f>
        <v>2.6858</v>
      </c>
      <c r="D69" s="10">
        <f>2.6871 * CHOOSE(CONTROL!$C$32, $C$9, 100%, $E$9)</f>
        <v>2.6871</v>
      </c>
      <c r="E69" s="9">
        <f>3.8763 * CHOOSE(CONTROL!$C$32, $C$9, 100%, $E$9)</f>
        <v>3.8763000000000001</v>
      </c>
      <c r="F69" s="9">
        <f>3.8763 * CHOOSE(CONTROL!$C$32, $C$9, 100%, $E$9)</f>
        <v>3.8763000000000001</v>
      </c>
      <c r="G69" s="9">
        <f>3.8806 * CHOOSE(CONTROL!$C$32, $C$9, 100%, $E$9)</f>
        <v>3.8805999999999998</v>
      </c>
      <c r="H69" s="9">
        <f>4.3041 * CHOOSE(CONTROL!$C$32, $C$9, 100%, $E$9)</f>
        <v>4.3041</v>
      </c>
      <c r="I69" s="9">
        <f>4.3085 * CHOOSE(CONTROL!$C$32, $C$9, 100%, $E$9)</f>
        <v>4.3085000000000004</v>
      </c>
      <c r="J69" s="9">
        <f>4.3041 * CHOOSE(CONTROL!$C$32, $C$9, 100%, $E$9)</f>
        <v>4.3041</v>
      </c>
      <c r="K69" s="9">
        <f>4.3085 * CHOOSE(CONTROL!$C$32, $C$9, 100%, $E$9)</f>
        <v>4.3085000000000004</v>
      </c>
      <c r="L69" s="9">
        <f>3.8763 * CHOOSE(CONTROL!$C$32, $C$9, 100%, $E$9)</f>
        <v>3.8763000000000001</v>
      </c>
      <c r="M69" s="9">
        <f>3.8806 * CHOOSE(CONTROL!$C$32, $C$9, 100%, $E$9)</f>
        <v>3.8805999999999998</v>
      </c>
      <c r="N69" s="9">
        <f>3.8763 * CHOOSE(CONTROL!$C$32, $C$9, 100%, $E$9)</f>
        <v>3.8763000000000001</v>
      </c>
      <c r="O69" s="9">
        <f>3.8806 * CHOOSE(CONTROL!$C$32, $C$9, 100%, $E$9)</f>
        <v>3.8805999999999998</v>
      </c>
      <c r="P69" s="17"/>
      <c r="Q69" s="17"/>
      <c r="R69" s="17"/>
    </row>
    <row r="70" spans="1:18" ht="15" x14ac:dyDescent="0.2">
      <c r="A70" s="16">
        <v>42979</v>
      </c>
      <c r="B70" s="10">
        <f>2.6825 * CHOOSE(CONTROL!$C$32, $C$9, 100%, $E$9)</f>
        <v>2.6825000000000001</v>
      </c>
      <c r="C70" s="10">
        <f>2.6825 * CHOOSE(CONTROL!$C$32, $C$9, 100%, $E$9)</f>
        <v>2.6825000000000001</v>
      </c>
      <c r="D70" s="10">
        <f>2.6838 * CHOOSE(CONTROL!$C$32, $C$9, 100%, $E$9)</f>
        <v>2.6838000000000002</v>
      </c>
      <c r="E70" s="9">
        <f>3.8743 * CHOOSE(CONTROL!$C$32, $C$9, 100%, $E$9)</f>
        <v>3.8742999999999999</v>
      </c>
      <c r="F70" s="9">
        <f>3.8743 * CHOOSE(CONTROL!$C$32, $C$9, 100%, $E$9)</f>
        <v>3.8742999999999999</v>
      </c>
      <c r="G70" s="9">
        <f>3.8786 * CHOOSE(CONTROL!$C$32, $C$9, 100%, $E$9)</f>
        <v>3.8786</v>
      </c>
      <c r="H70" s="9">
        <f>4.3021 * CHOOSE(CONTROL!$C$32, $C$9, 100%, $E$9)</f>
        <v>4.3021000000000003</v>
      </c>
      <c r="I70" s="9">
        <f>4.3065 * CHOOSE(CONTROL!$C$32, $C$9, 100%, $E$9)</f>
        <v>4.3064999999999998</v>
      </c>
      <c r="J70" s="9">
        <f>4.3021 * CHOOSE(CONTROL!$C$32, $C$9, 100%, $E$9)</f>
        <v>4.3021000000000003</v>
      </c>
      <c r="K70" s="9">
        <f>4.3065 * CHOOSE(CONTROL!$C$32, $C$9, 100%, $E$9)</f>
        <v>4.3064999999999998</v>
      </c>
      <c r="L70" s="9">
        <f>3.8743 * CHOOSE(CONTROL!$C$32, $C$9, 100%, $E$9)</f>
        <v>3.8742999999999999</v>
      </c>
      <c r="M70" s="9">
        <f>3.8786 * CHOOSE(CONTROL!$C$32, $C$9, 100%, $E$9)</f>
        <v>3.8786</v>
      </c>
      <c r="N70" s="9">
        <f>3.8743 * CHOOSE(CONTROL!$C$32, $C$9, 100%, $E$9)</f>
        <v>3.8742999999999999</v>
      </c>
      <c r="O70" s="9">
        <f>3.8786 * CHOOSE(CONTROL!$C$32, $C$9, 100%, $E$9)</f>
        <v>3.8786</v>
      </c>
      <c r="P70" s="17"/>
      <c r="Q70" s="17"/>
      <c r="R70" s="17"/>
    </row>
    <row r="71" spans="1:18" ht="15" x14ac:dyDescent="0.2">
      <c r="A71" s="16">
        <v>43009</v>
      </c>
      <c r="B71" s="10">
        <f>2.6632 * CHOOSE(CONTROL!$C$32, $C$9, 100%, $E$9)</f>
        <v>2.6631999999999998</v>
      </c>
      <c r="C71" s="10">
        <f>2.6632 * CHOOSE(CONTROL!$C$32, $C$9, 100%, $E$9)</f>
        <v>2.6631999999999998</v>
      </c>
      <c r="D71" s="10">
        <f>2.6642 * CHOOSE(CONTROL!$C$32, $C$9, 100%, $E$9)</f>
        <v>2.6642000000000001</v>
      </c>
      <c r="E71" s="9">
        <f>3.8673 * CHOOSE(CONTROL!$C$32, $C$9, 100%, $E$9)</f>
        <v>3.8673000000000002</v>
      </c>
      <c r="F71" s="9">
        <f>3.8673 * CHOOSE(CONTROL!$C$32, $C$9, 100%, $E$9)</f>
        <v>3.8673000000000002</v>
      </c>
      <c r="G71" s="9">
        <f>3.8707 * CHOOSE(CONTROL!$C$32, $C$9, 100%, $E$9)</f>
        <v>3.8706999999999998</v>
      </c>
      <c r="H71" s="9">
        <f>4.2973 * CHOOSE(CONTROL!$C$32, $C$9, 100%, $E$9)</f>
        <v>4.2972999999999999</v>
      </c>
      <c r="I71" s="9">
        <f>4.3007 * CHOOSE(CONTROL!$C$32, $C$9, 100%, $E$9)</f>
        <v>4.3007</v>
      </c>
      <c r="J71" s="9">
        <f>4.2973 * CHOOSE(CONTROL!$C$32, $C$9, 100%, $E$9)</f>
        <v>4.2972999999999999</v>
      </c>
      <c r="K71" s="9">
        <f>4.3007 * CHOOSE(CONTROL!$C$32, $C$9, 100%, $E$9)</f>
        <v>4.3007</v>
      </c>
      <c r="L71" s="9">
        <f>3.8673 * CHOOSE(CONTROL!$C$32, $C$9, 100%, $E$9)</f>
        <v>3.8673000000000002</v>
      </c>
      <c r="M71" s="9">
        <f>3.8707 * CHOOSE(CONTROL!$C$32, $C$9, 100%, $E$9)</f>
        <v>3.8706999999999998</v>
      </c>
      <c r="N71" s="9">
        <f>3.8673 * CHOOSE(CONTROL!$C$32, $C$9, 100%, $E$9)</f>
        <v>3.8673000000000002</v>
      </c>
      <c r="O71" s="9">
        <f>3.8707 * CHOOSE(CONTROL!$C$32, $C$9, 100%, $E$9)</f>
        <v>3.8706999999999998</v>
      </c>
      <c r="P71" s="17"/>
      <c r="Q71" s="17"/>
      <c r="R71" s="17"/>
    </row>
    <row r="72" spans="1:18" ht="15" x14ac:dyDescent="0.2">
      <c r="A72" s="16">
        <v>43040</v>
      </c>
      <c r="B72" s="10">
        <f>2.6712 * CHOOSE(CONTROL!$C$32, $C$9, 100%, $E$9)</f>
        <v>2.6711999999999998</v>
      </c>
      <c r="C72" s="10">
        <f>2.6712 * CHOOSE(CONTROL!$C$32, $C$9, 100%, $E$9)</f>
        <v>2.6711999999999998</v>
      </c>
      <c r="D72" s="10">
        <f>2.6722 * CHOOSE(CONTROL!$C$32, $C$9, 100%, $E$9)</f>
        <v>2.6722000000000001</v>
      </c>
      <c r="E72" s="9">
        <f>3.8693 * CHOOSE(CONTROL!$C$32, $C$9, 100%, $E$9)</f>
        <v>3.8693</v>
      </c>
      <c r="F72" s="9">
        <f>3.8693 * CHOOSE(CONTROL!$C$32, $C$9, 100%, $E$9)</f>
        <v>3.8693</v>
      </c>
      <c r="G72" s="9">
        <f>3.8727 * CHOOSE(CONTROL!$C$32, $C$9, 100%, $E$9)</f>
        <v>3.8727</v>
      </c>
      <c r="H72" s="9">
        <f>4.2993 * CHOOSE(CONTROL!$C$32, $C$9, 100%, $E$9)</f>
        <v>4.2992999999999997</v>
      </c>
      <c r="I72" s="9">
        <f>4.3027 * CHOOSE(CONTROL!$C$32, $C$9, 100%, $E$9)</f>
        <v>4.3026999999999997</v>
      </c>
      <c r="J72" s="9">
        <f>4.2993 * CHOOSE(CONTROL!$C$32, $C$9, 100%, $E$9)</f>
        <v>4.2992999999999997</v>
      </c>
      <c r="K72" s="9">
        <f>4.3027 * CHOOSE(CONTROL!$C$32, $C$9, 100%, $E$9)</f>
        <v>4.3026999999999997</v>
      </c>
      <c r="L72" s="9">
        <f>3.8693 * CHOOSE(CONTROL!$C$32, $C$9, 100%, $E$9)</f>
        <v>3.8693</v>
      </c>
      <c r="M72" s="9">
        <f>3.8727 * CHOOSE(CONTROL!$C$32, $C$9, 100%, $E$9)</f>
        <v>3.8727</v>
      </c>
      <c r="N72" s="9">
        <f>3.8693 * CHOOSE(CONTROL!$C$32, $C$9, 100%, $E$9)</f>
        <v>3.8693</v>
      </c>
      <c r="O72" s="9">
        <f>3.8727 * CHOOSE(CONTROL!$C$32, $C$9, 100%, $E$9)</f>
        <v>3.8727</v>
      </c>
      <c r="P72" s="17"/>
      <c r="Q72" s="17"/>
      <c r="R72" s="17"/>
    </row>
    <row r="73" spans="1:18" ht="15" x14ac:dyDescent="0.2">
      <c r="A73" s="16">
        <v>43070</v>
      </c>
      <c r="B73" s="10">
        <f>2.6709 * CHOOSE(CONTROL!$C$32, $C$9, 100%, $E$9)</f>
        <v>2.6709000000000001</v>
      </c>
      <c r="C73" s="10">
        <f>2.6709 * CHOOSE(CONTROL!$C$32, $C$9, 100%, $E$9)</f>
        <v>2.6709000000000001</v>
      </c>
      <c r="D73" s="10">
        <f>2.6719 * CHOOSE(CONTROL!$C$32, $C$9, 100%, $E$9)</f>
        <v>2.6718999999999999</v>
      </c>
      <c r="E73" s="9">
        <f>3.8693 * CHOOSE(CONTROL!$C$32, $C$9, 100%, $E$9)</f>
        <v>3.8693</v>
      </c>
      <c r="F73" s="9">
        <f>3.8693 * CHOOSE(CONTROL!$C$32, $C$9, 100%, $E$9)</f>
        <v>3.8693</v>
      </c>
      <c r="G73" s="9">
        <f>3.8727 * CHOOSE(CONTROL!$C$32, $C$9, 100%, $E$9)</f>
        <v>3.8727</v>
      </c>
      <c r="H73" s="9">
        <f>4.2993 * CHOOSE(CONTROL!$C$32, $C$9, 100%, $E$9)</f>
        <v>4.2992999999999997</v>
      </c>
      <c r="I73" s="9">
        <f>4.3027 * CHOOSE(CONTROL!$C$32, $C$9, 100%, $E$9)</f>
        <v>4.3026999999999997</v>
      </c>
      <c r="J73" s="9">
        <f>4.2993 * CHOOSE(CONTROL!$C$32, $C$9, 100%, $E$9)</f>
        <v>4.2992999999999997</v>
      </c>
      <c r="K73" s="9">
        <f>4.3027 * CHOOSE(CONTROL!$C$32, $C$9, 100%, $E$9)</f>
        <v>4.3026999999999997</v>
      </c>
      <c r="L73" s="9">
        <f>3.8693 * CHOOSE(CONTROL!$C$32, $C$9, 100%, $E$9)</f>
        <v>3.8693</v>
      </c>
      <c r="M73" s="9">
        <f>3.8727 * CHOOSE(CONTROL!$C$32, $C$9, 100%, $E$9)</f>
        <v>3.8727</v>
      </c>
      <c r="N73" s="9">
        <f>3.8693 * CHOOSE(CONTROL!$C$32, $C$9, 100%, $E$9)</f>
        <v>3.8693</v>
      </c>
      <c r="O73" s="9">
        <f>3.8727 * CHOOSE(CONTROL!$C$32, $C$9, 100%, $E$9)</f>
        <v>3.8727</v>
      </c>
      <c r="P73" s="17"/>
      <c r="Q73" s="17"/>
      <c r="R73" s="17"/>
    </row>
    <row r="74" spans="1:18" ht="15" x14ac:dyDescent="0.2">
      <c r="A74" s="16">
        <v>43101</v>
      </c>
      <c r="B74" s="10">
        <f>2.6913 * CHOOSE(CONTROL!$C$32, $C$9, 100%, $E$9)</f>
        <v>2.6913</v>
      </c>
      <c r="C74" s="10">
        <f>2.6913 * CHOOSE(CONTROL!$C$32, $C$9, 100%, $E$9)</f>
        <v>2.6913</v>
      </c>
      <c r="D74" s="10">
        <f>2.6923 * CHOOSE(CONTROL!$C$32, $C$9, 100%, $E$9)</f>
        <v>2.6922999999999999</v>
      </c>
      <c r="E74" s="9">
        <f>3.8998 * CHOOSE(CONTROL!$C$32, $C$9, 100%, $E$9)</f>
        <v>3.8997999999999999</v>
      </c>
      <c r="F74" s="9">
        <f>3.8998 * CHOOSE(CONTROL!$C$32, $C$9, 100%, $E$9)</f>
        <v>3.8997999999999999</v>
      </c>
      <c r="G74" s="9">
        <f>3.9032 * CHOOSE(CONTROL!$C$32, $C$9, 100%, $E$9)</f>
        <v>3.9032</v>
      </c>
      <c r="H74" s="9">
        <f>4.3339 * CHOOSE(CONTROL!$C$32, $C$9, 100%, $E$9)</f>
        <v>4.3338999999999999</v>
      </c>
      <c r="I74" s="9">
        <f>4.3373 * CHOOSE(CONTROL!$C$32, $C$9, 100%, $E$9)</f>
        <v>4.3372999999999999</v>
      </c>
      <c r="J74" s="9">
        <f>4.3339 * CHOOSE(CONTROL!$C$32, $C$9, 100%, $E$9)</f>
        <v>4.3338999999999999</v>
      </c>
      <c r="K74" s="9">
        <f>4.3373 * CHOOSE(CONTROL!$C$32, $C$9, 100%, $E$9)</f>
        <v>4.3372999999999999</v>
      </c>
      <c r="L74" s="9">
        <f>3.8998 * CHOOSE(CONTROL!$C$32, $C$9, 100%, $E$9)</f>
        <v>3.8997999999999999</v>
      </c>
      <c r="M74" s="9">
        <f>3.9032 * CHOOSE(CONTROL!$C$32, $C$9, 100%, $E$9)</f>
        <v>3.9032</v>
      </c>
      <c r="N74" s="9">
        <f>3.8998 * CHOOSE(CONTROL!$C$32, $C$9, 100%, $E$9)</f>
        <v>3.8997999999999999</v>
      </c>
      <c r="O74" s="9">
        <f>3.9032 * CHOOSE(CONTROL!$C$32, $C$9, 100%, $E$9)</f>
        <v>3.9032</v>
      </c>
      <c r="P74" s="17"/>
      <c r="Q74" s="17"/>
      <c r="R74" s="17"/>
    </row>
    <row r="75" spans="1:18" ht="15" x14ac:dyDescent="0.2">
      <c r="A75" s="16">
        <v>43132</v>
      </c>
      <c r="B75" s="10">
        <f>2.6934 * CHOOSE(CONTROL!$C$32, $C$9, 100%, $E$9)</f>
        <v>2.6934</v>
      </c>
      <c r="C75" s="10">
        <f>2.6934 * CHOOSE(CONTROL!$C$32, $C$9, 100%, $E$9)</f>
        <v>2.6934</v>
      </c>
      <c r="D75" s="10">
        <f>2.6944 * CHOOSE(CONTROL!$C$32, $C$9, 100%, $E$9)</f>
        <v>2.6943999999999999</v>
      </c>
      <c r="E75" s="9">
        <f>3.8978 * CHOOSE(CONTROL!$C$32, $C$9, 100%, $E$9)</f>
        <v>3.8978000000000002</v>
      </c>
      <c r="F75" s="9">
        <f>3.8978 * CHOOSE(CONTROL!$C$32, $C$9, 100%, $E$9)</f>
        <v>3.8978000000000002</v>
      </c>
      <c r="G75" s="9">
        <f>3.9012 * CHOOSE(CONTROL!$C$32, $C$9, 100%, $E$9)</f>
        <v>3.9011999999999998</v>
      </c>
      <c r="H75" s="9">
        <f>4.3319 * CHOOSE(CONTROL!$C$32, $C$9, 100%, $E$9)</f>
        <v>4.3319000000000001</v>
      </c>
      <c r="I75" s="9">
        <f>4.3353 * CHOOSE(CONTROL!$C$32, $C$9, 100%, $E$9)</f>
        <v>4.3353000000000002</v>
      </c>
      <c r="J75" s="9">
        <f>4.3319 * CHOOSE(CONTROL!$C$32, $C$9, 100%, $E$9)</f>
        <v>4.3319000000000001</v>
      </c>
      <c r="K75" s="9">
        <f>4.3353 * CHOOSE(CONTROL!$C$32, $C$9, 100%, $E$9)</f>
        <v>4.3353000000000002</v>
      </c>
      <c r="L75" s="9">
        <f>3.8978 * CHOOSE(CONTROL!$C$32, $C$9, 100%, $E$9)</f>
        <v>3.8978000000000002</v>
      </c>
      <c r="M75" s="9">
        <f>3.9012 * CHOOSE(CONTROL!$C$32, $C$9, 100%, $E$9)</f>
        <v>3.9011999999999998</v>
      </c>
      <c r="N75" s="9">
        <f>3.8978 * CHOOSE(CONTROL!$C$32, $C$9, 100%, $E$9)</f>
        <v>3.8978000000000002</v>
      </c>
      <c r="O75" s="9">
        <f>3.9012 * CHOOSE(CONTROL!$C$32, $C$9, 100%, $E$9)</f>
        <v>3.9011999999999998</v>
      </c>
      <c r="P75" s="17"/>
      <c r="Q75" s="17"/>
      <c r="R75" s="17"/>
    </row>
    <row r="76" spans="1:18" ht="15" x14ac:dyDescent="0.2">
      <c r="A76" s="16">
        <v>43160</v>
      </c>
      <c r="B76" s="10">
        <f>2.6901 * CHOOSE(CONTROL!$C$32, $C$9, 100%, $E$9)</f>
        <v>2.6901000000000002</v>
      </c>
      <c r="C76" s="10">
        <f>2.6901 * CHOOSE(CONTROL!$C$32, $C$9, 100%, $E$9)</f>
        <v>2.6901000000000002</v>
      </c>
      <c r="D76" s="10">
        <f>2.6911 * CHOOSE(CONTROL!$C$32, $C$9, 100%, $E$9)</f>
        <v>2.6911</v>
      </c>
      <c r="E76" s="9">
        <f>3.8958 * CHOOSE(CONTROL!$C$32, $C$9, 100%, $E$9)</f>
        <v>3.8957999999999999</v>
      </c>
      <c r="F76" s="9">
        <f>3.8958 * CHOOSE(CONTROL!$C$32, $C$9, 100%, $E$9)</f>
        <v>3.8957999999999999</v>
      </c>
      <c r="G76" s="9">
        <f>3.8992 * CHOOSE(CONTROL!$C$32, $C$9, 100%, $E$9)</f>
        <v>3.8992</v>
      </c>
      <c r="H76" s="9">
        <f>4.3299 * CHOOSE(CONTROL!$C$32, $C$9, 100%, $E$9)</f>
        <v>4.3299000000000003</v>
      </c>
      <c r="I76" s="9">
        <f>4.3333 * CHOOSE(CONTROL!$C$32, $C$9, 100%, $E$9)</f>
        <v>4.3333000000000004</v>
      </c>
      <c r="J76" s="9">
        <f>4.3299 * CHOOSE(CONTROL!$C$32, $C$9, 100%, $E$9)</f>
        <v>4.3299000000000003</v>
      </c>
      <c r="K76" s="9">
        <f>4.3333 * CHOOSE(CONTROL!$C$32, $C$9, 100%, $E$9)</f>
        <v>4.3333000000000004</v>
      </c>
      <c r="L76" s="9">
        <f>3.8958 * CHOOSE(CONTROL!$C$32, $C$9, 100%, $E$9)</f>
        <v>3.8957999999999999</v>
      </c>
      <c r="M76" s="9">
        <f>3.8992 * CHOOSE(CONTROL!$C$32, $C$9, 100%, $E$9)</f>
        <v>3.8992</v>
      </c>
      <c r="N76" s="9">
        <f>3.8958 * CHOOSE(CONTROL!$C$32, $C$9, 100%, $E$9)</f>
        <v>3.8957999999999999</v>
      </c>
      <c r="O76" s="9">
        <f>3.8992 * CHOOSE(CONTROL!$C$32, $C$9, 100%, $E$9)</f>
        <v>3.8992</v>
      </c>
      <c r="P76" s="17"/>
      <c r="Q76" s="17"/>
      <c r="R76" s="17"/>
    </row>
    <row r="77" spans="1:18" ht="15" x14ac:dyDescent="0.2">
      <c r="A77" s="16">
        <v>43191</v>
      </c>
      <c r="B77" s="10">
        <f>2.684 * CHOOSE(CONTROL!$C$32, $C$9, 100%, $E$9)</f>
        <v>2.6840000000000002</v>
      </c>
      <c r="C77" s="10">
        <f>2.684 * CHOOSE(CONTROL!$C$32, $C$9, 100%, $E$9)</f>
        <v>2.6840000000000002</v>
      </c>
      <c r="D77" s="10">
        <f>2.685 * CHOOSE(CONTROL!$C$32, $C$9, 100%, $E$9)</f>
        <v>2.6850000000000001</v>
      </c>
      <c r="E77" s="9">
        <f>3.8933 * CHOOSE(CONTROL!$C$32, $C$9, 100%, $E$9)</f>
        <v>3.8933</v>
      </c>
      <c r="F77" s="9">
        <f>3.8933 * CHOOSE(CONTROL!$C$32, $C$9, 100%, $E$9)</f>
        <v>3.8933</v>
      </c>
      <c r="G77" s="9">
        <f>3.8967 * CHOOSE(CONTROL!$C$32, $C$9, 100%, $E$9)</f>
        <v>3.8967000000000001</v>
      </c>
      <c r="H77" s="9">
        <f>4.3279 * CHOOSE(CONTROL!$C$32, $C$9, 100%, $E$9)</f>
        <v>4.3278999999999996</v>
      </c>
      <c r="I77" s="9">
        <f>4.3313 * CHOOSE(CONTROL!$C$32, $C$9, 100%, $E$9)</f>
        <v>4.3312999999999997</v>
      </c>
      <c r="J77" s="9">
        <f>4.3279 * CHOOSE(CONTROL!$C$32, $C$9, 100%, $E$9)</f>
        <v>4.3278999999999996</v>
      </c>
      <c r="K77" s="9">
        <f>4.3313 * CHOOSE(CONTROL!$C$32, $C$9, 100%, $E$9)</f>
        <v>4.3312999999999997</v>
      </c>
      <c r="L77" s="9">
        <f>3.8933 * CHOOSE(CONTROL!$C$32, $C$9, 100%, $E$9)</f>
        <v>3.8933</v>
      </c>
      <c r="M77" s="9">
        <f>3.8967 * CHOOSE(CONTROL!$C$32, $C$9, 100%, $E$9)</f>
        <v>3.8967000000000001</v>
      </c>
      <c r="N77" s="9">
        <f>3.8933 * CHOOSE(CONTROL!$C$32, $C$9, 100%, $E$9)</f>
        <v>3.8933</v>
      </c>
      <c r="O77" s="9">
        <f>3.8967 * CHOOSE(CONTROL!$C$32, $C$9, 100%, $E$9)</f>
        <v>3.8967000000000001</v>
      </c>
      <c r="P77" s="17"/>
      <c r="Q77" s="17"/>
      <c r="R77" s="17"/>
    </row>
    <row r="78" spans="1:18" ht="15" x14ac:dyDescent="0.2">
      <c r="A78" s="16">
        <v>43221</v>
      </c>
      <c r="B78" s="10">
        <f>2.689 * CHOOSE(CONTROL!$C$32, $C$9, 100%, $E$9)</f>
        <v>2.6890000000000001</v>
      </c>
      <c r="C78" s="10">
        <f>2.689 * CHOOSE(CONTROL!$C$32, $C$9, 100%, $E$9)</f>
        <v>2.6890000000000001</v>
      </c>
      <c r="D78" s="10">
        <f>2.6903 * CHOOSE(CONTROL!$C$32, $C$9, 100%, $E$9)</f>
        <v>2.6903000000000001</v>
      </c>
      <c r="E78" s="9">
        <f>3.8933 * CHOOSE(CONTROL!$C$32, $C$9, 100%, $E$9)</f>
        <v>3.8933</v>
      </c>
      <c r="F78" s="9">
        <f>3.8933 * CHOOSE(CONTROL!$C$32, $C$9, 100%, $E$9)</f>
        <v>3.8933</v>
      </c>
      <c r="G78" s="9">
        <f>3.8977 * CHOOSE(CONTROL!$C$32, $C$9, 100%, $E$9)</f>
        <v>3.8976999999999999</v>
      </c>
      <c r="H78" s="9">
        <f>4.3279 * CHOOSE(CONTROL!$C$32, $C$9, 100%, $E$9)</f>
        <v>4.3278999999999996</v>
      </c>
      <c r="I78" s="9">
        <f>4.3323 * CHOOSE(CONTROL!$C$32, $C$9, 100%, $E$9)</f>
        <v>4.3323</v>
      </c>
      <c r="J78" s="9">
        <f>4.3279 * CHOOSE(CONTROL!$C$32, $C$9, 100%, $E$9)</f>
        <v>4.3278999999999996</v>
      </c>
      <c r="K78" s="9">
        <f>4.3323 * CHOOSE(CONTROL!$C$32, $C$9, 100%, $E$9)</f>
        <v>4.3323</v>
      </c>
      <c r="L78" s="9">
        <f>3.8933 * CHOOSE(CONTROL!$C$32, $C$9, 100%, $E$9)</f>
        <v>3.8933</v>
      </c>
      <c r="M78" s="9">
        <f>3.8977 * CHOOSE(CONTROL!$C$32, $C$9, 100%, $E$9)</f>
        <v>3.8976999999999999</v>
      </c>
      <c r="N78" s="9">
        <f>3.8933 * CHOOSE(CONTROL!$C$32, $C$9, 100%, $E$9)</f>
        <v>3.8933</v>
      </c>
      <c r="O78" s="9">
        <f>3.8977 * CHOOSE(CONTROL!$C$32, $C$9, 100%, $E$9)</f>
        <v>3.8976999999999999</v>
      </c>
      <c r="P78" s="17"/>
      <c r="Q78" s="17"/>
      <c r="R78" s="17"/>
    </row>
    <row r="79" spans="1:18" ht="15" x14ac:dyDescent="0.2">
      <c r="A79" s="16">
        <v>43252</v>
      </c>
      <c r="B79" s="10">
        <f>2.6949 * CHOOSE(CONTROL!$C$32, $C$9, 100%, $E$9)</f>
        <v>2.6949000000000001</v>
      </c>
      <c r="C79" s="10">
        <f>2.6949 * CHOOSE(CONTROL!$C$32, $C$9, 100%, $E$9)</f>
        <v>2.6949000000000001</v>
      </c>
      <c r="D79" s="10">
        <f>2.6962 * CHOOSE(CONTROL!$C$32, $C$9, 100%, $E$9)</f>
        <v>2.6962000000000002</v>
      </c>
      <c r="E79" s="9">
        <f>3.8973 * CHOOSE(CONTROL!$C$32, $C$9, 100%, $E$9)</f>
        <v>3.8973</v>
      </c>
      <c r="F79" s="9">
        <f>3.8973 * CHOOSE(CONTROL!$C$32, $C$9, 100%, $E$9)</f>
        <v>3.8973</v>
      </c>
      <c r="G79" s="9">
        <f>3.9017 * CHOOSE(CONTROL!$C$32, $C$9, 100%, $E$9)</f>
        <v>3.9016999999999999</v>
      </c>
      <c r="H79" s="9">
        <f>4.3319 * CHOOSE(CONTROL!$C$32, $C$9, 100%, $E$9)</f>
        <v>4.3319000000000001</v>
      </c>
      <c r="I79" s="9">
        <f>4.3363 * CHOOSE(CONTROL!$C$32, $C$9, 100%, $E$9)</f>
        <v>4.3362999999999996</v>
      </c>
      <c r="J79" s="9">
        <f>4.3319 * CHOOSE(CONTROL!$C$32, $C$9, 100%, $E$9)</f>
        <v>4.3319000000000001</v>
      </c>
      <c r="K79" s="9">
        <f>4.3363 * CHOOSE(CONTROL!$C$32, $C$9, 100%, $E$9)</f>
        <v>4.3362999999999996</v>
      </c>
      <c r="L79" s="9">
        <f>3.8973 * CHOOSE(CONTROL!$C$32, $C$9, 100%, $E$9)</f>
        <v>3.8973</v>
      </c>
      <c r="M79" s="9">
        <f>3.9017 * CHOOSE(CONTROL!$C$32, $C$9, 100%, $E$9)</f>
        <v>3.9016999999999999</v>
      </c>
      <c r="N79" s="9">
        <f>3.8973 * CHOOSE(CONTROL!$C$32, $C$9, 100%, $E$9)</f>
        <v>3.8973</v>
      </c>
      <c r="O79" s="9">
        <f>3.9017 * CHOOSE(CONTROL!$C$32, $C$9, 100%, $E$9)</f>
        <v>3.9016999999999999</v>
      </c>
      <c r="P79" s="17"/>
      <c r="Q79" s="17"/>
      <c r="R79" s="17"/>
    </row>
    <row r="80" spans="1:18" ht="15" x14ac:dyDescent="0.2">
      <c r="A80" s="16">
        <v>43282</v>
      </c>
      <c r="B80" s="10">
        <f>2.7088 * CHOOSE(CONTROL!$C$32, $C$9, 100%, $E$9)</f>
        <v>2.7088000000000001</v>
      </c>
      <c r="C80" s="10">
        <f>2.7088 * CHOOSE(CONTROL!$C$32, $C$9, 100%, $E$9)</f>
        <v>2.7088000000000001</v>
      </c>
      <c r="D80" s="10">
        <f>2.7101 * CHOOSE(CONTROL!$C$32, $C$9, 100%, $E$9)</f>
        <v>2.7101000000000002</v>
      </c>
      <c r="E80" s="9">
        <f>3.9634 * CHOOSE(CONTROL!$C$32, $C$9, 100%, $E$9)</f>
        <v>3.9634</v>
      </c>
      <c r="F80" s="9">
        <f>3.9634 * CHOOSE(CONTROL!$C$32, $C$9, 100%, $E$9)</f>
        <v>3.9634</v>
      </c>
      <c r="G80" s="9">
        <f>3.9677 * CHOOSE(CONTROL!$C$32, $C$9, 100%, $E$9)</f>
        <v>3.9676999999999998</v>
      </c>
      <c r="H80" s="9">
        <f>4.4041 * CHOOSE(CONTROL!$C$32, $C$9, 100%, $E$9)</f>
        <v>4.4040999999999997</v>
      </c>
      <c r="I80" s="9">
        <f>4.4085 * CHOOSE(CONTROL!$C$32, $C$9, 100%, $E$9)</f>
        <v>4.4085000000000001</v>
      </c>
      <c r="J80" s="9">
        <f>4.4041 * CHOOSE(CONTROL!$C$32, $C$9, 100%, $E$9)</f>
        <v>4.4040999999999997</v>
      </c>
      <c r="K80" s="9">
        <f>4.4085 * CHOOSE(CONTROL!$C$32, $C$9, 100%, $E$9)</f>
        <v>4.4085000000000001</v>
      </c>
      <c r="L80" s="9">
        <f>3.9634 * CHOOSE(CONTROL!$C$32, $C$9, 100%, $E$9)</f>
        <v>3.9634</v>
      </c>
      <c r="M80" s="9">
        <f>3.9677 * CHOOSE(CONTROL!$C$32, $C$9, 100%, $E$9)</f>
        <v>3.9676999999999998</v>
      </c>
      <c r="N80" s="9">
        <f>3.9634 * CHOOSE(CONTROL!$C$32, $C$9, 100%, $E$9)</f>
        <v>3.9634</v>
      </c>
      <c r="O80" s="9">
        <f>3.9677 * CHOOSE(CONTROL!$C$32, $C$9, 100%, $E$9)</f>
        <v>3.9676999999999998</v>
      </c>
      <c r="P80" s="17"/>
      <c r="Q80" s="17"/>
      <c r="R80" s="17"/>
    </row>
    <row r="81" spans="1:18" ht="15" x14ac:dyDescent="0.2">
      <c r="A81" s="16">
        <v>43313</v>
      </c>
      <c r="B81" s="10">
        <f>2.7205 * CHOOSE(CONTROL!$C$32, $C$9, 100%, $E$9)</f>
        <v>2.7204999999999999</v>
      </c>
      <c r="C81" s="10">
        <f>2.7205 * CHOOSE(CONTROL!$C$32, $C$9, 100%, $E$9)</f>
        <v>2.7204999999999999</v>
      </c>
      <c r="D81" s="10">
        <f>2.7218 * CHOOSE(CONTROL!$C$32, $C$9, 100%, $E$9)</f>
        <v>2.7218</v>
      </c>
      <c r="E81" s="9">
        <f>3.9678 * CHOOSE(CONTROL!$C$32, $C$9, 100%, $E$9)</f>
        <v>3.9678</v>
      </c>
      <c r="F81" s="9">
        <f>3.9678 * CHOOSE(CONTROL!$C$32, $C$9, 100%, $E$9)</f>
        <v>3.9678</v>
      </c>
      <c r="G81" s="9">
        <f>3.9721 * CHOOSE(CONTROL!$C$32, $C$9, 100%, $E$9)</f>
        <v>3.9721000000000002</v>
      </c>
      <c r="H81" s="9">
        <f>4.4085 * CHOOSE(CONTROL!$C$32, $C$9, 100%, $E$9)</f>
        <v>4.4085000000000001</v>
      </c>
      <c r="I81" s="9">
        <f>4.4129 * CHOOSE(CONTROL!$C$32, $C$9, 100%, $E$9)</f>
        <v>4.4128999999999996</v>
      </c>
      <c r="J81" s="9">
        <f>4.4085 * CHOOSE(CONTROL!$C$32, $C$9, 100%, $E$9)</f>
        <v>4.4085000000000001</v>
      </c>
      <c r="K81" s="9">
        <f>4.4129 * CHOOSE(CONTROL!$C$32, $C$9, 100%, $E$9)</f>
        <v>4.4128999999999996</v>
      </c>
      <c r="L81" s="9">
        <f>3.9678 * CHOOSE(CONTROL!$C$32, $C$9, 100%, $E$9)</f>
        <v>3.9678</v>
      </c>
      <c r="M81" s="9">
        <f>3.9721 * CHOOSE(CONTROL!$C$32, $C$9, 100%, $E$9)</f>
        <v>3.9721000000000002</v>
      </c>
      <c r="N81" s="9">
        <f>3.9678 * CHOOSE(CONTROL!$C$32, $C$9, 100%, $E$9)</f>
        <v>3.9678</v>
      </c>
      <c r="O81" s="9">
        <f>3.9721 * CHOOSE(CONTROL!$C$32, $C$9, 100%, $E$9)</f>
        <v>3.9721000000000002</v>
      </c>
      <c r="P81" s="17"/>
      <c r="Q81" s="17"/>
      <c r="R81" s="17"/>
    </row>
    <row r="82" spans="1:18" ht="15" x14ac:dyDescent="0.2">
      <c r="A82" s="16">
        <v>43344</v>
      </c>
      <c r="B82" s="10">
        <f>2.7172 * CHOOSE(CONTROL!$C$32, $C$9, 100%, $E$9)</f>
        <v>2.7172000000000001</v>
      </c>
      <c r="C82" s="10">
        <f>2.7172 * CHOOSE(CONTROL!$C$32, $C$9, 100%, $E$9)</f>
        <v>2.7172000000000001</v>
      </c>
      <c r="D82" s="10">
        <f>2.7185 * CHOOSE(CONTROL!$C$32, $C$9, 100%, $E$9)</f>
        <v>2.7185000000000001</v>
      </c>
      <c r="E82" s="9">
        <f>3.9658 * CHOOSE(CONTROL!$C$32, $C$9, 100%, $E$9)</f>
        <v>3.9658000000000002</v>
      </c>
      <c r="F82" s="9">
        <f>3.9658 * CHOOSE(CONTROL!$C$32, $C$9, 100%, $E$9)</f>
        <v>3.9658000000000002</v>
      </c>
      <c r="G82" s="9">
        <f>3.9701 * CHOOSE(CONTROL!$C$32, $C$9, 100%, $E$9)</f>
        <v>3.9701</v>
      </c>
      <c r="H82" s="9">
        <f>4.4065 * CHOOSE(CONTROL!$C$32, $C$9, 100%, $E$9)</f>
        <v>4.4065000000000003</v>
      </c>
      <c r="I82" s="9">
        <f>4.4109 * CHOOSE(CONTROL!$C$32, $C$9, 100%, $E$9)</f>
        <v>4.4108999999999998</v>
      </c>
      <c r="J82" s="9">
        <f>4.4065 * CHOOSE(CONTROL!$C$32, $C$9, 100%, $E$9)</f>
        <v>4.4065000000000003</v>
      </c>
      <c r="K82" s="9">
        <f>4.4109 * CHOOSE(CONTROL!$C$32, $C$9, 100%, $E$9)</f>
        <v>4.4108999999999998</v>
      </c>
      <c r="L82" s="9">
        <f>3.9658 * CHOOSE(CONTROL!$C$32, $C$9, 100%, $E$9)</f>
        <v>3.9658000000000002</v>
      </c>
      <c r="M82" s="9">
        <f>3.9701 * CHOOSE(CONTROL!$C$32, $C$9, 100%, $E$9)</f>
        <v>3.9701</v>
      </c>
      <c r="N82" s="9">
        <f>3.9658 * CHOOSE(CONTROL!$C$32, $C$9, 100%, $E$9)</f>
        <v>3.9658000000000002</v>
      </c>
      <c r="O82" s="9">
        <f>3.9701 * CHOOSE(CONTROL!$C$32, $C$9, 100%, $E$9)</f>
        <v>3.9701</v>
      </c>
      <c r="P82" s="17"/>
      <c r="Q82" s="17"/>
      <c r="R82" s="17"/>
    </row>
    <row r="83" spans="1:18" ht="15" x14ac:dyDescent="0.2">
      <c r="A83" s="16">
        <v>43374</v>
      </c>
      <c r="B83" s="10">
        <f>2.698 * CHOOSE(CONTROL!$C$32, $C$9, 100%, $E$9)</f>
        <v>2.698</v>
      </c>
      <c r="C83" s="10">
        <f>2.698 * CHOOSE(CONTROL!$C$32, $C$9, 100%, $E$9)</f>
        <v>2.698</v>
      </c>
      <c r="D83" s="10">
        <f>2.699 * CHOOSE(CONTROL!$C$32, $C$9, 100%, $E$9)</f>
        <v>2.6989999999999998</v>
      </c>
      <c r="E83" s="9">
        <f>3.959 * CHOOSE(CONTROL!$C$32, $C$9, 100%, $E$9)</f>
        <v>3.9590000000000001</v>
      </c>
      <c r="F83" s="9">
        <f>3.959 * CHOOSE(CONTROL!$C$32, $C$9, 100%, $E$9)</f>
        <v>3.9590000000000001</v>
      </c>
      <c r="G83" s="9">
        <f>3.9624 * CHOOSE(CONTROL!$C$32, $C$9, 100%, $E$9)</f>
        <v>3.9624000000000001</v>
      </c>
      <c r="H83" s="9">
        <f>4.4019 * CHOOSE(CONTROL!$C$32, $C$9, 100%, $E$9)</f>
        <v>4.4019000000000004</v>
      </c>
      <c r="I83" s="9">
        <f>4.4053 * CHOOSE(CONTROL!$C$32, $C$9, 100%, $E$9)</f>
        <v>4.4053000000000004</v>
      </c>
      <c r="J83" s="9">
        <f>4.4019 * CHOOSE(CONTROL!$C$32, $C$9, 100%, $E$9)</f>
        <v>4.4019000000000004</v>
      </c>
      <c r="K83" s="9">
        <f>4.4053 * CHOOSE(CONTROL!$C$32, $C$9, 100%, $E$9)</f>
        <v>4.4053000000000004</v>
      </c>
      <c r="L83" s="9">
        <f>3.959 * CHOOSE(CONTROL!$C$32, $C$9, 100%, $E$9)</f>
        <v>3.9590000000000001</v>
      </c>
      <c r="M83" s="9">
        <f>3.9624 * CHOOSE(CONTROL!$C$32, $C$9, 100%, $E$9)</f>
        <v>3.9624000000000001</v>
      </c>
      <c r="N83" s="9">
        <f>3.959 * CHOOSE(CONTROL!$C$32, $C$9, 100%, $E$9)</f>
        <v>3.9590000000000001</v>
      </c>
      <c r="O83" s="9">
        <f>3.9624 * CHOOSE(CONTROL!$C$32, $C$9, 100%, $E$9)</f>
        <v>3.9624000000000001</v>
      </c>
      <c r="P83" s="17"/>
      <c r="Q83" s="17"/>
      <c r="R83" s="17"/>
    </row>
    <row r="84" spans="1:18" ht="15" x14ac:dyDescent="0.2">
      <c r="A84" s="16">
        <v>43405</v>
      </c>
      <c r="B84" s="10">
        <f>2.7061 * CHOOSE(CONTROL!$C$32, $C$9, 100%, $E$9)</f>
        <v>2.7061000000000002</v>
      </c>
      <c r="C84" s="10">
        <f>2.7061 * CHOOSE(CONTROL!$C$32, $C$9, 100%, $E$9)</f>
        <v>2.7061000000000002</v>
      </c>
      <c r="D84" s="10">
        <f>2.7071 * CHOOSE(CONTROL!$C$32, $C$9, 100%, $E$9)</f>
        <v>2.7071000000000001</v>
      </c>
      <c r="E84" s="9">
        <f>3.961 * CHOOSE(CONTROL!$C$32, $C$9, 100%, $E$9)</f>
        <v>3.9609999999999999</v>
      </c>
      <c r="F84" s="9">
        <f>3.961 * CHOOSE(CONTROL!$C$32, $C$9, 100%, $E$9)</f>
        <v>3.9609999999999999</v>
      </c>
      <c r="G84" s="9">
        <f>3.9644 * CHOOSE(CONTROL!$C$32, $C$9, 100%, $E$9)</f>
        <v>3.9643999999999999</v>
      </c>
      <c r="H84" s="9">
        <f>4.4039 * CHOOSE(CONTROL!$C$32, $C$9, 100%, $E$9)</f>
        <v>4.4039000000000001</v>
      </c>
      <c r="I84" s="9">
        <f>4.4073 * CHOOSE(CONTROL!$C$32, $C$9, 100%, $E$9)</f>
        <v>4.4073000000000002</v>
      </c>
      <c r="J84" s="9">
        <f>4.4039 * CHOOSE(CONTROL!$C$32, $C$9, 100%, $E$9)</f>
        <v>4.4039000000000001</v>
      </c>
      <c r="K84" s="9">
        <f>4.4073 * CHOOSE(CONTROL!$C$32, $C$9, 100%, $E$9)</f>
        <v>4.4073000000000002</v>
      </c>
      <c r="L84" s="9">
        <f>3.961 * CHOOSE(CONTROL!$C$32, $C$9, 100%, $E$9)</f>
        <v>3.9609999999999999</v>
      </c>
      <c r="M84" s="9">
        <f>3.9644 * CHOOSE(CONTROL!$C$32, $C$9, 100%, $E$9)</f>
        <v>3.9643999999999999</v>
      </c>
      <c r="N84" s="9">
        <f>3.961 * CHOOSE(CONTROL!$C$32, $C$9, 100%, $E$9)</f>
        <v>3.9609999999999999</v>
      </c>
      <c r="O84" s="9">
        <f>3.9644 * CHOOSE(CONTROL!$C$32, $C$9, 100%, $E$9)</f>
        <v>3.9643999999999999</v>
      </c>
      <c r="P84" s="17"/>
      <c r="Q84" s="17"/>
      <c r="R84" s="17"/>
    </row>
    <row r="85" spans="1:18" ht="15" x14ac:dyDescent="0.2">
      <c r="A85" s="16">
        <v>43435</v>
      </c>
      <c r="B85" s="10">
        <f>2.7058 * CHOOSE(CONTROL!$C$32, $C$9, 100%, $E$9)</f>
        <v>2.7058</v>
      </c>
      <c r="C85" s="10">
        <f>2.7058 * CHOOSE(CONTROL!$C$32, $C$9, 100%, $E$9)</f>
        <v>2.7058</v>
      </c>
      <c r="D85" s="10">
        <f>2.7068 * CHOOSE(CONTROL!$C$32, $C$9, 100%, $E$9)</f>
        <v>2.7067999999999999</v>
      </c>
      <c r="E85" s="9">
        <f>3.961 * CHOOSE(CONTROL!$C$32, $C$9, 100%, $E$9)</f>
        <v>3.9609999999999999</v>
      </c>
      <c r="F85" s="9">
        <f>3.961 * CHOOSE(CONTROL!$C$32, $C$9, 100%, $E$9)</f>
        <v>3.9609999999999999</v>
      </c>
      <c r="G85" s="9">
        <f>3.9644 * CHOOSE(CONTROL!$C$32, $C$9, 100%, $E$9)</f>
        <v>3.9643999999999999</v>
      </c>
      <c r="H85" s="9">
        <f>4.4039 * CHOOSE(CONTROL!$C$32, $C$9, 100%, $E$9)</f>
        <v>4.4039000000000001</v>
      </c>
      <c r="I85" s="9">
        <f>4.4073 * CHOOSE(CONTROL!$C$32, $C$9, 100%, $E$9)</f>
        <v>4.4073000000000002</v>
      </c>
      <c r="J85" s="9">
        <f>4.4039 * CHOOSE(CONTROL!$C$32, $C$9, 100%, $E$9)</f>
        <v>4.4039000000000001</v>
      </c>
      <c r="K85" s="9">
        <f>4.4073 * CHOOSE(CONTROL!$C$32, $C$9, 100%, $E$9)</f>
        <v>4.4073000000000002</v>
      </c>
      <c r="L85" s="9">
        <f>3.961 * CHOOSE(CONTROL!$C$32, $C$9, 100%, $E$9)</f>
        <v>3.9609999999999999</v>
      </c>
      <c r="M85" s="9">
        <f>3.9644 * CHOOSE(CONTROL!$C$32, $C$9, 100%, $E$9)</f>
        <v>3.9643999999999999</v>
      </c>
      <c r="N85" s="9">
        <f>3.961 * CHOOSE(CONTROL!$C$32, $C$9, 100%, $E$9)</f>
        <v>3.9609999999999999</v>
      </c>
      <c r="O85" s="9">
        <f>3.9644 * CHOOSE(CONTROL!$C$32, $C$9, 100%, $E$9)</f>
        <v>3.9643999999999999</v>
      </c>
      <c r="P85" s="17"/>
      <c r="Q85" s="17"/>
      <c r="R85" s="17"/>
    </row>
    <row r="86" spans="1:18" ht="15" x14ac:dyDescent="0.2">
      <c r="A86" s="16">
        <v>43466</v>
      </c>
      <c r="B86" s="10">
        <f>3.5916 * CHOOSE(CONTROL!$C$32, $C$9, 100%, $E$9)</f>
        <v>3.5916000000000001</v>
      </c>
      <c r="C86" s="10">
        <f>3.5916 * CHOOSE(CONTROL!$C$32, $C$9, 100%, $E$9)</f>
        <v>3.5916000000000001</v>
      </c>
      <c r="D86" s="10">
        <f>3.5926 * CHOOSE(CONTROL!$C$32, $C$9, 100%, $E$9)</f>
        <v>3.5926</v>
      </c>
      <c r="E86" s="9">
        <f>4.003 * CHOOSE(CONTROL!$C$32, $C$9, 100%, $E$9)</f>
        <v>4.0030000000000001</v>
      </c>
      <c r="F86" s="9">
        <f>4.003 * CHOOSE(CONTROL!$C$32, $C$9, 100%, $E$9)</f>
        <v>4.0030000000000001</v>
      </c>
      <c r="G86" s="9">
        <f>4.0064 * CHOOSE(CONTROL!$C$32, $C$9, 100%, $E$9)</f>
        <v>4.0064000000000002</v>
      </c>
      <c r="H86" s="9">
        <f>4.4495 * CHOOSE(CONTROL!$C$32, $C$9, 100%, $E$9)</f>
        <v>4.4494999999999996</v>
      </c>
      <c r="I86" s="9">
        <f>4.4529 * CHOOSE(CONTROL!$C$32, $C$9, 100%, $E$9)</f>
        <v>4.4528999999999996</v>
      </c>
      <c r="J86" s="9">
        <f>4.4495 * CHOOSE(CONTROL!$C$32, $C$9, 100%, $E$9)</f>
        <v>4.4494999999999996</v>
      </c>
      <c r="K86" s="9">
        <f>4.4529 * CHOOSE(CONTROL!$C$32, $C$9, 100%, $E$9)</f>
        <v>4.4528999999999996</v>
      </c>
      <c r="L86" s="9">
        <f>4.003 * CHOOSE(CONTROL!$C$32, $C$9, 100%, $E$9)</f>
        <v>4.0030000000000001</v>
      </c>
      <c r="M86" s="9">
        <f>4.0064 * CHOOSE(CONTROL!$C$32, $C$9, 100%, $E$9)</f>
        <v>4.0064000000000002</v>
      </c>
      <c r="N86" s="9">
        <f>4.003 * CHOOSE(CONTROL!$C$32, $C$9, 100%, $E$9)</f>
        <v>4.0030000000000001</v>
      </c>
      <c r="O86" s="9">
        <f>4.0064 * CHOOSE(CONTROL!$C$32, $C$9, 100%, $E$9)</f>
        <v>4.0064000000000002</v>
      </c>
      <c r="P86" s="17"/>
      <c r="Q86" s="17"/>
      <c r="R86" s="17"/>
    </row>
    <row r="87" spans="1:18" ht="15" x14ac:dyDescent="0.2">
      <c r="A87" s="16">
        <v>43497</v>
      </c>
      <c r="B87" s="10">
        <f>3.5886 * CHOOSE(CONTROL!$C$32, $C$9, 100%, $E$9)</f>
        <v>3.5886</v>
      </c>
      <c r="C87" s="10">
        <f>3.5886 * CHOOSE(CONTROL!$C$32, $C$9, 100%, $E$9)</f>
        <v>3.5886</v>
      </c>
      <c r="D87" s="10">
        <f>3.5896 * CHOOSE(CONTROL!$C$32, $C$9, 100%, $E$9)</f>
        <v>3.5895999999999999</v>
      </c>
      <c r="E87" s="9">
        <f>4.2325 * CHOOSE(CONTROL!$C$32, $C$9, 100%, $E$9)</f>
        <v>4.2324999999999999</v>
      </c>
      <c r="F87" s="9">
        <f>4.2325 * CHOOSE(CONTROL!$C$32, $C$9, 100%, $E$9)</f>
        <v>4.2324999999999999</v>
      </c>
      <c r="G87" s="9">
        <f>4.2358 * CHOOSE(CONTROL!$C$32, $C$9, 100%, $E$9)</f>
        <v>4.2358000000000002</v>
      </c>
      <c r="H87" s="9">
        <f>4.4475 * CHOOSE(CONTROL!$C$32, $C$9, 100%, $E$9)</f>
        <v>4.4474999999999998</v>
      </c>
      <c r="I87" s="9">
        <f>4.4509 * CHOOSE(CONTROL!$C$32, $C$9, 100%, $E$9)</f>
        <v>4.4508999999999999</v>
      </c>
      <c r="J87" s="9">
        <f>4.4475 * CHOOSE(CONTROL!$C$32, $C$9, 100%, $E$9)</f>
        <v>4.4474999999999998</v>
      </c>
      <c r="K87" s="9">
        <f>4.4509 * CHOOSE(CONTROL!$C$32, $C$9, 100%, $E$9)</f>
        <v>4.4508999999999999</v>
      </c>
      <c r="L87" s="9">
        <f>4.2325 * CHOOSE(CONTROL!$C$32, $C$9, 100%, $E$9)</f>
        <v>4.2324999999999999</v>
      </c>
      <c r="M87" s="9">
        <f>4.2358 * CHOOSE(CONTROL!$C$32, $C$9, 100%, $E$9)</f>
        <v>4.2358000000000002</v>
      </c>
      <c r="N87" s="9">
        <f>4.2325 * CHOOSE(CONTROL!$C$32, $C$9, 100%, $E$9)</f>
        <v>4.2324999999999999</v>
      </c>
      <c r="O87" s="9">
        <f>4.2358 * CHOOSE(CONTROL!$C$32, $C$9, 100%, $E$9)</f>
        <v>4.2358000000000002</v>
      </c>
      <c r="P87" s="17"/>
      <c r="Q87" s="17"/>
      <c r="R87" s="17"/>
    </row>
    <row r="88" spans="1:18" ht="15" x14ac:dyDescent="0.2">
      <c r="A88" s="16">
        <v>43525</v>
      </c>
      <c r="B88" s="10">
        <f>3.5855 * CHOOSE(CONTROL!$C$32, $C$9, 100%, $E$9)</f>
        <v>3.5855000000000001</v>
      </c>
      <c r="C88" s="10">
        <f>3.5855 * CHOOSE(CONTROL!$C$32, $C$9, 100%, $E$9)</f>
        <v>3.5855000000000001</v>
      </c>
      <c r="D88" s="10">
        <f>3.5866 * CHOOSE(CONTROL!$C$32, $C$9, 100%, $E$9)</f>
        <v>3.5865999999999998</v>
      </c>
      <c r="E88" s="9">
        <f>3.999 * CHOOSE(CONTROL!$C$32, $C$9, 100%, $E$9)</f>
        <v>3.9990000000000001</v>
      </c>
      <c r="F88" s="9">
        <f>3.999 * CHOOSE(CONTROL!$C$32, $C$9, 100%, $E$9)</f>
        <v>3.9990000000000001</v>
      </c>
      <c r="G88" s="9">
        <f>4.0024 * CHOOSE(CONTROL!$C$32, $C$9, 100%, $E$9)</f>
        <v>4.0023999999999997</v>
      </c>
      <c r="H88" s="9">
        <f>4.4455 * CHOOSE(CONTROL!$C$32, $C$9, 100%, $E$9)</f>
        <v>4.4455</v>
      </c>
      <c r="I88" s="9">
        <f>4.4489 * CHOOSE(CONTROL!$C$32, $C$9, 100%, $E$9)</f>
        <v>4.4489000000000001</v>
      </c>
      <c r="J88" s="9">
        <f>4.4455 * CHOOSE(CONTROL!$C$32, $C$9, 100%, $E$9)</f>
        <v>4.4455</v>
      </c>
      <c r="K88" s="9">
        <f>4.4489 * CHOOSE(CONTROL!$C$32, $C$9, 100%, $E$9)</f>
        <v>4.4489000000000001</v>
      </c>
      <c r="L88" s="9">
        <f>3.999 * CHOOSE(CONTROL!$C$32, $C$9, 100%, $E$9)</f>
        <v>3.9990000000000001</v>
      </c>
      <c r="M88" s="9">
        <f>4.0024 * CHOOSE(CONTROL!$C$32, $C$9, 100%, $E$9)</f>
        <v>4.0023999999999997</v>
      </c>
      <c r="N88" s="9">
        <f>3.999 * CHOOSE(CONTROL!$C$32, $C$9, 100%, $E$9)</f>
        <v>3.9990000000000001</v>
      </c>
      <c r="O88" s="9">
        <f>4.0024 * CHOOSE(CONTROL!$C$32, $C$9, 100%, $E$9)</f>
        <v>4.0023999999999997</v>
      </c>
      <c r="P88" s="17"/>
      <c r="Q88" s="17"/>
      <c r="R88" s="17"/>
    </row>
    <row r="89" spans="1:18" ht="15" x14ac:dyDescent="0.2">
      <c r="A89" s="16">
        <v>43556</v>
      </c>
      <c r="B89" s="10">
        <f>3.5829 * CHOOSE(CONTROL!$C$32, $C$9, 100%, $E$9)</f>
        <v>3.5829</v>
      </c>
      <c r="C89" s="10">
        <f>3.5829 * CHOOSE(CONTROL!$C$32, $C$9, 100%, $E$9)</f>
        <v>3.5829</v>
      </c>
      <c r="D89" s="10">
        <f>3.5839 * CHOOSE(CONTROL!$C$32, $C$9, 100%, $E$9)</f>
        <v>3.5838999999999999</v>
      </c>
      <c r="E89" s="9">
        <f>3.9966 * CHOOSE(CONTROL!$C$32, $C$9, 100%, $E$9)</f>
        <v>3.9965999999999999</v>
      </c>
      <c r="F89" s="9">
        <f>3.9966 * CHOOSE(CONTROL!$C$32, $C$9, 100%, $E$9)</f>
        <v>3.9965999999999999</v>
      </c>
      <c r="G89" s="9">
        <f>3.9999 * CHOOSE(CONTROL!$C$32, $C$9, 100%, $E$9)</f>
        <v>3.9998999999999998</v>
      </c>
      <c r="H89" s="9">
        <f>4.4436 * CHOOSE(CONTROL!$C$32, $C$9, 100%, $E$9)</f>
        <v>4.4436</v>
      </c>
      <c r="I89" s="9">
        <f>4.447 * CHOOSE(CONTROL!$C$32, $C$9, 100%, $E$9)</f>
        <v>4.4470000000000001</v>
      </c>
      <c r="J89" s="9">
        <f>4.4436 * CHOOSE(CONTROL!$C$32, $C$9, 100%, $E$9)</f>
        <v>4.4436</v>
      </c>
      <c r="K89" s="9">
        <f>4.447 * CHOOSE(CONTROL!$C$32, $C$9, 100%, $E$9)</f>
        <v>4.4470000000000001</v>
      </c>
      <c r="L89" s="9">
        <f>3.9966 * CHOOSE(CONTROL!$C$32, $C$9, 100%, $E$9)</f>
        <v>3.9965999999999999</v>
      </c>
      <c r="M89" s="9">
        <f>3.9999 * CHOOSE(CONTROL!$C$32, $C$9, 100%, $E$9)</f>
        <v>3.9998999999999998</v>
      </c>
      <c r="N89" s="9">
        <f>3.9966 * CHOOSE(CONTROL!$C$32, $C$9, 100%, $E$9)</f>
        <v>3.9965999999999999</v>
      </c>
      <c r="O89" s="9">
        <f>3.9999 * CHOOSE(CONTROL!$C$32, $C$9, 100%, $E$9)</f>
        <v>3.9998999999999998</v>
      </c>
      <c r="P89" s="17"/>
      <c r="Q89" s="17"/>
      <c r="R89" s="17"/>
    </row>
    <row r="90" spans="1:18" ht="15" x14ac:dyDescent="0.2">
      <c r="A90" s="16">
        <v>43586</v>
      </c>
      <c r="B90" s="10">
        <f>3.5829 * CHOOSE(CONTROL!$C$32, $C$9, 100%, $E$9)</f>
        <v>3.5829</v>
      </c>
      <c r="C90" s="10">
        <f>3.5829 * CHOOSE(CONTROL!$C$32, $C$9, 100%, $E$9)</f>
        <v>3.5829</v>
      </c>
      <c r="D90" s="10">
        <f>3.5842 * CHOOSE(CONTROL!$C$32, $C$9, 100%, $E$9)</f>
        <v>3.5842000000000001</v>
      </c>
      <c r="E90" s="9">
        <f>3.9966 * CHOOSE(CONTROL!$C$32, $C$9, 100%, $E$9)</f>
        <v>3.9965999999999999</v>
      </c>
      <c r="F90" s="9">
        <f>3.9966 * CHOOSE(CONTROL!$C$32, $C$9, 100%, $E$9)</f>
        <v>3.9965999999999999</v>
      </c>
      <c r="G90" s="9">
        <f>4.0009 * CHOOSE(CONTROL!$C$32, $C$9, 100%, $E$9)</f>
        <v>4.0008999999999997</v>
      </c>
      <c r="H90" s="9">
        <f>4.4436 * CHOOSE(CONTROL!$C$32, $C$9, 100%, $E$9)</f>
        <v>4.4436</v>
      </c>
      <c r="I90" s="9">
        <f>4.448 * CHOOSE(CONTROL!$C$32, $C$9, 100%, $E$9)</f>
        <v>4.4480000000000004</v>
      </c>
      <c r="J90" s="9">
        <f>4.4436 * CHOOSE(CONTROL!$C$32, $C$9, 100%, $E$9)</f>
        <v>4.4436</v>
      </c>
      <c r="K90" s="9">
        <f>4.448 * CHOOSE(CONTROL!$C$32, $C$9, 100%, $E$9)</f>
        <v>4.4480000000000004</v>
      </c>
      <c r="L90" s="9">
        <f>3.9966 * CHOOSE(CONTROL!$C$32, $C$9, 100%, $E$9)</f>
        <v>3.9965999999999999</v>
      </c>
      <c r="M90" s="9">
        <f>4.0009 * CHOOSE(CONTROL!$C$32, $C$9, 100%, $E$9)</f>
        <v>4.0008999999999997</v>
      </c>
      <c r="N90" s="9">
        <f>3.9966 * CHOOSE(CONTROL!$C$32, $C$9, 100%, $E$9)</f>
        <v>3.9965999999999999</v>
      </c>
      <c r="O90" s="9">
        <f>4.0009 * CHOOSE(CONTROL!$C$32, $C$9, 100%, $E$9)</f>
        <v>4.0008999999999997</v>
      </c>
      <c r="P90" s="17"/>
      <c r="Q90" s="17"/>
      <c r="R90" s="17"/>
    </row>
    <row r="91" spans="1:18" ht="15" x14ac:dyDescent="0.2">
      <c r="A91" s="16">
        <v>43617</v>
      </c>
      <c r="B91" s="10">
        <f>3.589 * CHOOSE(CONTROL!$C$32, $C$9, 100%, $E$9)</f>
        <v>3.589</v>
      </c>
      <c r="C91" s="10">
        <f>3.589 * CHOOSE(CONTROL!$C$32, $C$9, 100%, $E$9)</f>
        <v>3.589</v>
      </c>
      <c r="D91" s="10">
        <f>3.5903 * CHOOSE(CONTROL!$C$32, $C$9, 100%, $E$9)</f>
        <v>3.5903</v>
      </c>
      <c r="E91" s="9">
        <f>4.0006 * CHOOSE(CONTROL!$C$32, $C$9, 100%, $E$9)</f>
        <v>4.0006000000000004</v>
      </c>
      <c r="F91" s="9">
        <f>4.0006 * CHOOSE(CONTROL!$C$32, $C$9, 100%, $E$9)</f>
        <v>4.0006000000000004</v>
      </c>
      <c r="G91" s="9">
        <f>4.0049 * CHOOSE(CONTROL!$C$32, $C$9, 100%, $E$9)</f>
        <v>4.0049000000000001</v>
      </c>
      <c r="H91" s="9">
        <f>4.4476 * CHOOSE(CONTROL!$C$32, $C$9, 100%, $E$9)</f>
        <v>4.4476000000000004</v>
      </c>
      <c r="I91" s="9">
        <f>4.452 * CHOOSE(CONTROL!$C$32, $C$9, 100%, $E$9)</f>
        <v>4.452</v>
      </c>
      <c r="J91" s="9">
        <f>4.4476 * CHOOSE(CONTROL!$C$32, $C$9, 100%, $E$9)</f>
        <v>4.4476000000000004</v>
      </c>
      <c r="K91" s="9">
        <f>4.452 * CHOOSE(CONTROL!$C$32, $C$9, 100%, $E$9)</f>
        <v>4.452</v>
      </c>
      <c r="L91" s="9">
        <f>4.0006 * CHOOSE(CONTROL!$C$32, $C$9, 100%, $E$9)</f>
        <v>4.0006000000000004</v>
      </c>
      <c r="M91" s="9">
        <f>4.0049 * CHOOSE(CONTROL!$C$32, $C$9, 100%, $E$9)</f>
        <v>4.0049000000000001</v>
      </c>
      <c r="N91" s="9">
        <f>4.0006 * CHOOSE(CONTROL!$C$32, $C$9, 100%, $E$9)</f>
        <v>4.0006000000000004</v>
      </c>
      <c r="O91" s="9">
        <f>4.0049 * CHOOSE(CONTROL!$C$32, $C$9, 100%, $E$9)</f>
        <v>4.0049000000000001</v>
      </c>
      <c r="P91" s="17"/>
      <c r="Q91" s="17"/>
      <c r="R91" s="17"/>
    </row>
    <row r="92" spans="1:18" ht="15" x14ac:dyDescent="0.2">
      <c r="A92" s="16">
        <v>43647</v>
      </c>
      <c r="B92" s="10">
        <f>3.6647 * CHOOSE(CONTROL!$C$32, $C$9, 100%, $E$9)</f>
        <v>3.6646999999999998</v>
      </c>
      <c r="C92" s="10">
        <f>3.6647 * CHOOSE(CONTROL!$C$32, $C$9, 100%, $E$9)</f>
        <v>3.6646999999999998</v>
      </c>
      <c r="D92" s="10">
        <f>3.666 * CHOOSE(CONTROL!$C$32, $C$9, 100%, $E$9)</f>
        <v>3.6659999999999999</v>
      </c>
      <c r="E92" s="9">
        <f>4.2819 * CHOOSE(CONTROL!$C$32, $C$9, 100%, $E$9)</f>
        <v>4.2819000000000003</v>
      </c>
      <c r="F92" s="9">
        <f>4.2819 * CHOOSE(CONTROL!$C$32, $C$9, 100%, $E$9)</f>
        <v>4.2819000000000003</v>
      </c>
      <c r="G92" s="9">
        <f>4.2863 * CHOOSE(CONTROL!$C$32, $C$9, 100%, $E$9)</f>
        <v>4.2862999999999998</v>
      </c>
      <c r="H92" s="9">
        <f>4.5473 * CHOOSE(CONTROL!$C$32, $C$9, 100%, $E$9)</f>
        <v>4.5472999999999999</v>
      </c>
      <c r="I92" s="9">
        <f>4.5517 * CHOOSE(CONTROL!$C$32, $C$9, 100%, $E$9)</f>
        <v>4.5517000000000003</v>
      </c>
      <c r="J92" s="9">
        <f>4.5473 * CHOOSE(CONTROL!$C$32, $C$9, 100%, $E$9)</f>
        <v>4.5472999999999999</v>
      </c>
      <c r="K92" s="9">
        <f>4.5517 * CHOOSE(CONTROL!$C$32, $C$9, 100%, $E$9)</f>
        <v>4.5517000000000003</v>
      </c>
      <c r="L92" s="9">
        <f>4.2819 * CHOOSE(CONTROL!$C$32, $C$9, 100%, $E$9)</f>
        <v>4.2819000000000003</v>
      </c>
      <c r="M92" s="9">
        <f>4.2863 * CHOOSE(CONTROL!$C$32, $C$9, 100%, $E$9)</f>
        <v>4.2862999999999998</v>
      </c>
      <c r="N92" s="9">
        <f>4.2819 * CHOOSE(CONTROL!$C$32, $C$9, 100%, $E$9)</f>
        <v>4.2819000000000003</v>
      </c>
      <c r="O92" s="9">
        <f>4.2863 * CHOOSE(CONTROL!$C$32, $C$9, 100%, $E$9)</f>
        <v>4.2862999999999998</v>
      </c>
      <c r="P92" s="17"/>
      <c r="Q92" s="17"/>
      <c r="R92" s="17"/>
    </row>
    <row r="93" spans="1:18" ht="15" x14ac:dyDescent="0.2">
      <c r="A93" s="16">
        <v>43678</v>
      </c>
      <c r="B93" s="10">
        <f>3.6714 * CHOOSE(CONTROL!$C$32, $C$9, 100%, $E$9)</f>
        <v>3.6714000000000002</v>
      </c>
      <c r="C93" s="10">
        <f>3.6714 * CHOOSE(CONTROL!$C$32, $C$9, 100%, $E$9)</f>
        <v>3.6714000000000002</v>
      </c>
      <c r="D93" s="10">
        <f>3.6727 * CHOOSE(CONTROL!$C$32, $C$9, 100%, $E$9)</f>
        <v>3.6726999999999999</v>
      </c>
      <c r="E93" s="9">
        <f>4.2315 * CHOOSE(CONTROL!$C$32, $C$9, 100%, $E$9)</f>
        <v>4.2314999999999996</v>
      </c>
      <c r="F93" s="9">
        <f>4.2315 * CHOOSE(CONTROL!$C$32, $C$9, 100%, $E$9)</f>
        <v>4.2314999999999996</v>
      </c>
      <c r="G93" s="9">
        <f>4.2359 * CHOOSE(CONTROL!$C$32, $C$9, 100%, $E$9)</f>
        <v>4.2359</v>
      </c>
      <c r="H93" s="9">
        <f>4.5517 * CHOOSE(CONTROL!$C$32, $C$9, 100%, $E$9)</f>
        <v>4.5517000000000003</v>
      </c>
      <c r="I93" s="9">
        <f>4.5561 * CHOOSE(CONTROL!$C$32, $C$9, 100%, $E$9)</f>
        <v>4.5560999999999998</v>
      </c>
      <c r="J93" s="9">
        <f>4.5517 * CHOOSE(CONTROL!$C$32, $C$9, 100%, $E$9)</f>
        <v>4.5517000000000003</v>
      </c>
      <c r="K93" s="9">
        <f>4.5561 * CHOOSE(CONTROL!$C$32, $C$9, 100%, $E$9)</f>
        <v>4.5560999999999998</v>
      </c>
      <c r="L93" s="9">
        <f>4.2315 * CHOOSE(CONTROL!$C$32, $C$9, 100%, $E$9)</f>
        <v>4.2314999999999996</v>
      </c>
      <c r="M93" s="9">
        <f>4.2359 * CHOOSE(CONTROL!$C$32, $C$9, 100%, $E$9)</f>
        <v>4.2359</v>
      </c>
      <c r="N93" s="9">
        <f>4.2315 * CHOOSE(CONTROL!$C$32, $C$9, 100%, $E$9)</f>
        <v>4.2314999999999996</v>
      </c>
      <c r="O93" s="9">
        <f>4.2359 * CHOOSE(CONTROL!$C$32, $C$9, 100%, $E$9)</f>
        <v>4.2359</v>
      </c>
      <c r="P93" s="17"/>
      <c r="Q93" s="17"/>
      <c r="R93" s="17"/>
    </row>
    <row r="94" spans="1:18" ht="15" x14ac:dyDescent="0.2">
      <c r="A94" s="16">
        <v>43709</v>
      </c>
      <c r="B94" s="10">
        <f>3.6684 * CHOOSE(CONTROL!$C$32, $C$9, 100%, $E$9)</f>
        <v>3.6684000000000001</v>
      </c>
      <c r="C94" s="10">
        <f>3.6684 * CHOOSE(CONTROL!$C$32, $C$9, 100%, $E$9)</f>
        <v>3.6684000000000001</v>
      </c>
      <c r="D94" s="10">
        <f>3.6697 * CHOOSE(CONTROL!$C$32, $C$9, 100%, $E$9)</f>
        <v>3.6697000000000002</v>
      </c>
      <c r="E94" s="9">
        <f>4.2233 * CHOOSE(CONTROL!$C$32, $C$9, 100%, $E$9)</f>
        <v>4.2233000000000001</v>
      </c>
      <c r="F94" s="9">
        <f>4.2233 * CHOOSE(CONTROL!$C$32, $C$9, 100%, $E$9)</f>
        <v>4.2233000000000001</v>
      </c>
      <c r="G94" s="9">
        <f>4.2276 * CHOOSE(CONTROL!$C$32, $C$9, 100%, $E$9)</f>
        <v>4.2275999999999998</v>
      </c>
      <c r="H94" s="9">
        <f>4.5497 * CHOOSE(CONTROL!$C$32, $C$9, 100%, $E$9)</f>
        <v>4.5496999999999996</v>
      </c>
      <c r="I94" s="9">
        <f>4.5541 * CHOOSE(CONTROL!$C$32, $C$9, 100%, $E$9)</f>
        <v>4.5541</v>
      </c>
      <c r="J94" s="9">
        <f>4.5497 * CHOOSE(CONTROL!$C$32, $C$9, 100%, $E$9)</f>
        <v>4.5496999999999996</v>
      </c>
      <c r="K94" s="9">
        <f>4.5541 * CHOOSE(CONTROL!$C$32, $C$9, 100%, $E$9)</f>
        <v>4.5541</v>
      </c>
      <c r="L94" s="9">
        <f>4.2233 * CHOOSE(CONTROL!$C$32, $C$9, 100%, $E$9)</f>
        <v>4.2233000000000001</v>
      </c>
      <c r="M94" s="9">
        <f>4.2276 * CHOOSE(CONTROL!$C$32, $C$9, 100%, $E$9)</f>
        <v>4.2275999999999998</v>
      </c>
      <c r="N94" s="9">
        <f>4.2233 * CHOOSE(CONTROL!$C$32, $C$9, 100%, $E$9)</f>
        <v>4.2233000000000001</v>
      </c>
      <c r="O94" s="9">
        <f>4.2276 * CHOOSE(CONTROL!$C$32, $C$9, 100%, $E$9)</f>
        <v>4.2275999999999998</v>
      </c>
      <c r="P94" s="17"/>
      <c r="Q94" s="17"/>
      <c r="R94" s="17"/>
    </row>
    <row r="95" spans="1:18" ht="15" x14ac:dyDescent="0.2">
      <c r="A95" s="16">
        <v>43739</v>
      </c>
      <c r="B95" s="10">
        <f>3.6625 * CHOOSE(CONTROL!$C$32, $C$9, 100%, $E$9)</f>
        <v>3.6625000000000001</v>
      </c>
      <c r="C95" s="10">
        <f>3.6625 * CHOOSE(CONTROL!$C$32, $C$9, 100%, $E$9)</f>
        <v>3.6625000000000001</v>
      </c>
      <c r="D95" s="10">
        <f>3.6635 * CHOOSE(CONTROL!$C$32, $C$9, 100%, $E$9)</f>
        <v>3.6635</v>
      </c>
      <c r="E95" s="9">
        <f>4.2343 * CHOOSE(CONTROL!$C$32, $C$9, 100%, $E$9)</f>
        <v>4.2343000000000002</v>
      </c>
      <c r="F95" s="9">
        <f>4.2343 * CHOOSE(CONTROL!$C$32, $C$9, 100%, $E$9)</f>
        <v>4.2343000000000002</v>
      </c>
      <c r="G95" s="9">
        <f>4.2377 * CHOOSE(CONTROL!$C$32, $C$9, 100%, $E$9)</f>
        <v>4.2377000000000002</v>
      </c>
      <c r="H95" s="9">
        <f>4.5454 * CHOOSE(CONTROL!$C$32, $C$9, 100%, $E$9)</f>
        <v>4.5453999999999999</v>
      </c>
      <c r="I95" s="9">
        <f>4.5487 * CHOOSE(CONTROL!$C$32, $C$9, 100%, $E$9)</f>
        <v>4.5487000000000002</v>
      </c>
      <c r="J95" s="9">
        <f>4.5454 * CHOOSE(CONTROL!$C$32, $C$9, 100%, $E$9)</f>
        <v>4.5453999999999999</v>
      </c>
      <c r="K95" s="9">
        <f>4.5487 * CHOOSE(CONTROL!$C$32, $C$9, 100%, $E$9)</f>
        <v>4.5487000000000002</v>
      </c>
      <c r="L95" s="9">
        <f>4.2343 * CHOOSE(CONTROL!$C$32, $C$9, 100%, $E$9)</f>
        <v>4.2343000000000002</v>
      </c>
      <c r="M95" s="9">
        <f>4.2377 * CHOOSE(CONTROL!$C$32, $C$9, 100%, $E$9)</f>
        <v>4.2377000000000002</v>
      </c>
      <c r="N95" s="9">
        <f>4.2343 * CHOOSE(CONTROL!$C$32, $C$9, 100%, $E$9)</f>
        <v>4.2343000000000002</v>
      </c>
      <c r="O95" s="9">
        <f>4.2377 * CHOOSE(CONTROL!$C$32, $C$9, 100%, $E$9)</f>
        <v>4.2377000000000002</v>
      </c>
      <c r="P95" s="17"/>
      <c r="Q95" s="17"/>
      <c r="R95" s="17"/>
    </row>
    <row r="96" spans="1:18" ht="15" x14ac:dyDescent="0.2">
      <c r="A96" s="16">
        <v>43770</v>
      </c>
      <c r="B96" s="10">
        <f>3.6656 * CHOOSE(CONTROL!$C$32, $C$9, 100%, $E$9)</f>
        <v>3.6656</v>
      </c>
      <c r="C96" s="10">
        <f>3.6656 * CHOOSE(CONTROL!$C$32, $C$9, 100%, $E$9)</f>
        <v>3.6656</v>
      </c>
      <c r="D96" s="10">
        <f>3.6666 * CHOOSE(CONTROL!$C$32, $C$9, 100%, $E$9)</f>
        <v>3.6665999999999999</v>
      </c>
      <c r="E96" s="9">
        <f>4.2487 * CHOOSE(CONTROL!$C$32, $C$9, 100%, $E$9)</f>
        <v>4.2487000000000004</v>
      </c>
      <c r="F96" s="9">
        <f>4.2487 * CHOOSE(CONTROL!$C$32, $C$9, 100%, $E$9)</f>
        <v>4.2487000000000004</v>
      </c>
      <c r="G96" s="9">
        <f>4.2521 * CHOOSE(CONTROL!$C$32, $C$9, 100%, $E$9)</f>
        <v>4.2521000000000004</v>
      </c>
      <c r="H96" s="9">
        <f>4.5474 * CHOOSE(CONTROL!$C$32, $C$9, 100%, $E$9)</f>
        <v>4.5473999999999997</v>
      </c>
      <c r="I96" s="9">
        <f>4.5507 * CHOOSE(CONTROL!$C$32, $C$9, 100%, $E$9)</f>
        <v>4.5507</v>
      </c>
      <c r="J96" s="9">
        <f>4.5474 * CHOOSE(CONTROL!$C$32, $C$9, 100%, $E$9)</f>
        <v>4.5473999999999997</v>
      </c>
      <c r="K96" s="9">
        <f>4.5507 * CHOOSE(CONTROL!$C$32, $C$9, 100%, $E$9)</f>
        <v>4.5507</v>
      </c>
      <c r="L96" s="9">
        <f>4.2487 * CHOOSE(CONTROL!$C$32, $C$9, 100%, $E$9)</f>
        <v>4.2487000000000004</v>
      </c>
      <c r="M96" s="9">
        <f>4.2521 * CHOOSE(CONTROL!$C$32, $C$9, 100%, $E$9)</f>
        <v>4.2521000000000004</v>
      </c>
      <c r="N96" s="9">
        <f>4.2487 * CHOOSE(CONTROL!$C$32, $C$9, 100%, $E$9)</f>
        <v>4.2487000000000004</v>
      </c>
      <c r="O96" s="9">
        <f>4.2521 * CHOOSE(CONTROL!$C$32, $C$9, 100%, $E$9)</f>
        <v>4.2521000000000004</v>
      </c>
      <c r="P96" s="17"/>
      <c r="Q96" s="17"/>
      <c r="R96" s="17"/>
    </row>
    <row r="97" spans="1:18" ht="15" x14ac:dyDescent="0.2">
      <c r="A97" s="16">
        <v>43800</v>
      </c>
      <c r="B97" s="10">
        <f>3.6656 * CHOOSE(CONTROL!$C$32, $C$9, 100%, $E$9)</f>
        <v>3.6656</v>
      </c>
      <c r="C97" s="10">
        <f>3.6656 * CHOOSE(CONTROL!$C$32, $C$9, 100%, $E$9)</f>
        <v>3.6656</v>
      </c>
      <c r="D97" s="10">
        <f>3.6666 * CHOOSE(CONTROL!$C$32, $C$9, 100%, $E$9)</f>
        <v>3.6665999999999999</v>
      </c>
      <c r="E97" s="9">
        <f>4.2181 * CHOOSE(CONTROL!$C$32, $C$9, 100%, $E$9)</f>
        <v>4.2180999999999997</v>
      </c>
      <c r="F97" s="9">
        <f>4.2181 * CHOOSE(CONTROL!$C$32, $C$9, 100%, $E$9)</f>
        <v>4.2180999999999997</v>
      </c>
      <c r="G97" s="9">
        <f>4.2215 * CHOOSE(CONTROL!$C$32, $C$9, 100%, $E$9)</f>
        <v>4.2214999999999998</v>
      </c>
      <c r="H97" s="9">
        <f>4.5474 * CHOOSE(CONTROL!$C$32, $C$9, 100%, $E$9)</f>
        <v>4.5473999999999997</v>
      </c>
      <c r="I97" s="9">
        <f>4.5507 * CHOOSE(CONTROL!$C$32, $C$9, 100%, $E$9)</f>
        <v>4.5507</v>
      </c>
      <c r="J97" s="9">
        <f>4.5474 * CHOOSE(CONTROL!$C$32, $C$9, 100%, $E$9)</f>
        <v>4.5473999999999997</v>
      </c>
      <c r="K97" s="9">
        <f>4.5507 * CHOOSE(CONTROL!$C$32, $C$9, 100%, $E$9)</f>
        <v>4.5507</v>
      </c>
      <c r="L97" s="9">
        <f>4.2181 * CHOOSE(CONTROL!$C$32, $C$9, 100%, $E$9)</f>
        <v>4.2180999999999997</v>
      </c>
      <c r="M97" s="9">
        <f>4.2215 * CHOOSE(CONTROL!$C$32, $C$9, 100%, $E$9)</f>
        <v>4.2214999999999998</v>
      </c>
      <c r="N97" s="9">
        <f>4.2181 * CHOOSE(CONTROL!$C$32, $C$9, 100%, $E$9)</f>
        <v>4.2180999999999997</v>
      </c>
      <c r="O97" s="9">
        <f>4.2215 * CHOOSE(CONTROL!$C$32, $C$9, 100%, $E$9)</f>
        <v>4.2214999999999998</v>
      </c>
      <c r="P97" s="17"/>
      <c r="Q97" s="17"/>
      <c r="R97" s="17"/>
    </row>
    <row r="98" spans="1:18" ht="15" x14ac:dyDescent="0.2">
      <c r="A98" s="16">
        <v>43831</v>
      </c>
      <c r="B98" s="10">
        <f>3.7012 * CHOOSE(CONTROL!$C$32, $C$9, 100%, $E$9)</f>
        <v>3.7012</v>
      </c>
      <c r="C98" s="10">
        <f>3.7012 * CHOOSE(CONTROL!$C$32, $C$9, 100%, $E$9)</f>
        <v>3.7012</v>
      </c>
      <c r="D98" s="10">
        <f>3.7022 * CHOOSE(CONTROL!$C$32, $C$9, 100%, $E$9)</f>
        <v>3.7021999999999999</v>
      </c>
      <c r="E98" s="9">
        <f>4.287 * CHOOSE(CONTROL!$C$32, $C$9, 100%, $E$9)</f>
        <v>4.2869999999999999</v>
      </c>
      <c r="F98" s="9">
        <f>4.287 * CHOOSE(CONTROL!$C$32, $C$9, 100%, $E$9)</f>
        <v>4.2869999999999999</v>
      </c>
      <c r="G98" s="9">
        <f>4.2903 * CHOOSE(CONTROL!$C$32, $C$9, 100%, $E$9)</f>
        <v>4.2903000000000002</v>
      </c>
      <c r="H98" s="9">
        <f>4.5908 * CHOOSE(CONTROL!$C$32, $C$9, 100%, $E$9)</f>
        <v>4.5907999999999998</v>
      </c>
      <c r="I98" s="9">
        <f>4.5942 * CHOOSE(CONTROL!$C$32, $C$9, 100%, $E$9)</f>
        <v>4.5941999999999998</v>
      </c>
      <c r="J98" s="9">
        <f>4.5908 * CHOOSE(CONTROL!$C$32, $C$9, 100%, $E$9)</f>
        <v>4.5907999999999998</v>
      </c>
      <c r="K98" s="9">
        <f>4.5942 * CHOOSE(CONTROL!$C$32, $C$9, 100%, $E$9)</f>
        <v>4.5941999999999998</v>
      </c>
      <c r="L98" s="9">
        <f>4.287 * CHOOSE(CONTROL!$C$32, $C$9, 100%, $E$9)</f>
        <v>4.2869999999999999</v>
      </c>
      <c r="M98" s="9">
        <f>4.2903 * CHOOSE(CONTROL!$C$32, $C$9, 100%, $E$9)</f>
        <v>4.2903000000000002</v>
      </c>
      <c r="N98" s="9">
        <f>4.287 * CHOOSE(CONTROL!$C$32, $C$9, 100%, $E$9)</f>
        <v>4.2869999999999999</v>
      </c>
      <c r="O98" s="9">
        <f>4.2903 * CHOOSE(CONTROL!$C$32, $C$9, 100%, $E$9)</f>
        <v>4.2903000000000002</v>
      </c>
      <c r="P98" s="17"/>
      <c r="Q98" s="17"/>
      <c r="R98" s="17"/>
    </row>
    <row r="99" spans="1:18" ht="15" x14ac:dyDescent="0.2">
      <c r="A99" s="16">
        <v>43862</v>
      </c>
      <c r="B99" s="10">
        <f>3.6982 * CHOOSE(CONTROL!$C$32, $C$9, 100%, $E$9)</f>
        <v>3.6981999999999999</v>
      </c>
      <c r="C99" s="10">
        <f>3.6982 * CHOOSE(CONTROL!$C$32, $C$9, 100%, $E$9)</f>
        <v>3.6981999999999999</v>
      </c>
      <c r="D99" s="10">
        <f>3.6992 * CHOOSE(CONTROL!$C$32, $C$9, 100%, $E$9)</f>
        <v>3.6991999999999998</v>
      </c>
      <c r="E99" s="9">
        <f>4.226 * CHOOSE(CONTROL!$C$32, $C$9, 100%, $E$9)</f>
        <v>4.226</v>
      </c>
      <c r="F99" s="9">
        <f>4.226 * CHOOSE(CONTROL!$C$32, $C$9, 100%, $E$9)</f>
        <v>4.226</v>
      </c>
      <c r="G99" s="9">
        <f>4.2294 * CHOOSE(CONTROL!$C$32, $C$9, 100%, $E$9)</f>
        <v>4.2294</v>
      </c>
      <c r="H99" s="9">
        <f>4.5888 * CHOOSE(CONTROL!$C$32, $C$9, 100%, $E$9)</f>
        <v>4.5888</v>
      </c>
      <c r="I99" s="9">
        <f>4.5922 * CHOOSE(CONTROL!$C$32, $C$9, 100%, $E$9)</f>
        <v>4.5922000000000001</v>
      </c>
      <c r="J99" s="9">
        <f>4.5888 * CHOOSE(CONTROL!$C$32, $C$9, 100%, $E$9)</f>
        <v>4.5888</v>
      </c>
      <c r="K99" s="9">
        <f>4.5922 * CHOOSE(CONTROL!$C$32, $C$9, 100%, $E$9)</f>
        <v>4.5922000000000001</v>
      </c>
      <c r="L99" s="9">
        <f>4.226 * CHOOSE(CONTROL!$C$32, $C$9, 100%, $E$9)</f>
        <v>4.226</v>
      </c>
      <c r="M99" s="9">
        <f>4.2294 * CHOOSE(CONTROL!$C$32, $C$9, 100%, $E$9)</f>
        <v>4.2294</v>
      </c>
      <c r="N99" s="9">
        <f>4.226 * CHOOSE(CONTROL!$C$32, $C$9, 100%, $E$9)</f>
        <v>4.226</v>
      </c>
      <c r="O99" s="9">
        <f>4.2294 * CHOOSE(CONTROL!$C$32, $C$9, 100%, $E$9)</f>
        <v>4.2294</v>
      </c>
      <c r="P99" s="17"/>
      <c r="Q99" s="17"/>
      <c r="R99" s="17"/>
    </row>
    <row r="100" spans="1:18" ht="15" x14ac:dyDescent="0.2">
      <c r="A100" s="16">
        <v>43891</v>
      </c>
      <c r="B100" s="10">
        <f>3.6951 * CHOOSE(CONTROL!$C$32, $C$9, 100%, $E$9)</f>
        <v>3.6951000000000001</v>
      </c>
      <c r="C100" s="10">
        <f>3.6951 * CHOOSE(CONTROL!$C$32, $C$9, 100%, $E$9)</f>
        <v>3.6951000000000001</v>
      </c>
      <c r="D100" s="10">
        <f>3.6962 * CHOOSE(CONTROL!$C$32, $C$9, 100%, $E$9)</f>
        <v>3.6962000000000002</v>
      </c>
      <c r="E100" s="9">
        <f>4.2703 * CHOOSE(CONTROL!$C$32, $C$9, 100%, $E$9)</f>
        <v>4.2702999999999998</v>
      </c>
      <c r="F100" s="9">
        <f>4.2703 * CHOOSE(CONTROL!$C$32, $C$9, 100%, $E$9)</f>
        <v>4.2702999999999998</v>
      </c>
      <c r="G100" s="9">
        <f>4.2736 * CHOOSE(CONTROL!$C$32, $C$9, 100%, $E$9)</f>
        <v>4.2736000000000001</v>
      </c>
      <c r="H100" s="9">
        <f>4.5868 * CHOOSE(CONTROL!$C$32, $C$9, 100%, $E$9)</f>
        <v>4.5868000000000002</v>
      </c>
      <c r="I100" s="9">
        <f>4.5902 * CHOOSE(CONTROL!$C$32, $C$9, 100%, $E$9)</f>
        <v>4.5902000000000003</v>
      </c>
      <c r="J100" s="9">
        <f>4.5868 * CHOOSE(CONTROL!$C$32, $C$9, 100%, $E$9)</f>
        <v>4.5868000000000002</v>
      </c>
      <c r="K100" s="9">
        <f>4.5902 * CHOOSE(CONTROL!$C$32, $C$9, 100%, $E$9)</f>
        <v>4.5902000000000003</v>
      </c>
      <c r="L100" s="9">
        <f>4.2703 * CHOOSE(CONTROL!$C$32, $C$9, 100%, $E$9)</f>
        <v>4.2702999999999998</v>
      </c>
      <c r="M100" s="9">
        <f>4.2736 * CHOOSE(CONTROL!$C$32, $C$9, 100%, $E$9)</f>
        <v>4.2736000000000001</v>
      </c>
      <c r="N100" s="9">
        <f>4.2703 * CHOOSE(CONTROL!$C$32, $C$9, 100%, $E$9)</f>
        <v>4.2702999999999998</v>
      </c>
      <c r="O100" s="9">
        <f>4.2736 * CHOOSE(CONTROL!$C$32, $C$9, 100%, $E$9)</f>
        <v>4.2736000000000001</v>
      </c>
      <c r="P100" s="17"/>
      <c r="Q100" s="17"/>
      <c r="R100" s="17"/>
    </row>
    <row r="101" spans="1:18" ht="15" x14ac:dyDescent="0.2">
      <c r="A101" s="16">
        <v>43922</v>
      </c>
      <c r="B101" s="10">
        <f>3.6926 * CHOOSE(CONTROL!$C$32, $C$9, 100%, $E$9)</f>
        <v>3.6926000000000001</v>
      </c>
      <c r="C101" s="10">
        <f>3.6926 * CHOOSE(CONTROL!$C$32, $C$9, 100%, $E$9)</f>
        <v>3.6926000000000001</v>
      </c>
      <c r="D101" s="10">
        <f>3.6936 * CHOOSE(CONTROL!$C$32, $C$9, 100%, $E$9)</f>
        <v>3.6936</v>
      </c>
      <c r="E101" s="9">
        <f>4.3158 * CHOOSE(CONTROL!$C$32, $C$9, 100%, $E$9)</f>
        <v>4.3158000000000003</v>
      </c>
      <c r="F101" s="9">
        <f>4.3158 * CHOOSE(CONTROL!$C$32, $C$9, 100%, $E$9)</f>
        <v>4.3158000000000003</v>
      </c>
      <c r="G101" s="9">
        <f>4.3192 * CHOOSE(CONTROL!$C$32, $C$9, 100%, $E$9)</f>
        <v>4.3192000000000004</v>
      </c>
      <c r="H101" s="9">
        <f>4.585 * CHOOSE(CONTROL!$C$32, $C$9, 100%, $E$9)</f>
        <v>4.585</v>
      </c>
      <c r="I101" s="9">
        <f>4.5883 * CHOOSE(CONTROL!$C$32, $C$9, 100%, $E$9)</f>
        <v>4.5883000000000003</v>
      </c>
      <c r="J101" s="9">
        <f>4.585 * CHOOSE(CONTROL!$C$32, $C$9, 100%, $E$9)</f>
        <v>4.585</v>
      </c>
      <c r="K101" s="9">
        <f>4.5883 * CHOOSE(CONTROL!$C$32, $C$9, 100%, $E$9)</f>
        <v>4.5883000000000003</v>
      </c>
      <c r="L101" s="9">
        <f>4.3158 * CHOOSE(CONTROL!$C$32, $C$9, 100%, $E$9)</f>
        <v>4.3158000000000003</v>
      </c>
      <c r="M101" s="9">
        <f>4.3192 * CHOOSE(CONTROL!$C$32, $C$9, 100%, $E$9)</f>
        <v>4.3192000000000004</v>
      </c>
      <c r="N101" s="9">
        <f>4.3158 * CHOOSE(CONTROL!$C$32, $C$9, 100%, $E$9)</f>
        <v>4.3158000000000003</v>
      </c>
      <c r="O101" s="9">
        <f>4.3192 * CHOOSE(CONTROL!$C$32, $C$9, 100%, $E$9)</f>
        <v>4.3192000000000004</v>
      </c>
      <c r="P101" s="17"/>
      <c r="Q101" s="17"/>
      <c r="R101" s="17"/>
    </row>
    <row r="102" spans="1:18" ht="15" x14ac:dyDescent="0.2">
      <c r="A102" s="16">
        <v>43952</v>
      </c>
      <c r="B102" s="10">
        <f>3.6926 * CHOOSE(CONTROL!$C$32, $C$9, 100%, $E$9)</f>
        <v>3.6926000000000001</v>
      </c>
      <c r="C102" s="10">
        <f>3.6926 * CHOOSE(CONTROL!$C$32, $C$9, 100%, $E$9)</f>
        <v>3.6926000000000001</v>
      </c>
      <c r="D102" s="10">
        <f>3.6939 * CHOOSE(CONTROL!$C$32, $C$9, 100%, $E$9)</f>
        <v>3.6939000000000002</v>
      </c>
      <c r="E102" s="9">
        <f>4.3345 * CHOOSE(CONTROL!$C$32, $C$9, 100%, $E$9)</f>
        <v>4.3345000000000002</v>
      </c>
      <c r="F102" s="9">
        <f>4.3345 * CHOOSE(CONTROL!$C$32, $C$9, 100%, $E$9)</f>
        <v>4.3345000000000002</v>
      </c>
      <c r="G102" s="9">
        <f>4.3389 * CHOOSE(CONTROL!$C$32, $C$9, 100%, $E$9)</f>
        <v>4.3388999999999998</v>
      </c>
      <c r="H102" s="9">
        <f>4.585 * CHOOSE(CONTROL!$C$32, $C$9, 100%, $E$9)</f>
        <v>4.585</v>
      </c>
      <c r="I102" s="9">
        <f>4.5893 * CHOOSE(CONTROL!$C$32, $C$9, 100%, $E$9)</f>
        <v>4.5892999999999997</v>
      </c>
      <c r="J102" s="9">
        <f>4.585 * CHOOSE(CONTROL!$C$32, $C$9, 100%, $E$9)</f>
        <v>4.585</v>
      </c>
      <c r="K102" s="9">
        <f>4.5893 * CHOOSE(CONTROL!$C$32, $C$9, 100%, $E$9)</f>
        <v>4.5892999999999997</v>
      </c>
      <c r="L102" s="9">
        <f>4.3345 * CHOOSE(CONTROL!$C$32, $C$9, 100%, $E$9)</f>
        <v>4.3345000000000002</v>
      </c>
      <c r="M102" s="9">
        <f>4.3389 * CHOOSE(CONTROL!$C$32, $C$9, 100%, $E$9)</f>
        <v>4.3388999999999998</v>
      </c>
      <c r="N102" s="9">
        <f>4.3345 * CHOOSE(CONTROL!$C$32, $C$9, 100%, $E$9)</f>
        <v>4.3345000000000002</v>
      </c>
      <c r="O102" s="9">
        <f>4.3389 * CHOOSE(CONTROL!$C$32, $C$9, 100%, $E$9)</f>
        <v>4.3388999999999998</v>
      </c>
      <c r="P102" s="17"/>
      <c r="Q102" s="17"/>
      <c r="R102" s="17"/>
    </row>
    <row r="103" spans="1:18" ht="15" x14ac:dyDescent="0.2">
      <c r="A103" s="16">
        <v>43983</v>
      </c>
      <c r="B103" s="10">
        <f>3.6987 * CHOOSE(CONTROL!$C$32, $C$9, 100%, $E$9)</f>
        <v>3.6987000000000001</v>
      </c>
      <c r="C103" s="10">
        <f>3.6987 * CHOOSE(CONTROL!$C$32, $C$9, 100%, $E$9)</f>
        <v>3.6987000000000001</v>
      </c>
      <c r="D103" s="10">
        <f>3.7 * CHOOSE(CONTROL!$C$32, $C$9, 100%, $E$9)</f>
        <v>3.7</v>
      </c>
      <c r="E103" s="9">
        <f>4.3201 * CHOOSE(CONTROL!$C$32, $C$9, 100%, $E$9)</f>
        <v>4.3201000000000001</v>
      </c>
      <c r="F103" s="9">
        <f>4.3201 * CHOOSE(CONTROL!$C$32, $C$9, 100%, $E$9)</f>
        <v>4.3201000000000001</v>
      </c>
      <c r="G103" s="9">
        <f>4.3244 * CHOOSE(CONTROL!$C$32, $C$9, 100%, $E$9)</f>
        <v>4.3243999999999998</v>
      </c>
      <c r="H103" s="9">
        <f>4.589 * CHOOSE(CONTROL!$C$32, $C$9, 100%, $E$9)</f>
        <v>4.5890000000000004</v>
      </c>
      <c r="I103" s="9">
        <f>4.5933 * CHOOSE(CONTROL!$C$32, $C$9, 100%, $E$9)</f>
        <v>4.5933000000000002</v>
      </c>
      <c r="J103" s="9">
        <f>4.589 * CHOOSE(CONTROL!$C$32, $C$9, 100%, $E$9)</f>
        <v>4.5890000000000004</v>
      </c>
      <c r="K103" s="9">
        <f>4.5933 * CHOOSE(CONTROL!$C$32, $C$9, 100%, $E$9)</f>
        <v>4.5933000000000002</v>
      </c>
      <c r="L103" s="9">
        <f>4.3201 * CHOOSE(CONTROL!$C$32, $C$9, 100%, $E$9)</f>
        <v>4.3201000000000001</v>
      </c>
      <c r="M103" s="9">
        <f>4.3244 * CHOOSE(CONTROL!$C$32, $C$9, 100%, $E$9)</f>
        <v>4.3243999999999998</v>
      </c>
      <c r="N103" s="9">
        <f>4.3201 * CHOOSE(CONTROL!$C$32, $C$9, 100%, $E$9)</f>
        <v>4.3201000000000001</v>
      </c>
      <c r="O103" s="9">
        <f>4.3244 * CHOOSE(CONTROL!$C$32, $C$9, 100%, $E$9)</f>
        <v>4.3243999999999998</v>
      </c>
      <c r="P103" s="17"/>
      <c r="Q103" s="17"/>
      <c r="R103" s="17"/>
    </row>
    <row r="104" spans="1:18" ht="15" x14ac:dyDescent="0.2">
      <c r="A104" s="16">
        <v>44013</v>
      </c>
      <c r="B104" s="10">
        <f>3.7654 * CHOOSE(CONTROL!$C$32, $C$9, 100%, $E$9)</f>
        <v>3.7654000000000001</v>
      </c>
      <c r="C104" s="10">
        <f>3.7654 * CHOOSE(CONTROL!$C$32, $C$9, 100%, $E$9)</f>
        <v>3.7654000000000001</v>
      </c>
      <c r="D104" s="10">
        <f>3.7667 * CHOOSE(CONTROL!$C$32, $C$9, 100%, $E$9)</f>
        <v>3.7667000000000002</v>
      </c>
      <c r="E104" s="9">
        <f>4.4408 * CHOOSE(CONTROL!$C$32, $C$9, 100%, $E$9)</f>
        <v>4.4408000000000003</v>
      </c>
      <c r="F104" s="9">
        <f>4.4408 * CHOOSE(CONTROL!$C$32, $C$9, 100%, $E$9)</f>
        <v>4.4408000000000003</v>
      </c>
      <c r="G104" s="9">
        <f>4.4451 * CHOOSE(CONTROL!$C$32, $C$9, 100%, $E$9)</f>
        <v>4.4451000000000001</v>
      </c>
      <c r="H104" s="9">
        <f>4.6825 * CHOOSE(CONTROL!$C$32, $C$9, 100%, $E$9)</f>
        <v>4.6825000000000001</v>
      </c>
      <c r="I104" s="9">
        <f>4.6869 * CHOOSE(CONTROL!$C$32, $C$9, 100%, $E$9)</f>
        <v>4.6868999999999996</v>
      </c>
      <c r="J104" s="9">
        <f>4.6825 * CHOOSE(CONTROL!$C$32, $C$9, 100%, $E$9)</f>
        <v>4.6825000000000001</v>
      </c>
      <c r="K104" s="9">
        <f>4.6869 * CHOOSE(CONTROL!$C$32, $C$9, 100%, $E$9)</f>
        <v>4.6868999999999996</v>
      </c>
      <c r="L104" s="9">
        <f>4.4408 * CHOOSE(CONTROL!$C$32, $C$9, 100%, $E$9)</f>
        <v>4.4408000000000003</v>
      </c>
      <c r="M104" s="9">
        <f>4.4451 * CHOOSE(CONTROL!$C$32, $C$9, 100%, $E$9)</f>
        <v>4.4451000000000001</v>
      </c>
      <c r="N104" s="9">
        <f>4.4408 * CHOOSE(CONTROL!$C$32, $C$9, 100%, $E$9)</f>
        <v>4.4408000000000003</v>
      </c>
      <c r="O104" s="9">
        <f>4.4451 * CHOOSE(CONTROL!$C$32, $C$9, 100%, $E$9)</f>
        <v>4.4451000000000001</v>
      </c>
      <c r="P104" s="17"/>
      <c r="Q104" s="17"/>
      <c r="R104" s="17"/>
    </row>
    <row r="105" spans="1:18" ht="15" x14ac:dyDescent="0.2">
      <c r="A105" s="16">
        <v>44044</v>
      </c>
      <c r="B105" s="10">
        <f>3.7721 * CHOOSE(CONTROL!$C$32, $C$9, 100%, $E$9)</f>
        <v>3.7721</v>
      </c>
      <c r="C105" s="10">
        <f>3.7721 * CHOOSE(CONTROL!$C$32, $C$9, 100%, $E$9)</f>
        <v>3.7721</v>
      </c>
      <c r="D105" s="10">
        <f>3.7734 * CHOOSE(CONTROL!$C$32, $C$9, 100%, $E$9)</f>
        <v>3.7734000000000001</v>
      </c>
      <c r="E105" s="9">
        <f>4.3894 * CHOOSE(CONTROL!$C$32, $C$9, 100%, $E$9)</f>
        <v>4.3894000000000002</v>
      </c>
      <c r="F105" s="9">
        <f>4.3894 * CHOOSE(CONTROL!$C$32, $C$9, 100%, $E$9)</f>
        <v>4.3894000000000002</v>
      </c>
      <c r="G105" s="9">
        <f>4.3938 * CHOOSE(CONTROL!$C$32, $C$9, 100%, $E$9)</f>
        <v>4.3937999999999997</v>
      </c>
      <c r="H105" s="9">
        <f>4.6869 * CHOOSE(CONTROL!$C$32, $C$9, 100%, $E$9)</f>
        <v>4.6868999999999996</v>
      </c>
      <c r="I105" s="9">
        <f>4.6913 * CHOOSE(CONTROL!$C$32, $C$9, 100%, $E$9)</f>
        <v>4.6913</v>
      </c>
      <c r="J105" s="9">
        <f>4.6869 * CHOOSE(CONTROL!$C$32, $C$9, 100%, $E$9)</f>
        <v>4.6868999999999996</v>
      </c>
      <c r="K105" s="9">
        <f>4.6913 * CHOOSE(CONTROL!$C$32, $C$9, 100%, $E$9)</f>
        <v>4.6913</v>
      </c>
      <c r="L105" s="9">
        <f>4.3894 * CHOOSE(CONTROL!$C$32, $C$9, 100%, $E$9)</f>
        <v>4.3894000000000002</v>
      </c>
      <c r="M105" s="9">
        <f>4.3938 * CHOOSE(CONTROL!$C$32, $C$9, 100%, $E$9)</f>
        <v>4.3937999999999997</v>
      </c>
      <c r="N105" s="9">
        <f>4.3894 * CHOOSE(CONTROL!$C$32, $C$9, 100%, $E$9)</f>
        <v>4.3894000000000002</v>
      </c>
      <c r="O105" s="9">
        <f>4.3938 * CHOOSE(CONTROL!$C$32, $C$9, 100%, $E$9)</f>
        <v>4.3937999999999997</v>
      </c>
      <c r="P105" s="17"/>
      <c r="Q105" s="17"/>
      <c r="R105" s="17"/>
    </row>
    <row r="106" spans="1:18" ht="15" x14ac:dyDescent="0.2">
      <c r="A106" s="16">
        <v>44075</v>
      </c>
      <c r="B106" s="10">
        <f>3.7691 * CHOOSE(CONTROL!$C$32, $C$9, 100%, $E$9)</f>
        <v>3.7690999999999999</v>
      </c>
      <c r="C106" s="10">
        <f>3.7691 * CHOOSE(CONTROL!$C$32, $C$9, 100%, $E$9)</f>
        <v>3.7690999999999999</v>
      </c>
      <c r="D106" s="10">
        <f>3.7704 * CHOOSE(CONTROL!$C$32, $C$9, 100%, $E$9)</f>
        <v>3.7704</v>
      </c>
      <c r="E106" s="9">
        <f>4.381 * CHOOSE(CONTROL!$C$32, $C$9, 100%, $E$9)</f>
        <v>4.3810000000000002</v>
      </c>
      <c r="F106" s="9">
        <f>4.381 * CHOOSE(CONTROL!$C$32, $C$9, 100%, $E$9)</f>
        <v>4.3810000000000002</v>
      </c>
      <c r="G106" s="9">
        <f>4.3854 * CHOOSE(CONTROL!$C$32, $C$9, 100%, $E$9)</f>
        <v>4.3853999999999997</v>
      </c>
      <c r="H106" s="9">
        <f>4.6849 * CHOOSE(CONTROL!$C$32, $C$9, 100%, $E$9)</f>
        <v>4.6848999999999998</v>
      </c>
      <c r="I106" s="9">
        <f>4.6893 * CHOOSE(CONTROL!$C$32, $C$9, 100%, $E$9)</f>
        <v>4.6893000000000002</v>
      </c>
      <c r="J106" s="9">
        <f>4.6849 * CHOOSE(CONTROL!$C$32, $C$9, 100%, $E$9)</f>
        <v>4.6848999999999998</v>
      </c>
      <c r="K106" s="9">
        <f>4.6893 * CHOOSE(CONTROL!$C$32, $C$9, 100%, $E$9)</f>
        <v>4.6893000000000002</v>
      </c>
      <c r="L106" s="9">
        <f>4.381 * CHOOSE(CONTROL!$C$32, $C$9, 100%, $E$9)</f>
        <v>4.3810000000000002</v>
      </c>
      <c r="M106" s="9">
        <f>4.3854 * CHOOSE(CONTROL!$C$32, $C$9, 100%, $E$9)</f>
        <v>4.3853999999999997</v>
      </c>
      <c r="N106" s="9">
        <f>4.381 * CHOOSE(CONTROL!$C$32, $C$9, 100%, $E$9)</f>
        <v>4.3810000000000002</v>
      </c>
      <c r="O106" s="9">
        <f>4.3854 * CHOOSE(CONTROL!$C$32, $C$9, 100%, $E$9)</f>
        <v>4.3853999999999997</v>
      </c>
      <c r="P106" s="17"/>
      <c r="Q106" s="17"/>
      <c r="R106" s="17"/>
    </row>
    <row r="107" spans="1:18" ht="15" x14ac:dyDescent="0.2">
      <c r="A107" s="16">
        <v>44105</v>
      </c>
      <c r="B107" s="10">
        <f>3.7636 * CHOOSE(CONTROL!$C$32, $C$9, 100%, $E$9)</f>
        <v>3.7635999999999998</v>
      </c>
      <c r="C107" s="10">
        <f>3.7636 * CHOOSE(CONTROL!$C$32, $C$9, 100%, $E$9)</f>
        <v>3.7635999999999998</v>
      </c>
      <c r="D107" s="10">
        <f>3.7646 * CHOOSE(CONTROL!$C$32, $C$9, 100%, $E$9)</f>
        <v>3.7646000000000002</v>
      </c>
      <c r="E107" s="9">
        <f>4.3925 * CHOOSE(CONTROL!$C$32, $C$9, 100%, $E$9)</f>
        <v>4.3925000000000001</v>
      </c>
      <c r="F107" s="9">
        <f>4.3925 * CHOOSE(CONTROL!$C$32, $C$9, 100%, $E$9)</f>
        <v>4.3925000000000001</v>
      </c>
      <c r="G107" s="9">
        <f>4.3959 * CHOOSE(CONTROL!$C$32, $C$9, 100%, $E$9)</f>
        <v>4.3959000000000001</v>
      </c>
      <c r="H107" s="9">
        <f>4.6808 * CHOOSE(CONTROL!$C$32, $C$9, 100%, $E$9)</f>
        <v>4.6807999999999996</v>
      </c>
      <c r="I107" s="9">
        <f>4.6842 * CHOOSE(CONTROL!$C$32, $C$9, 100%, $E$9)</f>
        <v>4.6841999999999997</v>
      </c>
      <c r="J107" s="9">
        <f>4.6808 * CHOOSE(CONTROL!$C$32, $C$9, 100%, $E$9)</f>
        <v>4.6807999999999996</v>
      </c>
      <c r="K107" s="9">
        <f>4.6842 * CHOOSE(CONTROL!$C$32, $C$9, 100%, $E$9)</f>
        <v>4.6841999999999997</v>
      </c>
      <c r="L107" s="9">
        <f>4.3925 * CHOOSE(CONTROL!$C$32, $C$9, 100%, $E$9)</f>
        <v>4.3925000000000001</v>
      </c>
      <c r="M107" s="9">
        <f>4.3959 * CHOOSE(CONTROL!$C$32, $C$9, 100%, $E$9)</f>
        <v>4.3959000000000001</v>
      </c>
      <c r="N107" s="9">
        <f>4.3925 * CHOOSE(CONTROL!$C$32, $C$9, 100%, $E$9)</f>
        <v>4.3925000000000001</v>
      </c>
      <c r="O107" s="9">
        <f>4.3959 * CHOOSE(CONTROL!$C$32, $C$9, 100%, $E$9)</f>
        <v>4.3959000000000001</v>
      </c>
      <c r="P107" s="17"/>
      <c r="Q107" s="17"/>
      <c r="R107" s="17"/>
    </row>
    <row r="108" spans="1:18" ht="15" x14ac:dyDescent="0.2">
      <c r="A108" s="16">
        <v>44136</v>
      </c>
      <c r="B108" s="10">
        <f>3.7666 * CHOOSE(CONTROL!$C$32, $C$9, 100%, $E$9)</f>
        <v>3.7665999999999999</v>
      </c>
      <c r="C108" s="10">
        <f>3.7666 * CHOOSE(CONTROL!$C$32, $C$9, 100%, $E$9)</f>
        <v>3.7665999999999999</v>
      </c>
      <c r="D108" s="10">
        <f>3.7676 * CHOOSE(CONTROL!$C$32, $C$9, 100%, $E$9)</f>
        <v>3.7675999999999998</v>
      </c>
      <c r="E108" s="9">
        <f>4.4071 * CHOOSE(CONTROL!$C$32, $C$9, 100%, $E$9)</f>
        <v>4.4070999999999998</v>
      </c>
      <c r="F108" s="9">
        <f>4.4071 * CHOOSE(CONTROL!$C$32, $C$9, 100%, $E$9)</f>
        <v>4.4070999999999998</v>
      </c>
      <c r="G108" s="9">
        <f>4.4105 * CHOOSE(CONTROL!$C$32, $C$9, 100%, $E$9)</f>
        <v>4.4104999999999999</v>
      </c>
      <c r="H108" s="9">
        <f>4.6828 * CHOOSE(CONTROL!$C$32, $C$9, 100%, $E$9)</f>
        <v>4.6828000000000003</v>
      </c>
      <c r="I108" s="9">
        <f>4.6862 * CHOOSE(CONTROL!$C$32, $C$9, 100%, $E$9)</f>
        <v>4.6862000000000004</v>
      </c>
      <c r="J108" s="9">
        <f>4.6828 * CHOOSE(CONTROL!$C$32, $C$9, 100%, $E$9)</f>
        <v>4.6828000000000003</v>
      </c>
      <c r="K108" s="9">
        <f>4.6862 * CHOOSE(CONTROL!$C$32, $C$9, 100%, $E$9)</f>
        <v>4.6862000000000004</v>
      </c>
      <c r="L108" s="9">
        <f>4.4071 * CHOOSE(CONTROL!$C$32, $C$9, 100%, $E$9)</f>
        <v>4.4070999999999998</v>
      </c>
      <c r="M108" s="9">
        <f>4.4105 * CHOOSE(CONTROL!$C$32, $C$9, 100%, $E$9)</f>
        <v>4.4104999999999999</v>
      </c>
      <c r="N108" s="9">
        <f>4.4071 * CHOOSE(CONTROL!$C$32, $C$9, 100%, $E$9)</f>
        <v>4.4070999999999998</v>
      </c>
      <c r="O108" s="9">
        <f>4.4105 * CHOOSE(CONTROL!$C$32, $C$9, 100%, $E$9)</f>
        <v>4.4104999999999999</v>
      </c>
      <c r="P108" s="17"/>
      <c r="Q108" s="17"/>
      <c r="R108" s="17"/>
    </row>
    <row r="109" spans="1:18" ht="15" x14ac:dyDescent="0.2">
      <c r="A109" s="16">
        <v>44166</v>
      </c>
      <c r="B109" s="10">
        <f>3.7666 * CHOOSE(CONTROL!$C$32, $C$9, 100%, $E$9)</f>
        <v>3.7665999999999999</v>
      </c>
      <c r="C109" s="10">
        <f>3.7666 * CHOOSE(CONTROL!$C$32, $C$9, 100%, $E$9)</f>
        <v>3.7665999999999999</v>
      </c>
      <c r="D109" s="10">
        <f>3.7676 * CHOOSE(CONTROL!$C$32, $C$9, 100%, $E$9)</f>
        <v>3.7675999999999998</v>
      </c>
      <c r="E109" s="9">
        <f>4.376 * CHOOSE(CONTROL!$C$32, $C$9, 100%, $E$9)</f>
        <v>4.3760000000000003</v>
      </c>
      <c r="F109" s="9">
        <f>4.376 * CHOOSE(CONTROL!$C$32, $C$9, 100%, $E$9)</f>
        <v>4.3760000000000003</v>
      </c>
      <c r="G109" s="9">
        <f>4.3794 * CHOOSE(CONTROL!$C$32, $C$9, 100%, $E$9)</f>
        <v>4.3794000000000004</v>
      </c>
      <c r="H109" s="9">
        <f>4.6828 * CHOOSE(CONTROL!$C$32, $C$9, 100%, $E$9)</f>
        <v>4.6828000000000003</v>
      </c>
      <c r="I109" s="9">
        <f>4.6862 * CHOOSE(CONTROL!$C$32, $C$9, 100%, $E$9)</f>
        <v>4.6862000000000004</v>
      </c>
      <c r="J109" s="9">
        <f>4.6828 * CHOOSE(CONTROL!$C$32, $C$9, 100%, $E$9)</f>
        <v>4.6828000000000003</v>
      </c>
      <c r="K109" s="9">
        <f>4.6862 * CHOOSE(CONTROL!$C$32, $C$9, 100%, $E$9)</f>
        <v>4.6862000000000004</v>
      </c>
      <c r="L109" s="9">
        <f>4.376 * CHOOSE(CONTROL!$C$32, $C$9, 100%, $E$9)</f>
        <v>4.3760000000000003</v>
      </c>
      <c r="M109" s="9">
        <f>4.3794 * CHOOSE(CONTROL!$C$32, $C$9, 100%, $E$9)</f>
        <v>4.3794000000000004</v>
      </c>
      <c r="N109" s="9">
        <f>4.376 * CHOOSE(CONTROL!$C$32, $C$9, 100%, $E$9)</f>
        <v>4.3760000000000003</v>
      </c>
      <c r="O109" s="9">
        <f>4.3794 * CHOOSE(CONTROL!$C$32, $C$9, 100%, $E$9)</f>
        <v>4.3794000000000004</v>
      </c>
      <c r="P109" s="17"/>
      <c r="Q109" s="17"/>
      <c r="R109" s="17"/>
    </row>
    <row r="110" spans="1:18" ht="15" x14ac:dyDescent="0.2">
      <c r="A110" s="16">
        <v>44197</v>
      </c>
      <c r="B110" s="10">
        <f>3.7938 * CHOOSE(CONTROL!$C$32, $C$9, 100%, $E$9)</f>
        <v>3.7938000000000001</v>
      </c>
      <c r="C110" s="10">
        <f>3.7938 * CHOOSE(CONTROL!$C$32, $C$9, 100%, $E$9)</f>
        <v>3.7938000000000001</v>
      </c>
      <c r="D110" s="10">
        <f>3.7948 * CHOOSE(CONTROL!$C$32, $C$9, 100%, $E$9)</f>
        <v>3.7948</v>
      </c>
      <c r="E110" s="9">
        <f>4.3937 * CHOOSE(CONTROL!$C$32, $C$9, 100%, $E$9)</f>
        <v>4.3936999999999999</v>
      </c>
      <c r="F110" s="9">
        <f>4.3937 * CHOOSE(CONTROL!$C$32, $C$9, 100%, $E$9)</f>
        <v>4.3936999999999999</v>
      </c>
      <c r="G110" s="9">
        <f>4.3971 * CHOOSE(CONTROL!$C$32, $C$9, 100%, $E$9)</f>
        <v>4.3971</v>
      </c>
      <c r="H110" s="9">
        <f>4.7106 * CHOOSE(CONTROL!$C$32, $C$9, 100%, $E$9)</f>
        <v>4.7106000000000003</v>
      </c>
      <c r="I110" s="9">
        <f>4.714 * CHOOSE(CONTROL!$C$32, $C$9, 100%, $E$9)</f>
        <v>4.7140000000000004</v>
      </c>
      <c r="J110" s="9">
        <f>4.7106 * CHOOSE(CONTROL!$C$32, $C$9, 100%, $E$9)</f>
        <v>4.7106000000000003</v>
      </c>
      <c r="K110" s="9">
        <f>4.714 * CHOOSE(CONTROL!$C$32, $C$9, 100%, $E$9)</f>
        <v>4.7140000000000004</v>
      </c>
      <c r="L110" s="9">
        <f>4.3937 * CHOOSE(CONTROL!$C$32, $C$9, 100%, $E$9)</f>
        <v>4.3936999999999999</v>
      </c>
      <c r="M110" s="9">
        <f>4.3971 * CHOOSE(CONTROL!$C$32, $C$9, 100%, $E$9)</f>
        <v>4.3971</v>
      </c>
      <c r="N110" s="9">
        <f>4.3937 * CHOOSE(CONTROL!$C$32, $C$9, 100%, $E$9)</f>
        <v>4.3936999999999999</v>
      </c>
      <c r="O110" s="9">
        <f>4.3971 * CHOOSE(CONTROL!$C$32, $C$9, 100%, $E$9)</f>
        <v>4.3971</v>
      </c>
      <c r="P110" s="17"/>
      <c r="Q110" s="17"/>
      <c r="R110" s="17"/>
    </row>
    <row r="111" spans="1:18" ht="15" x14ac:dyDescent="0.2">
      <c r="A111" s="16">
        <v>44228</v>
      </c>
      <c r="B111" s="10">
        <f>3.7907 * CHOOSE(CONTROL!$C$32, $C$9, 100%, $E$9)</f>
        <v>3.7907000000000002</v>
      </c>
      <c r="C111" s="10">
        <f>3.7907 * CHOOSE(CONTROL!$C$32, $C$9, 100%, $E$9)</f>
        <v>3.7907000000000002</v>
      </c>
      <c r="D111" s="10">
        <f>3.7917 * CHOOSE(CONTROL!$C$32, $C$9, 100%, $E$9)</f>
        <v>3.7917000000000001</v>
      </c>
      <c r="E111" s="9">
        <f>4.3314 * CHOOSE(CONTROL!$C$32, $C$9, 100%, $E$9)</f>
        <v>4.3314000000000004</v>
      </c>
      <c r="F111" s="9">
        <f>4.3314 * CHOOSE(CONTROL!$C$32, $C$9, 100%, $E$9)</f>
        <v>4.3314000000000004</v>
      </c>
      <c r="G111" s="9">
        <f>4.3348 * CHOOSE(CONTROL!$C$32, $C$9, 100%, $E$9)</f>
        <v>4.3348000000000004</v>
      </c>
      <c r="H111" s="9">
        <f>4.7086 * CHOOSE(CONTROL!$C$32, $C$9, 100%, $E$9)</f>
        <v>4.7085999999999997</v>
      </c>
      <c r="I111" s="9">
        <f>4.712 * CHOOSE(CONTROL!$C$32, $C$9, 100%, $E$9)</f>
        <v>4.7119999999999997</v>
      </c>
      <c r="J111" s="9">
        <f>4.7086 * CHOOSE(CONTROL!$C$32, $C$9, 100%, $E$9)</f>
        <v>4.7085999999999997</v>
      </c>
      <c r="K111" s="9">
        <f>4.712 * CHOOSE(CONTROL!$C$32, $C$9, 100%, $E$9)</f>
        <v>4.7119999999999997</v>
      </c>
      <c r="L111" s="9">
        <f>4.3314 * CHOOSE(CONTROL!$C$32, $C$9, 100%, $E$9)</f>
        <v>4.3314000000000004</v>
      </c>
      <c r="M111" s="9">
        <f>4.3348 * CHOOSE(CONTROL!$C$32, $C$9, 100%, $E$9)</f>
        <v>4.3348000000000004</v>
      </c>
      <c r="N111" s="9">
        <f>4.3314 * CHOOSE(CONTROL!$C$32, $C$9, 100%, $E$9)</f>
        <v>4.3314000000000004</v>
      </c>
      <c r="O111" s="9">
        <f>4.3348 * CHOOSE(CONTROL!$C$32, $C$9, 100%, $E$9)</f>
        <v>4.3348000000000004</v>
      </c>
      <c r="P111" s="17"/>
      <c r="Q111" s="17"/>
      <c r="R111" s="17"/>
    </row>
    <row r="112" spans="1:18" ht="15" x14ac:dyDescent="0.2">
      <c r="A112" s="16">
        <v>44256</v>
      </c>
      <c r="B112" s="10">
        <f>3.7877 * CHOOSE(CONTROL!$C$32, $C$9, 100%, $E$9)</f>
        <v>3.7877000000000001</v>
      </c>
      <c r="C112" s="10">
        <f>3.7877 * CHOOSE(CONTROL!$C$32, $C$9, 100%, $E$9)</f>
        <v>3.7877000000000001</v>
      </c>
      <c r="D112" s="10">
        <f>3.7887 * CHOOSE(CONTROL!$C$32, $C$9, 100%, $E$9)</f>
        <v>3.7887</v>
      </c>
      <c r="E112" s="9">
        <f>4.3767 * CHOOSE(CONTROL!$C$32, $C$9, 100%, $E$9)</f>
        <v>4.3766999999999996</v>
      </c>
      <c r="F112" s="9">
        <f>4.3767 * CHOOSE(CONTROL!$C$32, $C$9, 100%, $E$9)</f>
        <v>4.3766999999999996</v>
      </c>
      <c r="G112" s="9">
        <f>4.3801 * CHOOSE(CONTROL!$C$32, $C$9, 100%, $E$9)</f>
        <v>4.3800999999999997</v>
      </c>
      <c r="H112" s="9">
        <f>4.7066 * CHOOSE(CONTROL!$C$32, $C$9, 100%, $E$9)</f>
        <v>4.7065999999999999</v>
      </c>
      <c r="I112" s="9">
        <f>4.71 * CHOOSE(CONTROL!$C$32, $C$9, 100%, $E$9)</f>
        <v>4.71</v>
      </c>
      <c r="J112" s="9">
        <f>4.7066 * CHOOSE(CONTROL!$C$32, $C$9, 100%, $E$9)</f>
        <v>4.7065999999999999</v>
      </c>
      <c r="K112" s="9">
        <f>4.71 * CHOOSE(CONTROL!$C$32, $C$9, 100%, $E$9)</f>
        <v>4.71</v>
      </c>
      <c r="L112" s="9">
        <f>4.3767 * CHOOSE(CONTROL!$C$32, $C$9, 100%, $E$9)</f>
        <v>4.3766999999999996</v>
      </c>
      <c r="M112" s="9">
        <f>4.3801 * CHOOSE(CONTROL!$C$32, $C$9, 100%, $E$9)</f>
        <v>4.3800999999999997</v>
      </c>
      <c r="N112" s="9">
        <f>4.3767 * CHOOSE(CONTROL!$C$32, $C$9, 100%, $E$9)</f>
        <v>4.3766999999999996</v>
      </c>
      <c r="O112" s="9">
        <f>4.3801 * CHOOSE(CONTROL!$C$32, $C$9, 100%, $E$9)</f>
        <v>4.3800999999999997</v>
      </c>
      <c r="P112" s="17"/>
      <c r="Q112" s="17"/>
      <c r="R112" s="17"/>
    </row>
    <row r="113" spans="1:18" ht="15" x14ac:dyDescent="0.2">
      <c r="A113" s="16">
        <v>44287</v>
      </c>
      <c r="B113" s="10">
        <f>3.7852 * CHOOSE(CONTROL!$C$32, $C$9, 100%, $E$9)</f>
        <v>3.7852000000000001</v>
      </c>
      <c r="C113" s="10">
        <f>3.7852 * CHOOSE(CONTROL!$C$32, $C$9, 100%, $E$9)</f>
        <v>3.7852000000000001</v>
      </c>
      <c r="D113" s="10">
        <f>3.7862 * CHOOSE(CONTROL!$C$32, $C$9, 100%, $E$9)</f>
        <v>3.7862</v>
      </c>
      <c r="E113" s="9">
        <f>4.4234 * CHOOSE(CONTROL!$C$32, $C$9, 100%, $E$9)</f>
        <v>4.4234</v>
      </c>
      <c r="F113" s="9">
        <f>4.4234 * CHOOSE(CONTROL!$C$32, $C$9, 100%, $E$9)</f>
        <v>4.4234</v>
      </c>
      <c r="G113" s="9">
        <f>4.4268 * CHOOSE(CONTROL!$C$32, $C$9, 100%, $E$9)</f>
        <v>4.4268000000000001</v>
      </c>
      <c r="H113" s="9">
        <f>4.7049 * CHOOSE(CONTROL!$C$32, $C$9, 100%, $E$9)</f>
        <v>4.7049000000000003</v>
      </c>
      <c r="I113" s="9">
        <f>4.7083 * CHOOSE(CONTROL!$C$32, $C$9, 100%, $E$9)</f>
        <v>4.7083000000000004</v>
      </c>
      <c r="J113" s="9">
        <f>4.7049 * CHOOSE(CONTROL!$C$32, $C$9, 100%, $E$9)</f>
        <v>4.7049000000000003</v>
      </c>
      <c r="K113" s="9">
        <f>4.7083 * CHOOSE(CONTROL!$C$32, $C$9, 100%, $E$9)</f>
        <v>4.7083000000000004</v>
      </c>
      <c r="L113" s="9">
        <f>4.4234 * CHOOSE(CONTROL!$C$32, $C$9, 100%, $E$9)</f>
        <v>4.4234</v>
      </c>
      <c r="M113" s="9">
        <f>4.4268 * CHOOSE(CONTROL!$C$32, $C$9, 100%, $E$9)</f>
        <v>4.4268000000000001</v>
      </c>
      <c r="N113" s="9">
        <f>4.4234 * CHOOSE(CONTROL!$C$32, $C$9, 100%, $E$9)</f>
        <v>4.4234</v>
      </c>
      <c r="O113" s="9">
        <f>4.4268 * CHOOSE(CONTROL!$C$32, $C$9, 100%, $E$9)</f>
        <v>4.4268000000000001</v>
      </c>
      <c r="P113" s="17"/>
      <c r="Q113" s="17"/>
      <c r="R113" s="17"/>
    </row>
    <row r="114" spans="1:18" ht="15" x14ac:dyDescent="0.2">
      <c r="A114" s="16">
        <v>44317</v>
      </c>
      <c r="B114" s="10">
        <f>3.7852 * CHOOSE(CONTROL!$C$32, $C$9, 100%, $E$9)</f>
        <v>3.7852000000000001</v>
      </c>
      <c r="C114" s="10">
        <f>3.7852 * CHOOSE(CONTROL!$C$32, $C$9, 100%, $E$9)</f>
        <v>3.7852000000000001</v>
      </c>
      <c r="D114" s="10">
        <f>3.7865 * CHOOSE(CONTROL!$C$32, $C$9, 100%, $E$9)</f>
        <v>3.7865000000000002</v>
      </c>
      <c r="E114" s="9">
        <f>4.4425 * CHOOSE(CONTROL!$C$32, $C$9, 100%, $E$9)</f>
        <v>4.4424999999999999</v>
      </c>
      <c r="F114" s="9">
        <f>4.4425 * CHOOSE(CONTROL!$C$32, $C$9, 100%, $E$9)</f>
        <v>4.4424999999999999</v>
      </c>
      <c r="G114" s="9">
        <f>4.4469 * CHOOSE(CONTROL!$C$32, $C$9, 100%, $E$9)</f>
        <v>4.4469000000000003</v>
      </c>
      <c r="H114" s="9">
        <f>4.7049 * CHOOSE(CONTROL!$C$32, $C$9, 100%, $E$9)</f>
        <v>4.7049000000000003</v>
      </c>
      <c r="I114" s="9">
        <f>4.7092 * CHOOSE(CONTROL!$C$32, $C$9, 100%, $E$9)</f>
        <v>4.7092000000000001</v>
      </c>
      <c r="J114" s="9">
        <f>4.7049 * CHOOSE(CONTROL!$C$32, $C$9, 100%, $E$9)</f>
        <v>4.7049000000000003</v>
      </c>
      <c r="K114" s="9">
        <f>4.7092 * CHOOSE(CONTROL!$C$32, $C$9, 100%, $E$9)</f>
        <v>4.7092000000000001</v>
      </c>
      <c r="L114" s="9">
        <f>4.4425 * CHOOSE(CONTROL!$C$32, $C$9, 100%, $E$9)</f>
        <v>4.4424999999999999</v>
      </c>
      <c r="M114" s="9">
        <f>4.4469 * CHOOSE(CONTROL!$C$32, $C$9, 100%, $E$9)</f>
        <v>4.4469000000000003</v>
      </c>
      <c r="N114" s="9">
        <f>4.4425 * CHOOSE(CONTROL!$C$32, $C$9, 100%, $E$9)</f>
        <v>4.4424999999999999</v>
      </c>
      <c r="O114" s="9">
        <f>4.4469 * CHOOSE(CONTROL!$C$32, $C$9, 100%, $E$9)</f>
        <v>4.4469000000000003</v>
      </c>
      <c r="P114" s="17"/>
      <c r="Q114" s="17"/>
      <c r="R114" s="17"/>
    </row>
    <row r="115" spans="1:18" ht="15" x14ac:dyDescent="0.2">
      <c r="A115" s="16">
        <v>44348</v>
      </c>
      <c r="B115" s="10">
        <f>3.7913 * CHOOSE(CONTROL!$C$32, $C$9, 100%, $E$9)</f>
        <v>3.7913000000000001</v>
      </c>
      <c r="C115" s="10">
        <f>3.7913 * CHOOSE(CONTROL!$C$32, $C$9, 100%, $E$9)</f>
        <v>3.7913000000000001</v>
      </c>
      <c r="D115" s="10">
        <f>3.7926 * CHOOSE(CONTROL!$C$32, $C$9, 100%, $E$9)</f>
        <v>3.7926000000000002</v>
      </c>
      <c r="E115" s="9">
        <f>4.4277 * CHOOSE(CONTROL!$C$32, $C$9, 100%, $E$9)</f>
        <v>4.4276999999999997</v>
      </c>
      <c r="F115" s="9">
        <f>4.4277 * CHOOSE(CONTROL!$C$32, $C$9, 100%, $E$9)</f>
        <v>4.4276999999999997</v>
      </c>
      <c r="G115" s="9">
        <f>4.432 * CHOOSE(CONTROL!$C$32, $C$9, 100%, $E$9)</f>
        <v>4.4320000000000004</v>
      </c>
      <c r="H115" s="9">
        <f>4.7089 * CHOOSE(CONTROL!$C$32, $C$9, 100%, $E$9)</f>
        <v>4.7088999999999999</v>
      </c>
      <c r="I115" s="9">
        <f>4.7132 * CHOOSE(CONTROL!$C$32, $C$9, 100%, $E$9)</f>
        <v>4.7131999999999996</v>
      </c>
      <c r="J115" s="9">
        <f>4.7089 * CHOOSE(CONTROL!$C$32, $C$9, 100%, $E$9)</f>
        <v>4.7088999999999999</v>
      </c>
      <c r="K115" s="9">
        <f>4.7132 * CHOOSE(CONTROL!$C$32, $C$9, 100%, $E$9)</f>
        <v>4.7131999999999996</v>
      </c>
      <c r="L115" s="9">
        <f>4.4277 * CHOOSE(CONTROL!$C$32, $C$9, 100%, $E$9)</f>
        <v>4.4276999999999997</v>
      </c>
      <c r="M115" s="9">
        <f>4.432 * CHOOSE(CONTROL!$C$32, $C$9, 100%, $E$9)</f>
        <v>4.4320000000000004</v>
      </c>
      <c r="N115" s="9">
        <f>4.4277 * CHOOSE(CONTROL!$C$32, $C$9, 100%, $E$9)</f>
        <v>4.4276999999999997</v>
      </c>
      <c r="O115" s="9">
        <f>4.432 * CHOOSE(CONTROL!$C$32, $C$9, 100%, $E$9)</f>
        <v>4.4320000000000004</v>
      </c>
      <c r="P115" s="17"/>
      <c r="Q115" s="17"/>
      <c r="R115" s="17"/>
    </row>
    <row r="116" spans="1:18" ht="15" x14ac:dyDescent="0.2">
      <c r="A116" s="16">
        <v>44378</v>
      </c>
      <c r="B116" s="10">
        <f>3.8402 * CHOOSE(CONTROL!$C$32, $C$9, 100%, $E$9)</f>
        <v>3.8401999999999998</v>
      </c>
      <c r="C116" s="10">
        <f>3.8402 * CHOOSE(CONTROL!$C$32, $C$9, 100%, $E$9)</f>
        <v>3.8401999999999998</v>
      </c>
      <c r="D116" s="10">
        <f>3.8415 * CHOOSE(CONTROL!$C$32, $C$9, 100%, $E$9)</f>
        <v>3.8414999999999999</v>
      </c>
      <c r="E116" s="9">
        <f>4.4142 * CHOOSE(CONTROL!$C$32, $C$9, 100%, $E$9)</f>
        <v>4.4142000000000001</v>
      </c>
      <c r="F116" s="9">
        <f>4.4142 * CHOOSE(CONTROL!$C$32, $C$9, 100%, $E$9)</f>
        <v>4.4142000000000001</v>
      </c>
      <c r="G116" s="9">
        <f>4.4186 * CHOOSE(CONTROL!$C$32, $C$9, 100%, $E$9)</f>
        <v>4.4185999999999996</v>
      </c>
      <c r="H116" s="9">
        <f>4.7662 * CHOOSE(CONTROL!$C$32, $C$9, 100%, $E$9)</f>
        <v>4.7662000000000004</v>
      </c>
      <c r="I116" s="9">
        <f>4.7706 * CHOOSE(CONTROL!$C$32, $C$9, 100%, $E$9)</f>
        <v>4.7706</v>
      </c>
      <c r="J116" s="9">
        <f>4.7662 * CHOOSE(CONTROL!$C$32, $C$9, 100%, $E$9)</f>
        <v>4.7662000000000004</v>
      </c>
      <c r="K116" s="9">
        <f>4.7706 * CHOOSE(CONTROL!$C$32, $C$9, 100%, $E$9)</f>
        <v>4.7706</v>
      </c>
      <c r="L116" s="9">
        <f>4.4142 * CHOOSE(CONTROL!$C$32, $C$9, 100%, $E$9)</f>
        <v>4.4142000000000001</v>
      </c>
      <c r="M116" s="9">
        <f>4.4186 * CHOOSE(CONTROL!$C$32, $C$9, 100%, $E$9)</f>
        <v>4.4185999999999996</v>
      </c>
      <c r="N116" s="9">
        <f>4.4142 * CHOOSE(CONTROL!$C$32, $C$9, 100%, $E$9)</f>
        <v>4.4142000000000001</v>
      </c>
      <c r="O116" s="9">
        <f>4.4186 * CHOOSE(CONTROL!$C$32, $C$9, 100%, $E$9)</f>
        <v>4.4185999999999996</v>
      </c>
      <c r="P116" s="17"/>
      <c r="Q116" s="17"/>
      <c r="R116" s="17"/>
    </row>
    <row r="117" spans="1:18" ht="15" x14ac:dyDescent="0.2">
      <c r="A117" s="16">
        <v>44409</v>
      </c>
      <c r="B117" s="10">
        <f>3.8469 * CHOOSE(CONTROL!$C$32, $C$9, 100%, $E$9)</f>
        <v>3.8469000000000002</v>
      </c>
      <c r="C117" s="10">
        <f>3.8469 * CHOOSE(CONTROL!$C$32, $C$9, 100%, $E$9)</f>
        <v>3.8469000000000002</v>
      </c>
      <c r="D117" s="10">
        <f>3.8482 * CHOOSE(CONTROL!$C$32, $C$9, 100%, $E$9)</f>
        <v>3.8481999999999998</v>
      </c>
      <c r="E117" s="9">
        <f>4.3616 * CHOOSE(CONTROL!$C$32, $C$9, 100%, $E$9)</f>
        <v>4.3616000000000001</v>
      </c>
      <c r="F117" s="9">
        <f>4.3616 * CHOOSE(CONTROL!$C$32, $C$9, 100%, $E$9)</f>
        <v>4.3616000000000001</v>
      </c>
      <c r="G117" s="9">
        <f>4.3659 * CHOOSE(CONTROL!$C$32, $C$9, 100%, $E$9)</f>
        <v>4.3658999999999999</v>
      </c>
      <c r="H117" s="9">
        <f>4.7706 * CHOOSE(CONTROL!$C$32, $C$9, 100%, $E$9)</f>
        <v>4.7706</v>
      </c>
      <c r="I117" s="9">
        <f>4.775 * CHOOSE(CONTROL!$C$32, $C$9, 100%, $E$9)</f>
        <v>4.7750000000000004</v>
      </c>
      <c r="J117" s="9">
        <f>4.7706 * CHOOSE(CONTROL!$C$32, $C$9, 100%, $E$9)</f>
        <v>4.7706</v>
      </c>
      <c r="K117" s="9">
        <f>4.775 * CHOOSE(CONTROL!$C$32, $C$9, 100%, $E$9)</f>
        <v>4.7750000000000004</v>
      </c>
      <c r="L117" s="9">
        <f>4.3616 * CHOOSE(CONTROL!$C$32, $C$9, 100%, $E$9)</f>
        <v>4.3616000000000001</v>
      </c>
      <c r="M117" s="9">
        <f>4.3659 * CHOOSE(CONTROL!$C$32, $C$9, 100%, $E$9)</f>
        <v>4.3658999999999999</v>
      </c>
      <c r="N117" s="9">
        <f>4.3616 * CHOOSE(CONTROL!$C$32, $C$9, 100%, $E$9)</f>
        <v>4.3616000000000001</v>
      </c>
      <c r="O117" s="9">
        <f>4.3659 * CHOOSE(CONTROL!$C$32, $C$9, 100%, $E$9)</f>
        <v>4.3658999999999999</v>
      </c>
      <c r="P117" s="17"/>
      <c r="Q117" s="17"/>
      <c r="R117" s="17"/>
    </row>
    <row r="118" spans="1:18" ht="15" x14ac:dyDescent="0.2">
      <c r="A118" s="16">
        <v>44440</v>
      </c>
      <c r="B118" s="10">
        <f>3.8439 * CHOOSE(CONTROL!$C$32, $C$9, 100%, $E$9)</f>
        <v>3.8439000000000001</v>
      </c>
      <c r="C118" s="10">
        <f>3.8439 * CHOOSE(CONTROL!$C$32, $C$9, 100%, $E$9)</f>
        <v>3.8439000000000001</v>
      </c>
      <c r="D118" s="10">
        <f>3.8452 * CHOOSE(CONTROL!$C$32, $C$9, 100%, $E$9)</f>
        <v>3.8452000000000002</v>
      </c>
      <c r="E118" s="9">
        <f>4.3531 * CHOOSE(CONTROL!$C$32, $C$9, 100%, $E$9)</f>
        <v>4.3531000000000004</v>
      </c>
      <c r="F118" s="9">
        <f>4.3531 * CHOOSE(CONTROL!$C$32, $C$9, 100%, $E$9)</f>
        <v>4.3531000000000004</v>
      </c>
      <c r="G118" s="9">
        <f>4.3574 * CHOOSE(CONTROL!$C$32, $C$9, 100%, $E$9)</f>
        <v>4.3574000000000002</v>
      </c>
      <c r="H118" s="9">
        <f>4.7686 * CHOOSE(CONTROL!$C$32, $C$9, 100%, $E$9)</f>
        <v>4.7686000000000002</v>
      </c>
      <c r="I118" s="9">
        <f>4.773 * CHOOSE(CONTROL!$C$32, $C$9, 100%, $E$9)</f>
        <v>4.7729999999999997</v>
      </c>
      <c r="J118" s="9">
        <f>4.7686 * CHOOSE(CONTROL!$C$32, $C$9, 100%, $E$9)</f>
        <v>4.7686000000000002</v>
      </c>
      <c r="K118" s="9">
        <f>4.773 * CHOOSE(CONTROL!$C$32, $C$9, 100%, $E$9)</f>
        <v>4.7729999999999997</v>
      </c>
      <c r="L118" s="9">
        <f>4.3531 * CHOOSE(CONTROL!$C$32, $C$9, 100%, $E$9)</f>
        <v>4.3531000000000004</v>
      </c>
      <c r="M118" s="9">
        <f>4.3574 * CHOOSE(CONTROL!$C$32, $C$9, 100%, $E$9)</f>
        <v>4.3574000000000002</v>
      </c>
      <c r="N118" s="9">
        <f>4.3531 * CHOOSE(CONTROL!$C$32, $C$9, 100%, $E$9)</f>
        <v>4.3531000000000004</v>
      </c>
      <c r="O118" s="9">
        <f>4.3574 * CHOOSE(CONTROL!$C$32, $C$9, 100%, $E$9)</f>
        <v>4.3574000000000002</v>
      </c>
      <c r="P118" s="17"/>
      <c r="Q118" s="17"/>
      <c r="R118" s="17"/>
    </row>
    <row r="119" spans="1:18" ht="15" x14ac:dyDescent="0.2">
      <c r="A119" s="16">
        <v>44470</v>
      </c>
      <c r="B119" s="10">
        <f>3.8386 * CHOOSE(CONTROL!$C$32, $C$9, 100%, $E$9)</f>
        <v>3.8386</v>
      </c>
      <c r="C119" s="10">
        <f>3.8386 * CHOOSE(CONTROL!$C$32, $C$9, 100%, $E$9)</f>
        <v>3.8386</v>
      </c>
      <c r="D119" s="10">
        <f>3.8397 * CHOOSE(CONTROL!$C$32, $C$9, 100%, $E$9)</f>
        <v>3.8397000000000001</v>
      </c>
      <c r="E119" s="9">
        <f>4.3651 * CHOOSE(CONTROL!$C$32, $C$9, 100%, $E$9)</f>
        <v>4.3651</v>
      </c>
      <c r="F119" s="9">
        <f>4.3651 * CHOOSE(CONTROL!$C$32, $C$9, 100%, $E$9)</f>
        <v>4.3651</v>
      </c>
      <c r="G119" s="9">
        <f>4.3685 * CHOOSE(CONTROL!$C$32, $C$9, 100%, $E$9)</f>
        <v>4.3685</v>
      </c>
      <c r="H119" s="9">
        <f>4.7647 * CHOOSE(CONTROL!$C$32, $C$9, 100%, $E$9)</f>
        <v>4.7647000000000004</v>
      </c>
      <c r="I119" s="9">
        <f>4.7681 * CHOOSE(CONTROL!$C$32, $C$9, 100%, $E$9)</f>
        <v>4.7680999999999996</v>
      </c>
      <c r="J119" s="9">
        <f>4.7647 * CHOOSE(CONTROL!$C$32, $C$9, 100%, $E$9)</f>
        <v>4.7647000000000004</v>
      </c>
      <c r="K119" s="9">
        <f>4.7681 * CHOOSE(CONTROL!$C$32, $C$9, 100%, $E$9)</f>
        <v>4.7680999999999996</v>
      </c>
      <c r="L119" s="9">
        <f>4.3651 * CHOOSE(CONTROL!$C$32, $C$9, 100%, $E$9)</f>
        <v>4.3651</v>
      </c>
      <c r="M119" s="9">
        <f>4.3685 * CHOOSE(CONTROL!$C$32, $C$9, 100%, $E$9)</f>
        <v>4.3685</v>
      </c>
      <c r="N119" s="9">
        <f>4.3651 * CHOOSE(CONTROL!$C$32, $C$9, 100%, $E$9)</f>
        <v>4.3651</v>
      </c>
      <c r="O119" s="9">
        <f>4.3685 * CHOOSE(CONTROL!$C$32, $C$9, 100%, $E$9)</f>
        <v>4.3685</v>
      </c>
      <c r="P119" s="17"/>
      <c r="Q119" s="17"/>
      <c r="R119" s="17"/>
    </row>
    <row r="120" spans="1:18" ht="15" x14ac:dyDescent="0.2">
      <c r="A120" s="16">
        <v>44501</v>
      </c>
      <c r="B120" s="10">
        <f>3.8417 * CHOOSE(CONTROL!$C$32, $C$9, 100%, $E$9)</f>
        <v>3.8416999999999999</v>
      </c>
      <c r="C120" s="10">
        <f>3.8417 * CHOOSE(CONTROL!$C$32, $C$9, 100%, $E$9)</f>
        <v>3.8416999999999999</v>
      </c>
      <c r="D120" s="10">
        <f>3.8427 * CHOOSE(CONTROL!$C$32, $C$9, 100%, $E$9)</f>
        <v>3.8426999999999998</v>
      </c>
      <c r="E120" s="9">
        <f>4.38 * CHOOSE(CONTROL!$C$32, $C$9, 100%, $E$9)</f>
        <v>4.38</v>
      </c>
      <c r="F120" s="9">
        <f>4.38 * CHOOSE(CONTROL!$C$32, $C$9, 100%, $E$9)</f>
        <v>4.38</v>
      </c>
      <c r="G120" s="9">
        <f>4.3834 * CHOOSE(CONTROL!$C$32, $C$9, 100%, $E$9)</f>
        <v>4.3834</v>
      </c>
      <c r="H120" s="9">
        <f>4.7667 * CHOOSE(CONTROL!$C$32, $C$9, 100%, $E$9)</f>
        <v>4.7667000000000002</v>
      </c>
      <c r="I120" s="9">
        <f>4.7701 * CHOOSE(CONTROL!$C$32, $C$9, 100%, $E$9)</f>
        <v>4.7701000000000002</v>
      </c>
      <c r="J120" s="9">
        <f>4.7667 * CHOOSE(CONTROL!$C$32, $C$9, 100%, $E$9)</f>
        <v>4.7667000000000002</v>
      </c>
      <c r="K120" s="9">
        <f>4.7701 * CHOOSE(CONTROL!$C$32, $C$9, 100%, $E$9)</f>
        <v>4.7701000000000002</v>
      </c>
      <c r="L120" s="9">
        <f>4.38 * CHOOSE(CONTROL!$C$32, $C$9, 100%, $E$9)</f>
        <v>4.38</v>
      </c>
      <c r="M120" s="9">
        <f>4.3834 * CHOOSE(CONTROL!$C$32, $C$9, 100%, $E$9)</f>
        <v>4.3834</v>
      </c>
      <c r="N120" s="9">
        <f>4.38 * CHOOSE(CONTROL!$C$32, $C$9, 100%, $E$9)</f>
        <v>4.38</v>
      </c>
      <c r="O120" s="9">
        <f>4.3834 * CHOOSE(CONTROL!$C$32, $C$9, 100%, $E$9)</f>
        <v>4.3834</v>
      </c>
      <c r="P120" s="17"/>
      <c r="Q120" s="17"/>
      <c r="R120" s="17"/>
    </row>
    <row r="121" spans="1:18" ht="15" x14ac:dyDescent="0.2">
      <c r="A121" s="16">
        <v>44531</v>
      </c>
      <c r="B121" s="10">
        <f>3.8417 * CHOOSE(CONTROL!$C$32, $C$9, 100%, $E$9)</f>
        <v>3.8416999999999999</v>
      </c>
      <c r="C121" s="10">
        <f>3.8417 * CHOOSE(CONTROL!$C$32, $C$9, 100%, $E$9)</f>
        <v>3.8416999999999999</v>
      </c>
      <c r="D121" s="10">
        <f>3.8427 * CHOOSE(CONTROL!$C$32, $C$9, 100%, $E$9)</f>
        <v>3.8426999999999998</v>
      </c>
      <c r="E121" s="9">
        <f>4.3481 * CHOOSE(CONTROL!$C$32, $C$9, 100%, $E$9)</f>
        <v>4.3480999999999996</v>
      </c>
      <c r="F121" s="9">
        <f>4.3481 * CHOOSE(CONTROL!$C$32, $C$9, 100%, $E$9)</f>
        <v>4.3480999999999996</v>
      </c>
      <c r="G121" s="9">
        <f>4.3515 * CHOOSE(CONTROL!$C$32, $C$9, 100%, $E$9)</f>
        <v>4.3514999999999997</v>
      </c>
      <c r="H121" s="9">
        <f>4.7667 * CHOOSE(CONTROL!$C$32, $C$9, 100%, $E$9)</f>
        <v>4.7667000000000002</v>
      </c>
      <c r="I121" s="9">
        <f>4.7701 * CHOOSE(CONTROL!$C$32, $C$9, 100%, $E$9)</f>
        <v>4.7701000000000002</v>
      </c>
      <c r="J121" s="9">
        <f>4.7667 * CHOOSE(CONTROL!$C$32, $C$9, 100%, $E$9)</f>
        <v>4.7667000000000002</v>
      </c>
      <c r="K121" s="9">
        <f>4.7701 * CHOOSE(CONTROL!$C$32, $C$9, 100%, $E$9)</f>
        <v>4.7701000000000002</v>
      </c>
      <c r="L121" s="9">
        <f>4.3481 * CHOOSE(CONTROL!$C$32, $C$9, 100%, $E$9)</f>
        <v>4.3480999999999996</v>
      </c>
      <c r="M121" s="9">
        <f>4.3515 * CHOOSE(CONTROL!$C$32, $C$9, 100%, $E$9)</f>
        <v>4.3514999999999997</v>
      </c>
      <c r="N121" s="9">
        <f>4.3481 * CHOOSE(CONTROL!$C$32, $C$9, 100%, $E$9)</f>
        <v>4.3480999999999996</v>
      </c>
      <c r="O121" s="9">
        <f>4.3515 * CHOOSE(CONTROL!$C$32, $C$9, 100%, $E$9)</f>
        <v>4.3514999999999997</v>
      </c>
      <c r="P121" s="17"/>
      <c r="Q121" s="17"/>
      <c r="R121" s="17"/>
    </row>
    <row r="122" spans="1:18" ht="15" x14ac:dyDescent="0.2">
      <c r="A122" s="16">
        <v>44562</v>
      </c>
      <c r="B122" s="10">
        <f>3.8771 * CHOOSE(CONTROL!$C$32, $C$9, 100%, $E$9)</f>
        <v>3.8771</v>
      </c>
      <c r="C122" s="10">
        <f>3.8771 * CHOOSE(CONTROL!$C$32, $C$9, 100%, $E$9)</f>
        <v>3.8771</v>
      </c>
      <c r="D122" s="10">
        <f>3.8781 * CHOOSE(CONTROL!$C$32, $C$9, 100%, $E$9)</f>
        <v>3.8780999999999999</v>
      </c>
      <c r="E122" s="9">
        <f>4.4143 * CHOOSE(CONTROL!$C$32, $C$9, 100%, $E$9)</f>
        <v>4.4142999999999999</v>
      </c>
      <c r="F122" s="9">
        <f>4.4143 * CHOOSE(CONTROL!$C$32, $C$9, 100%, $E$9)</f>
        <v>4.4142999999999999</v>
      </c>
      <c r="G122" s="9">
        <f>4.4177 * CHOOSE(CONTROL!$C$32, $C$9, 100%, $E$9)</f>
        <v>4.4177</v>
      </c>
      <c r="H122" s="9">
        <f>4.8085 * CHOOSE(CONTROL!$C$32, $C$9, 100%, $E$9)</f>
        <v>4.8085000000000004</v>
      </c>
      <c r="I122" s="9">
        <f>4.8119 * CHOOSE(CONTROL!$C$32, $C$9, 100%, $E$9)</f>
        <v>4.8118999999999996</v>
      </c>
      <c r="J122" s="9">
        <f>4.8085 * CHOOSE(CONTROL!$C$32, $C$9, 100%, $E$9)</f>
        <v>4.8085000000000004</v>
      </c>
      <c r="K122" s="9">
        <f>4.8119 * CHOOSE(CONTROL!$C$32, $C$9, 100%, $E$9)</f>
        <v>4.8118999999999996</v>
      </c>
      <c r="L122" s="9">
        <f>4.4143 * CHOOSE(CONTROL!$C$32, $C$9, 100%, $E$9)</f>
        <v>4.4142999999999999</v>
      </c>
      <c r="M122" s="9">
        <f>4.4177 * CHOOSE(CONTROL!$C$32, $C$9, 100%, $E$9)</f>
        <v>4.4177</v>
      </c>
      <c r="N122" s="9">
        <f>4.4143 * CHOOSE(CONTROL!$C$32, $C$9, 100%, $E$9)</f>
        <v>4.4142999999999999</v>
      </c>
      <c r="O122" s="9">
        <f>4.4177 * CHOOSE(CONTROL!$C$32, $C$9, 100%, $E$9)</f>
        <v>4.4177</v>
      </c>
      <c r="P122" s="17"/>
      <c r="Q122" s="17"/>
      <c r="R122" s="17"/>
    </row>
    <row r="123" spans="1:18" ht="15" x14ac:dyDescent="0.2">
      <c r="A123" s="16">
        <v>44593</v>
      </c>
      <c r="B123" s="10">
        <f>3.874 * CHOOSE(CONTROL!$C$32, $C$9, 100%, $E$9)</f>
        <v>3.8740000000000001</v>
      </c>
      <c r="C123" s="10">
        <f>3.874 * CHOOSE(CONTROL!$C$32, $C$9, 100%, $E$9)</f>
        <v>3.8740000000000001</v>
      </c>
      <c r="D123" s="10">
        <f>3.875 * CHOOSE(CONTROL!$C$32, $C$9, 100%, $E$9)</f>
        <v>3.875</v>
      </c>
      <c r="E123" s="9">
        <f>4.3499 * CHOOSE(CONTROL!$C$32, $C$9, 100%, $E$9)</f>
        <v>4.3498999999999999</v>
      </c>
      <c r="F123" s="9">
        <f>4.3499 * CHOOSE(CONTROL!$C$32, $C$9, 100%, $E$9)</f>
        <v>4.3498999999999999</v>
      </c>
      <c r="G123" s="9">
        <f>4.3532 * CHOOSE(CONTROL!$C$32, $C$9, 100%, $E$9)</f>
        <v>4.3532000000000002</v>
      </c>
      <c r="H123" s="9">
        <f>4.8065 * CHOOSE(CONTROL!$C$32, $C$9, 100%, $E$9)</f>
        <v>4.8064999999999998</v>
      </c>
      <c r="I123" s="9">
        <f>4.8099 * CHOOSE(CONTROL!$C$32, $C$9, 100%, $E$9)</f>
        <v>4.8098999999999998</v>
      </c>
      <c r="J123" s="9">
        <f>4.8065 * CHOOSE(CONTROL!$C$32, $C$9, 100%, $E$9)</f>
        <v>4.8064999999999998</v>
      </c>
      <c r="K123" s="9">
        <f>4.8099 * CHOOSE(CONTROL!$C$32, $C$9, 100%, $E$9)</f>
        <v>4.8098999999999998</v>
      </c>
      <c r="L123" s="9">
        <f>4.3499 * CHOOSE(CONTROL!$C$32, $C$9, 100%, $E$9)</f>
        <v>4.3498999999999999</v>
      </c>
      <c r="M123" s="9">
        <f>4.3532 * CHOOSE(CONTROL!$C$32, $C$9, 100%, $E$9)</f>
        <v>4.3532000000000002</v>
      </c>
      <c r="N123" s="9">
        <f>4.3499 * CHOOSE(CONTROL!$C$32, $C$9, 100%, $E$9)</f>
        <v>4.3498999999999999</v>
      </c>
      <c r="O123" s="9">
        <f>4.3532 * CHOOSE(CONTROL!$C$32, $C$9, 100%, $E$9)</f>
        <v>4.3532000000000002</v>
      </c>
      <c r="P123" s="17"/>
      <c r="Q123" s="17"/>
      <c r="R123" s="17"/>
    </row>
    <row r="124" spans="1:18" ht="15" x14ac:dyDescent="0.2">
      <c r="A124" s="16">
        <v>44621</v>
      </c>
      <c r="B124" s="10">
        <f>3.871 * CHOOSE(CONTROL!$C$32, $C$9, 100%, $E$9)</f>
        <v>3.871</v>
      </c>
      <c r="C124" s="10">
        <f>3.871 * CHOOSE(CONTROL!$C$32, $C$9, 100%, $E$9)</f>
        <v>3.871</v>
      </c>
      <c r="D124" s="10">
        <f>3.872 * CHOOSE(CONTROL!$C$32, $C$9, 100%, $E$9)</f>
        <v>3.8719999999999999</v>
      </c>
      <c r="E124" s="9">
        <f>4.3968 * CHOOSE(CONTROL!$C$32, $C$9, 100%, $E$9)</f>
        <v>4.3967999999999998</v>
      </c>
      <c r="F124" s="9">
        <f>4.3968 * CHOOSE(CONTROL!$C$32, $C$9, 100%, $E$9)</f>
        <v>4.3967999999999998</v>
      </c>
      <c r="G124" s="9">
        <f>4.4002 * CHOOSE(CONTROL!$C$32, $C$9, 100%, $E$9)</f>
        <v>4.4001999999999999</v>
      </c>
      <c r="H124" s="9">
        <f>4.8045 * CHOOSE(CONTROL!$C$32, $C$9, 100%, $E$9)</f>
        <v>4.8045</v>
      </c>
      <c r="I124" s="9">
        <f>4.8079 * CHOOSE(CONTROL!$C$32, $C$9, 100%, $E$9)</f>
        <v>4.8079000000000001</v>
      </c>
      <c r="J124" s="9">
        <f>4.8045 * CHOOSE(CONTROL!$C$32, $C$9, 100%, $E$9)</f>
        <v>4.8045</v>
      </c>
      <c r="K124" s="9">
        <f>4.8079 * CHOOSE(CONTROL!$C$32, $C$9, 100%, $E$9)</f>
        <v>4.8079000000000001</v>
      </c>
      <c r="L124" s="9">
        <f>4.3968 * CHOOSE(CONTROL!$C$32, $C$9, 100%, $E$9)</f>
        <v>4.3967999999999998</v>
      </c>
      <c r="M124" s="9">
        <f>4.4002 * CHOOSE(CONTROL!$C$32, $C$9, 100%, $E$9)</f>
        <v>4.4001999999999999</v>
      </c>
      <c r="N124" s="9">
        <f>4.3968 * CHOOSE(CONTROL!$C$32, $C$9, 100%, $E$9)</f>
        <v>4.3967999999999998</v>
      </c>
      <c r="O124" s="9">
        <f>4.4002 * CHOOSE(CONTROL!$C$32, $C$9, 100%, $E$9)</f>
        <v>4.4001999999999999</v>
      </c>
      <c r="P124" s="17"/>
      <c r="Q124" s="17"/>
      <c r="R124" s="17"/>
    </row>
    <row r="125" spans="1:18" ht="15" x14ac:dyDescent="0.2">
      <c r="A125" s="16">
        <v>44652</v>
      </c>
      <c r="B125" s="10">
        <f>3.8686 * CHOOSE(CONTROL!$C$32, $C$9, 100%, $E$9)</f>
        <v>3.8685999999999998</v>
      </c>
      <c r="C125" s="10">
        <f>3.8686 * CHOOSE(CONTROL!$C$32, $C$9, 100%, $E$9)</f>
        <v>3.8685999999999998</v>
      </c>
      <c r="D125" s="10">
        <f>3.8696 * CHOOSE(CONTROL!$C$32, $C$9, 100%, $E$9)</f>
        <v>3.8696000000000002</v>
      </c>
      <c r="E125" s="9">
        <f>4.4453 * CHOOSE(CONTROL!$C$32, $C$9, 100%, $E$9)</f>
        <v>4.4452999999999996</v>
      </c>
      <c r="F125" s="9">
        <f>4.4453 * CHOOSE(CONTROL!$C$32, $C$9, 100%, $E$9)</f>
        <v>4.4452999999999996</v>
      </c>
      <c r="G125" s="9">
        <f>4.4487 * CHOOSE(CONTROL!$C$32, $C$9, 100%, $E$9)</f>
        <v>4.4486999999999997</v>
      </c>
      <c r="H125" s="9">
        <f>4.8028 * CHOOSE(CONTROL!$C$32, $C$9, 100%, $E$9)</f>
        <v>4.8028000000000004</v>
      </c>
      <c r="I125" s="9">
        <f>4.8062 * CHOOSE(CONTROL!$C$32, $C$9, 100%, $E$9)</f>
        <v>4.8061999999999996</v>
      </c>
      <c r="J125" s="9">
        <f>4.8028 * CHOOSE(CONTROL!$C$32, $C$9, 100%, $E$9)</f>
        <v>4.8028000000000004</v>
      </c>
      <c r="K125" s="9">
        <f>4.8062 * CHOOSE(CONTROL!$C$32, $C$9, 100%, $E$9)</f>
        <v>4.8061999999999996</v>
      </c>
      <c r="L125" s="9">
        <f>4.4453 * CHOOSE(CONTROL!$C$32, $C$9, 100%, $E$9)</f>
        <v>4.4452999999999996</v>
      </c>
      <c r="M125" s="9">
        <f>4.4487 * CHOOSE(CONTROL!$C$32, $C$9, 100%, $E$9)</f>
        <v>4.4486999999999997</v>
      </c>
      <c r="N125" s="9">
        <f>4.4453 * CHOOSE(CONTROL!$C$32, $C$9, 100%, $E$9)</f>
        <v>4.4452999999999996</v>
      </c>
      <c r="O125" s="9">
        <f>4.4487 * CHOOSE(CONTROL!$C$32, $C$9, 100%, $E$9)</f>
        <v>4.4486999999999997</v>
      </c>
      <c r="P125" s="17"/>
      <c r="Q125" s="17"/>
      <c r="R125" s="17"/>
    </row>
    <row r="126" spans="1:18" ht="15" x14ac:dyDescent="0.2">
      <c r="A126" s="16">
        <v>44682</v>
      </c>
      <c r="B126" s="10">
        <f>3.8686 * CHOOSE(CONTROL!$C$32, $C$9, 100%, $E$9)</f>
        <v>3.8685999999999998</v>
      </c>
      <c r="C126" s="10">
        <f>3.8686 * CHOOSE(CONTROL!$C$32, $C$9, 100%, $E$9)</f>
        <v>3.8685999999999998</v>
      </c>
      <c r="D126" s="10">
        <f>3.8699 * CHOOSE(CONTROL!$C$32, $C$9, 100%, $E$9)</f>
        <v>3.8698999999999999</v>
      </c>
      <c r="E126" s="9">
        <f>4.4651 * CHOOSE(CONTROL!$C$32, $C$9, 100%, $E$9)</f>
        <v>4.4650999999999996</v>
      </c>
      <c r="F126" s="9">
        <f>4.4651 * CHOOSE(CONTROL!$C$32, $C$9, 100%, $E$9)</f>
        <v>4.4650999999999996</v>
      </c>
      <c r="G126" s="9">
        <f>4.4695 * CHOOSE(CONTROL!$C$32, $C$9, 100%, $E$9)</f>
        <v>4.4695</v>
      </c>
      <c r="H126" s="9">
        <f>4.8028 * CHOOSE(CONTROL!$C$32, $C$9, 100%, $E$9)</f>
        <v>4.8028000000000004</v>
      </c>
      <c r="I126" s="9">
        <f>4.8072 * CHOOSE(CONTROL!$C$32, $C$9, 100%, $E$9)</f>
        <v>4.8071999999999999</v>
      </c>
      <c r="J126" s="9">
        <f>4.8028 * CHOOSE(CONTROL!$C$32, $C$9, 100%, $E$9)</f>
        <v>4.8028000000000004</v>
      </c>
      <c r="K126" s="9">
        <f>4.8072 * CHOOSE(CONTROL!$C$32, $C$9, 100%, $E$9)</f>
        <v>4.8071999999999999</v>
      </c>
      <c r="L126" s="9">
        <f>4.4651 * CHOOSE(CONTROL!$C$32, $C$9, 100%, $E$9)</f>
        <v>4.4650999999999996</v>
      </c>
      <c r="M126" s="9">
        <f>4.4695 * CHOOSE(CONTROL!$C$32, $C$9, 100%, $E$9)</f>
        <v>4.4695</v>
      </c>
      <c r="N126" s="9">
        <f>4.4651 * CHOOSE(CONTROL!$C$32, $C$9, 100%, $E$9)</f>
        <v>4.4650999999999996</v>
      </c>
      <c r="O126" s="9">
        <f>4.4695 * CHOOSE(CONTROL!$C$32, $C$9, 100%, $E$9)</f>
        <v>4.4695</v>
      </c>
      <c r="P126" s="17"/>
      <c r="Q126" s="17"/>
      <c r="R126" s="17"/>
    </row>
    <row r="127" spans="1:18" ht="15" x14ac:dyDescent="0.2">
      <c r="A127" s="16">
        <v>44713</v>
      </c>
      <c r="B127" s="10">
        <f>3.8747 * CHOOSE(CONTROL!$C$32, $C$9, 100%, $E$9)</f>
        <v>3.8746999999999998</v>
      </c>
      <c r="C127" s="10">
        <f>3.8747 * CHOOSE(CONTROL!$C$32, $C$9, 100%, $E$9)</f>
        <v>3.8746999999999998</v>
      </c>
      <c r="D127" s="10">
        <f>3.876 * CHOOSE(CONTROL!$C$32, $C$9, 100%, $E$9)</f>
        <v>3.8759999999999999</v>
      </c>
      <c r="E127" s="9">
        <f>4.4496 * CHOOSE(CONTROL!$C$32, $C$9, 100%, $E$9)</f>
        <v>4.4496000000000002</v>
      </c>
      <c r="F127" s="9">
        <f>4.4496 * CHOOSE(CONTROL!$C$32, $C$9, 100%, $E$9)</f>
        <v>4.4496000000000002</v>
      </c>
      <c r="G127" s="9">
        <f>4.4539 * CHOOSE(CONTROL!$C$32, $C$9, 100%, $E$9)</f>
        <v>4.4539</v>
      </c>
      <c r="H127" s="9">
        <f>4.8068 * CHOOSE(CONTROL!$C$32, $C$9, 100%, $E$9)</f>
        <v>4.8068</v>
      </c>
      <c r="I127" s="9">
        <f>4.8112 * CHOOSE(CONTROL!$C$32, $C$9, 100%, $E$9)</f>
        <v>4.8112000000000004</v>
      </c>
      <c r="J127" s="9">
        <f>4.8068 * CHOOSE(CONTROL!$C$32, $C$9, 100%, $E$9)</f>
        <v>4.8068</v>
      </c>
      <c r="K127" s="9">
        <f>4.8112 * CHOOSE(CONTROL!$C$32, $C$9, 100%, $E$9)</f>
        <v>4.8112000000000004</v>
      </c>
      <c r="L127" s="9">
        <f>4.4496 * CHOOSE(CONTROL!$C$32, $C$9, 100%, $E$9)</f>
        <v>4.4496000000000002</v>
      </c>
      <c r="M127" s="9">
        <f>4.4539 * CHOOSE(CONTROL!$C$32, $C$9, 100%, $E$9)</f>
        <v>4.4539</v>
      </c>
      <c r="N127" s="9">
        <f>4.4496 * CHOOSE(CONTROL!$C$32, $C$9, 100%, $E$9)</f>
        <v>4.4496000000000002</v>
      </c>
      <c r="O127" s="9">
        <f>4.4539 * CHOOSE(CONTROL!$C$32, $C$9, 100%, $E$9)</f>
        <v>4.4539</v>
      </c>
      <c r="P127" s="17"/>
      <c r="Q127" s="17"/>
      <c r="R127" s="17"/>
    </row>
    <row r="128" spans="1:18" ht="15" x14ac:dyDescent="0.2">
      <c r="A128" s="16">
        <v>44743</v>
      </c>
      <c r="B128" s="10">
        <f>3.9387 * CHOOSE(CONTROL!$C$32, $C$9, 100%, $E$9)</f>
        <v>3.9386999999999999</v>
      </c>
      <c r="C128" s="10">
        <f>3.9387 * CHOOSE(CONTROL!$C$32, $C$9, 100%, $E$9)</f>
        <v>3.9386999999999999</v>
      </c>
      <c r="D128" s="10">
        <f>3.94 * CHOOSE(CONTROL!$C$32, $C$9, 100%, $E$9)</f>
        <v>3.94</v>
      </c>
      <c r="E128" s="9">
        <f>4.5339 * CHOOSE(CONTROL!$C$32, $C$9, 100%, $E$9)</f>
        <v>4.5339</v>
      </c>
      <c r="F128" s="9">
        <f>4.5339 * CHOOSE(CONTROL!$C$32, $C$9, 100%, $E$9)</f>
        <v>4.5339</v>
      </c>
      <c r="G128" s="9">
        <f>4.5383 * CHOOSE(CONTROL!$C$32, $C$9, 100%, $E$9)</f>
        <v>4.5382999999999996</v>
      </c>
      <c r="H128" s="9">
        <f>4.8953 * CHOOSE(CONTROL!$C$32, $C$9, 100%, $E$9)</f>
        <v>4.8952999999999998</v>
      </c>
      <c r="I128" s="9">
        <f>4.8996 * CHOOSE(CONTROL!$C$32, $C$9, 100%, $E$9)</f>
        <v>4.8996000000000004</v>
      </c>
      <c r="J128" s="9">
        <f>4.8953 * CHOOSE(CONTROL!$C$32, $C$9, 100%, $E$9)</f>
        <v>4.8952999999999998</v>
      </c>
      <c r="K128" s="9">
        <f>4.8996 * CHOOSE(CONTROL!$C$32, $C$9, 100%, $E$9)</f>
        <v>4.8996000000000004</v>
      </c>
      <c r="L128" s="9">
        <f>4.5339 * CHOOSE(CONTROL!$C$32, $C$9, 100%, $E$9)</f>
        <v>4.5339</v>
      </c>
      <c r="M128" s="9">
        <f>4.5383 * CHOOSE(CONTROL!$C$32, $C$9, 100%, $E$9)</f>
        <v>4.5382999999999996</v>
      </c>
      <c r="N128" s="9">
        <f>4.5339 * CHOOSE(CONTROL!$C$32, $C$9, 100%, $E$9)</f>
        <v>4.5339</v>
      </c>
      <c r="O128" s="9">
        <f>4.5383 * CHOOSE(CONTROL!$C$32, $C$9, 100%, $E$9)</f>
        <v>4.5382999999999996</v>
      </c>
      <c r="P128" s="17"/>
      <c r="Q128" s="17"/>
      <c r="R128" s="17"/>
    </row>
    <row r="129" spans="1:18" ht="15" x14ac:dyDescent="0.2">
      <c r="A129" s="16">
        <v>44774</v>
      </c>
      <c r="B129" s="10">
        <f>3.9454 * CHOOSE(CONTROL!$C$32, $C$9, 100%, $E$9)</f>
        <v>3.9453999999999998</v>
      </c>
      <c r="C129" s="10">
        <f>3.9454 * CHOOSE(CONTROL!$C$32, $C$9, 100%, $E$9)</f>
        <v>3.9453999999999998</v>
      </c>
      <c r="D129" s="10">
        <f>3.9467 * CHOOSE(CONTROL!$C$32, $C$9, 100%, $E$9)</f>
        <v>3.9466999999999999</v>
      </c>
      <c r="E129" s="9">
        <f>4.4792 * CHOOSE(CONTROL!$C$32, $C$9, 100%, $E$9)</f>
        <v>4.4791999999999996</v>
      </c>
      <c r="F129" s="9">
        <f>4.4792 * CHOOSE(CONTROL!$C$32, $C$9, 100%, $E$9)</f>
        <v>4.4791999999999996</v>
      </c>
      <c r="G129" s="9">
        <f>4.4836 * CHOOSE(CONTROL!$C$32, $C$9, 100%, $E$9)</f>
        <v>4.4836</v>
      </c>
      <c r="H129" s="9">
        <f>4.8997 * CHOOSE(CONTROL!$C$32, $C$9, 100%, $E$9)</f>
        <v>4.8997000000000002</v>
      </c>
      <c r="I129" s="9">
        <f>4.904 * CHOOSE(CONTROL!$C$32, $C$9, 100%, $E$9)</f>
        <v>4.9039999999999999</v>
      </c>
      <c r="J129" s="9">
        <f>4.8997 * CHOOSE(CONTROL!$C$32, $C$9, 100%, $E$9)</f>
        <v>4.8997000000000002</v>
      </c>
      <c r="K129" s="9">
        <f>4.904 * CHOOSE(CONTROL!$C$32, $C$9, 100%, $E$9)</f>
        <v>4.9039999999999999</v>
      </c>
      <c r="L129" s="9">
        <f>4.4792 * CHOOSE(CONTROL!$C$32, $C$9, 100%, $E$9)</f>
        <v>4.4791999999999996</v>
      </c>
      <c r="M129" s="9">
        <f>4.4836 * CHOOSE(CONTROL!$C$32, $C$9, 100%, $E$9)</f>
        <v>4.4836</v>
      </c>
      <c r="N129" s="9">
        <f>4.4792 * CHOOSE(CONTROL!$C$32, $C$9, 100%, $E$9)</f>
        <v>4.4791999999999996</v>
      </c>
      <c r="O129" s="9">
        <f>4.4836 * CHOOSE(CONTROL!$C$32, $C$9, 100%, $E$9)</f>
        <v>4.4836</v>
      </c>
      <c r="P129" s="17"/>
      <c r="Q129" s="17"/>
      <c r="R129" s="17"/>
    </row>
    <row r="130" spans="1:18" ht="15" x14ac:dyDescent="0.2">
      <c r="A130" s="16">
        <v>44805</v>
      </c>
      <c r="B130" s="10">
        <f>3.9423 * CHOOSE(CONTROL!$C$32, $C$9, 100%, $E$9)</f>
        <v>3.9422999999999999</v>
      </c>
      <c r="C130" s="10">
        <f>3.9423 * CHOOSE(CONTROL!$C$32, $C$9, 100%, $E$9)</f>
        <v>3.9422999999999999</v>
      </c>
      <c r="D130" s="10">
        <f>3.9436 * CHOOSE(CONTROL!$C$32, $C$9, 100%, $E$9)</f>
        <v>3.9436</v>
      </c>
      <c r="E130" s="9">
        <f>4.4705 * CHOOSE(CONTROL!$C$32, $C$9, 100%, $E$9)</f>
        <v>4.4705000000000004</v>
      </c>
      <c r="F130" s="9">
        <f>4.4705 * CHOOSE(CONTROL!$C$32, $C$9, 100%, $E$9)</f>
        <v>4.4705000000000004</v>
      </c>
      <c r="G130" s="9">
        <f>4.4749 * CHOOSE(CONTROL!$C$32, $C$9, 100%, $E$9)</f>
        <v>4.4748999999999999</v>
      </c>
      <c r="H130" s="9">
        <f>4.8977 * CHOOSE(CONTROL!$C$32, $C$9, 100%, $E$9)</f>
        <v>4.8977000000000004</v>
      </c>
      <c r="I130" s="9">
        <f>4.902 * CHOOSE(CONTROL!$C$32, $C$9, 100%, $E$9)</f>
        <v>4.9020000000000001</v>
      </c>
      <c r="J130" s="9">
        <f>4.8977 * CHOOSE(CONTROL!$C$32, $C$9, 100%, $E$9)</f>
        <v>4.8977000000000004</v>
      </c>
      <c r="K130" s="9">
        <f>4.902 * CHOOSE(CONTROL!$C$32, $C$9, 100%, $E$9)</f>
        <v>4.9020000000000001</v>
      </c>
      <c r="L130" s="9">
        <f>4.4705 * CHOOSE(CONTROL!$C$32, $C$9, 100%, $E$9)</f>
        <v>4.4705000000000004</v>
      </c>
      <c r="M130" s="9">
        <f>4.4749 * CHOOSE(CONTROL!$C$32, $C$9, 100%, $E$9)</f>
        <v>4.4748999999999999</v>
      </c>
      <c r="N130" s="9">
        <f>4.4705 * CHOOSE(CONTROL!$C$32, $C$9, 100%, $E$9)</f>
        <v>4.4705000000000004</v>
      </c>
      <c r="O130" s="9">
        <f>4.4749 * CHOOSE(CONTROL!$C$32, $C$9, 100%, $E$9)</f>
        <v>4.4748999999999999</v>
      </c>
      <c r="P130" s="17"/>
      <c r="Q130" s="17"/>
      <c r="R130" s="17"/>
    </row>
    <row r="131" spans="1:18" ht="15" x14ac:dyDescent="0.2">
      <c r="A131" s="16">
        <v>44835</v>
      </c>
      <c r="B131" s="10">
        <f>3.9375 * CHOOSE(CONTROL!$C$32, $C$9, 100%, $E$9)</f>
        <v>3.9375</v>
      </c>
      <c r="C131" s="10">
        <f>3.9375 * CHOOSE(CONTROL!$C$32, $C$9, 100%, $E$9)</f>
        <v>3.9375</v>
      </c>
      <c r="D131" s="10">
        <f>3.9386 * CHOOSE(CONTROL!$C$32, $C$9, 100%, $E$9)</f>
        <v>3.9386000000000001</v>
      </c>
      <c r="E131" s="9">
        <f>4.4835 * CHOOSE(CONTROL!$C$32, $C$9, 100%, $E$9)</f>
        <v>4.4835000000000003</v>
      </c>
      <c r="F131" s="9">
        <f>4.4835 * CHOOSE(CONTROL!$C$32, $C$9, 100%, $E$9)</f>
        <v>4.4835000000000003</v>
      </c>
      <c r="G131" s="9">
        <f>4.4869 * CHOOSE(CONTROL!$C$32, $C$9, 100%, $E$9)</f>
        <v>4.4869000000000003</v>
      </c>
      <c r="H131" s="9">
        <f>4.894 * CHOOSE(CONTROL!$C$32, $C$9, 100%, $E$9)</f>
        <v>4.8940000000000001</v>
      </c>
      <c r="I131" s="9">
        <f>4.8974 * CHOOSE(CONTROL!$C$32, $C$9, 100%, $E$9)</f>
        <v>4.8974000000000002</v>
      </c>
      <c r="J131" s="9">
        <f>4.894 * CHOOSE(CONTROL!$C$32, $C$9, 100%, $E$9)</f>
        <v>4.8940000000000001</v>
      </c>
      <c r="K131" s="9">
        <f>4.8974 * CHOOSE(CONTROL!$C$32, $C$9, 100%, $E$9)</f>
        <v>4.8974000000000002</v>
      </c>
      <c r="L131" s="9">
        <f>4.4835 * CHOOSE(CONTROL!$C$32, $C$9, 100%, $E$9)</f>
        <v>4.4835000000000003</v>
      </c>
      <c r="M131" s="9">
        <f>4.4869 * CHOOSE(CONTROL!$C$32, $C$9, 100%, $E$9)</f>
        <v>4.4869000000000003</v>
      </c>
      <c r="N131" s="9">
        <f>4.4835 * CHOOSE(CONTROL!$C$32, $C$9, 100%, $E$9)</f>
        <v>4.4835000000000003</v>
      </c>
      <c r="O131" s="9">
        <f>4.4869 * CHOOSE(CONTROL!$C$32, $C$9, 100%, $E$9)</f>
        <v>4.4869000000000003</v>
      </c>
      <c r="P131" s="17"/>
      <c r="Q131" s="17"/>
      <c r="R131" s="17"/>
    </row>
    <row r="132" spans="1:18" ht="15" x14ac:dyDescent="0.2">
      <c r="A132" s="16">
        <v>44866</v>
      </c>
      <c r="B132" s="10">
        <f>3.9406 * CHOOSE(CONTROL!$C$32, $C$9, 100%, $E$9)</f>
        <v>3.9405999999999999</v>
      </c>
      <c r="C132" s="10">
        <f>3.9406 * CHOOSE(CONTROL!$C$32, $C$9, 100%, $E$9)</f>
        <v>3.9405999999999999</v>
      </c>
      <c r="D132" s="10">
        <f>3.9416 * CHOOSE(CONTROL!$C$32, $C$9, 100%, $E$9)</f>
        <v>3.9416000000000002</v>
      </c>
      <c r="E132" s="9">
        <f>4.4988 * CHOOSE(CONTROL!$C$32, $C$9, 100%, $E$9)</f>
        <v>4.4988000000000001</v>
      </c>
      <c r="F132" s="9">
        <f>4.4988 * CHOOSE(CONTROL!$C$32, $C$9, 100%, $E$9)</f>
        <v>4.4988000000000001</v>
      </c>
      <c r="G132" s="9">
        <f>4.5022 * CHOOSE(CONTROL!$C$32, $C$9, 100%, $E$9)</f>
        <v>4.5022000000000002</v>
      </c>
      <c r="H132" s="9">
        <f>4.896 * CHOOSE(CONTROL!$C$32, $C$9, 100%, $E$9)</f>
        <v>4.8959999999999999</v>
      </c>
      <c r="I132" s="9">
        <f>4.8994 * CHOOSE(CONTROL!$C$32, $C$9, 100%, $E$9)</f>
        <v>4.8994</v>
      </c>
      <c r="J132" s="9">
        <f>4.896 * CHOOSE(CONTROL!$C$32, $C$9, 100%, $E$9)</f>
        <v>4.8959999999999999</v>
      </c>
      <c r="K132" s="9">
        <f>4.8994 * CHOOSE(CONTROL!$C$32, $C$9, 100%, $E$9)</f>
        <v>4.8994</v>
      </c>
      <c r="L132" s="9">
        <f>4.4988 * CHOOSE(CONTROL!$C$32, $C$9, 100%, $E$9)</f>
        <v>4.4988000000000001</v>
      </c>
      <c r="M132" s="9">
        <f>4.5022 * CHOOSE(CONTROL!$C$32, $C$9, 100%, $E$9)</f>
        <v>4.5022000000000002</v>
      </c>
      <c r="N132" s="9">
        <f>4.4988 * CHOOSE(CONTROL!$C$32, $C$9, 100%, $E$9)</f>
        <v>4.4988000000000001</v>
      </c>
      <c r="O132" s="9">
        <f>4.5022 * CHOOSE(CONTROL!$C$32, $C$9, 100%, $E$9)</f>
        <v>4.5022000000000002</v>
      </c>
      <c r="P132" s="17"/>
      <c r="Q132" s="17"/>
      <c r="R132" s="17"/>
    </row>
    <row r="133" spans="1:18" ht="15" x14ac:dyDescent="0.2">
      <c r="A133" s="16">
        <v>44896</v>
      </c>
      <c r="B133" s="10">
        <f>3.9406 * CHOOSE(CONTROL!$C$32, $C$9, 100%, $E$9)</f>
        <v>3.9405999999999999</v>
      </c>
      <c r="C133" s="10">
        <f>3.9406 * CHOOSE(CONTROL!$C$32, $C$9, 100%, $E$9)</f>
        <v>3.9405999999999999</v>
      </c>
      <c r="D133" s="10">
        <f>3.9416 * CHOOSE(CONTROL!$C$32, $C$9, 100%, $E$9)</f>
        <v>3.9416000000000002</v>
      </c>
      <c r="E133" s="9">
        <f>4.4658 * CHOOSE(CONTROL!$C$32, $C$9, 100%, $E$9)</f>
        <v>4.4657999999999998</v>
      </c>
      <c r="F133" s="9">
        <f>4.4658 * CHOOSE(CONTROL!$C$32, $C$9, 100%, $E$9)</f>
        <v>4.4657999999999998</v>
      </c>
      <c r="G133" s="9">
        <f>4.4692 * CHOOSE(CONTROL!$C$32, $C$9, 100%, $E$9)</f>
        <v>4.4691999999999998</v>
      </c>
      <c r="H133" s="9">
        <f>4.896 * CHOOSE(CONTROL!$C$32, $C$9, 100%, $E$9)</f>
        <v>4.8959999999999999</v>
      </c>
      <c r="I133" s="9">
        <f>4.8994 * CHOOSE(CONTROL!$C$32, $C$9, 100%, $E$9)</f>
        <v>4.8994</v>
      </c>
      <c r="J133" s="9">
        <f>4.896 * CHOOSE(CONTROL!$C$32, $C$9, 100%, $E$9)</f>
        <v>4.8959999999999999</v>
      </c>
      <c r="K133" s="9">
        <f>4.8994 * CHOOSE(CONTROL!$C$32, $C$9, 100%, $E$9)</f>
        <v>4.8994</v>
      </c>
      <c r="L133" s="9">
        <f>4.4658 * CHOOSE(CONTROL!$C$32, $C$9, 100%, $E$9)</f>
        <v>4.4657999999999998</v>
      </c>
      <c r="M133" s="9">
        <f>4.4692 * CHOOSE(CONTROL!$C$32, $C$9, 100%, $E$9)</f>
        <v>4.4691999999999998</v>
      </c>
      <c r="N133" s="9">
        <f>4.4658 * CHOOSE(CONTROL!$C$32, $C$9, 100%, $E$9)</f>
        <v>4.4657999999999998</v>
      </c>
      <c r="O133" s="9">
        <f>4.4692 * CHOOSE(CONTROL!$C$32, $C$9, 100%, $E$9)</f>
        <v>4.4691999999999998</v>
      </c>
      <c r="P133" s="17"/>
      <c r="Q133" s="17"/>
      <c r="R133" s="17"/>
    </row>
    <row r="134" spans="1:18" ht="15" x14ac:dyDescent="0.2">
      <c r="A134" s="16">
        <v>44927</v>
      </c>
      <c r="B134" s="10">
        <f>3.9707 * CHOOSE(CONTROL!$C$32, $C$9, 100%, $E$9)</f>
        <v>3.9706999999999999</v>
      </c>
      <c r="C134" s="10">
        <f>3.9707 * CHOOSE(CONTROL!$C$32, $C$9, 100%, $E$9)</f>
        <v>3.9706999999999999</v>
      </c>
      <c r="D134" s="10">
        <f>3.9717 * CHOOSE(CONTROL!$C$32, $C$9, 100%, $E$9)</f>
        <v>3.9716999999999998</v>
      </c>
      <c r="E134" s="9">
        <f>4.4991 * CHOOSE(CONTROL!$C$32, $C$9, 100%, $E$9)</f>
        <v>4.4991000000000003</v>
      </c>
      <c r="F134" s="9">
        <f>4.4991 * CHOOSE(CONTROL!$C$32, $C$9, 100%, $E$9)</f>
        <v>4.4991000000000003</v>
      </c>
      <c r="G134" s="9">
        <f>4.5024 * CHOOSE(CONTROL!$C$32, $C$9, 100%, $E$9)</f>
        <v>4.5023999999999997</v>
      </c>
      <c r="H134" s="9">
        <f>4.9321 * CHOOSE(CONTROL!$C$32, $C$9, 100%, $E$9)</f>
        <v>4.9321000000000002</v>
      </c>
      <c r="I134" s="9">
        <f>4.9355 * CHOOSE(CONTROL!$C$32, $C$9, 100%, $E$9)</f>
        <v>4.9355000000000002</v>
      </c>
      <c r="J134" s="9">
        <f>4.9321 * CHOOSE(CONTROL!$C$32, $C$9, 100%, $E$9)</f>
        <v>4.9321000000000002</v>
      </c>
      <c r="K134" s="9">
        <f>4.9355 * CHOOSE(CONTROL!$C$32, $C$9, 100%, $E$9)</f>
        <v>4.9355000000000002</v>
      </c>
      <c r="L134" s="9">
        <f>4.4991 * CHOOSE(CONTROL!$C$32, $C$9, 100%, $E$9)</f>
        <v>4.4991000000000003</v>
      </c>
      <c r="M134" s="9">
        <f>4.5024 * CHOOSE(CONTROL!$C$32, $C$9, 100%, $E$9)</f>
        <v>4.5023999999999997</v>
      </c>
      <c r="N134" s="9">
        <f>4.4991 * CHOOSE(CONTROL!$C$32, $C$9, 100%, $E$9)</f>
        <v>4.4991000000000003</v>
      </c>
      <c r="O134" s="9">
        <f>4.5024 * CHOOSE(CONTROL!$C$32, $C$9, 100%, $E$9)</f>
        <v>4.5023999999999997</v>
      </c>
      <c r="P134" s="17"/>
      <c r="Q134" s="17"/>
      <c r="R134" s="17"/>
    </row>
    <row r="135" spans="1:18" ht="15" x14ac:dyDescent="0.2">
      <c r="A135" s="16">
        <v>44958</v>
      </c>
      <c r="B135" s="10">
        <f>3.9677 * CHOOSE(CONTROL!$C$32, $C$9, 100%, $E$9)</f>
        <v>3.9676999999999998</v>
      </c>
      <c r="C135" s="10">
        <f>3.9677 * CHOOSE(CONTROL!$C$32, $C$9, 100%, $E$9)</f>
        <v>3.9676999999999998</v>
      </c>
      <c r="D135" s="10">
        <f>3.9687 * CHOOSE(CONTROL!$C$32, $C$9, 100%, $E$9)</f>
        <v>3.9687000000000001</v>
      </c>
      <c r="E135" s="9">
        <f>4.4325 * CHOOSE(CONTROL!$C$32, $C$9, 100%, $E$9)</f>
        <v>4.4325000000000001</v>
      </c>
      <c r="F135" s="9">
        <f>4.4325 * CHOOSE(CONTROL!$C$32, $C$9, 100%, $E$9)</f>
        <v>4.4325000000000001</v>
      </c>
      <c r="G135" s="9">
        <f>4.4358 * CHOOSE(CONTROL!$C$32, $C$9, 100%, $E$9)</f>
        <v>4.4358000000000004</v>
      </c>
      <c r="H135" s="9">
        <f>4.9301 * CHOOSE(CONTROL!$C$32, $C$9, 100%, $E$9)</f>
        <v>4.9301000000000004</v>
      </c>
      <c r="I135" s="9">
        <f>4.9335 * CHOOSE(CONTROL!$C$32, $C$9, 100%, $E$9)</f>
        <v>4.9335000000000004</v>
      </c>
      <c r="J135" s="9">
        <f>4.9301 * CHOOSE(CONTROL!$C$32, $C$9, 100%, $E$9)</f>
        <v>4.9301000000000004</v>
      </c>
      <c r="K135" s="9">
        <f>4.9335 * CHOOSE(CONTROL!$C$32, $C$9, 100%, $E$9)</f>
        <v>4.9335000000000004</v>
      </c>
      <c r="L135" s="9">
        <f>4.4325 * CHOOSE(CONTROL!$C$32, $C$9, 100%, $E$9)</f>
        <v>4.4325000000000001</v>
      </c>
      <c r="M135" s="9">
        <f>4.4358 * CHOOSE(CONTROL!$C$32, $C$9, 100%, $E$9)</f>
        <v>4.4358000000000004</v>
      </c>
      <c r="N135" s="9">
        <f>4.4325 * CHOOSE(CONTROL!$C$32, $C$9, 100%, $E$9)</f>
        <v>4.4325000000000001</v>
      </c>
      <c r="O135" s="9">
        <f>4.4358 * CHOOSE(CONTROL!$C$32, $C$9, 100%, $E$9)</f>
        <v>4.4358000000000004</v>
      </c>
      <c r="P135" s="17"/>
      <c r="Q135" s="17"/>
      <c r="R135" s="17"/>
    </row>
    <row r="136" spans="1:18" ht="15" x14ac:dyDescent="0.2">
      <c r="A136" s="16">
        <v>44986</v>
      </c>
      <c r="B136" s="10">
        <f>3.9647 * CHOOSE(CONTROL!$C$32, $C$9, 100%, $E$9)</f>
        <v>3.9647000000000001</v>
      </c>
      <c r="C136" s="10">
        <f>3.9647 * CHOOSE(CONTROL!$C$32, $C$9, 100%, $E$9)</f>
        <v>3.9647000000000001</v>
      </c>
      <c r="D136" s="10">
        <f>3.9657 * CHOOSE(CONTROL!$C$32, $C$9, 100%, $E$9)</f>
        <v>3.9657</v>
      </c>
      <c r="E136" s="9">
        <f>4.4812 * CHOOSE(CONTROL!$C$32, $C$9, 100%, $E$9)</f>
        <v>4.4812000000000003</v>
      </c>
      <c r="F136" s="9">
        <f>4.4812 * CHOOSE(CONTROL!$C$32, $C$9, 100%, $E$9)</f>
        <v>4.4812000000000003</v>
      </c>
      <c r="G136" s="9">
        <f>4.4846 * CHOOSE(CONTROL!$C$32, $C$9, 100%, $E$9)</f>
        <v>4.4846000000000004</v>
      </c>
      <c r="H136" s="9">
        <f>4.9281 * CHOOSE(CONTROL!$C$32, $C$9, 100%, $E$9)</f>
        <v>4.9280999999999997</v>
      </c>
      <c r="I136" s="9">
        <f>4.9315 * CHOOSE(CONTROL!$C$32, $C$9, 100%, $E$9)</f>
        <v>4.9314999999999998</v>
      </c>
      <c r="J136" s="9">
        <f>4.9281 * CHOOSE(CONTROL!$C$32, $C$9, 100%, $E$9)</f>
        <v>4.9280999999999997</v>
      </c>
      <c r="K136" s="9">
        <f>4.9315 * CHOOSE(CONTROL!$C$32, $C$9, 100%, $E$9)</f>
        <v>4.9314999999999998</v>
      </c>
      <c r="L136" s="9">
        <f>4.4812 * CHOOSE(CONTROL!$C$32, $C$9, 100%, $E$9)</f>
        <v>4.4812000000000003</v>
      </c>
      <c r="M136" s="9">
        <f>4.4846 * CHOOSE(CONTROL!$C$32, $C$9, 100%, $E$9)</f>
        <v>4.4846000000000004</v>
      </c>
      <c r="N136" s="9">
        <f>4.4812 * CHOOSE(CONTROL!$C$32, $C$9, 100%, $E$9)</f>
        <v>4.4812000000000003</v>
      </c>
      <c r="O136" s="9">
        <f>4.4846 * CHOOSE(CONTROL!$C$32, $C$9, 100%, $E$9)</f>
        <v>4.4846000000000004</v>
      </c>
      <c r="P136" s="17"/>
      <c r="Q136" s="17"/>
      <c r="R136" s="17"/>
    </row>
    <row r="137" spans="1:18" ht="15" x14ac:dyDescent="0.2">
      <c r="A137" s="16">
        <v>45017</v>
      </c>
      <c r="B137" s="10">
        <f>3.9624 * CHOOSE(CONTROL!$C$32, $C$9, 100%, $E$9)</f>
        <v>3.9624000000000001</v>
      </c>
      <c r="C137" s="10">
        <f>3.9624 * CHOOSE(CONTROL!$C$32, $C$9, 100%, $E$9)</f>
        <v>3.9624000000000001</v>
      </c>
      <c r="D137" s="10">
        <f>3.9634 * CHOOSE(CONTROL!$C$32, $C$9, 100%, $E$9)</f>
        <v>3.9634</v>
      </c>
      <c r="E137" s="9">
        <f>4.5315 * CHOOSE(CONTROL!$C$32, $C$9, 100%, $E$9)</f>
        <v>4.5315000000000003</v>
      </c>
      <c r="F137" s="9">
        <f>4.5315 * CHOOSE(CONTROL!$C$32, $C$9, 100%, $E$9)</f>
        <v>4.5315000000000003</v>
      </c>
      <c r="G137" s="9">
        <f>4.5349 * CHOOSE(CONTROL!$C$32, $C$9, 100%, $E$9)</f>
        <v>4.5349000000000004</v>
      </c>
      <c r="H137" s="9">
        <f>4.9265 * CHOOSE(CONTROL!$C$32, $C$9, 100%, $E$9)</f>
        <v>4.9264999999999999</v>
      </c>
      <c r="I137" s="9">
        <f>4.9299 * CHOOSE(CONTROL!$C$32, $C$9, 100%, $E$9)</f>
        <v>4.9298999999999999</v>
      </c>
      <c r="J137" s="9">
        <f>4.9265 * CHOOSE(CONTROL!$C$32, $C$9, 100%, $E$9)</f>
        <v>4.9264999999999999</v>
      </c>
      <c r="K137" s="9">
        <f>4.9299 * CHOOSE(CONTROL!$C$32, $C$9, 100%, $E$9)</f>
        <v>4.9298999999999999</v>
      </c>
      <c r="L137" s="9">
        <f>4.5315 * CHOOSE(CONTROL!$C$32, $C$9, 100%, $E$9)</f>
        <v>4.5315000000000003</v>
      </c>
      <c r="M137" s="9">
        <f>4.5349 * CHOOSE(CONTROL!$C$32, $C$9, 100%, $E$9)</f>
        <v>4.5349000000000004</v>
      </c>
      <c r="N137" s="9">
        <f>4.5315 * CHOOSE(CONTROL!$C$32, $C$9, 100%, $E$9)</f>
        <v>4.5315000000000003</v>
      </c>
      <c r="O137" s="9">
        <f>4.5349 * CHOOSE(CONTROL!$C$32, $C$9, 100%, $E$9)</f>
        <v>4.5349000000000004</v>
      </c>
      <c r="P137" s="17"/>
      <c r="Q137" s="17"/>
      <c r="R137" s="17"/>
    </row>
    <row r="138" spans="1:18" ht="15" x14ac:dyDescent="0.2">
      <c r="A138" s="16">
        <v>45047</v>
      </c>
      <c r="B138" s="10">
        <f>3.9624 * CHOOSE(CONTROL!$C$32, $C$9, 100%, $E$9)</f>
        <v>3.9624000000000001</v>
      </c>
      <c r="C138" s="10">
        <f>3.9624 * CHOOSE(CONTROL!$C$32, $C$9, 100%, $E$9)</f>
        <v>3.9624000000000001</v>
      </c>
      <c r="D138" s="10">
        <f>3.9637 * CHOOSE(CONTROL!$C$32, $C$9, 100%, $E$9)</f>
        <v>3.9636999999999998</v>
      </c>
      <c r="E138" s="9">
        <f>4.552 * CHOOSE(CONTROL!$C$32, $C$9, 100%, $E$9)</f>
        <v>4.5519999999999996</v>
      </c>
      <c r="F138" s="9">
        <f>4.552 * CHOOSE(CONTROL!$C$32, $C$9, 100%, $E$9)</f>
        <v>4.5519999999999996</v>
      </c>
      <c r="G138" s="9">
        <f>4.5564 * CHOOSE(CONTROL!$C$32, $C$9, 100%, $E$9)</f>
        <v>4.5564</v>
      </c>
      <c r="H138" s="9">
        <f>4.9265 * CHOOSE(CONTROL!$C$32, $C$9, 100%, $E$9)</f>
        <v>4.9264999999999999</v>
      </c>
      <c r="I138" s="9">
        <f>4.9308 * CHOOSE(CONTROL!$C$32, $C$9, 100%, $E$9)</f>
        <v>4.9307999999999996</v>
      </c>
      <c r="J138" s="9">
        <f>4.9265 * CHOOSE(CONTROL!$C$32, $C$9, 100%, $E$9)</f>
        <v>4.9264999999999999</v>
      </c>
      <c r="K138" s="9">
        <f>4.9308 * CHOOSE(CONTROL!$C$32, $C$9, 100%, $E$9)</f>
        <v>4.9307999999999996</v>
      </c>
      <c r="L138" s="9">
        <f>4.552 * CHOOSE(CONTROL!$C$32, $C$9, 100%, $E$9)</f>
        <v>4.5519999999999996</v>
      </c>
      <c r="M138" s="9">
        <f>4.5564 * CHOOSE(CONTROL!$C$32, $C$9, 100%, $E$9)</f>
        <v>4.5564</v>
      </c>
      <c r="N138" s="9">
        <f>4.552 * CHOOSE(CONTROL!$C$32, $C$9, 100%, $E$9)</f>
        <v>4.5519999999999996</v>
      </c>
      <c r="O138" s="9">
        <f>4.5564 * CHOOSE(CONTROL!$C$32, $C$9, 100%, $E$9)</f>
        <v>4.5564</v>
      </c>
      <c r="P138" s="17"/>
      <c r="Q138" s="17"/>
      <c r="R138" s="17"/>
    </row>
    <row r="139" spans="1:18" ht="15" x14ac:dyDescent="0.2">
      <c r="A139" s="16">
        <v>45078</v>
      </c>
      <c r="B139" s="10">
        <f>3.9684 * CHOOSE(CONTROL!$C$32, $C$9, 100%, $E$9)</f>
        <v>3.9683999999999999</v>
      </c>
      <c r="C139" s="10">
        <f>3.9684 * CHOOSE(CONTROL!$C$32, $C$9, 100%, $E$9)</f>
        <v>3.9683999999999999</v>
      </c>
      <c r="D139" s="10">
        <f>3.9698 * CHOOSE(CONTROL!$C$32, $C$9, 100%, $E$9)</f>
        <v>3.9698000000000002</v>
      </c>
      <c r="E139" s="9">
        <f>4.5358 * CHOOSE(CONTROL!$C$32, $C$9, 100%, $E$9)</f>
        <v>4.5358000000000001</v>
      </c>
      <c r="F139" s="9">
        <f>4.5358 * CHOOSE(CONTROL!$C$32, $C$9, 100%, $E$9)</f>
        <v>4.5358000000000001</v>
      </c>
      <c r="G139" s="9">
        <f>4.5401 * CHOOSE(CONTROL!$C$32, $C$9, 100%, $E$9)</f>
        <v>4.5400999999999998</v>
      </c>
      <c r="H139" s="9">
        <f>4.9305 * CHOOSE(CONTROL!$C$32, $C$9, 100%, $E$9)</f>
        <v>4.9305000000000003</v>
      </c>
      <c r="I139" s="9">
        <f>4.9348 * CHOOSE(CONTROL!$C$32, $C$9, 100%, $E$9)</f>
        <v>4.9348000000000001</v>
      </c>
      <c r="J139" s="9">
        <f>4.9305 * CHOOSE(CONTROL!$C$32, $C$9, 100%, $E$9)</f>
        <v>4.9305000000000003</v>
      </c>
      <c r="K139" s="9">
        <f>4.9348 * CHOOSE(CONTROL!$C$32, $C$9, 100%, $E$9)</f>
        <v>4.9348000000000001</v>
      </c>
      <c r="L139" s="9">
        <f>4.5358 * CHOOSE(CONTROL!$C$32, $C$9, 100%, $E$9)</f>
        <v>4.5358000000000001</v>
      </c>
      <c r="M139" s="9">
        <f>4.5401 * CHOOSE(CONTROL!$C$32, $C$9, 100%, $E$9)</f>
        <v>4.5400999999999998</v>
      </c>
      <c r="N139" s="9">
        <f>4.5358 * CHOOSE(CONTROL!$C$32, $C$9, 100%, $E$9)</f>
        <v>4.5358000000000001</v>
      </c>
      <c r="O139" s="9">
        <f>4.5401 * CHOOSE(CONTROL!$C$32, $C$9, 100%, $E$9)</f>
        <v>4.5400999999999998</v>
      </c>
      <c r="P139" s="17"/>
      <c r="Q139" s="17"/>
      <c r="R139" s="17"/>
    </row>
    <row r="140" spans="1:18" ht="15" x14ac:dyDescent="0.2">
      <c r="A140" s="16">
        <v>45108</v>
      </c>
      <c r="B140" s="10">
        <f>4.0216 * CHOOSE(CONTROL!$C$32, $C$9, 100%, $E$9)</f>
        <v>4.0216000000000003</v>
      </c>
      <c r="C140" s="10">
        <f>4.0216 * CHOOSE(CONTROL!$C$32, $C$9, 100%, $E$9)</f>
        <v>4.0216000000000003</v>
      </c>
      <c r="D140" s="10">
        <f>4.0229 * CHOOSE(CONTROL!$C$32, $C$9, 100%, $E$9)</f>
        <v>4.0228999999999999</v>
      </c>
      <c r="E140" s="9">
        <f>4.5373 * CHOOSE(CONTROL!$C$32, $C$9, 100%, $E$9)</f>
        <v>4.5373000000000001</v>
      </c>
      <c r="F140" s="9">
        <f>4.5373 * CHOOSE(CONTROL!$C$32, $C$9, 100%, $E$9)</f>
        <v>4.5373000000000001</v>
      </c>
      <c r="G140" s="9">
        <f>4.5416 * CHOOSE(CONTROL!$C$32, $C$9, 100%, $E$9)</f>
        <v>4.5415999999999999</v>
      </c>
      <c r="H140" s="9">
        <f>5.0062 * CHOOSE(CONTROL!$C$32, $C$9, 100%, $E$9)</f>
        <v>5.0061999999999998</v>
      </c>
      <c r="I140" s="9">
        <f>5.0105 * CHOOSE(CONTROL!$C$32, $C$9, 100%, $E$9)</f>
        <v>5.0105000000000004</v>
      </c>
      <c r="J140" s="9">
        <f>5.0062 * CHOOSE(CONTROL!$C$32, $C$9, 100%, $E$9)</f>
        <v>5.0061999999999998</v>
      </c>
      <c r="K140" s="9">
        <f>5.0105 * CHOOSE(CONTROL!$C$32, $C$9, 100%, $E$9)</f>
        <v>5.0105000000000004</v>
      </c>
      <c r="L140" s="9">
        <f>4.5373 * CHOOSE(CONTROL!$C$32, $C$9, 100%, $E$9)</f>
        <v>4.5373000000000001</v>
      </c>
      <c r="M140" s="9">
        <f>4.5416 * CHOOSE(CONTROL!$C$32, $C$9, 100%, $E$9)</f>
        <v>4.5415999999999999</v>
      </c>
      <c r="N140" s="9">
        <f>4.5373 * CHOOSE(CONTROL!$C$32, $C$9, 100%, $E$9)</f>
        <v>4.5373000000000001</v>
      </c>
      <c r="O140" s="9">
        <f>4.5416 * CHOOSE(CONTROL!$C$32, $C$9, 100%, $E$9)</f>
        <v>4.5415999999999999</v>
      </c>
      <c r="P140" s="17"/>
      <c r="Q140" s="17"/>
      <c r="R140" s="17"/>
    </row>
    <row r="141" spans="1:18" ht="15" x14ac:dyDescent="0.2">
      <c r="A141" s="16">
        <v>45139</v>
      </c>
      <c r="B141" s="10">
        <f>4.0282 * CHOOSE(CONTROL!$C$32, $C$9, 100%, $E$9)</f>
        <v>4.0282</v>
      </c>
      <c r="C141" s="10">
        <f>4.0282 * CHOOSE(CONTROL!$C$32, $C$9, 100%, $E$9)</f>
        <v>4.0282</v>
      </c>
      <c r="D141" s="10">
        <f>4.0295 * CHOOSE(CONTROL!$C$32, $C$9, 100%, $E$9)</f>
        <v>4.0294999999999996</v>
      </c>
      <c r="E141" s="9">
        <f>4.4805 * CHOOSE(CONTROL!$C$32, $C$9, 100%, $E$9)</f>
        <v>4.4805000000000001</v>
      </c>
      <c r="F141" s="9">
        <f>4.4805 * CHOOSE(CONTROL!$C$32, $C$9, 100%, $E$9)</f>
        <v>4.4805000000000001</v>
      </c>
      <c r="G141" s="9">
        <f>4.4849 * CHOOSE(CONTROL!$C$32, $C$9, 100%, $E$9)</f>
        <v>4.4848999999999997</v>
      </c>
      <c r="H141" s="9">
        <f>5.0106 * CHOOSE(CONTROL!$C$32, $C$9, 100%, $E$9)</f>
        <v>5.0106000000000002</v>
      </c>
      <c r="I141" s="9">
        <f>5.0149 * CHOOSE(CONTROL!$C$32, $C$9, 100%, $E$9)</f>
        <v>5.0148999999999999</v>
      </c>
      <c r="J141" s="9">
        <f>5.0106 * CHOOSE(CONTROL!$C$32, $C$9, 100%, $E$9)</f>
        <v>5.0106000000000002</v>
      </c>
      <c r="K141" s="9">
        <f>5.0149 * CHOOSE(CONTROL!$C$32, $C$9, 100%, $E$9)</f>
        <v>5.0148999999999999</v>
      </c>
      <c r="L141" s="9">
        <f>4.4805 * CHOOSE(CONTROL!$C$32, $C$9, 100%, $E$9)</f>
        <v>4.4805000000000001</v>
      </c>
      <c r="M141" s="9">
        <f>4.4849 * CHOOSE(CONTROL!$C$32, $C$9, 100%, $E$9)</f>
        <v>4.4848999999999997</v>
      </c>
      <c r="N141" s="9">
        <f>4.4805 * CHOOSE(CONTROL!$C$32, $C$9, 100%, $E$9)</f>
        <v>4.4805000000000001</v>
      </c>
      <c r="O141" s="9">
        <f>4.4849 * CHOOSE(CONTROL!$C$32, $C$9, 100%, $E$9)</f>
        <v>4.4848999999999997</v>
      </c>
      <c r="P141" s="17"/>
      <c r="Q141" s="17"/>
      <c r="R141" s="17"/>
    </row>
    <row r="142" spans="1:18" ht="15" x14ac:dyDescent="0.2">
      <c r="A142" s="16">
        <v>45170</v>
      </c>
      <c r="B142" s="10">
        <f>4.0252 * CHOOSE(CONTROL!$C$32, $C$9, 100%, $E$9)</f>
        <v>4.0251999999999999</v>
      </c>
      <c r="C142" s="10">
        <f>4.0252 * CHOOSE(CONTROL!$C$32, $C$9, 100%, $E$9)</f>
        <v>4.0251999999999999</v>
      </c>
      <c r="D142" s="10">
        <f>4.0265 * CHOOSE(CONTROL!$C$32, $C$9, 100%, $E$9)</f>
        <v>4.0265000000000004</v>
      </c>
      <c r="E142" s="9">
        <f>4.4716 * CHOOSE(CONTROL!$C$32, $C$9, 100%, $E$9)</f>
        <v>4.4715999999999996</v>
      </c>
      <c r="F142" s="9">
        <f>4.4716 * CHOOSE(CONTROL!$C$32, $C$9, 100%, $E$9)</f>
        <v>4.4715999999999996</v>
      </c>
      <c r="G142" s="9">
        <f>4.4759 * CHOOSE(CONTROL!$C$32, $C$9, 100%, $E$9)</f>
        <v>4.4759000000000002</v>
      </c>
      <c r="H142" s="9">
        <f>5.0086 * CHOOSE(CONTROL!$C$32, $C$9, 100%, $E$9)</f>
        <v>5.0086000000000004</v>
      </c>
      <c r="I142" s="9">
        <f>5.0129 * CHOOSE(CONTROL!$C$32, $C$9, 100%, $E$9)</f>
        <v>5.0129000000000001</v>
      </c>
      <c r="J142" s="9">
        <f>5.0086 * CHOOSE(CONTROL!$C$32, $C$9, 100%, $E$9)</f>
        <v>5.0086000000000004</v>
      </c>
      <c r="K142" s="9">
        <f>5.0129 * CHOOSE(CONTROL!$C$32, $C$9, 100%, $E$9)</f>
        <v>5.0129000000000001</v>
      </c>
      <c r="L142" s="9">
        <f>4.4716 * CHOOSE(CONTROL!$C$32, $C$9, 100%, $E$9)</f>
        <v>4.4715999999999996</v>
      </c>
      <c r="M142" s="9">
        <f>4.4759 * CHOOSE(CONTROL!$C$32, $C$9, 100%, $E$9)</f>
        <v>4.4759000000000002</v>
      </c>
      <c r="N142" s="9">
        <f>4.4716 * CHOOSE(CONTROL!$C$32, $C$9, 100%, $E$9)</f>
        <v>4.4715999999999996</v>
      </c>
      <c r="O142" s="9">
        <f>4.4759 * CHOOSE(CONTROL!$C$32, $C$9, 100%, $E$9)</f>
        <v>4.4759000000000002</v>
      </c>
      <c r="P142" s="17"/>
      <c r="Q142" s="17"/>
      <c r="R142" s="17"/>
    </row>
    <row r="143" spans="1:18" ht="15" x14ac:dyDescent="0.2">
      <c r="A143" s="16">
        <v>45200</v>
      </c>
      <c r="B143" s="10">
        <f>4.0208 * CHOOSE(CONTROL!$C$32, $C$9, 100%, $E$9)</f>
        <v>4.0208000000000004</v>
      </c>
      <c r="C143" s="10">
        <f>4.0208 * CHOOSE(CONTROL!$C$32, $C$9, 100%, $E$9)</f>
        <v>4.0208000000000004</v>
      </c>
      <c r="D143" s="10">
        <f>4.0218 * CHOOSE(CONTROL!$C$32, $C$9, 100%, $E$9)</f>
        <v>4.0217999999999998</v>
      </c>
      <c r="E143" s="9">
        <f>4.4854 * CHOOSE(CONTROL!$C$32, $C$9, 100%, $E$9)</f>
        <v>4.4854000000000003</v>
      </c>
      <c r="F143" s="9">
        <f>4.4854 * CHOOSE(CONTROL!$C$32, $C$9, 100%, $E$9)</f>
        <v>4.4854000000000003</v>
      </c>
      <c r="G143" s="9">
        <f>4.4888 * CHOOSE(CONTROL!$C$32, $C$9, 100%, $E$9)</f>
        <v>4.4888000000000003</v>
      </c>
      <c r="H143" s="9">
        <f>5.0051 * CHOOSE(CONTROL!$C$32, $C$9, 100%, $E$9)</f>
        <v>5.0050999999999997</v>
      </c>
      <c r="I143" s="9">
        <f>5.0085 * CHOOSE(CONTROL!$C$32, $C$9, 100%, $E$9)</f>
        <v>5.0084999999999997</v>
      </c>
      <c r="J143" s="9">
        <f>5.0051 * CHOOSE(CONTROL!$C$32, $C$9, 100%, $E$9)</f>
        <v>5.0050999999999997</v>
      </c>
      <c r="K143" s="9">
        <f>5.0085 * CHOOSE(CONTROL!$C$32, $C$9, 100%, $E$9)</f>
        <v>5.0084999999999997</v>
      </c>
      <c r="L143" s="9">
        <f>4.4854 * CHOOSE(CONTROL!$C$32, $C$9, 100%, $E$9)</f>
        <v>4.4854000000000003</v>
      </c>
      <c r="M143" s="9">
        <f>4.4888 * CHOOSE(CONTROL!$C$32, $C$9, 100%, $E$9)</f>
        <v>4.4888000000000003</v>
      </c>
      <c r="N143" s="9">
        <f>4.4854 * CHOOSE(CONTROL!$C$32, $C$9, 100%, $E$9)</f>
        <v>4.4854000000000003</v>
      </c>
      <c r="O143" s="9">
        <f>4.4888 * CHOOSE(CONTROL!$C$32, $C$9, 100%, $E$9)</f>
        <v>4.4888000000000003</v>
      </c>
      <c r="P143" s="17"/>
      <c r="Q143" s="17"/>
      <c r="R143" s="17"/>
    </row>
    <row r="144" spans="1:18" ht="15" x14ac:dyDescent="0.2">
      <c r="A144" s="16">
        <v>45231</v>
      </c>
      <c r="B144" s="10">
        <f>4.0238 * CHOOSE(CONTROL!$C$32, $C$9, 100%, $E$9)</f>
        <v>4.0237999999999996</v>
      </c>
      <c r="C144" s="10">
        <f>4.0238 * CHOOSE(CONTROL!$C$32, $C$9, 100%, $E$9)</f>
        <v>4.0237999999999996</v>
      </c>
      <c r="D144" s="10">
        <f>4.0248 * CHOOSE(CONTROL!$C$32, $C$9, 100%, $E$9)</f>
        <v>4.0247999999999999</v>
      </c>
      <c r="E144" s="9">
        <f>4.5012 * CHOOSE(CONTROL!$C$32, $C$9, 100%, $E$9)</f>
        <v>4.5011999999999999</v>
      </c>
      <c r="F144" s="9">
        <f>4.5012 * CHOOSE(CONTROL!$C$32, $C$9, 100%, $E$9)</f>
        <v>4.5011999999999999</v>
      </c>
      <c r="G144" s="9">
        <f>4.5046 * CHOOSE(CONTROL!$C$32, $C$9, 100%, $E$9)</f>
        <v>4.5045999999999999</v>
      </c>
      <c r="H144" s="9">
        <f>5.0071 * CHOOSE(CONTROL!$C$32, $C$9, 100%, $E$9)</f>
        <v>5.0071000000000003</v>
      </c>
      <c r="I144" s="9">
        <f>5.0105 * CHOOSE(CONTROL!$C$32, $C$9, 100%, $E$9)</f>
        <v>5.0105000000000004</v>
      </c>
      <c r="J144" s="9">
        <f>5.0071 * CHOOSE(CONTROL!$C$32, $C$9, 100%, $E$9)</f>
        <v>5.0071000000000003</v>
      </c>
      <c r="K144" s="9">
        <f>5.0105 * CHOOSE(CONTROL!$C$32, $C$9, 100%, $E$9)</f>
        <v>5.0105000000000004</v>
      </c>
      <c r="L144" s="9">
        <f>4.5012 * CHOOSE(CONTROL!$C$32, $C$9, 100%, $E$9)</f>
        <v>4.5011999999999999</v>
      </c>
      <c r="M144" s="9">
        <f>4.5046 * CHOOSE(CONTROL!$C$32, $C$9, 100%, $E$9)</f>
        <v>4.5045999999999999</v>
      </c>
      <c r="N144" s="9">
        <f>4.5012 * CHOOSE(CONTROL!$C$32, $C$9, 100%, $E$9)</f>
        <v>4.5011999999999999</v>
      </c>
      <c r="O144" s="9">
        <f>4.5046 * CHOOSE(CONTROL!$C$32, $C$9, 100%, $E$9)</f>
        <v>4.5045999999999999</v>
      </c>
      <c r="P144" s="17"/>
      <c r="Q144" s="17"/>
      <c r="R144" s="17"/>
    </row>
    <row r="145" spans="1:18" ht="15" x14ac:dyDescent="0.2">
      <c r="A145" s="16">
        <v>45261</v>
      </c>
      <c r="B145" s="10">
        <f>4.0238 * CHOOSE(CONTROL!$C$32, $C$9, 100%, $E$9)</f>
        <v>4.0237999999999996</v>
      </c>
      <c r="C145" s="10">
        <f>4.0238 * CHOOSE(CONTROL!$C$32, $C$9, 100%, $E$9)</f>
        <v>4.0237999999999996</v>
      </c>
      <c r="D145" s="10">
        <f>4.0248 * CHOOSE(CONTROL!$C$32, $C$9, 100%, $E$9)</f>
        <v>4.0247999999999999</v>
      </c>
      <c r="E145" s="9">
        <f>4.4671 * CHOOSE(CONTROL!$C$32, $C$9, 100%, $E$9)</f>
        <v>4.4671000000000003</v>
      </c>
      <c r="F145" s="9">
        <f>4.4671 * CHOOSE(CONTROL!$C$32, $C$9, 100%, $E$9)</f>
        <v>4.4671000000000003</v>
      </c>
      <c r="G145" s="9">
        <f>4.4705 * CHOOSE(CONTROL!$C$32, $C$9, 100%, $E$9)</f>
        <v>4.4705000000000004</v>
      </c>
      <c r="H145" s="9">
        <f>5.0071 * CHOOSE(CONTROL!$C$32, $C$9, 100%, $E$9)</f>
        <v>5.0071000000000003</v>
      </c>
      <c r="I145" s="9">
        <f>5.0105 * CHOOSE(CONTROL!$C$32, $C$9, 100%, $E$9)</f>
        <v>5.0105000000000004</v>
      </c>
      <c r="J145" s="9">
        <f>5.0071 * CHOOSE(CONTROL!$C$32, $C$9, 100%, $E$9)</f>
        <v>5.0071000000000003</v>
      </c>
      <c r="K145" s="9">
        <f>5.0105 * CHOOSE(CONTROL!$C$32, $C$9, 100%, $E$9)</f>
        <v>5.0105000000000004</v>
      </c>
      <c r="L145" s="9">
        <f>4.4671 * CHOOSE(CONTROL!$C$32, $C$9, 100%, $E$9)</f>
        <v>4.4671000000000003</v>
      </c>
      <c r="M145" s="9">
        <f>4.4705 * CHOOSE(CONTROL!$C$32, $C$9, 100%, $E$9)</f>
        <v>4.4705000000000004</v>
      </c>
      <c r="N145" s="9">
        <f>4.4671 * CHOOSE(CONTROL!$C$32, $C$9, 100%, $E$9)</f>
        <v>4.4671000000000003</v>
      </c>
      <c r="O145" s="9">
        <f>4.4705 * CHOOSE(CONTROL!$C$32, $C$9, 100%, $E$9)</f>
        <v>4.4705000000000004</v>
      </c>
      <c r="P145" s="17"/>
      <c r="Q145" s="17"/>
      <c r="R145" s="17"/>
    </row>
    <row r="146" spans="1:18" ht="15" x14ac:dyDescent="0.2">
      <c r="A146" s="16">
        <v>45292</v>
      </c>
      <c r="B146" s="10">
        <f>4.0494 * CHOOSE(CONTROL!$C$32, $C$9, 100%, $E$9)</f>
        <v>4.0494000000000003</v>
      </c>
      <c r="C146" s="10">
        <f>4.0494 * CHOOSE(CONTROL!$C$32, $C$9, 100%, $E$9)</f>
        <v>4.0494000000000003</v>
      </c>
      <c r="D146" s="10">
        <f>4.0504 * CHOOSE(CONTROL!$C$32, $C$9, 100%, $E$9)</f>
        <v>4.0503999999999998</v>
      </c>
      <c r="E146" s="9">
        <f>4.5201 * CHOOSE(CONTROL!$C$32, $C$9, 100%, $E$9)</f>
        <v>4.5201000000000002</v>
      </c>
      <c r="F146" s="9">
        <f>4.5201 * CHOOSE(CONTROL!$C$32, $C$9, 100%, $E$9)</f>
        <v>4.5201000000000002</v>
      </c>
      <c r="G146" s="9">
        <f>4.5235 * CHOOSE(CONTROL!$C$32, $C$9, 100%, $E$9)</f>
        <v>4.5235000000000003</v>
      </c>
      <c r="H146" s="9">
        <f>5.0476 * CHOOSE(CONTROL!$C$32, $C$9, 100%, $E$9)</f>
        <v>5.0476000000000001</v>
      </c>
      <c r="I146" s="9">
        <f>5.051 * CHOOSE(CONTROL!$C$32, $C$9, 100%, $E$9)</f>
        <v>5.0510000000000002</v>
      </c>
      <c r="J146" s="9">
        <f>5.0476 * CHOOSE(CONTROL!$C$32, $C$9, 100%, $E$9)</f>
        <v>5.0476000000000001</v>
      </c>
      <c r="K146" s="9">
        <f>5.051 * CHOOSE(CONTROL!$C$32, $C$9, 100%, $E$9)</f>
        <v>5.0510000000000002</v>
      </c>
      <c r="L146" s="9">
        <f>4.5201 * CHOOSE(CONTROL!$C$32, $C$9, 100%, $E$9)</f>
        <v>4.5201000000000002</v>
      </c>
      <c r="M146" s="9">
        <f>4.5235 * CHOOSE(CONTROL!$C$32, $C$9, 100%, $E$9)</f>
        <v>4.5235000000000003</v>
      </c>
      <c r="N146" s="9">
        <f>4.5201 * CHOOSE(CONTROL!$C$32, $C$9, 100%, $E$9)</f>
        <v>4.5201000000000002</v>
      </c>
      <c r="O146" s="9">
        <f>4.5235 * CHOOSE(CONTROL!$C$32, $C$9, 100%, $E$9)</f>
        <v>4.5235000000000003</v>
      </c>
      <c r="P146" s="17"/>
      <c r="Q146" s="17"/>
      <c r="R146" s="17"/>
    </row>
    <row r="147" spans="1:18" ht="15" x14ac:dyDescent="0.2">
      <c r="A147" s="16">
        <v>45323</v>
      </c>
      <c r="B147" s="10">
        <f>4.0464 * CHOOSE(CONTROL!$C$32, $C$9, 100%, $E$9)</f>
        <v>4.0464000000000002</v>
      </c>
      <c r="C147" s="10">
        <f>4.0464 * CHOOSE(CONTROL!$C$32, $C$9, 100%, $E$9)</f>
        <v>4.0464000000000002</v>
      </c>
      <c r="D147" s="10">
        <f>4.0474 * CHOOSE(CONTROL!$C$32, $C$9, 100%, $E$9)</f>
        <v>4.0473999999999997</v>
      </c>
      <c r="E147" s="9">
        <f>4.4513 * CHOOSE(CONTROL!$C$32, $C$9, 100%, $E$9)</f>
        <v>4.4512999999999998</v>
      </c>
      <c r="F147" s="9">
        <f>4.4513 * CHOOSE(CONTROL!$C$32, $C$9, 100%, $E$9)</f>
        <v>4.4512999999999998</v>
      </c>
      <c r="G147" s="9">
        <f>4.4547 * CHOOSE(CONTROL!$C$32, $C$9, 100%, $E$9)</f>
        <v>4.4546999999999999</v>
      </c>
      <c r="H147" s="9">
        <f>5.0456 * CHOOSE(CONTROL!$C$32, $C$9, 100%, $E$9)</f>
        <v>5.0456000000000003</v>
      </c>
      <c r="I147" s="9">
        <f>5.049 * CHOOSE(CONTROL!$C$32, $C$9, 100%, $E$9)</f>
        <v>5.0490000000000004</v>
      </c>
      <c r="J147" s="9">
        <f>5.0456 * CHOOSE(CONTROL!$C$32, $C$9, 100%, $E$9)</f>
        <v>5.0456000000000003</v>
      </c>
      <c r="K147" s="9">
        <f>5.049 * CHOOSE(CONTROL!$C$32, $C$9, 100%, $E$9)</f>
        <v>5.0490000000000004</v>
      </c>
      <c r="L147" s="9">
        <f>4.4513 * CHOOSE(CONTROL!$C$32, $C$9, 100%, $E$9)</f>
        <v>4.4512999999999998</v>
      </c>
      <c r="M147" s="9">
        <f>4.4547 * CHOOSE(CONTROL!$C$32, $C$9, 100%, $E$9)</f>
        <v>4.4546999999999999</v>
      </c>
      <c r="N147" s="9">
        <f>4.4513 * CHOOSE(CONTROL!$C$32, $C$9, 100%, $E$9)</f>
        <v>4.4512999999999998</v>
      </c>
      <c r="O147" s="9">
        <f>4.4547 * CHOOSE(CONTROL!$C$32, $C$9, 100%, $E$9)</f>
        <v>4.4546999999999999</v>
      </c>
      <c r="P147" s="17"/>
      <c r="Q147" s="17"/>
      <c r="R147" s="17"/>
    </row>
    <row r="148" spans="1:18" ht="15" x14ac:dyDescent="0.2">
      <c r="A148" s="16">
        <v>45352</v>
      </c>
      <c r="B148" s="10">
        <f>4.0433 * CHOOSE(CONTROL!$C$32, $C$9, 100%, $E$9)</f>
        <v>4.0433000000000003</v>
      </c>
      <c r="C148" s="10">
        <f>4.0433 * CHOOSE(CONTROL!$C$32, $C$9, 100%, $E$9)</f>
        <v>4.0433000000000003</v>
      </c>
      <c r="D148" s="10">
        <f>4.0444 * CHOOSE(CONTROL!$C$32, $C$9, 100%, $E$9)</f>
        <v>4.0444000000000004</v>
      </c>
      <c r="E148" s="9">
        <f>4.5018 * CHOOSE(CONTROL!$C$32, $C$9, 100%, $E$9)</f>
        <v>4.5018000000000002</v>
      </c>
      <c r="F148" s="9">
        <f>4.5018 * CHOOSE(CONTROL!$C$32, $C$9, 100%, $E$9)</f>
        <v>4.5018000000000002</v>
      </c>
      <c r="G148" s="9">
        <f>4.5052 * CHOOSE(CONTROL!$C$32, $C$9, 100%, $E$9)</f>
        <v>4.5052000000000003</v>
      </c>
      <c r="H148" s="9">
        <f>5.0436 * CHOOSE(CONTROL!$C$32, $C$9, 100%, $E$9)</f>
        <v>5.0435999999999996</v>
      </c>
      <c r="I148" s="9">
        <f>5.047 * CHOOSE(CONTROL!$C$32, $C$9, 100%, $E$9)</f>
        <v>5.0469999999999997</v>
      </c>
      <c r="J148" s="9">
        <f>5.0436 * CHOOSE(CONTROL!$C$32, $C$9, 100%, $E$9)</f>
        <v>5.0435999999999996</v>
      </c>
      <c r="K148" s="9">
        <f>5.047 * CHOOSE(CONTROL!$C$32, $C$9, 100%, $E$9)</f>
        <v>5.0469999999999997</v>
      </c>
      <c r="L148" s="9">
        <f>4.5018 * CHOOSE(CONTROL!$C$32, $C$9, 100%, $E$9)</f>
        <v>4.5018000000000002</v>
      </c>
      <c r="M148" s="9">
        <f>4.5052 * CHOOSE(CONTROL!$C$32, $C$9, 100%, $E$9)</f>
        <v>4.5052000000000003</v>
      </c>
      <c r="N148" s="9">
        <f>4.5018 * CHOOSE(CONTROL!$C$32, $C$9, 100%, $E$9)</f>
        <v>4.5018000000000002</v>
      </c>
      <c r="O148" s="9">
        <f>4.5052 * CHOOSE(CONTROL!$C$32, $C$9, 100%, $E$9)</f>
        <v>4.5052000000000003</v>
      </c>
      <c r="P148" s="17"/>
      <c r="Q148" s="17"/>
      <c r="R148" s="17"/>
    </row>
    <row r="149" spans="1:18" ht="15" x14ac:dyDescent="0.2">
      <c r="A149" s="16">
        <v>45383</v>
      </c>
      <c r="B149" s="10">
        <f>4.0412 * CHOOSE(CONTROL!$C$32, $C$9, 100%, $E$9)</f>
        <v>4.0411999999999999</v>
      </c>
      <c r="C149" s="10">
        <f>4.0412 * CHOOSE(CONTROL!$C$32, $C$9, 100%, $E$9)</f>
        <v>4.0411999999999999</v>
      </c>
      <c r="D149" s="10">
        <f>4.0422 * CHOOSE(CONTROL!$C$32, $C$9, 100%, $E$9)</f>
        <v>4.0422000000000002</v>
      </c>
      <c r="E149" s="9">
        <f>4.554 * CHOOSE(CONTROL!$C$32, $C$9, 100%, $E$9)</f>
        <v>4.5540000000000003</v>
      </c>
      <c r="F149" s="9">
        <f>4.554 * CHOOSE(CONTROL!$C$32, $C$9, 100%, $E$9)</f>
        <v>4.5540000000000003</v>
      </c>
      <c r="G149" s="9">
        <f>4.5574 * CHOOSE(CONTROL!$C$32, $C$9, 100%, $E$9)</f>
        <v>4.5574000000000003</v>
      </c>
      <c r="H149" s="9">
        <f>5.042 * CHOOSE(CONTROL!$C$32, $C$9, 100%, $E$9)</f>
        <v>5.0419999999999998</v>
      </c>
      <c r="I149" s="9">
        <f>5.0454 * CHOOSE(CONTROL!$C$32, $C$9, 100%, $E$9)</f>
        <v>5.0453999999999999</v>
      </c>
      <c r="J149" s="9">
        <f>5.042 * CHOOSE(CONTROL!$C$32, $C$9, 100%, $E$9)</f>
        <v>5.0419999999999998</v>
      </c>
      <c r="K149" s="9">
        <f>5.0454 * CHOOSE(CONTROL!$C$32, $C$9, 100%, $E$9)</f>
        <v>5.0453999999999999</v>
      </c>
      <c r="L149" s="9">
        <f>4.554 * CHOOSE(CONTROL!$C$32, $C$9, 100%, $E$9)</f>
        <v>4.5540000000000003</v>
      </c>
      <c r="M149" s="9">
        <f>4.5574 * CHOOSE(CONTROL!$C$32, $C$9, 100%, $E$9)</f>
        <v>4.5574000000000003</v>
      </c>
      <c r="N149" s="9">
        <f>4.554 * CHOOSE(CONTROL!$C$32, $C$9, 100%, $E$9)</f>
        <v>4.5540000000000003</v>
      </c>
      <c r="O149" s="9">
        <f>4.5574 * CHOOSE(CONTROL!$C$32, $C$9, 100%, $E$9)</f>
        <v>4.5574000000000003</v>
      </c>
      <c r="P149" s="17"/>
      <c r="Q149" s="17"/>
      <c r="R149" s="17"/>
    </row>
    <row r="150" spans="1:18" ht="15" x14ac:dyDescent="0.2">
      <c r="A150" s="16">
        <v>45413</v>
      </c>
      <c r="B150" s="10">
        <f>4.0412 * CHOOSE(CONTROL!$C$32, $C$9, 100%, $E$9)</f>
        <v>4.0411999999999999</v>
      </c>
      <c r="C150" s="10">
        <f>4.0412 * CHOOSE(CONTROL!$C$32, $C$9, 100%, $E$9)</f>
        <v>4.0411999999999999</v>
      </c>
      <c r="D150" s="10">
        <f>4.0425 * CHOOSE(CONTROL!$C$32, $C$9, 100%, $E$9)</f>
        <v>4.0425000000000004</v>
      </c>
      <c r="E150" s="9">
        <f>4.5752 * CHOOSE(CONTROL!$C$32, $C$9, 100%, $E$9)</f>
        <v>4.5751999999999997</v>
      </c>
      <c r="F150" s="9">
        <f>4.5752 * CHOOSE(CONTROL!$C$32, $C$9, 100%, $E$9)</f>
        <v>4.5751999999999997</v>
      </c>
      <c r="G150" s="9">
        <f>4.5795 * CHOOSE(CONTROL!$C$32, $C$9, 100%, $E$9)</f>
        <v>4.5795000000000003</v>
      </c>
      <c r="H150" s="9">
        <f>5.042 * CHOOSE(CONTROL!$C$32, $C$9, 100%, $E$9)</f>
        <v>5.0419999999999998</v>
      </c>
      <c r="I150" s="9">
        <f>5.0464 * CHOOSE(CONTROL!$C$32, $C$9, 100%, $E$9)</f>
        <v>5.0464000000000002</v>
      </c>
      <c r="J150" s="9">
        <f>5.042 * CHOOSE(CONTROL!$C$32, $C$9, 100%, $E$9)</f>
        <v>5.0419999999999998</v>
      </c>
      <c r="K150" s="9">
        <f>5.0464 * CHOOSE(CONTROL!$C$32, $C$9, 100%, $E$9)</f>
        <v>5.0464000000000002</v>
      </c>
      <c r="L150" s="9">
        <f>4.5752 * CHOOSE(CONTROL!$C$32, $C$9, 100%, $E$9)</f>
        <v>4.5751999999999997</v>
      </c>
      <c r="M150" s="9">
        <f>4.5795 * CHOOSE(CONTROL!$C$32, $C$9, 100%, $E$9)</f>
        <v>4.5795000000000003</v>
      </c>
      <c r="N150" s="9">
        <f>4.5752 * CHOOSE(CONTROL!$C$32, $C$9, 100%, $E$9)</f>
        <v>4.5751999999999997</v>
      </c>
      <c r="O150" s="9">
        <f>4.5795 * CHOOSE(CONTROL!$C$32, $C$9, 100%, $E$9)</f>
        <v>4.5795000000000003</v>
      </c>
      <c r="P150" s="17"/>
      <c r="Q150" s="17"/>
      <c r="R150" s="17"/>
    </row>
    <row r="151" spans="1:18" ht="15" x14ac:dyDescent="0.2">
      <c r="A151" s="16">
        <v>45444</v>
      </c>
      <c r="B151" s="10">
        <f>4.0472 * CHOOSE(CONTROL!$C$32, $C$9, 100%, $E$9)</f>
        <v>4.0472000000000001</v>
      </c>
      <c r="C151" s="10">
        <f>4.0472 * CHOOSE(CONTROL!$C$32, $C$9, 100%, $E$9)</f>
        <v>4.0472000000000001</v>
      </c>
      <c r="D151" s="10">
        <f>4.0485 * CHOOSE(CONTROL!$C$32, $C$9, 100%, $E$9)</f>
        <v>4.0484999999999998</v>
      </c>
      <c r="E151" s="9">
        <f>4.5582 * CHOOSE(CONTROL!$C$32, $C$9, 100%, $E$9)</f>
        <v>4.5582000000000003</v>
      </c>
      <c r="F151" s="9">
        <f>4.5582 * CHOOSE(CONTROL!$C$32, $C$9, 100%, $E$9)</f>
        <v>4.5582000000000003</v>
      </c>
      <c r="G151" s="9">
        <f>4.5626 * CHOOSE(CONTROL!$C$32, $C$9, 100%, $E$9)</f>
        <v>4.5625999999999998</v>
      </c>
      <c r="H151" s="9">
        <f>5.046 * CHOOSE(CONTROL!$C$32, $C$9, 100%, $E$9)</f>
        <v>5.0460000000000003</v>
      </c>
      <c r="I151" s="9">
        <f>5.0504 * CHOOSE(CONTROL!$C$32, $C$9, 100%, $E$9)</f>
        <v>5.0503999999999998</v>
      </c>
      <c r="J151" s="9">
        <f>5.046 * CHOOSE(CONTROL!$C$32, $C$9, 100%, $E$9)</f>
        <v>5.0460000000000003</v>
      </c>
      <c r="K151" s="9">
        <f>5.0504 * CHOOSE(CONTROL!$C$32, $C$9, 100%, $E$9)</f>
        <v>5.0503999999999998</v>
      </c>
      <c r="L151" s="9">
        <f>4.5582 * CHOOSE(CONTROL!$C$32, $C$9, 100%, $E$9)</f>
        <v>4.5582000000000003</v>
      </c>
      <c r="M151" s="9">
        <f>4.5626 * CHOOSE(CONTROL!$C$32, $C$9, 100%, $E$9)</f>
        <v>4.5625999999999998</v>
      </c>
      <c r="N151" s="9">
        <f>4.5582 * CHOOSE(CONTROL!$C$32, $C$9, 100%, $E$9)</f>
        <v>4.5582000000000003</v>
      </c>
      <c r="O151" s="9">
        <f>4.5626 * CHOOSE(CONTROL!$C$32, $C$9, 100%, $E$9)</f>
        <v>4.5625999999999998</v>
      </c>
      <c r="P151" s="17"/>
      <c r="Q151" s="17"/>
      <c r="R151" s="17"/>
    </row>
    <row r="152" spans="1:18" ht="15" x14ac:dyDescent="0.2">
      <c r="A152" s="16">
        <v>45474</v>
      </c>
      <c r="B152" s="10">
        <f>4.0876 * CHOOSE(CONTROL!$C$32, $C$9, 100%, $E$9)</f>
        <v>4.0876000000000001</v>
      </c>
      <c r="C152" s="10">
        <f>4.0876 * CHOOSE(CONTROL!$C$32, $C$9, 100%, $E$9)</f>
        <v>4.0876000000000001</v>
      </c>
      <c r="D152" s="10">
        <f>4.0889 * CHOOSE(CONTROL!$C$32, $C$9, 100%, $E$9)</f>
        <v>4.0888999999999998</v>
      </c>
      <c r="E152" s="9">
        <f>4.6067 * CHOOSE(CONTROL!$C$32, $C$9, 100%, $E$9)</f>
        <v>4.6067</v>
      </c>
      <c r="F152" s="9">
        <f>4.6067 * CHOOSE(CONTROL!$C$32, $C$9, 100%, $E$9)</f>
        <v>4.6067</v>
      </c>
      <c r="G152" s="9">
        <f>4.6111 * CHOOSE(CONTROL!$C$32, $C$9, 100%, $E$9)</f>
        <v>4.6111000000000004</v>
      </c>
      <c r="H152" s="9">
        <f>5.1313 * CHOOSE(CONTROL!$C$32, $C$9, 100%, $E$9)</f>
        <v>5.1313000000000004</v>
      </c>
      <c r="I152" s="9">
        <f>5.1357 * CHOOSE(CONTROL!$C$32, $C$9, 100%, $E$9)</f>
        <v>5.1356999999999999</v>
      </c>
      <c r="J152" s="9">
        <f>5.1313 * CHOOSE(CONTROL!$C$32, $C$9, 100%, $E$9)</f>
        <v>5.1313000000000004</v>
      </c>
      <c r="K152" s="9">
        <f>5.1357 * CHOOSE(CONTROL!$C$32, $C$9, 100%, $E$9)</f>
        <v>5.1356999999999999</v>
      </c>
      <c r="L152" s="9">
        <f>4.6067 * CHOOSE(CONTROL!$C$32, $C$9, 100%, $E$9)</f>
        <v>4.6067</v>
      </c>
      <c r="M152" s="9">
        <f>4.6111 * CHOOSE(CONTROL!$C$32, $C$9, 100%, $E$9)</f>
        <v>4.6111000000000004</v>
      </c>
      <c r="N152" s="9">
        <f>4.6067 * CHOOSE(CONTROL!$C$32, $C$9, 100%, $E$9)</f>
        <v>4.6067</v>
      </c>
      <c r="O152" s="9">
        <f>4.6111 * CHOOSE(CONTROL!$C$32, $C$9, 100%, $E$9)</f>
        <v>4.6111000000000004</v>
      </c>
      <c r="P152" s="17"/>
      <c r="Q152" s="17"/>
      <c r="R152" s="17"/>
    </row>
    <row r="153" spans="1:18" ht="15" x14ac:dyDescent="0.2">
      <c r="A153" s="16">
        <v>45505</v>
      </c>
      <c r="B153" s="10">
        <f>4.0943 * CHOOSE(CONTROL!$C$32, $C$9, 100%, $E$9)</f>
        <v>4.0942999999999996</v>
      </c>
      <c r="C153" s="10">
        <f>4.0943 * CHOOSE(CONTROL!$C$32, $C$9, 100%, $E$9)</f>
        <v>4.0942999999999996</v>
      </c>
      <c r="D153" s="10">
        <f>4.0956 * CHOOSE(CONTROL!$C$32, $C$9, 100%, $E$9)</f>
        <v>4.0956000000000001</v>
      </c>
      <c r="E153" s="9">
        <f>4.5479 * CHOOSE(CONTROL!$C$32, $C$9, 100%, $E$9)</f>
        <v>4.5479000000000003</v>
      </c>
      <c r="F153" s="9">
        <f>4.5479 * CHOOSE(CONTROL!$C$32, $C$9, 100%, $E$9)</f>
        <v>4.5479000000000003</v>
      </c>
      <c r="G153" s="9">
        <f>4.5522 * CHOOSE(CONTROL!$C$32, $C$9, 100%, $E$9)</f>
        <v>4.5522</v>
      </c>
      <c r="H153" s="9">
        <f>5.1357 * CHOOSE(CONTROL!$C$32, $C$9, 100%, $E$9)</f>
        <v>5.1356999999999999</v>
      </c>
      <c r="I153" s="9">
        <f>5.1401 * CHOOSE(CONTROL!$C$32, $C$9, 100%, $E$9)</f>
        <v>5.1401000000000003</v>
      </c>
      <c r="J153" s="9">
        <f>5.1357 * CHOOSE(CONTROL!$C$32, $C$9, 100%, $E$9)</f>
        <v>5.1356999999999999</v>
      </c>
      <c r="K153" s="9">
        <f>5.1401 * CHOOSE(CONTROL!$C$32, $C$9, 100%, $E$9)</f>
        <v>5.1401000000000003</v>
      </c>
      <c r="L153" s="9">
        <f>4.5479 * CHOOSE(CONTROL!$C$32, $C$9, 100%, $E$9)</f>
        <v>4.5479000000000003</v>
      </c>
      <c r="M153" s="9">
        <f>4.5522 * CHOOSE(CONTROL!$C$32, $C$9, 100%, $E$9)</f>
        <v>4.5522</v>
      </c>
      <c r="N153" s="9">
        <f>4.5479 * CHOOSE(CONTROL!$C$32, $C$9, 100%, $E$9)</f>
        <v>4.5479000000000003</v>
      </c>
      <c r="O153" s="9">
        <f>4.5522 * CHOOSE(CONTROL!$C$32, $C$9, 100%, $E$9)</f>
        <v>4.5522</v>
      </c>
      <c r="P153" s="17"/>
      <c r="Q153" s="17"/>
      <c r="R153" s="17"/>
    </row>
    <row r="154" spans="1:18" ht="15" x14ac:dyDescent="0.2">
      <c r="A154" s="16">
        <v>45536</v>
      </c>
      <c r="B154" s="10">
        <f>4.0912 * CHOOSE(CONTROL!$C$32, $C$9, 100%, $E$9)</f>
        <v>4.0911999999999997</v>
      </c>
      <c r="C154" s="10">
        <f>4.0912 * CHOOSE(CONTROL!$C$32, $C$9, 100%, $E$9)</f>
        <v>4.0911999999999997</v>
      </c>
      <c r="D154" s="10">
        <f>4.0925 * CHOOSE(CONTROL!$C$32, $C$9, 100%, $E$9)</f>
        <v>4.0925000000000002</v>
      </c>
      <c r="E154" s="9">
        <f>4.5387 * CHOOSE(CONTROL!$C$32, $C$9, 100%, $E$9)</f>
        <v>4.5387000000000004</v>
      </c>
      <c r="F154" s="9">
        <f>4.5387 * CHOOSE(CONTROL!$C$32, $C$9, 100%, $E$9)</f>
        <v>4.5387000000000004</v>
      </c>
      <c r="G154" s="9">
        <f>4.5431 * CHOOSE(CONTROL!$C$32, $C$9, 100%, $E$9)</f>
        <v>4.5430999999999999</v>
      </c>
      <c r="H154" s="9">
        <f>5.1337 * CHOOSE(CONTROL!$C$32, $C$9, 100%, $E$9)</f>
        <v>5.1337000000000002</v>
      </c>
      <c r="I154" s="9">
        <f>5.1381 * CHOOSE(CONTROL!$C$32, $C$9, 100%, $E$9)</f>
        <v>5.1380999999999997</v>
      </c>
      <c r="J154" s="9">
        <f>5.1337 * CHOOSE(CONTROL!$C$32, $C$9, 100%, $E$9)</f>
        <v>5.1337000000000002</v>
      </c>
      <c r="K154" s="9">
        <f>5.1381 * CHOOSE(CONTROL!$C$32, $C$9, 100%, $E$9)</f>
        <v>5.1380999999999997</v>
      </c>
      <c r="L154" s="9">
        <f>4.5387 * CHOOSE(CONTROL!$C$32, $C$9, 100%, $E$9)</f>
        <v>4.5387000000000004</v>
      </c>
      <c r="M154" s="9">
        <f>4.5431 * CHOOSE(CONTROL!$C$32, $C$9, 100%, $E$9)</f>
        <v>4.5430999999999999</v>
      </c>
      <c r="N154" s="9">
        <f>4.5387 * CHOOSE(CONTROL!$C$32, $C$9, 100%, $E$9)</f>
        <v>4.5387000000000004</v>
      </c>
      <c r="O154" s="9">
        <f>4.5431 * CHOOSE(CONTROL!$C$32, $C$9, 100%, $E$9)</f>
        <v>4.5430999999999999</v>
      </c>
      <c r="P154" s="17"/>
      <c r="Q154" s="17"/>
      <c r="R154" s="17"/>
    </row>
    <row r="155" spans="1:18" ht="15" x14ac:dyDescent="0.2">
      <c r="A155" s="16">
        <v>45566</v>
      </c>
      <c r="B155" s="10">
        <f>4.0872 * CHOOSE(CONTROL!$C$32, $C$9, 100%, $E$9)</f>
        <v>4.0872000000000002</v>
      </c>
      <c r="C155" s="10">
        <f>4.0872 * CHOOSE(CONTROL!$C$32, $C$9, 100%, $E$9)</f>
        <v>4.0872000000000002</v>
      </c>
      <c r="D155" s="10">
        <f>4.0882 * CHOOSE(CONTROL!$C$32, $C$9, 100%, $E$9)</f>
        <v>4.0881999999999996</v>
      </c>
      <c r="E155" s="9">
        <f>4.5535 * CHOOSE(CONTROL!$C$32, $C$9, 100%, $E$9)</f>
        <v>4.5534999999999997</v>
      </c>
      <c r="F155" s="9">
        <f>4.5535 * CHOOSE(CONTROL!$C$32, $C$9, 100%, $E$9)</f>
        <v>4.5534999999999997</v>
      </c>
      <c r="G155" s="9">
        <f>4.5569 * CHOOSE(CONTROL!$C$32, $C$9, 100%, $E$9)</f>
        <v>4.5568999999999997</v>
      </c>
      <c r="H155" s="9">
        <f>5.1305 * CHOOSE(CONTROL!$C$32, $C$9, 100%, $E$9)</f>
        <v>5.1304999999999996</v>
      </c>
      <c r="I155" s="9">
        <f>5.1339 * CHOOSE(CONTROL!$C$32, $C$9, 100%, $E$9)</f>
        <v>5.1338999999999997</v>
      </c>
      <c r="J155" s="9">
        <f>5.1305 * CHOOSE(CONTROL!$C$32, $C$9, 100%, $E$9)</f>
        <v>5.1304999999999996</v>
      </c>
      <c r="K155" s="9">
        <f>5.1339 * CHOOSE(CONTROL!$C$32, $C$9, 100%, $E$9)</f>
        <v>5.1338999999999997</v>
      </c>
      <c r="L155" s="9">
        <f>4.5535 * CHOOSE(CONTROL!$C$32, $C$9, 100%, $E$9)</f>
        <v>4.5534999999999997</v>
      </c>
      <c r="M155" s="9">
        <f>4.5569 * CHOOSE(CONTROL!$C$32, $C$9, 100%, $E$9)</f>
        <v>4.5568999999999997</v>
      </c>
      <c r="N155" s="9">
        <f>4.5535 * CHOOSE(CONTROL!$C$32, $C$9, 100%, $E$9)</f>
        <v>4.5534999999999997</v>
      </c>
      <c r="O155" s="9">
        <f>4.5569 * CHOOSE(CONTROL!$C$32, $C$9, 100%, $E$9)</f>
        <v>4.5568999999999997</v>
      </c>
      <c r="P155" s="17"/>
      <c r="Q155" s="17"/>
      <c r="R155" s="17"/>
    </row>
    <row r="156" spans="1:18" ht="15" x14ac:dyDescent="0.2">
      <c r="A156" s="16">
        <v>45597</v>
      </c>
      <c r="B156" s="10">
        <f>4.0902 * CHOOSE(CONTROL!$C$32, $C$9, 100%, $E$9)</f>
        <v>4.0902000000000003</v>
      </c>
      <c r="C156" s="10">
        <f>4.0902 * CHOOSE(CONTROL!$C$32, $C$9, 100%, $E$9)</f>
        <v>4.0902000000000003</v>
      </c>
      <c r="D156" s="10">
        <f>4.0912 * CHOOSE(CONTROL!$C$32, $C$9, 100%, $E$9)</f>
        <v>4.0911999999999997</v>
      </c>
      <c r="E156" s="9">
        <f>4.5698 * CHOOSE(CONTROL!$C$32, $C$9, 100%, $E$9)</f>
        <v>4.5697999999999999</v>
      </c>
      <c r="F156" s="9">
        <f>4.5698 * CHOOSE(CONTROL!$C$32, $C$9, 100%, $E$9)</f>
        <v>4.5697999999999999</v>
      </c>
      <c r="G156" s="9">
        <f>4.5731 * CHOOSE(CONTROL!$C$32, $C$9, 100%, $E$9)</f>
        <v>4.5731000000000002</v>
      </c>
      <c r="H156" s="9">
        <f>5.1325 * CHOOSE(CONTROL!$C$32, $C$9, 100%, $E$9)</f>
        <v>5.1325000000000003</v>
      </c>
      <c r="I156" s="9">
        <f>5.1359 * CHOOSE(CONTROL!$C$32, $C$9, 100%, $E$9)</f>
        <v>5.1359000000000004</v>
      </c>
      <c r="J156" s="9">
        <f>5.1325 * CHOOSE(CONTROL!$C$32, $C$9, 100%, $E$9)</f>
        <v>5.1325000000000003</v>
      </c>
      <c r="K156" s="9">
        <f>5.1359 * CHOOSE(CONTROL!$C$32, $C$9, 100%, $E$9)</f>
        <v>5.1359000000000004</v>
      </c>
      <c r="L156" s="9">
        <f>4.5698 * CHOOSE(CONTROL!$C$32, $C$9, 100%, $E$9)</f>
        <v>4.5697999999999999</v>
      </c>
      <c r="M156" s="9">
        <f>4.5731 * CHOOSE(CONTROL!$C$32, $C$9, 100%, $E$9)</f>
        <v>4.5731000000000002</v>
      </c>
      <c r="N156" s="9">
        <f>4.5698 * CHOOSE(CONTROL!$C$32, $C$9, 100%, $E$9)</f>
        <v>4.5697999999999999</v>
      </c>
      <c r="O156" s="9">
        <f>4.5731 * CHOOSE(CONTROL!$C$32, $C$9, 100%, $E$9)</f>
        <v>4.5731000000000002</v>
      </c>
      <c r="P156" s="17"/>
      <c r="Q156" s="17"/>
      <c r="R156" s="17"/>
    </row>
    <row r="157" spans="1:18" ht="15" x14ac:dyDescent="0.2">
      <c r="A157" s="16">
        <v>45627</v>
      </c>
      <c r="B157" s="10">
        <f>4.0902 * CHOOSE(CONTROL!$C$32, $C$9, 100%, $E$9)</f>
        <v>4.0902000000000003</v>
      </c>
      <c r="C157" s="10">
        <f>4.0902 * CHOOSE(CONTROL!$C$32, $C$9, 100%, $E$9)</f>
        <v>4.0902000000000003</v>
      </c>
      <c r="D157" s="10">
        <f>4.0912 * CHOOSE(CONTROL!$C$32, $C$9, 100%, $E$9)</f>
        <v>4.0911999999999997</v>
      </c>
      <c r="E157" s="9">
        <f>4.5345 * CHOOSE(CONTROL!$C$32, $C$9, 100%, $E$9)</f>
        <v>4.5345000000000004</v>
      </c>
      <c r="F157" s="9">
        <f>4.5345 * CHOOSE(CONTROL!$C$32, $C$9, 100%, $E$9)</f>
        <v>4.5345000000000004</v>
      </c>
      <c r="G157" s="9">
        <f>4.5379 * CHOOSE(CONTROL!$C$32, $C$9, 100%, $E$9)</f>
        <v>4.5378999999999996</v>
      </c>
      <c r="H157" s="9">
        <f>5.1325 * CHOOSE(CONTROL!$C$32, $C$9, 100%, $E$9)</f>
        <v>5.1325000000000003</v>
      </c>
      <c r="I157" s="9">
        <f>5.1359 * CHOOSE(CONTROL!$C$32, $C$9, 100%, $E$9)</f>
        <v>5.1359000000000004</v>
      </c>
      <c r="J157" s="9">
        <f>5.1325 * CHOOSE(CONTROL!$C$32, $C$9, 100%, $E$9)</f>
        <v>5.1325000000000003</v>
      </c>
      <c r="K157" s="9">
        <f>5.1359 * CHOOSE(CONTROL!$C$32, $C$9, 100%, $E$9)</f>
        <v>5.1359000000000004</v>
      </c>
      <c r="L157" s="9">
        <f>4.5345 * CHOOSE(CONTROL!$C$32, $C$9, 100%, $E$9)</f>
        <v>4.5345000000000004</v>
      </c>
      <c r="M157" s="9">
        <f>4.5379 * CHOOSE(CONTROL!$C$32, $C$9, 100%, $E$9)</f>
        <v>4.5378999999999996</v>
      </c>
      <c r="N157" s="9">
        <f>4.5345 * CHOOSE(CONTROL!$C$32, $C$9, 100%, $E$9)</f>
        <v>4.5345000000000004</v>
      </c>
      <c r="O157" s="9">
        <f>4.5379 * CHOOSE(CONTROL!$C$32, $C$9, 100%, $E$9)</f>
        <v>4.5378999999999996</v>
      </c>
      <c r="P157" s="17"/>
      <c r="Q157" s="17"/>
      <c r="R157" s="17"/>
    </row>
    <row r="158" spans="1:18" ht="15" x14ac:dyDescent="0.2">
      <c r="A158" s="16">
        <v>45658</v>
      </c>
      <c r="B158" s="10">
        <f>4.1274 * CHOOSE(CONTROL!$C$32, $C$9, 100%, $E$9)</f>
        <v>4.1273999999999997</v>
      </c>
      <c r="C158" s="10">
        <f>4.1274 * CHOOSE(CONTROL!$C$32, $C$9, 100%, $E$9)</f>
        <v>4.1273999999999997</v>
      </c>
      <c r="D158" s="10">
        <f>4.1284 * CHOOSE(CONTROL!$C$32, $C$9, 100%, $E$9)</f>
        <v>4.1284000000000001</v>
      </c>
      <c r="E158" s="9">
        <f>4.5812 * CHOOSE(CONTROL!$C$32, $C$9, 100%, $E$9)</f>
        <v>4.5811999999999999</v>
      </c>
      <c r="F158" s="9">
        <f>4.5812 * CHOOSE(CONTROL!$C$32, $C$9, 100%, $E$9)</f>
        <v>4.5811999999999999</v>
      </c>
      <c r="G158" s="9">
        <f>4.5846 * CHOOSE(CONTROL!$C$32, $C$9, 100%, $E$9)</f>
        <v>4.5846</v>
      </c>
      <c r="H158" s="9">
        <f>5.1726 * CHOOSE(CONTROL!$C$32, $C$9, 100%, $E$9)</f>
        <v>5.1726000000000001</v>
      </c>
      <c r="I158" s="9">
        <f>5.176 * CHOOSE(CONTROL!$C$32, $C$9, 100%, $E$9)</f>
        <v>5.1760000000000002</v>
      </c>
      <c r="J158" s="9">
        <f>5.1726 * CHOOSE(CONTROL!$C$32, $C$9, 100%, $E$9)</f>
        <v>5.1726000000000001</v>
      </c>
      <c r="K158" s="9">
        <f>5.176 * CHOOSE(CONTROL!$C$32, $C$9, 100%, $E$9)</f>
        <v>5.1760000000000002</v>
      </c>
      <c r="L158" s="9">
        <f>4.5812 * CHOOSE(CONTROL!$C$32, $C$9, 100%, $E$9)</f>
        <v>4.5811999999999999</v>
      </c>
      <c r="M158" s="9">
        <f>4.5846 * CHOOSE(CONTROL!$C$32, $C$9, 100%, $E$9)</f>
        <v>4.5846</v>
      </c>
      <c r="N158" s="9">
        <f>4.5812 * CHOOSE(CONTROL!$C$32, $C$9, 100%, $E$9)</f>
        <v>4.5811999999999999</v>
      </c>
      <c r="O158" s="9">
        <f>4.5846 * CHOOSE(CONTROL!$C$32, $C$9, 100%, $E$9)</f>
        <v>4.5846</v>
      </c>
      <c r="P158" s="17"/>
      <c r="Q158" s="17"/>
      <c r="R158" s="17"/>
    </row>
    <row r="159" spans="1:18" ht="15" x14ac:dyDescent="0.2">
      <c r="A159" s="16">
        <v>45689</v>
      </c>
      <c r="B159" s="10">
        <f>4.1243 * CHOOSE(CONTROL!$C$32, $C$9, 100%, $E$9)</f>
        <v>4.1242999999999999</v>
      </c>
      <c r="C159" s="10">
        <f>4.1243 * CHOOSE(CONTROL!$C$32, $C$9, 100%, $E$9)</f>
        <v>4.1242999999999999</v>
      </c>
      <c r="D159" s="10">
        <f>4.1253 * CHOOSE(CONTROL!$C$32, $C$9, 100%, $E$9)</f>
        <v>4.1253000000000002</v>
      </c>
      <c r="E159" s="9">
        <f>4.5102 * CHOOSE(CONTROL!$C$32, $C$9, 100%, $E$9)</f>
        <v>4.5102000000000002</v>
      </c>
      <c r="F159" s="9">
        <f>4.5102 * CHOOSE(CONTROL!$C$32, $C$9, 100%, $E$9)</f>
        <v>4.5102000000000002</v>
      </c>
      <c r="G159" s="9">
        <f>4.5136 * CHOOSE(CONTROL!$C$32, $C$9, 100%, $E$9)</f>
        <v>4.5136000000000003</v>
      </c>
      <c r="H159" s="9">
        <f>5.1706 * CHOOSE(CONTROL!$C$32, $C$9, 100%, $E$9)</f>
        <v>5.1706000000000003</v>
      </c>
      <c r="I159" s="9">
        <f>5.174 * CHOOSE(CONTROL!$C$32, $C$9, 100%, $E$9)</f>
        <v>5.1740000000000004</v>
      </c>
      <c r="J159" s="9">
        <f>5.1706 * CHOOSE(CONTROL!$C$32, $C$9, 100%, $E$9)</f>
        <v>5.1706000000000003</v>
      </c>
      <c r="K159" s="9">
        <f>5.174 * CHOOSE(CONTROL!$C$32, $C$9, 100%, $E$9)</f>
        <v>5.1740000000000004</v>
      </c>
      <c r="L159" s="9">
        <f>4.5102 * CHOOSE(CONTROL!$C$32, $C$9, 100%, $E$9)</f>
        <v>4.5102000000000002</v>
      </c>
      <c r="M159" s="9">
        <f>4.5136 * CHOOSE(CONTROL!$C$32, $C$9, 100%, $E$9)</f>
        <v>4.5136000000000003</v>
      </c>
      <c r="N159" s="9">
        <f>4.5102 * CHOOSE(CONTROL!$C$32, $C$9, 100%, $E$9)</f>
        <v>4.5102000000000002</v>
      </c>
      <c r="O159" s="9">
        <f>4.5136 * CHOOSE(CONTROL!$C$32, $C$9, 100%, $E$9)</f>
        <v>4.5136000000000003</v>
      </c>
      <c r="P159" s="17"/>
      <c r="Q159" s="17"/>
      <c r="R159" s="17"/>
    </row>
    <row r="160" spans="1:18" ht="15" x14ac:dyDescent="0.2">
      <c r="A160" s="16">
        <v>45717</v>
      </c>
      <c r="B160" s="10">
        <f>4.1213 * CHOOSE(CONTROL!$C$32, $C$9, 100%, $E$9)</f>
        <v>4.1212999999999997</v>
      </c>
      <c r="C160" s="10">
        <f>4.1213 * CHOOSE(CONTROL!$C$32, $C$9, 100%, $E$9)</f>
        <v>4.1212999999999997</v>
      </c>
      <c r="D160" s="10">
        <f>4.1223 * CHOOSE(CONTROL!$C$32, $C$9, 100%, $E$9)</f>
        <v>4.1223000000000001</v>
      </c>
      <c r="E160" s="9">
        <f>4.5624 * CHOOSE(CONTROL!$C$32, $C$9, 100%, $E$9)</f>
        <v>4.5624000000000002</v>
      </c>
      <c r="F160" s="9">
        <f>4.5624 * CHOOSE(CONTROL!$C$32, $C$9, 100%, $E$9)</f>
        <v>4.5624000000000002</v>
      </c>
      <c r="G160" s="9">
        <f>4.5658 * CHOOSE(CONTROL!$C$32, $C$9, 100%, $E$9)</f>
        <v>4.5658000000000003</v>
      </c>
      <c r="H160" s="9">
        <f>5.1686 * CHOOSE(CONTROL!$C$32, $C$9, 100%, $E$9)</f>
        <v>5.1685999999999996</v>
      </c>
      <c r="I160" s="9">
        <f>5.172 * CHOOSE(CONTROL!$C$32, $C$9, 100%, $E$9)</f>
        <v>5.1719999999999997</v>
      </c>
      <c r="J160" s="9">
        <f>5.1686 * CHOOSE(CONTROL!$C$32, $C$9, 100%, $E$9)</f>
        <v>5.1685999999999996</v>
      </c>
      <c r="K160" s="9">
        <f>5.172 * CHOOSE(CONTROL!$C$32, $C$9, 100%, $E$9)</f>
        <v>5.1719999999999997</v>
      </c>
      <c r="L160" s="9">
        <f>4.5624 * CHOOSE(CONTROL!$C$32, $C$9, 100%, $E$9)</f>
        <v>4.5624000000000002</v>
      </c>
      <c r="M160" s="9">
        <f>4.5658 * CHOOSE(CONTROL!$C$32, $C$9, 100%, $E$9)</f>
        <v>4.5658000000000003</v>
      </c>
      <c r="N160" s="9">
        <f>4.5624 * CHOOSE(CONTROL!$C$32, $C$9, 100%, $E$9)</f>
        <v>4.5624000000000002</v>
      </c>
      <c r="O160" s="9">
        <f>4.5658 * CHOOSE(CONTROL!$C$32, $C$9, 100%, $E$9)</f>
        <v>4.5658000000000003</v>
      </c>
      <c r="P160" s="17"/>
      <c r="Q160" s="17"/>
      <c r="R160" s="17"/>
    </row>
    <row r="161" spans="1:18" ht="15" x14ac:dyDescent="0.2">
      <c r="A161" s="16">
        <v>45748</v>
      </c>
      <c r="B161" s="10">
        <f>4.1192 * CHOOSE(CONTROL!$C$32, $C$9, 100%, $E$9)</f>
        <v>4.1192000000000002</v>
      </c>
      <c r="C161" s="10">
        <f>4.1192 * CHOOSE(CONTROL!$C$32, $C$9, 100%, $E$9)</f>
        <v>4.1192000000000002</v>
      </c>
      <c r="D161" s="10">
        <f>4.1202 * CHOOSE(CONTROL!$C$32, $C$9, 100%, $E$9)</f>
        <v>4.1201999999999996</v>
      </c>
      <c r="E161" s="9">
        <f>4.6165 * CHOOSE(CONTROL!$C$32, $C$9, 100%, $E$9)</f>
        <v>4.6165000000000003</v>
      </c>
      <c r="F161" s="9">
        <f>4.6165 * CHOOSE(CONTROL!$C$32, $C$9, 100%, $E$9)</f>
        <v>4.6165000000000003</v>
      </c>
      <c r="G161" s="9">
        <f>4.6199 * CHOOSE(CONTROL!$C$32, $C$9, 100%, $E$9)</f>
        <v>4.6199000000000003</v>
      </c>
      <c r="H161" s="9">
        <f>5.1671 * CHOOSE(CONTROL!$C$32, $C$9, 100%, $E$9)</f>
        <v>5.1670999999999996</v>
      </c>
      <c r="I161" s="9">
        <f>5.1705 * CHOOSE(CONTROL!$C$32, $C$9, 100%, $E$9)</f>
        <v>5.1704999999999997</v>
      </c>
      <c r="J161" s="9">
        <f>5.1671 * CHOOSE(CONTROL!$C$32, $C$9, 100%, $E$9)</f>
        <v>5.1670999999999996</v>
      </c>
      <c r="K161" s="9">
        <f>5.1705 * CHOOSE(CONTROL!$C$32, $C$9, 100%, $E$9)</f>
        <v>5.1704999999999997</v>
      </c>
      <c r="L161" s="9">
        <f>4.6165 * CHOOSE(CONTROL!$C$32, $C$9, 100%, $E$9)</f>
        <v>4.6165000000000003</v>
      </c>
      <c r="M161" s="9">
        <f>4.6199 * CHOOSE(CONTROL!$C$32, $C$9, 100%, $E$9)</f>
        <v>4.6199000000000003</v>
      </c>
      <c r="N161" s="9">
        <f>4.6165 * CHOOSE(CONTROL!$C$32, $C$9, 100%, $E$9)</f>
        <v>4.6165000000000003</v>
      </c>
      <c r="O161" s="9">
        <f>4.6199 * CHOOSE(CONTROL!$C$32, $C$9, 100%, $E$9)</f>
        <v>4.6199000000000003</v>
      </c>
      <c r="P161" s="17"/>
      <c r="Q161" s="17"/>
      <c r="R161" s="17"/>
    </row>
    <row r="162" spans="1:18" ht="15" x14ac:dyDescent="0.2">
      <c r="A162" s="16">
        <v>45778</v>
      </c>
      <c r="B162" s="10">
        <f>4.1192 * CHOOSE(CONTROL!$C$32, $C$9, 100%, $E$9)</f>
        <v>4.1192000000000002</v>
      </c>
      <c r="C162" s="10">
        <f>4.1192 * CHOOSE(CONTROL!$C$32, $C$9, 100%, $E$9)</f>
        <v>4.1192000000000002</v>
      </c>
      <c r="D162" s="10">
        <f>4.1205 * CHOOSE(CONTROL!$C$32, $C$9, 100%, $E$9)</f>
        <v>4.1204999999999998</v>
      </c>
      <c r="E162" s="9">
        <f>4.6384 * CHOOSE(CONTROL!$C$32, $C$9, 100%, $E$9)</f>
        <v>4.6383999999999999</v>
      </c>
      <c r="F162" s="9">
        <f>4.6384 * CHOOSE(CONTROL!$C$32, $C$9, 100%, $E$9)</f>
        <v>4.6383999999999999</v>
      </c>
      <c r="G162" s="9">
        <f>4.6428 * CHOOSE(CONTROL!$C$32, $C$9, 100%, $E$9)</f>
        <v>4.6428000000000003</v>
      </c>
      <c r="H162" s="9">
        <f>5.1671 * CHOOSE(CONTROL!$C$32, $C$9, 100%, $E$9)</f>
        <v>5.1670999999999996</v>
      </c>
      <c r="I162" s="9">
        <f>5.1714 * CHOOSE(CONTROL!$C$32, $C$9, 100%, $E$9)</f>
        <v>5.1714000000000002</v>
      </c>
      <c r="J162" s="9">
        <f>5.1671 * CHOOSE(CONTROL!$C$32, $C$9, 100%, $E$9)</f>
        <v>5.1670999999999996</v>
      </c>
      <c r="K162" s="9">
        <f>5.1714 * CHOOSE(CONTROL!$C$32, $C$9, 100%, $E$9)</f>
        <v>5.1714000000000002</v>
      </c>
      <c r="L162" s="9">
        <f>4.6384 * CHOOSE(CONTROL!$C$32, $C$9, 100%, $E$9)</f>
        <v>4.6383999999999999</v>
      </c>
      <c r="M162" s="9">
        <f>4.6428 * CHOOSE(CONTROL!$C$32, $C$9, 100%, $E$9)</f>
        <v>4.6428000000000003</v>
      </c>
      <c r="N162" s="9">
        <f>4.6384 * CHOOSE(CONTROL!$C$32, $C$9, 100%, $E$9)</f>
        <v>4.6383999999999999</v>
      </c>
      <c r="O162" s="9">
        <f>4.6428 * CHOOSE(CONTROL!$C$32, $C$9, 100%, $E$9)</f>
        <v>4.6428000000000003</v>
      </c>
      <c r="P162" s="17"/>
      <c r="Q162" s="17"/>
      <c r="R162" s="17"/>
    </row>
    <row r="163" spans="1:18" ht="15" x14ac:dyDescent="0.2">
      <c r="A163" s="16">
        <v>45809</v>
      </c>
      <c r="B163" s="10">
        <f>4.1253 * CHOOSE(CONTROL!$C$32, $C$9, 100%, $E$9)</f>
        <v>4.1253000000000002</v>
      </c>
      <c r="C163" s="10">
        <f>4.1253 * CHOOSE(CONTROL!$C$32, $C$9, 100%, $E$9)</f>
        <v>4.1253000000000002</v>
      </c>
      <c r="D163" s="10">
        <f>4.1266 * CHOOSE(CONTROL!$C$32, $C$9, 100%, $E$9)</f>
        <v>4.1265999999999998</v>
      </c>
      <c r="E163" s="9">
        <f>4.6208 * CHOOSE(CONTROL!$C$32, $C$9, 100%, $E$9)</f>
        <v>4.6208</v>
      </c>
      <c r="F163" s="9">
        <f>4.6208 * CHOOSE(CONTROL!$C$32, $C$9, 100%, $E$9)</f>
        <v>4.6208</v>
      </c>
      <c r="G163" s="9">
        <f>4.6251 * CHOOSE(CONTROL!$C$32, $C$9, 100%, $E$9)</f>
        <v>4.6250999999999998</v>
      </c>
      <c r="H163" s="9">
        <f>5.1711 * CHOOSE(CONTROL!$C$32, $C$9, 100%, $E$9)</f>
        <v>5.1711</v>
      </c>
      <c r="I163" s="9">
        <f>5.1754 * CHOOSE(CONTROL!$C$32, $C$9, 100%, $E$9)</f>
        <v>5.1753999999999998</v>
      </c>
      <c r="J163" s="9">
        <f>5.1711 * CHOOSE(CONTROL!$C$32, $C$9, 100%, $E$9)</f>
        <v>5.1711</v>
      </c>
      <c r="K163" s="9">
        <f>5.1754 * CHOOSE(CONTROL!$C$32, $C$9, 100%, $E$9)</f>
        <v>5.1753999999999998</v>
      </c>
      <c r="L163" s="9">
        <f>4.6208 * CHOOSE(CONTROL!$C$32, $C$9, 100%, $E$9)</f>
        <v>4.6208</v>
      </c>
      <c r="M163" s="9">
        <f>4.6251 * CHOOSE(CONTROL!$C$32, $C$9, 100%, $E$9)</f>
        <v>4.6250999999999998</v>
      </c>
      <c r="N163" s="9">
        <f>4.6208 * CHOOSE(CONTROL!$C$32, $C$9, 100%, $E$9)</f>
        <v>4.6208</v>
      </c>
      <c r="O163" s="9">
        <f>4.6251 * CHOOSE(CONTROL!$C$32, $C$9, 100%, $E$9)</f>
        <v>4.6250999999999998</v>
      </c>
      <c r="P163" s="17"/>
      <c r="Q163" s="17"/>
      <c r="R163" s="17"/>
    </row>
    <row r="164" spans="1:18" ht="15" x14ac:dyDescent="0.2">
      <c r="A164" s="16">
        <v>45839</v>
      </c>
      <c r="B164" s="10">
        <f>4.1941 * CHOOSE(CONTROL!$C$32, $C$9, 100%, $E$9)</f>
        <v>4.1940999999999997</v>
      </c>
      <c r="C164" s="10">
        <f>4.1941 * CHOOSE(CONTROL!$C$32, $C$9, 100%, $E$9)</f>
        <v>4.1940999999999997</v>
      </c>
      <c r="D164" s="10">
        <f>4.1954 * CHOOSE(CONTROL!$C$32, $C$9, 100%, $E$9)</f>
        <v>4.1954000000000002</v>
      </c>
      <c r="E164" s="9">
        <f>4.6523 * CHOOSE(CONTROL!$C$32, $C$9, 100%, $E$9)</f>
        <v>4.6523000000000003</v>
      </c>
      <c r="F164" s="9">
        <f>4.6523 * CHOOSE(CONTROL!$C$32, $C$9, 100%, $E$9)</f>
        <v>4.6523000000000003</v>
      </c>
      <c r="G164" s="9">
        <f>4.6567 * CHOOSE(CONTROL!$C$32, $C$9, 100%, $E$9)</f>
        <v>4.6566999999999998</v>
      </c>
      <c r="H164" s="9">
        <f>5.2554 * CHOOSE(CONTROL!$C$32, $C$9, 100%, $E$9)</f>
        <v>5.2553999999999998</v>
      </c>
      <c r="I164" s="9">
        <f>5.2598 * CHOOSE(CONTROL!$C$32, $C$9, 100%, $E$9)</f>
        <v>5.2598000000000003</v>
      </c>
      <c r="J164" s="9">
        <f>5.2554 * CHOOSE(CONTROL!$C$32, $C$9, 100%, $E$9)</f>
        <v>5.2553999999999998</v>
      </c>
      <c r="K164" s="9">
        <f>5.2598 * CHOOSE(CONTROL!$C$32, $C$9, 100%, $E$9)</f>
        <v>5.2598000000000003</v>
      </c>
      <c r="L164" s="9">
        <f>4.6523 * CHOOSE(CONTROL!$C$32, $C$9, 100%, $E$9)</f>
        <v>4.6523000000000003</v>
      </c>
      <c r="M164" s="9">
        <f>4.6567 * CHOOSE(CONTROL!$C$32, $C$9, 100%, $E$9)</f>
        <v>4.6566999999999998</v>
      </c>
      <c r="N164" s="9">
        <f>4.6523 * CHOOSE(CONTROL!$C$32, $C$9, 100%, $E$9)</f>
        <v>4.6523000000000003</v>
      </c>
      <c r="O164" s="9">
        <f>4.6567 * CHOOSE(CONTROL!$C$32, $C$9, 100%, $E$9)</f>
        <v>4.6566999999999998</v>
      </c>
      <c r="P164" s="17"/>
      <c r="Q164" s="17"/>
      <c r="R164" s="17"/>
    </row>
    <row r="165" spans="1:18" ht="15" x14ac:dyDescent="0.2">
      <c r="A165" s="16">
        <v>45870</v>
      </c>
      <c r="B165" s="10">
        <f>4.2008 * CHOOSE(CONTROL!$C$32, $C$9, 100%, $E$9)</f>
        <v>4.2008000000000001</v>
      </c>
      <c r="C165" s="10">
        <f>4.2008 * CHOOSE(CONTROL!$C$32, $C$9, 100%, $E$9)</f>
        <v>4.2008000000000001</v>
      </c>
      <c r="D165" s="10">
        <f>4.2021 * CHOOSE(CONTROL!$C$32, $C$9, 100%, $E$9)</f>
        <v>4.2020999999999997</v>
      </c>
      <c r="E165" s="9">
        <f>4.5913 * CHOOSE(CONTROL!$C$32, $C$9, 100%, $E$9)</f>
        <v>4.5913000000000004</v>
      </c>
      <c r="F165" s="9">
        <f>4.5913 * CHOOSE(CONTROL!$C$32, $C$9, 100%, $E$9)</f>
        <v>4.5913000000000004</v>
      </c>
      <c r="G165" s="9">
        <f>4.5957 * CHOOSE(CONTROL!$C$32, $C$9, 100%, $E$9)</f>
        <v>4.5956999999999999</v>
      </c>
      <c r="H165" s="9">
        <f>5.2598 * CHOOSE(CONTROL!$C$32, $C$9, 100%, $E$9)</f>
        <v>5.2598000000000003</v>
      </c>
      <c r="I165" s="9">
        <f>5.2642 * CHOOSE(CONTROL!$C$32, $C$9, 100%, $E$9)</f>
        <v>5.2641999999999998</v>
      </c>
      <c r="J165" s="9">
        <f>5.2598 * CHOOSE(CONTROL!$C$32, $C$9, 100%, $E$9)</f>
        <v>5.2598000000000003</v>
      </c>
      <c r="K165" s="9">
        <f>5.2642 * CHOOSE(CONTROL!$C$32, $C$9, 100%, $E$9)</f>
        <v>5.2641999999999998</v>
      </c>
      <c r="L165" s="9">
        <f>4.5913 * CHOOSE(CONTROL!$C$32, $C$9, 100%, $E$9)</f>
        <v>4.5913000000000004</v>
      </c>
      <c r="M165" s="9">
        <f>4.5957 * CHOOSE(CONTROL!$C$32, $C$9, 100%, $E$9)</f>
        <v>4.5956999999999999</v>
      </c>
      <c r="N165" s="9">
        <f>4.5913 * CHOOSE(CONTROL!$C$32, $C$9, 100%, $E$9)</f>
        <v>4.5913000000000004</v>
      </c>
      <c r="O165" s="9">
        <f>4.5957 * CHOOSE(CONTROL!$C$32, $C$9, 100%, $E$9)</f>
        <v>4.5956999999999999</v>
      </c>
      <c r="P165" s="17"/>
      <c r="Q165" s="17"/>
      <c r="R165" s="17"/>
    </row>
    <row r="166" spans="1:18" ht="15" x14ac:dyDescent="0.2">
      <c r="A166" s="16">
        <v>45901</v>
      </c>
      <c r="B166" s="10">
        <f>4.1977 * CHOOSE(CONTROL!$C$32, $C$9, 100%, $E$9)</f>
        <v>4.1977000000000002</v>
      </c>
      <c r="C166" s="10">
        <f>4.1977 * CHOOSE(CONTROL!$C$32, $C$9, 100%, $E$9)</f>
        <v>4.1977000000000002</v>
      </c>
      <c r="D166" s="10">
        <f>4.199 * CHOOSE(CONTROL!$C$32, $C$9, 100%, $E$9)</f>
        <v>4.1989999999999998</v>
      </c>
      <c r="E166" s="9">
        <f>4.5819 * CHOOSE(CONTROL!$C$32, $C$9, 100%, $E$9)</f>
        <v>4.5819000000000001</v>
      </c>
      <c r="F166" s="9">
        <f>4.5819 * CHOOSE(CONTROL!$C$32, $C$9, 100%, $E$9)</f>
        <v>4.5819000000000001</v>
      </c>
      <c r="G166" s="9">
        <f>4.5863 * CHOOSE(CONTROL!$C$32, $C$9, 100%, $E$9)</f>
        <v>4.5862999999999996</v>
      </c>
      <c r="H166" s="9">
        <f>5.2578 * CHOOSE(CONTROL!$C$32, $C$9, 100%, $E$9)</f>
        <v>5.2577999999999996</v>
      </c>
      <c r="I166" s="9">
        <f>5.2622 * CHOOSE(CONTROL!$C$32, $C$9, 100%, $E$9)</f>
        <v>5.2622</v>
      </c>
      <c r="J166" s="9">
        <f>5.2578 * CHOOSE(CONTROL!$C$32, $C$9, 100%, $E$9)</f>
        <v>5.2577999999999996</v>
      </c>
      <c r="K166" s="9">
        <f>5.2622 * CHOOSE(CONTROL!$C$32, $C$9, 100%, $E$9)</f>
        <v>5.2622</v>
      </c>
      <c r="L166" s="9">
        <f>4.5819 * CHOOSE(CONTROL!$C$32, $C$9, 100%, $E$9)</f>
        <v>4.5819000000000001</v>
      </c>
      <c r="M166" s="9">
        <f>4.5863 * CHOOSE(CONTROL!$C$32, $C$9, 100%, $E$9)</f>
        <v>4.5862999999999996</v>
      </c>
      <c r="N166" s="9">
        <f>4.5819 * CHOOSE(CONTROL!$C$32, $C$9, 100%, $E$9)</f>
        <v>4.5819000000000001</v>
      </c>
      <c r="O166" s="9">
        <f>4.5863 * CHOOSE(CONTROL!$C$32, $C$9, 100%, $E$9)</f>
        <v>4.5862999999999996</v>
      </c>
      <c r="P166" s="17"/>
      <c r="Q166" s="17"/>
      <c r="R166" s="17"/>
    </row>
    <row r="167" spans="1:18" ht="15" x14ac:dyDescent="0.2">
      <c r="A167" s="16">
        <v>45931</v>
      </c>
      <c r="B167" s="10">
        <f>4.1941 * CHOOSE(CONTROL!$C$32, $C$9, 100%, $E$9)</f>
        <v>4.1940999999999997</v>
      </c>
      <c r="C167" s="10">
        <f>4.1941 * CHOOSE(CONTROL!$C$32, $C$9, 100%, $E$9)</f>
        <v>4.1940999999999997</v>
      </c>
      <c r="D167" s="10">
        <f>4.1951 * CHOOSE(CONTROL!$C$32, $C$9, 100%, $E$9)</f>
        <v>4.1951000000000001</v>
      </c>
      <c r="E167" s="9">
        <f>4.5977 * CHOOSE(CONTROL!$C$32, $C$9, 100%, $E$9)</f>
        <v>4.5976999999999997</v>
      </c>
      <c r="F167" s="9">
        <f>4.5977 * CHOOSE(CONTROL!$C$32, $C$9, 100%, $E$9)</f>
        <v>4.5976999999999997</v>
      </c>
      <c r="G167" s="9">
        <f>4.6011 * CHOOSE(CONTROL!$C$32, $C$9, 100%, $E$9)</f>
        <v>4.6010999999999997</v>
      </c>
      <c r="H167" s="9">
        <f>5.2548 * CHOOSE(CONTROL!$C$32, $C$9, 100%, $E$9)</f>
        <v>5.2548000000000004</v>
      </c>
      <c r="I167" s="9">
        <f>5.2582 * CHOOSE(CONTROL!$C$32, $C$9, 100%, $E$9)</f>
        <v>5.2582000000000004</v>
      </c>
      <c r="J167" s="9">
        <f>5.2548 * CHOOSE(CONTROL!$C$32, $C$9, 100%, $E$9)</f>
        <v>5.2548000000000004</v>
      </c>
      <c r="K167" s="9">
        <f>5.2582 * CHOOSE(CONTROL!$C$32, $C$9, 100%, $E$9)</f>
        <v>5.2582000000000004</v>
      </c>
      <c r="L167" s="9">
        <f>4.5977 * CHOOSE(CONTROL!$C$32, $C$9, 100%, $E$9)</f>
        <v>4.5976999999999997</v>
      </c>
      <c r="M167" s="9">
        <f>4.6011 * CHOOSE(CONTROL!$C$32, $C$9, 100%, $E$9)</f>
        <v>4.6010999999999997</v>
      </c>
      <c r="N167" s="9">
        <f>4.5977 * CHOOSE(CONTROL!$C$32, $C$9, 100%, $E$9)</f>
        <v>4.5976999999999997</v>
      </c>
      <c r="O167" s="9">
        <f>4.6011 * CHOOSE(CONTROL!$C$32, $C$9, 100%, $E$9)</f>
        <v>4.6010999999999997</v>
      </c>
      <c r="P167" s="17"/>
      <c r="Q167" s="17"/>
      <c r="R167" s="17"/>
    </row>
    <row r="168" spans="1:18" ht="15" x14ac:dyDescent="0.2">
      <c r="A168" s="16">
        <v>45962</v>
      </c>
      <c r="B168" s="10">
        <f>4.1971 * CHOOSE(CONTROL!$C$32, $C$9, 100%, $E$9)</f>
        <v>4.1970999999999998</v>
      </c>
      <c r="C168" s="10">
        <f>4.1971 * CHOOSE(CONTROL!$C$32, $C$9, 100%, $E$9)</f>
        <v>4.1970999999999998</v>
      </c>
      <c r="D168" s="10">
        <f>4.1981 * CHOOSE(CONTROL!$C$32, $C$9, 100%, $E$9)</f>
        <v>4.1981000000000002</v>
      </c>
      <c r="E168" s="9">
        <f>4.6144 * CHOOSE(CONTROL!$C$32, $C$9, 100%, $E$9)</f>
        <v>4.6143999999999998</v>
      </c>
      <c r="F168" s="9">
        <f>4.6144 * CHOOSE(CONTROL!$C$32, $C$9, 100%, $E$9)</f>
        <v>4.6143999999999998</v>
      </c>
      <c r="G168" s="9">
        <f>4.6178 * CHOOSE(CONTROL!$C$32, $C$9, 100%, $E$9)</f>
        <v>4.6177999999999999</v>
      </c>
      <c r="H168" s="9">
        <f>5.2568 * CHOOSE(CONTROL!$C$32, $C$9, 100%, $E$9)</f>
        <v>5.2568000000000001</v>
      </c>
      <c r="I168" s="9">
        <f>5.2602 * CHOOSE(CONTROL!$C$32, $C$9, 100%, $E$9)</f>
        <v>5.2602000000000002</v>
      </c>
      <c r="J168" s="9">
        <f>5.2568 * CHOOSE(CONTROL!$C$32, $C$9, 100%, $E$9)</f>
        <v>5.2568000000000001</v>
      </c>
      <c r="K168" s="9">
        <f>5.2602 * CHOOSE(CONTROL!$C$32, $C$9, 100%, $E$9)</f>
        <v>5.2602000000000002</v>
      </c>
      <c r="L168" s="9">
        <f>4.6144 * CHOOSE(CONTROL!$C$32, $C$9, 100%, $E$9)</f>
        <v>4.6143999999999998</v>
      </c>
      <c r="M168" s="9">
        <f>4.6178 * CHOOSE(CONTROL!$C$32, $C$9, 100%, $E$9)</f>
        <v>4.6177999999999999</v>
      </c>
      <c r="N168" s="9">
        <f>4.6144 * CHOOSE(CONTROL!$C$32, $C$9, 100%, $E$9)</f>
        <v>4.6143999999999998</v>
      </c>
      <c r="O168" s="9">
        <f>4.6178 * CHOOSE(CONTROL!$C$32, $C$9, 100%, $E$9)</f>
        <v>4.6177999999999999</v>
      </c>
    </row>
    <row r="169" spans="1:18" ht="15" x14ac:dyDescent="0.2">
      <c r="A169" s="16">
        <v>45992</v>
      </c>
      <c r="B169" s="10">
        <f>4.1971 * CHOOSE(CONTROL!$C$32, $C$9, 100%, $E$9)</f>
        <v>4.1970999999999998</v>
      </c>
      <c r="C169" s="10">
        <f>4.1971 * CHOOSE(CONTROL!$C$32, $C$9, 100%, $E$9)</f>
        <v>4.1970999999999998</v>
      </c>
      <c r="D169" s="10">
        <f>4.1981 * CHOOSE(CONTROL!$C$32, $C$9, 100%, $E$9)</f>
        <v>4.1981000000000002</v>
      </c>
      <c r="E169" s="9">
        <f>4.5779 * CHOOSE(CONTROL!$C$32, $C$9, 100%, $E$9)</f>
        <v>4.5778999999999996</v>
      </c>
      <c r="F169" s="9">
        <f>4.5779 * CHOOSE(CONTROL!$C$32, $C$9, 100%, $E$9)</f>
        <v>4.5778999999999996</v>
      </c>
      <c r="G169" s="9">
        <f>4.5813 * CHOOSE(CONTROL!$C$32, $C$9, 100%, $E$9)</f>
        <v>4.5812999999999997</v>
      </c>
      <c r="H169" s="9">
        <f>5.2568 * CHOOSE(CONTROL!$C$32, $C$9, 100%, $E$9)</f>
        <v>5.2568000000000001</v>
      </c>
      <c r="I169" s="9">
        <f>5.2602 * CHOOSE(CONTROL!$C$32, $C$9, 100%, $E$9)</f>
        <v>5.2602000000000002</v>
      </c>
      <c r="J169" s="9">
        <f>5.2568 * CHOOSE(CONTROL!$C$32, $C$9, 100%, $E$9)</f>
        <v>5.2568000000000001</v>
      </c>
      <c r="K169" s="9">
        <f>5.2602 * CHOOSE(CONTROL!$C$32, $C$9, 100%, $E$9)</f>
        <v>5.2602000000000002</v>
      </c>
      <c r="L169" s="9">
        <f>4.5779 * CHOOSE(CONTROL!$C$32, $C$9, 100%, $E$9)</f>
        <v>4.5778999999999996</v>
      </c>
      <c r="M169" s="9">
        <f>4.5813 * CHOOSE(CONTROL!$C$32, $C$9, 100%, $E$9)</f>
        <v>4.5812999999999997</v>
      </c>
      <c r="N169" s="9">
        <f>4.5779 * CHOOSE(CONTROL!$C$32, $C$9, 100%, $E$9)</f>
        <v>4.5778999999999996</v>
      </c>
      <c r="O169" s="9">
        <f>4.5813 * CHOOSE(CONTROL!$C$32, $C$9, 100%, $E$9)</f>
        <v>4.5812999999999997</v>
      </c>
    </row>
    <row r="170" spans="1:18" ht="15" x14ac:dyDescent="0.2">
      <c r="A170" s="16">
        <v>46023</v>
      </c>
      <c r="B170" s="10">
        <f>4.2282 * CHOOSE(CONTROL!$C$32, $C$9, 100%, $E$9)</f>
        <v>4.2282000000000002</v>
      </c>
      <c r="C170" s="10">
        <f>4.2282 * CHOOSE(CONTROL!$C$32, $C$9, 100%, $E$9)</f>
        <v>4.2282000000000002</v>
      </c>
      <c r="D170" s="10">
        <f>4.2292 * CHOOSE(CONTROL!$C$32, $C$9, 100%, $E$9)</f>
        <v>4.2291999999999996</v>
      </c>
      <c r="E170" s="9">
        <f>4.6388 * CHOOSE(CONTROL!$C$32, $C$9, 100%, $E$9)</f>
        <v>4.6387999999999998</v>
      </c>
      <c r="F170" s="9">
        <f>4.6388 * CHOOSE(CONTROL!$C$32, $C$9, 100%, $E$9)</f>
        <v>4.6387999999999998</v>
      </c>
      <c r="G170" s="9">
        <f>4.6422 * CHOOSE(CONTROL!$C$32, $C$9, 100%, $E$9)</f>
        <v>4.6421999999999999</v>
      </c>
      <c r="H170" s="9">
        <f>5.2967 * CHOOSE(CONTROL!$C$32, $C$9, 100%, $E$9)</f>
        <v>5.2967000000000004</v>
      </c>
      <c r="I170" s="9">
        <f>5.3001 * CHOOSE(CONTROL!$C$32, $C$9, 100%, $E$9)</f>
        <v>5.3000999999999996</v>
      </c>
      <c r="J170" s="9">
        <f>5.2967 * CHOOSE(CONTROL!$C$32, $C$9, 100%, $E$9)</f>
        <v>5.2967000000000004</v>
      </c>
      <c r="K170" s="9">
        <f>5.3001 * CHOOSE(CONTROL!$C$32, $C$9, 100%, $E$9)</f>
        <v>5.3000999999999996</v>
      </c>
      <c r="L170" s="9">
        <f>4.6388 * CHOOSE(CONTROL!$C$32, $C$9, 100%, $E$9)</f>
        <v>4.6387999999999998</v>
      </c>
      <c r="M170" s="9">
        <f>4.6422 * CHOOSE(CONTROL!$C$32, $C$9, 100%, $E$9)</f>
        <v>4.6421999999999999</v>
      </c>
      <c r="N170" s="9">
        <f>4.6388 * CHOOSE(CONTROL!$C$32, $C$9, 100%, $E$9)</f>
        <v>4.6387999999999998</v>
      </c>
      <c r="O170" s="9">
        <f>4.6422 * CHOOSE(CONTROL!$C$32, $C$9, 100%, $E$9)</f>
        <v>4.6421999999999999</v>
      </c>
    </row>
    <row r="171" spans="1:18" ht="15" x14ac:dyDescent="0.2">
      <c r="A171" s="16">
        <v>46054</v>
      </c>
      <c r="B171" s="10">
        <f>4.2252 * CHOOSE(CONTROL!$C$32, $C$9, 100%, $E$9)</f>
        <v>4.2252000000000001</v>
      </c>
      <c r="C171" s="10">
        <f>4.2252 * CHOOSE(CONTROL!$C$32, $C$9, 100%, $E$9)</f>
        <v>4.2252000000000001</v>
      </c>
      <c r="D171" s="10">
        <f>4.2262 * CHOOSE(CONTROL!$C$32, $C$9, 100%, $E$9)</f>
        <v>4.2262000000000004</v>
      </c>
      <c r="E171" s="9">
        <f>4.5657 * CHOOSE(CONTROL!$C$32, $C$9, 100%, $E$9)</f>
        <v>4.5656999999999996</v>
      </c>
      <c r="F171" s="9">
        <f>4.5657 * CHOOSE(CONTROL!$C$32, $C$9, 100%, $E$9)</f>
        <v>4.5656999999999996</v>
      </c>
      <c r="G171" s="9">
        <f>4.5691 * CHOOSE(CONTROL!$C$32, $C$9, 100%, $E$9)</f>
        <v>4.5690999999999997</v>
      </c>
      <c r="H171" s="9">
        <f>5.2947 * CHOOSE(CONTROL!$C$32, $C$9, 100%, $E$9)</f>
        <v>5.2946999999999997</v>
      </c>
      <c r="I171" s="9">
        <f>5.2981 * CHOOSE(CONTROL!$C$32, $C$9, 100%, $E$9)</f>
        <v>5.2980999999999998</v>
      </c>
      <c r="J171" s="9">
        <f>5.2947 * CHOOSE(CONTROL!$C$32, $C$9, 100%, $E$9)</f>
        <v>5.2946999999999997</v>
      </c>
      <c r="K171" s="9">
        <f>5.2981 * CHOOSE(CONTROL!$C$32, $C$9, 100%, $E$9)</f>
        <v>5.2980999999999998</v>
      </c>
      <c r="L171" s="9">
        <f>4.5657 * CHOOSE(CONTROL!$C$32, $C$9, 100%, $E$9)</f>
        <v>4.5656999999999996</v>
      </c>
      <c r="M171" s="9">
        <f>4.5691 * CHOOSE(CONTROL!$C$32, $C$9, 100%, $E$9)</f>
        <v>4.5690999999999997</v>
      </c>
      <c r="N171" s="9">
        <f>4.5657 * CHOOSE(CONTROL!$C$32, $C$9, 100%, $E$9)</f>
        <v>4.5656999999999996</v>
      </c>
      <c r="O171" s="9">
        <f>4.5691 * CHOOSE(CONTROL!$C$32, $C$9, 100%, $E$9)</f>
        <v>4.5690999999999997</v>
      </c>
    </row>
    <row r="172" spans="1:18" ht="15" x14ac:dyDescent="0.2">
      <c r="A172" s="16">
        <v>46082</v>
      </c>
      <c r="B172" s="10">
        <f>4.2221 * CHOOSE(CONTROL!$C$32, $C$9, 100%, $E$9)</f>
        <v>4.2221000000000002</v>
      </c>
      <c r="C172" s="10">
        <f>4.2221 * CHOOSE(CONTROL!$C$32, $C$9, 100%, $E$9)</f>
        <v>4.2221000000000002</v>
      </c>
      <c r="D172" s="10">
        <f>4.2231 * CHOOSE(CONTROL!$C$32, $C$9, 100%, $E$9)</f>
        <v>4.2230999999999996</v>
      </c>
      <c r="E172" s="9">
        <f>4.6196 * CHOOSE(CONTROL!$C$32, $C$9, 100%, $E$9)</f>
        <v>4.6196000000000002</v>
      </c>
      <c r="F172" s="9">
        <f>4.6196 * CHOOSE(CONTROL!$C$32, $C$9, 100%, $E$9)</f>
        <v>4.6196000000000002</v>
      </c>
      <c r="G172" s="9">
        <f>4.623 * CHOOSE(CONTROL!$C$32, $C$9, 100%, $E$9)</f>
        <v>4.6230000000000002</v>
      </c>
      <c r="H172" s="9">
        <f>5.2927 * CHOOSE(CONTROL!$C$32, $C$9, 100%, $E$9)</f>
        <v>5.2927</v>
      </c>
      <c r="I172" s="9">
        <f>5.2961 * CHOOSE(CONTROL!$C$32, $C$9, 100%, $E$9)</f>
        <v>5.2961</v>
      </c>
      <c r="J172" s="9">
        <f>5.2927 * CHOOSE(CONTROL!$C$32, $C$9, 100%, $E$9)</f>
        <v>5.2927</v>
      </c>
      <c r="K172" s="9">
        <f>5.2961 * CHOOSE(CONTROL!$C$32, $C$9, 100%, $E$9)</f>
        <v>5.2961</v>
      </c>
      <c r="L172" s="9">
        <f>4.6196 * CHOOSE(CONTROL!$C$32, $C$9, 100%, $E$9)</f>
        <v>4.6196000000000002</v>
      </c>
      <c r="M172" s="9">
        <f>4.623 * CHOOSE(CONTROL!$C$32, $C$9, 100%, $E$9)</f>
        <v>4.6230000000000002</v>
      </c>
      <c r="N172" s="9">
        <f>4.6196 * CHOOSE(CONTROL!$C$32, $C$9, 100%, $E$9)</f>
        <v>4.6196000000000002</v>
      </c>
      <c r="O172" s="9">
        <f>4.623 * CHOOSE(CONTROL!$C$32, $C$9, 100%, $E$9)</f>
        <v>4.6230000000000002</v>
      </c>
    </row>
    <row r="173" spans="1:18" ht="15" x14ac:dyDescent="0.2">
      <c r="A173" s="16">
        <v>46113</v>
      </c>
      <c r="B173" s="10">
        <f>4.2201 * CHOOSE(CONTROL!$C$32, $C$9, 100%, $E$9)</f>
        <v>4.2201000000000004</v>
      </c>
      <c r="C173" s="10">
        <f>4.2201 * CHOOSE(CONTROL!$C$32, $C$9, 100%, $E$9)</f>
        <v>4.2201000000000004</v>
      </c>
      <c r="D173" s="10">
        <f>4.2212 * CHOOSE(CONTROL!$C$32, $C$9, 100%, $E$9)</f>
        <v>4.2211999999999996</v>
      </c>
      <c r="E173" s="9">
        <f>4.6754 * CHOOSE(CONTROL!$C$32, $C$9, 100%, $E$9)</f>
        <v>4.6753999999999998</v>
      </c>
      <c r="F173" s="9">
        <f>4.6754 * CHOOSE(CONTROL!$C$32, $C$9, 100%, $E$9)</f>
        <v>4.6753999999999998</v>
      </c>
      <c r="G173" s="9">
        <f>4.6788 * CHOOSE(CONTROL!$C$32, $C$9, 100%, $E$9)</f>
        <v>4.6787999999999998</v>
      </c>
      <c r="H173" s="9">
        <f>5.2912 * CHOOSE(CONTROL!$C$32, $C$9, 100%, $E$9)</f>
        <v>5.2911999999999999</v>
      </c>
      <c r="I173" s="9">
        <f>5.2946 * CHOOSE(CONTROL!$C$32, $C$9, 100%, $E$9)</f>
        <v>5.2946</v>
      </c>
      <c r="J173" s="9">
        <f>5.2912 * CHOOSE(CONTROL!$C$32, $C$9, 100%, $E$9)</f>
        <v>5.2911999999999999</v>
      </c>
      <c r="K173" s="9">
        <f>5.2946 * CHOOSE(CONTROL!$C$32, $C$9, 100%, $E$9)</f>
        <v>5.2946</v>
      </c>
      <c r="L173" s="9">
        <f>4.6754 * CHOOSE(CONTROL!$C$32, $C$9, 100%, $E$9)</f>
        <v>4.6753999999999998</v>
      </c>
      <c r="M173" s="9">
        <f>4.6788 * CHOOSE(CONTROL!$C$32, $C$9, 100%, $E$9)</f>
        <v>4.6787999999999998</v>
      </c>
      <c r="N173" s="9">
        <f>4.6754 * CHOOSE(CONTROL!$C$32, $C$9, 100%, $E$9)</f>
        <v>4.6753999999999998</v>
      </c>
      <c r="O173" s="9">
        <f>4.6788 * CHOOSE(CONTROL!$C$32, $C$9, 100%, $E$9)</f>
        <v>4.6787999999999998</v>
      </c>
    </row>
    <row r="174" spans="1:18" ht="15" x14ac:dyDescent="0.2">
      <c r="A174" s="16">
        <v>46143</v>
      </c>
      <c r="B174" s="10">
        <f>4.2201 * CHOOSE(CONTROL!$C$32, $C$9, 100%, $E$9)</f>
        <v>4.2201000000000004</v>
      </c>
      <c r="C174" s="10">
        <f>4.2201 * CHOOSE(CONTROL!$C$32, $C$9, 100%, $E$9)</f>
        <v>4.2201000000000004</v>
      </c>
      <c r="D174" s="10">
        <f>4.2214 * CHOOSE(CONTROL!$C$32, $C$9, 100%, $E$9)</f>
        <v>4.2214</v>
      </c>
      <c r="E174" s="9">
        <f>4.698 * CHOOSE(CONTROL!$C$32, $C$9, 100%, $E$9)</f>
        <v>4.6980000000000004</v>
      </c>
      <c r="F174" s="9">
        <f>4.698 * CHOOSE(CONTROL!$C$32, $C$9, 100%, $E$9)</f>
        <v>4.6980000000000004</v>
      </c>
      <c r="G174" s="9">
        <f>4.7023 * CHOOSE(CONTROL!$C$32, $C$9, 100%, $E$9)</f>
        <v>4.7023000000000001</v>
      </c>
      <c r="H174" s="9">
        <f>5.2912 * CHOOSE(CONTROL!$C$32, $C$9, 100%, $E$9)</f>
        <v>5.2911999999999999</v>
      </c>
      <c r="I174" s="9">
        <f>5.2956 * CHOOSE(CONTROL!$C$32, $C$9, 100%, $E$9)</f>
        <v>5.2956000000000003</v>
      </c>
      <c r="J174" s="9">
        <f>5.2912 * CHOOSE(CONTROL!$C$32, $C$9, 100%, $E$9)</f>
        <v>5.2911999999999999</v>
      </c>
      <c r="K174" s="9">
        <f>5.2956 * CHOOSE(CONTROL!$C$32, $C$9, 100%, $E$9)</f>
        <v>5.2956000000000003</v>
      </c>
      <c r="L174" s="9">
        <f>4.698 * CHOOSE(CONTROL!$C$32, $C$9, 100%, $E$9)</f>
        <v>4.6980000000000004</v>
      </c>
      <c r="M174" s="9">
        <f>4.7023 * CHOOSE(CONTROL!$C$32, $C$9, 100%, $E$9)</f>
        <v>4.7023000000000001</v>
      </c>
      <c r="N174" s="9">
        <f>4.698 * CHOOSE(CONTROL!$C$32, $C$9, 100%, $E$9)</f>
        <v>4.6980000000000004</v>
      </c>
      <c r="O174" s="9">
        <f>4.7023 * CHOOSE(CONTROL!$C$32, $C$9, 100%, $E$9)</f>
        <v>4.7023000000000001</v>
      </c>
    </row>
    <row r="175" spans="1:18" ht="15" x14ac:dyDescent="0.2">
      <c r="A175" s="16">
        <v>46174</v>
      </c>
      <c r="B175" s="10">
        <f>4.2262 * CHOOSE(CONTROL!$C$32, $C$9, 100%, $E$9)</f>
        <v>4.2262000000000004</v>
      </c>
      <c r="C175" s="10">
        <f>4.2262 * CHOOSE(CONTROL!$C$32, $C$9, 100%, $E$9)</f>
        <v>4.2262000000000004</v>
      </c>
      <c r="D175" s="10">
        <f>4.2275 * CHOOSE(CONTROL!$C$32, $C$9, 100%, $E$9)</f>
        <v>4.2275</v>
      </c>
      <c r="E175" s="9">
        <f>4.6797 * CHOOSE(CONTROL!$C$32, $C$9, 100%, $E$9)</f>
        <v>4.6797000000000004</v>
      </c>
      <c r="F175" s="9">
        <f>4.6797 * CHOOSE(CONTROL!$C$32, $C$9, 100%, $E$9)</f>
        <v>4.6797000000000004</v>
      </c>
      <c r="G175" s="9">
        <f>4.684 * CHOOSE(CONTROL!$C$32, $C$9, 100%, $E$9)</f>
        <v>4.6840000000000002</v>
      </c>
      <c r="H175" s="9">
        <f>5.2952 * CHOOSE(CONTROL!$C$32, $C$9, 100%, $E$9)</f>
        <v>5.2952000000000004</v>
      </c>
      <c r="I175" s="9">
        <f>5.2996 * CHOOSE(CONTROL!$C$32, $C$9, 100%, $E$9)</f>
        <v>5.2995999999999999</v>
      </c>
      <c r="J175" s="9">
        <f>5.2952 * CHOOSE(CONTROL!$C$32, $C$9, 100%, $E$9)</f>
        <v>5.2952000000000004</v>
      </c>
      <c r="K175" s="9">
        <f>5.2996 * CHOOSE(CONTROL!$C$32, $C$9, 100%, $E$9)</f>
        <v>5.2995999999999999</v>
      </c>
      <c r="L175" s="9">
        <f>4.6797 * CHOOSE(CONTROL!$C$32, $C$9, 100%, $E$9)</f>
        <v>4.6797000000000004</v>
      </c>
      <c r="M175" s="9">
        <f>4.684 * CHOOSE(CONTROL!$C$32, $C$9, 100%, $E$9)</f>
        <v>4.6840000000000002</v>
      </c>
      <c r="N175" s="9">
        <f>4.6797 * CHOOSE(CONTROL!$C$32, $C$9, 100%, $E$9)</f>
        <v>4.6797000000000004</v>
      </c>
      <c r="O175" s="9">
        <f>4.684 * CHOOSE(CONTROL!$C$32, $C$9, 100%, $E$9)</f>
        <v>4.6840000000000002</v>
      </c>
    </row>
    <row r="176" spans="1:18" ht="15" x14ac:dyDescent="0.2">
      <c r="A176" s="16">
        <v>46204</v>
      </c>
      <c r="B176" s="10">
        <f>4.2803 * CHOOSE(CONTROL!$C$32, $C$9, 100%, $E$9)</f>
        <v>4.2803000000000004</v>
      </c>
      <c r="C176" s="10">
        <f>4.2803 * CHOOSE(CONTROL!$C$32, $C$9, 100%, $E$9)</f>
        <v>4.2803000000000004</v>
      </c>
      <c r="D176" s="10">
        <f>4.2816 * CHOOSE(CONTROL!$C$32, $C$9, 100%, $E$9)</f>
        <v>4.2816000000000001</v>
      </c>
      <c r="E176" s="9">
        <f>4.7488 * CHOOSE(CONTROL!$C$32, $C$9, 100%, $E$9)</f>
        <v>4.7488000000000001</v>
      </c>
      <c r="F176" s="9">
        <f>4.7488 * CHOOSE(CONTROL!$C$32, $C$9, 100%, $E$9)</f>
        <v>4.7488000000000001</v>
      </c>
      <c r="G176" s="9">
        <f>4.7532 * CHOOSE(CONTROL!$C$32, $C$9, 100%, $E$9)</f>
        <v>4.7531999999999996</v>
      </c>
      <c r="H176" s="9">
        <f>5.379 * CHOOSE(CONTROL!$C$32, $C$9, 100%, $E$9)</f>
        <v>5.3789999999999996</v>
      </c>
      <c r="I176" s="9">
        <f>5.3834 * CHOOSE(CONTROL!$C$32, $C$9, 100%, $E$9)</f>
        <v>5.3834</v>
      </c>
      <c r="J176" s="9">
        <f>5.379 * CHOOSE(CONTROL!$C$32, $C$9, 100%, $E$9)</f>
        <v>5.3789999999999996</v>
      </c>
      <c r="K176" s="9">
        <f>5.3834 * CHOOSE(CONTROL!$C$32, $C$9, 100%, $E$9)</f>
        <v>5.3834</v>
      </c>
      <c r="L176" s="9">
        <f>4.7488 * CHOOSE(CONTROL!$C$32, $C$9, 100%, $E$9)</f>
        <v>4.7488000000000001</v>
      </c>
      <c r="M176" s="9">
        <f>4.7532 * CHOOSE(CONTROL!$C$32, $C$9, 100%, $E$9)</f>
        <v>4.7531999999999996</v>
      </c>
      <c r="N176" s="9">
        <f>4.7488 * CHOOSE(CONTROL!$C$32, $C$9, 100%, $E$9)</f>
        <v>4.7488000000000001</v>
      </c>
      <c r="O176" s="9">
        <f>4.7532 * CHOOSE(CONTROL!$C$32, $C$9, 100%, $E$9)</f>
        <v>4.7531999999999996</v>
      </c>
    </row>
    <row r="177" spans="1:15" ht="15" x14ac:dyDescent="0.2">
      <c r="A177" s="16">
        <v>46235</v>
      </c>
      <c r="B177" s="10">
        <f>4.287 * CHOOSE(CONTROL!$C$32, $C$9, 100%, $E$9)</f>
        <v>4.2869999999999999</v>
      </c>
      <c r="C177" s="10">
        <f>4.287 * CHOOSE(CONTROL!$C$32, $C$9, 100%, $E$9)</f>
        <v>4.2869999999999999</v>
      </c>
      <c r="D177" s="10">
        <f>4.2883 * CHOOSE(CONTROL!$C$32, $C$9, 100%, $E$9)</f>
        <v>4.2882999999999996</v>
      </c>
      <c r="E177" s="9">
        <f>4.6859 * CHOOSE(CONTROL!$C$32, $C$9, 100%, $E$9)</f>
        <v>4.6859000000000002</v>
      </c>
      <c r="F177" s="9">
        <f>4.6859 * CHOOSE(CONTROL!$C$32, $C$9, 100%, $E$9)</f>
        <v>4.6859000000000002</v>
      </c>
      <c r="G177" s="9">
        <f>4.6903 * CHOOSE(CONTROL!$C$32, $C$9, 100%, $E$9)</f>
        <v>4.6902999999999997</v>
      </c>
      <c r="H177" s="9">
        <f>5.3834 * CHOOSE(CONTROL!$C$32, $C$9, 100%, $E$9)</f>
        <v>5.3834</v>
      </c>
      <c r="I177" s="9">
        <f>5.3878 * CHOOSE(CONTROL!$C$32, $C$9, 100%, $E$9)</f>
        <v>5.3878000000000004</v>
      </c>
      <c r="J177" s="9">
        <f>5.3834 * CHOOSE(CONTROL!$C$32, $C$9, 100%, $E$9)</f>
        <v>5.3834</v>
      </c>
      <c r="K177" s="9">
        <f>5.3878 * CHOOSE(CONTROL!$C$32, $C$9, 100%, $E$9)</f>
        <v>5.3878000000000004</v>
      </c>
      <c r="L177" s="9">
        <f>4.6859 * CHOOSE(CONTROL!$C$32, $C$9, 100%, $E$9)</f>
        <v>4.6859000000000002</v>
      </c>
      <c r="M177" s="9">
        <f>4.6903 * CHOOSE(CONTROL!$C$32, $C$9, 100%, $E$9)</f>
        <v>4.6902999999999997</v>
      </c>
      <c r="N177" s="9">
        <f>4.6859 * CHOOSE(CONTROL!$C$32, $C$9, 100%, $E$9)</f>
        <v>4.6859000000000002</v>
      </c>
      <c r="O177" s="9">
        <f>4.6903 * CHOOSE(CONTROL!$C$32, $C$9, 100%, $E$9)</f>
        <v>4.6902999999999997</v>
      </c>
    </row>
    <row r="178" spans="1:15" ht="15" x14ac:dyDescent="0.2">
      <c r="A178" s="16">
        <v>46266</v>
      </c>
      <c r="B178" s="10">
        <f>4.2839 * CHOOSE(CONTROL!$C$32, $C$9, 100%, $E$9)</f>
        <v>4.2839</v>
      </c>
      <c r="C178" s="10">
        <f>4.2839 * CHOOSE(CONTROL!$C$32, $C$9, 100%, $E$9)</f>
        <v>4.2839</v>
      </c>
      <c r="D178" s="10">
        <f>4.2852 * CHOOSE(CONTROL!$C$32, $C$9, 100%, $E$9)</f>
        <v>4.2851999999999997</v>
      </c>
      <c r="E178" s="9">
        <f>4.6763 * CHOOSE(CONTROL!$C$32, $C$9, 100%, $E$9)</f>
        <v>4.6763000000000003</v>
      </c>
      <c r="F178" s="9">
        <f>4.6763 * CHOOSE(CONTROL!$C$32, $C$9, 100%, $E$9)</f>
        <v>4.6763000000000003</v>
      </c>
      <c r="G178" s="9">
        <f>4.6806 * CHOOSE(CONTROL!$C$32, $C$9, 100%, $E$9)</f>
        <v>4.6806000000000001</v>
      </c>
      <c r="H178" s="9">
        <f>5.3814 * CHOOSE(CONTROL!$C$32, $C$9, 100%, $E$9)</f>
        <v>5.3814000000000002</v>
      </c>
      <c r="I178" s="9">
        <f>5.3858 * CHOOSE(CONTROL!$C$32, $C$9, 100%, $E$9)</f>
        <v>5.3857999999999997</v>
      </c>
      <c r="J178" s="9">
        <f>5.3814 * CHOOSE(CONTROL!$C$32, $C$9, 100%, $E$9)</f>
        <v>5.3814000000000002</v>
      </c>
      <c r="K178" s="9">
        <f>5.3858 * CHOOSE(CONTROL!$C$32, $C$9, 100%, $E$9)</f>
        <v>5.3857999999999997</v>
      </c>
      <c r="L178" s="9">
        <f>4.6763 * CHOOSE(CONTROL!$C$32, $C$9, 100%, $E$9)</f>
        <v>4.6763000000000003</v>
      </c>
      <c r="M178" s="9">
        <f>4.6806 * CHOOSE(CONTROL!$C$32, $C$9, 100%, $E$9)</f>
        <v>4.6806000000000001</v>
      </c>
      <c r="N178" s="9">
        <f>4.6763 * CHOOSE(CONTROL!$C$32, $C$9, 100%, $E$9)</f>
        <v>4.6763000000000003</v>
      </c>
      <c r="O178" s="9">
        <f>4.6806 * CHOOSE(CONTROL!$C$32, $C$9, 100%, $E$9)</f>
        <v>4.6806000000000001</v>
      </c>
    </row>
    <row r="179" spans="1:15" ht="15" x14ac:dyDescent="0.2">
      <c r="A179" s="16">
        <v>46296</v>
      </c>
      <c r="B179" s="10">
        <f>4.2807 * CHOOSE(CONTROL!$C$32, $C$9, 100%, $E$9)</f>
        <v>4.2807000000000004</v>
      </c>
      <c r="C179" s="10">
        <f>4.2807 * CHOOSE(CONTROL!$C$32, $C$9, 100%, $E$9)</f>
        <v>4.2807000000000004</v>
      </c>
      <c r="D179" s="10">
        <f>4.2817 * CHOOSE(CONTROL!$C$32, $C$9, 100%, $E$9)</f>
        <v>4.2816999999999998</v>
      </c>
      <c r="E179" s="9">
        <f>4.6929 * CHOOSE(CONTROL!$C$32, $C$9, 100%, $E$9)</f>
        <v>4.6928999999999998</v>
      </c>
      <c r="F179" s="9">
        <f>4.6929 * CHOOSE(CONTROL!$C$32, $C$9, 100%, $E$9)</f>
        <v>4.6928999999999998</v>
      </c>
      <c r="G179" s="9">
        <f>4.6963 * CHOOSE(CONTROL!$C$32, $C$9, 100%, $E$9)</f>
        <v>4.6962999999999999</v>
      </c>
      <c r="H179" s="9">
        <f>5.3787 * CHOOSE(CONTROL!$C$32, $C$9, 100%, $E$9)</f>
        <v>5.3787000000000003</v>
      </c>
      <c r="I179" s="9">
        <f>5.3821 * CHOOSE(CONTROL!$C$32, $C$9, 100%, $E$9)</f>
        <v>5.3821000000000003</v>
      </c>
      <c r="J179" s="9">
        <f>5.3787 * CHOOSE(CONTROL!$C$32, $C$9, 100%, $E$9)</f>
        <v>5.3787000000000003</v>
      </c>
      <c r="K179" s="9">
        <f>5.3821 * CHOOSE(CONTROL!$C$32, $C$9, 100%, $E$9)</f>
        <v>5.3821000000000003</v>
      </c>
      <c r="L179" s="9">
        <f>4.6929 * CHOOSE(CONTROL!$C$32, $C$9, 100%, $E$9)</f>
        <v>4.6928999999999998</v>
      </c>
      <c r="M179" s="9">
        <f>4.6963 * CHOOSE(CONTROL!$C$32, $C$9, 100%, $E$9)</f>
        <v>4.6962999999999999</v>
      </c>
      <c r="N179" s="9">
        <f>4.6929 * CHOOSE(CONTROL!$C$32, $C$9, 100%, $E$9)</f>
        <v>4.6928999999999998</v>
      </c>
      <c r="O179" s="9">
        <f>4.6963 * CHOOSE(CONTROL!$C$32, $C$9, 100%, $E$9)</f>
        <v>4.6962999999999999</v>
      </c>
    </row>
    <row r="180" spans="1:15" ht="15" x14ac:dyDescent="0.2">
      <c r="A180" s="16">
        <v>46327</v>
      </c>
      <c r="B180" s="10">
        <f>4.2837 * CHOOSE(CONTROL!$C$32, $C$9, 100%, $E$9)</f>
        <v>4.2836999999999996</v>
      </c>
      <c r="C180" s="10">
        <f>4.2837 * CHOOSE(CONTROL!$C$32, $C$9, 100%, $E$9)</f>
        <v>4.2836999999999996</v>
      </c>
      <c r="D180" s="10">
        <f>4.2847 * CHOOSE(CONTROL!$C$32, $C$9, 100%, $E$9)</f>
        <v>4.2847</v>
      </c>
      <c r="E180" s="9">
        <f>4.71 * CHOOSE(CONTROL!$C$32, $C$9, 100%, $E$9)</f>
        <v>4.71</v>
      </c>
      <c r="F180" s="9">
        <f>4.71 * CHOOSE(CONTROL!$C$32, $C$9, 100%, $E$9)</f>
        <v>4.71</v>
      </c>
      <c r="G180" s="9">
        <f>4.7134 * CHOOSE(CONTROL!$C$32, $C$9, 100%, $E$9)</f>
        <v>4.7134</v>
      </c>
      <c r="H180" s="9">
        <f>5.3807 * CHOOSE(CONTROL!$C$32, $C$9, 100%, $E$9)</f>
        <v>5.3807</v>
      </c>
      <c r="I180" s="9">
        <f>5.3841 * CHOOSE(CONTROL!$C$32, $C$9, 100%, $E$9)</f>
        <v>5.3841000000000001</v>
      </c>
      <c r="J180" s="9">
        <f>5.3807 * CHOOSE(CONTROL!$C$32, $C$9, 100%, $E$9)</f>
        <v>5.3807</v>
      </c>
      <c r="K180" s="9">
        <f>5.3841 * CHOOSE(CONTROL!$C$32, $C$9, 100%, $E$9)</f>
        <v>5.3841000000000001</v>
      </c>
      <c r="L180" s="9">
        <f>4.71 * CHOOSE(CONTROL!$C$32, $C$9, 100%, $E$9)</f>
        <v>4.71</v>
      </c>
      <c r="M180" s="9">
        <f>4.7134 * CHOOSE(CONTROL!$C$32, $C$9, 100%, $E$9)</f>
        <v>4.7134</v>
      </c>
      <c r="N180" s="9">
        <f>4.71 * CHOOSE(CONTROL!$C$32, $C$9, 100%, $E$9)</f>
        <v>4.71</v>
      </c>
      <c r="O180" s="9">
        <f>4.7134 * CHOOSE(CONTROL!$C$32, $C$9, 100%, $E$9)</f>
        <v>4.7134</v>
      </c>
    </row>
    <row r="181" spans="1:15" ht="15" x14ac:dyDescent="0.2">
      <c r="A181" s="16">
        <v>46357</v>
      </c>
      <c r="B181" s="10">
        <f>4.2837 * CHOOSE(CONTROL!$C$32, $C$9, 100%, $E$9)</f>
        <v>4.2836999999999996</v>
      </c>
      <c r="C181" s="10">
        <f>4.2837 * CHOOSE(CONTROL!$C$32, $C$9, 100%, $E$9)</f>
        <v>4.2836999999999996</v>
      </c>
      <c r="D181" s="10">
        <f>4.2847 * CHOOSE(CONTROL!$C$32, $C$9, 100%, $E$9)</f>
        <v>4.2847</v>
      </c>
      <c r="E181" s="9">
        <f>4.6725 * CHOOSE(CONTROL!$C$32, $C$9, 100%, $E$9)</f>
        <v>4.6725000000000003</v>
      </c>
      <c r="F181" s="9">
        <f>4.6725 * CHOOSE(CONTROL!$C$32, $C$9, 100%, $E$9)</f>
        <v>4.6725000000000003</v>
      </c>
      <c r="G181" s="9">
        <f>4.6759 * CHOOSE(CONTROL!$C$32, $C$9, 100%, $E$9)</f>
        <v>4.6759000000000004</v>
      </c>
      <c r="H181" s="9">
        <f>5.3807 * CHOOSE(CONTROL!$C$32, $C$9, 100%, $E$9)</f>
        <v>5.3807</v>
      </c>
      <c r="I181" s="9">
        <f>5.3841 * CHOOSE(CONTROL!$C$32, $C$9, 100%, $E$9)</f>
        <v>5.3841000000000001</v>
      </c>
      <c r="J181" s="9">
        <f>5.3807 * CHOOSE(CONTROL!$C$32, $C$9, 100%, $E$9)</f>
        <v>5.3807</v>
      </c>
      <c r="K181" s="9">
        <f>5.3841 * CHOOSE(CONTROL!$C$32, $C$9, 100%, $E$9)</f>
        <v>5.3841000000000001</v>
      </c>
      <c r="L181" s="9">
        <f>4.6725 * CHOOSE(CONTROL!$C$32, $C$9, 100%, $E$9)</f>
        <v>4.6725000000000003</v>
      </c>
      <c r="M181" s="9">
        <f>4.6759 * CHOOSE(CONTROL!$C$32, $C$9, 100%, $E$9)</f>
        <v>4.6759000000000004</v>
      </c>
      <c r="N181" s="9">
        <f>4.6725 * CHOOSE(CONTROL!$C$32, $C$9, 100%, $E$9)</f>
        <v>4.6725000000000003</v>
      </c>
      <c r="O181" s="9">
        <f>4.6759 * CHOOSE(CONTROL!$C$32, $C$9, 100%, $E$9)</f>
        <v>4.6759000000000004</v>
      </c>
    </row>
    <row r="182" spans="1:15" ht="15" x14ac:dyDescent="0.2">
      <c r="A182" s="16">
        <v>46388</v>
      </c>
      <c r="B182" s="10">
        <f>4.3234 * CHOOSE(CONTROL!$C$32, $C$9, 100%, $E$9)</f>
        <v>4.3234000000000004</v>
      </c>
      <c r="C182" s="10">
        <f>4.3234 * CHOOSE(CONTROL!$C$32, $C$9, 100%, $E$9)</f>
        <v>4.3234000000000004</v>
      </c>
      <c r="D182" s="10">
        <f>4.3244 * CHOOSE(CONTROL!$C$32, $C$9, 100%, $E$9)</f>
        <v>4.3243999999999998</v>
      </c>
      <c r="E182" s="9">
        <f>4.7226 * CHOOSE(CONTROL!$C$32, $C$9, 100%, $E$9)</f>
        <v>4.7225999999999999</v>
      </c>
      <c r="F182" s="9">
        <f>4.7226 * CHOOSE(CONTROL!$C$32, $C$9, 100%, $E$9)</f>
        <v>4.7225999999999999</v>
      </c>
      <c r="G182" s="9">
        <f>4.726 * CHOOSE(CONTROL!$C$32, $C$9, 100%, $E$9)</f>
        <v>4.726</v>
      </c>
      <c r="H182" s="9">
        <f>5.4215 * CHOOSE(CONTROL!$C$32, $C$9, 100%, $E$9)</f>
        <v>5.4215</v>
      </c>
      <c r="I182" s="9">
        <f>5.4248 * CHOOSE(CONTROL!$C$32, $C$9, 100%, $E$9)</f>
        <v>5.4248000000000003</v>
      </c>
      <c r="J182" s="9">
        <f>5.4215 * CHOOSE(CONTROL!$C$32, $C$9, 100%, $E$9)</f>
        <v>5.4215</v>
      </c>
      <c r="K182" s="9">
        <f>5.4248 * CHOOSE(CONTROL!$C$32, $C$9, 100%, $E$9)</f>
        <v>5.4248000000000003</v>
      </c>
      <c r="L182" s="9">
        <f>4.7226 * CHOOSE(CONTROL!$C$32, $C$9, 100%, $E$9)</f>
        <v>4.7225999999999999</v>
      </c>
      <c r="M182" s="9">
        <f>4.726 * CHOOSE(CONTROL!$C$32, $C$9, 100%, $E$9)</f>
        <v>4.726</v>
      </c>
      <c r="N182" s="9">
        <f>4.7226 * CHOOSE(CONTROL!$C$32, $C$9, 100%, $E$9)</f>
        <v>4.7225999999999999</v>
      </c>
      <c r="O182" s="9">
        <f>4.726 * CHOOSE(CONTROL!$C$32, $C$9, 100%, $E$9)</f>
        <v>4.726</v>
      </c>
    </row>
    <row r="183" spans="1:15" ht="15" x14ac:dyDescent="0.2">
      <c r="A183" s="16">
        <v>46419</v>
      </c>
      <c r="B183" s="10">
        <f>4.3204 * CHOOSE(CONTROL!$C$32, $C$9, 100%, $E$9)</f>
        <v>4.3204000000000002</v>
      </c>
      <c r="C183" s="10">
        <f>4.3204 * CHOOSE(CONTROL!$C$32, $C$9, 100%, $E$9)</f>
        <v>4.3204000000000002</v>
      </c>
      <c r="D183" s="10">
        <f>4.3214 * CHOOSE(CONTROL!$C$32, $C$9, 100%, $E$9)</f>
        <v>4.3213999999999997</v>
      </c>
      <c r="E183" s="9">
        <f>4.6472 * CHOOSE(CONTROL!$C$32, $C$9, 100%, $E$9)</f>
        <v>4.6471999999999998</v>
      </c>
      <c r="F183" s="9">
        <f>4.6472 * CHOOSE(CONTROL!$C$32, $C$9, 100%, $E$9)</f>
        <v>4.6471999999999998</v>
      </c>
      <c r="G183" s="9">
        <f>4.6506 * CHOOSE(CONTROL!$C$32, $C$9, 100%, $E$9)</f>
        <v>4.6505999999999998</v>
      </c>
      <c r="H183" s="9">
        <f>5.4195 * CHOOSE(CONTROL!$C$32, $C$9, 100%, $E$9)</f>
        <v>5.4195000000000002</v>
      </c>
      <c r="I183" s="9">
        <f>5.4228 * CHOOSE(CONTROL!$C$32, $C$9, 100%, $E$9)</f>
        <v>5.4227999999999996</v>
      </c>
      <c r="J183" s="9">
        <f>5.4195 * CHOOSE(CONTROL!$C$32, $C$9, 100%, $E$9)</f>
        <v>5.4195000000000002</v>
      </c>
      <c r="K183" s="9">
        <f>5.4228 * CHOOSE(CONTROL!$C$32, $C$9, 100%, $E$9)</f>
        <v>5.4227999999999996</v>
      </c>
      <c r="L183" s="9">
        <f>4.6472 * CHOOSE(CONTROL!$C$32, $C$9, 100%, $E$9)</f>
        <v>4.6471999999999998</v>
      </c>
      <c r="M183" s="9">
        <f>4.6506 * CHOOSE(CONTROL!$C$32, $C$9, 100%, $E$9)</f>
        <v>4.6505999999999998</v>
      </c>
      <c r="N183" s="9">
        <f>4.6472 * CHOOSE(CONTROL!$C$32, $C$9, 100%, $E$9)</f>
        <v>4.6471999999999998</v>
      </c>
      <c r="O183" s="9">
        <f>4.6506 * CHOOSE(CONTROL!$C$32, $C$9, 100%, $E$9)</f>
        <v>4.6505999999999998</v>
      </c>
    </row>
    <row r="184" spans="1:15" ht="15" x14ac:dyDescent="0.2">
      <c r="A184" s="16">
        <v>46447</v>
      </c>
      <c r="B184" s="10">
        <f>4.3173 * CHOOSE(CONTROL!$C$32, $C$9, 100%, $E$9)</f>
        <v>4.3173000000000004</v>
      </c>
      <c r="C184" s="10">
        <f>4.3173 * CHOOSE(CONTROL!$C$32, $C$9, 100%, $E$9)</f>
        <v>4.3173000000000004</v>
      </c>
      <c r="D184" s="10">
        <f>4.3183 * CHOOSE(CONTROL!$C$32, $C$9, 100%, $E$9)</f>
        <v>4.3182999999999998</v>
      </c>
      <c r="E184" s="9">
        <f>4.7028 * CHOOSE(CONTROL!$C$32, $C$9, 100%, $E$9)</f>
        <v>4.7027999999999999</v>
      </c>
      <c r="F184" s="9">
        <f>4.7028 * CHOOSE(CONTROL!$C$32, $C$9, 100%, $E$9)</f>
        <v>4.7027999999999999</v>
      </c>
      <c r="G184" s="9">
        <f>4.7062 * CHOOSE(CONTROL!$C$32, $C$9, 100%, $E$9)</f>
        <v>4.7061999999999999</v>
      </c>
      <c r="H184" s="9">
        <f>5.4175 * CHOOSE(CONTROL!$C$32, $C$9, 100%, $E$9)</f>
        <v>5.4175000000000004</v>
      </c>
      <c r="I184" s="9">
        <f>5.4208 * CHOOSE(CONTROL!$C$32, $C$9, 100%, $E$9)</f>
        <v>5.4207999999999998</v>
      </c>
      <c r="J184" s="9">
        <f>5.4175 * CHOOSE(CONTROL!$C$32, $C$9, 100%, $E$9)</f>
        <v>5.4175000000000004</v>
      </c>
      <c r="K184" s="9">
        <f>5.4208 * CHOOSE(CONTROL!$C$32, $C$9, 100%, $E$9)</f>
        <v>5.4207999999999998</v>
      </c>
      <c r="L184" s="9">
        <f>4.7028 * CHOOSE(CONTROL!$C$32, $C$9, 100%, $E$9)</f>
        <v>4.7027999999999999</v>
      </c>
      <c r="M184" s="9">
        <f>4.7062 * CHOOSE(CONTROL!$C$32, $C$9, 100%, $E$9)</f>
        <v>4.7061999999999999</v>
      </c>
      <c r="N184" s="9">
        <f>4.7028 * CHOOSE(CONTROL!$C$32, $C$9, 100%, $E$9)</f>
        <v>4.7027999999999999</v>
      </c>
      <c r="O184" s="9">
        <f>4.7062 * CHOOSE(CONTROL!$C$32, $C$9, 100%, $E$9)</f>
        <v>4.7061999999999999</v>
      </c>
    </row>
    <row r="185" spans="1:15" ht="15" x14ac:dyDescent="0.2">
      <c r="A185" s="16">
        <v>46478</v>
      </c>
      <c r="B185" s="10">
        <f>4.3155 * CHOOSE(CONTROL!$C$32, $C$9, 100%, $E$9)</f>
        <v>4.3155000000000001</v>
      </c>
      <c r="C185" s="10">
        <f>4.3155 * CHOOSE(CONTROL!$C$32, $C$9, 100%, $E$9)</f>
        <v>4.3155000000000001</v>
      </c>
      <c r="D185" s="10">
        <f>4.3165 * CHOOSE(CONTROL!$C$32, $C$9, 100%, $E$9)</f>
        <v>4.3164999999999996</v>
      </c>
      <c r="E185" s="9">
        <f>4.7607 * CHOOSE(CONTROL!$C$32, $C$9, 100%, $E$9)</f>
        <v>4.7606999999999999</v>
      </c>
      <c r="F185" s="9">
        <f>4.7607 * CHOOSE(CONTROL!$C$32, $C$9, 100%, $E$9)</f>
        <v>4.7606999999999999</v>
      </c>
      <c r="G185" s="9">
        <f>4.764 * CHOOSE(CONTROL!$C$32, $C$9, 100%, $E$9)</f>
        <v>4.7640000000000002</v>
      </c>
      <c r="H185" s="9">
        <f>5.4161 * CHOOSE(CONTROL!$C$32, $C$9, 100%, $E$9)</f>
        <v>5.4161000000000001</v>
      </c>
      <c r="I185" s="9">
        <f>5.4194 * CHOOSE(CONTROL!$C$32, $C$9, 100%, $E$9)</f>
        <v>5.4194000000000004</v>
      </c>
      <c r="J185" s="9">
        <f>5.4161 * CHOOSE(CONTROL!$C$32, $C$9, 100%, $E$9)</f>
        <v>5.4161000000000001</v>
      </c>
      <c r="K185" s="9">
        <f>5.4194 * CHOOSE(CONTROL!$C$32, $C$9, 100%, $E$9)</f>
        <v>5.4194000000000004</v>
      </c>
      <c r="L185" s="9">
        <f>4.7607 * CHOOSE(CONTROL!$C$32, $C$9, 100%, $E$9)</f>
        <v>4.7606999999999999</v>
      </c>
      <c r="M185" s="9">
        <f>4.764 * CHOOSE(CONTROL!$C$32, $C$9, 100%, $E$9)</f>
        <v>4.7640000000000002</v>
      </c>
      <c r="N185" s="9">
        <f>4.7607 * CHOOSE(CONTROL!$C$32, $C$9, 100%, $E$9)</f>
        <v>4.7606999999999999</v>
      </c>
      <c r="O185" s="9">
        <f>4.764 * CHOOSE(CONTROL!$C$32, $C$9, 100%, $E$9)</f>
        <v>4.7640000000000002</v>
      </c>
    </row>
    <row r="186" spans="1:15" ht="15" x14ac:dyDescent="0.2">
      <c r="A186" s="16">
        <v>46508</v>
      </c>
      <c r="B186" s="10">
        <f>4.3155 * CHOOSE(CONTROL!$C$32, $C$9, 100%, $E$9)</f>
        <v>4.3155000000000001</v>
      </c>
      <c r="C186" s="10">
        <f>4.3155 * CHOOSE(CONTROL!$C$32, $C$9, 100%, $E$9)</f>
        <v>4.3155000000000001</v>
      </c>
      <c r="D186" s="10">
        <f>4.3168 * CHOOSE(CONTROL!$C$32, $C$9, 100%, $E$9)</f>
        <v>4.3167999999999997</v>
      </c>
      <c r="E186" s="9">
        <f>4.7839 * CHOOSE(CONTROL!$C$32, $C$9, 100%, $E$9)</f>
        <v>4.7839</v>
      </c>
      <c r="F186" s="9">
        <f>4.7839 * CHOOSE(CONTROL!$C$32, $C$9, 100%, $E$9)</f>
        <v>4.7839</v>
      </c>
      <c r="G186" s="9">
        <f>4.7883 * CHOOSE(CONTROL!$C$32, $C$9, 100%, $E$9)</f>
        <v>4.7882999999999996</v>
      </c>
      <c r="H186" s="9">
        <f>5.4161 * CHOOSE(CONTROL!$C$32, $C$9, 100%, $E$9)</f>
        <v>5.4161000000000001</v>
      </c>
      <c r="I186" s="9">
        <f>5.4204 * CHOOSE(CONTROL!$C$32, $C$9, 100%, $E$9)</f>
        <v>5.4203999999999999</v>
      </c>
      <c r="J186" s="9">
        <f>5.4161 * CHOOSE(CONTROL!$C$32, $C$9, 100%, $E$9)</f>
        <v>5.4161000000000001</v>
      </c>
      <c r="K186" s="9">
        <f>5.4204 * CHOOSE(CONTROL!$C$32, $C$9, 100%, $E$9)</f>
        <v>5.4203999999999999</v>
      </c>
      <c r="L186" s="9">
        <f>4.7839 * CHOOSE(CONTROL!$C$32, $C$9, 100%, $E$9)</f>
        <v>4.7839</v>
      </c>
      <c r="M186" s="9">
        <f>4.7883 * CHOOSE(CONTROL!$C$32, $C$9, 100%, $E$9)</f>
        <v>4.7882999999999996</v>
      </c>
      <c r="N186" s="9">
        <f>4.7839 * CHOOSE(CONTROL!$C$32, $C$9, 100%, $E$9)</f>
        <v>4.7839</v>
      </c>
      <c r="O186" s="9">
        <f>4.7883 * CHOOSE(CONTROL!$C$32, $C$9, 100%, $E$9)</f>
        <v>4.7882999999999996</v>
      </c>
    </row>
    <row r="187" spans="1:15" ht="15" x14ac:dyDescent="0.2">
      <c r="A187" s="16">
        <v>46539</v>
      </c>
      <c r="B187" s="10">
        <f>4.3215 * CHOOSE(CONTROL!$C$32, $C$9, 100%, $E$9)</f>
        <v>4.3215000000000003</v>
      </c>
      <c r="C187" s="10">
        <f>4.3215 * CHOOSE(CONTROL!$C$32, $C$9, 100%, $E$9)</f>
        <v>4.3215000000000003</v>
      </c>
      <c r="D187" s="10">
        <f>4.3228 * CHOOSE(CONTROL!$C$32, $C$9, 100%, $E$9)</f>
        <v>4.3228</v>
      </c>
      <c r="E187" s="9">
        <f>4.7649 * CHOOSE(CONTROL!$C$32, $C$9, 100%, $E$9)</f>
        <v>4.7648999999999999</v>
      </c>
      <c r="F187" s="9">
        <f>4.7649 * CHOOSE(CONTROL!$C$32, $C$9, 100%, $E$9)</f>
        <v>4.7648999999999999</v>
      </c>
      <c r="G187" s="9">
        <f>4.7693 * CHOOSE(CONTROL!$C$32, $C$9, 100%, $E$9)</f>
        <v>4.7693000000000003</v>
      </c>
      <c r="H187" s="9">
        <f>5.4201 * CHOOSE(CONTROL!$C$32, $C$9, 100%, $E$9)</f>
        <v>5.4200999999999997</v>
      </c>
      <c r="I187" s="9">
        <f>5.4244 * CHOOSE(CONTROL!$C$32, $C$9, 100%, $E$9)</f>
        <v>5.4244000000000003</v>
      </c>
      <c r="J187" s="9">
        <f>5.4201 * CHOOSE(CONTROL!$C$32, $C$9, 100%, $E$9)</f>
        <v>5.4200999999999997</v>
      </c>
      <c r="K187" s="9">
        <f>5.4244 * CHOOSE(CONTROL!$C$32, $C$9, 100%, $E$9)</f>
        <v>5.4244000000000003</v>
      </c>
      <c r="L187" s="9">
        <f>4.7649 * CHOOSE(CONTROL!$C$32, $C$9, 100%, $E$9)</f>
        <v>4.7648999999999999</v>
      </c>
      <c r="M187" s="9">
        <f>4.7693 * CHOOSE(CONTROL!$C$32, $C$9, 100%, $E$9)</f>
        <v>4.7693000000000003</v>
      </c>
      <c r="N187" s="9">
        <f>4.7649 * CHOOSE(CONTROL!$C$32, $C$9, 100%, $E$9)</f>
        <v>4.7648999999999999</v>
      </c>
      <c r="O187" s="9">
        <f>4.7693 * CHOOSE(CONTROL!$C$32, $C$9, 100%, $E$9)</f>
        <v>4.7693000000000003</v>
      </c>
    </row>
    <row r="188" spans="1:15" ht="15" x14ac:dyDescent="0.2">
      <c r="A188" s="16">
        <v>46569</v>
      </c>
      <c r="B188" s="10">
        <f>4.3946 * CHOOSE(CONTROL!$C$32, $C$9, 100%, $E$9)</f>
        <v>4.3945999999999996</v>
      </c>
      <c r="C188" s="10">
        <f>4.3946 * CHOOSE(CONTROL!$C$32, $C$9, 100%, $E$9)</f>
        <v>4.3945999999999996</v>
      </c>
      <c r="D188" s="10">
        <f>4.3959 * CHOOSE(CONTROL!$C$32, $C$9, 100%, $E$9)</f>
        <v>4.3959000000000001</v>
      </c>
      <c r="E188" s="9">
        <f>4.801 * CHOOSE(CONTROL!$C$32, $C$9, 100%, $E$9)</f>
        <v>4.8010000000000002</v>
      </c>
      <c r="F188" s="9">
        <f>4.801 * CHOOSE(CONTROL!$C$32, $C$9, 100%, $E$9)</f>
        <v>4.8010000000000002</v>
      </c>
      <c r="G188" s="9">
        <f>4.8053 * CHOOSE(CONTROL!$C$32, $C$9, 100%, $E$9)</f>
        <v>4.8052999999999999</v>
      </c>
      <c r="H188" s="9">
        <f>5.5049 * CHOOSE(CONTROL!$C$32, $C$9, 100%, $E$9)</f>
        <v>5.5049000000000001</v>
      </c>
      <c r="I188" s="9">
        <f>5.5093 * CHOOSE(CONTROL!$C$32, $C$9, 100%, $E$9)</f>
        <v>5.5092999999999996</v>
      </c>
      <c r="J188" s="9">
        <f>5.5049 * CHOOSE(CONTROL!$C$32, $C$9, 100%, $E$9)</f>
        <v>5.5049000000000001</v>
      </c>
      <c r="K188" s="9">
        <f>5.5093 * CHOOSE(CONTROL!$C$32, $C$9, 100%, $E$9)</f>
        <v>5.5092999999999996</v>
      </c>
      <c r="L188" s="9">
        <f>4.801 * CHOOSE(CONTROL!$C$32, $C$9, 100%, $E$9)</f>
        <v>4.8010000000000002</v>
      </c>
      <c r="M188" s="9">
        <f>4.8053 * CHOOSE(CONTROL!$C$32, $C$9, 100%, $E$9)</f>
        <v>4.8052999999999999</v>
      </c>
      <c r="N188" s="9">
        <f>4.801 * CHOOSE(CONTROL!$C$32, $C$9, 100%, $E$9)</f>
        <v>4.8010000000000002</v>
      </c>
      <c r="O188" s="9">
        <f>4.8053 * CHOOSE(CONTROL!$C$32, $C$9, 100%, $E$9)</f>
        <v>4.8052999999999999</v>
      </c>
    </row>
    <row r="189" spans="1:15" ht="15" x14ac:dyDescent="0.2">
      <c r="A189" s="16">
        <v>46600</v>
      </c>
      <c r="B189" s="10">
        <f>4.4013 * CHOOSE(CONTROL!$C$32, $C$9, 100%, $E$9)</f>
        <v>4.4013</v>
      </c>
      <c r="C189" s="10">
        <f>4.4013 * CHOOSE(CONTROL!$C$32, $C$9, 100%, $E$9)</f>
        <v>4.4013</v>
      </c>
      <c r="D189" s="10">
        <f>4.4026 * CHOOSE(CONTROL!$C$32, $C$9, 100%, $E$9)</f>
        <v>4.4025999999999996</v>
      </c>
      <c r="E189" s="9">
        <f>4.7358 * CHOOSE(CONTROL!$C$32, $C$9, 100%, $E$9)</f>
        <v>4.7358000000000002</v>
      </c>
      <c r="F189" s="9">
        <f>4.7358 * CHOOSE(CONTROL!$C$32, $C$9, 100%, $E$9)</f>
        <v>4.7358000000000002</v>
      </c>
      <c r="G189" s="9">
        <f>4.7402 * CHOOSE(CONTROL!$C$32, $C$9, 100%, $E$9)</f>
        <v>4.7401999999999997</v>
      </c>
      <c r="H189" s="9">
        <f>5.5093 * CHOOSE(CONTROL!$C$32, $C$9, 100%, $E$9)</f>
        <v>5.5092999999999996</v>
      </c>
      <c r="I189" s="9">
        <f>5.5137 * CHOOSE(CONTROL!$C$32, $C$9, 100%, $E$9)</f>
        <v>5.5137</v>
      </c>
      <c r="J189" s="9">
        <f>5.5093 * CHOOSE(CONTROL!$C$32, $C$9, 100%, $E$9)</f>
        <v>5.5092999999999996</v>
      </c>
      <c r="K189" s="9">
        <f>5.5137 * CHOOSE(CONTROL!$C$32, $C$9, 100%, $E$9)</f>
        <v>5.5137</v>
      </c>
      <c r="L189" s="9">
        <f>4.7358 * CHOOSE(CONTROL!$C$32, $C$9, 100%, $E$9)</f>
        <v>4.7358000000000002</v>
      </c>
      <c r="M189" s="9">
        <f>4.7402 * CHOOSE(CONTROL!$C$32, $C$9, 100%, $E$9)</f>
        <v>4.7401999999999997</v>
      </c>
      <c r="N189" s="9">
        <f>4.7358 * CHOOSE(CONTROL!$C$32, $C$9, 100%, $E$9)</f>
        <v>4.7358000000000002</v>
      </c>
      <c r="O189" s="9">
        <f>4.7402 * CHOOSE(CONTROL!$C$32, $C$9, 100%, $E$9)</f>
        <v>4.7401999999999997</v>
      </c>
    </row>
    <row r="190" spans="1:15" ht="15" x14ac:dyDescent="0.2">
      <c r="A190" s="16">
        <v>46631</v>
      </c>
      <c r="B190" s="10">
        <f>4.3983 * CHOOSE(CONTROL!$C$32, $C$9, 100%, $E$9)</f>
        <v>4.3982999999999999</v>
      </c>
      <c r="C190" s="10">
        <f>4.3983 * CHOOSE(CONTROL!$C$32, $C$9, 100%, $E$9)</f>
        <v>4.3982999999999999</v>
      </c>
      <c r="D190" s="10">
        <f>4.3996 * CHOOSE(CONTROL!$C$32, $C$9, 100%, $E$9)</f>
        <v>4.3996000000000004</v>
      </c>
      <c r="E190" s="9">
        <f>4.726 * CHOOSE(CONTROL!$C$32, $C$9, 100%, $E$9)</f>
        <v>4.726</v>
      </c>
      <c r="F190" s="9">
        <f>4.726 * CHOOSE(CONTROL!$C$32, $C$9, 100%, $E$9)</f>
        <v>4.726</v>
      </c>
      <c r="G190" s="9">
        <f>4.7303 * CHOOSE(CONTROL!$C$32, $C$9, 100%, $E$9)</f>
        <v>4.7302999999999997</v>
      </c>
      <c r="H190" s="9">
        <f>5.5073 * CHOOSE(CONTROL!$C$32, $C$9, 100%, $E$9)</f>
        <v>5.5072999999999999</v>
      </c>
      <c r="I190" s="9">
        <f>5.5117 * CHOOSE(CONTROL!$C$32, $C$9, 100%, $E$9)</f>
        <v>5.5117000000000003</v>
      </c>
      <c r="J190" s="9">
        <f>5.5073 * CHOOSE(CONTROL!$C$32, $C$9, 100%, $E$9)</f>
        <v>5.5072999999999999</v>
      </c>
      <c r="K190" s="9">
        <f>5.5117 * CHOOSE(CONTROL!$C$32, $C$9, 100%, $E$9)</f>
        <v>5.5117000000000003</v>
      </c>
      <c r="L190" s="9">
        <f>4.726 * CHOOSE(CONTROL!$C$32, $C$9, 100%, $E$9)</f>
        <v>4.726</v>
      </c>
      <c r="M190" s="9">
        <f>4.7303 * CHOOSE(CONTROL!$C$32, $C$9, 100%, $E$9)</f>
        <v>4.7302999999999997</v>
      </c>
      <c r="N190" s="9">
        <f>4.726 * CHOOSE(CONTROL!$C$32, $C$9, 100%, $E$9)</f>
        <v>4.726</v>
      </c>
      <c r="O190" s="9">
        <f>4.7303 * CHOOSE(CONTROL!$C$32, $C$9, 100%, $E$9)</f>
        <v>4.7302999999999997</v>
      </c>
    </row>
    <row r="191" spans="1:15" ht="15" x14ac:dyDescent="0.2">
      <c r="A191" s="16">
        <v>46661</v>
      </c>
      <c r="B191" s="10">
        <f>4.3954 * CHOOSE(CONTROL!$C$32, $C$9, 100%, $E$9)</f>
        <v>4.3954000000000004</v>
      </c>
      <c r="C191" s="10">
        <f>4.3954 * CHOOSE(CONTROL!$C$32, $C$9, 100%, $E$9)</f>
        <v>4.3954000000000004</v>
      </c>
      <c r="D191" s="10">
        <f>4.3964 * CHOOSE(CONTROL!$C$32, $C$9, 100%, $E$9)</f>
        <v>4.3963999999999999</v>
      </c>
      <c r="E191" s="9">
        <f>4.7436 * CHOOSE(CONTROL!$C$32, $C$9, 100%, $E$9)</f>
        <v>4.7435999999999998</v>
      </c>
      <c r="F191" s="9">
        <f>4.7436 * CHOOSE(CONTROL!$C$32, $C$9, 100%, $E$9)</f>
        <v>4.7435999999999998</v>
      </c>
      <c r="G191" s="9">
        <f>4.747 * CHOOSE(CONTROL!$C$32, $C$9, 100%, $E$9)</f>
        <v>4.7469999999999999</v>
      </c>
      <c r="H191" s="9">
        <f>5.5048 * CHOOSE(CONTROL!$C$32, $C$9, 100%, $E$9)</f>
        <v>5.5048000000000004</v>
      </c>
      <c r="I191" s="9">
        <f>5.5082 * CHOOSE(CONTROL!$C$32, $C$9, 100%, $E$9)</f>
        <v>5.5082000000000004</v>
      </c>
      <c r="J191" s="9">
        <f>5.5048 * CHOOSE(CONTROL!$C$32, $C$9, 100%, $E$9)</f>
        <v>5.5048000000000004</v>
      </c>
      <c r="K191" s="9">
        <f>5.5082 * CHOOSE(CONTROL!$C$32, $C$9, 100%, $E$9)</f>
        <v>5.5082000000000004</v>
      </c>
      <c r="L191" s="9">
        <f>4.7436 * CHOOSE(CONTROL!$C$32, $C$9, 100%, $E$9)</f>
        <v>4.7435999999999998</v>
      </c>
      <c r="M191" s="9">
        <f>4.747 * CHOOSE(CONTROL!$C$32, $C$9, 100%, $E$9)</f>
        <v>4.7469999999999999</v>
      </c>
      <c r="N191" s="9">
        <f>4.7436 * CHOOSE(CONTROL!$C$32, $C$9, 100%, $E$9)</f>
        <v>4.7435999999999998</v>
      </c>
      <c r="O191" s="9">
        <f>4.747 * CHOOSE(CONTROL!$C$32, $C$9, 100%, $E$9)</f>
        <v>4.7469999999999999</v>
      </c>
    </row>
    <row r="192" spans="1:15" ht="15" x14ac:dyDescent="0.2">
      <c r="A192" s="16">
        <v>46692</v>
      </c>
      <c r="B192" s="10">
        <f>4.3985 * CHOOSE(CONTROL!$C$32, $C$9, 100%, $E$9)</f>
        <v>4.3985000000000003</v>
      </c>
      <c r="C192" s="10">
        <f>4.3985 * CHOOSE(CONTROL!$C$32, $C$9, 100%, $E$9)</f>
        <v>4.3985000000000003</v>
      </c>
      <c r="D192" s="10">
        <f>4.3995 * CHOOSE(CONTROL!$C$32, $C$9, 100%, $E$9)</f>
        <v>4.3994999999999997</v>
      </c>
      <c r="E192" s="9">
        <f>4.7612 * CHOOSE(CONTROL!$C$32, $C$9, 100%, $E$9)</f>
        <v>4.7611999999999997</v>
      </c>
      <c r="F192" s="9">
        <f>4.7612 * CHOOSE(CONTROL!$C$32, $C$9, 100%, $E$9)</f>
        <v>4.7611999999999997</v>
      </c>
      <c r="G192" s="9">
        <f>4.7646 * CHOOSE(CONTROL!$C$32, $C$9, 100%, $E$9)</f>
        <v>4.7645999999999997</v>
      </c>
      <c r="H192" s="9">
        <f>5.5068 * CHOOSE(CONTROL!$C$32, $C$9, 100%, $E$9)</f>
        <v>5.5068000000000001</v>
      </c>
      <c r="I192" s="9">
        <f>5.5102 * CHOOSE(CONTROL!$C$32, $C$9, 100%, $E$9)</f>
        <v>5.5102000000000002</v>
      </c>
      <c r="J192" s="9">
        <f>5.5068 * CHOOSE(CONTROL!$C$32, $C$9, 100%, $E$9)</f>
        <v>5.5068000000000001</v>
      </c>
      <c r="K192" s="9">
        <f>5.5102 * CHOOSE(CONTROL!$C$32, $C$9, 100%, $E$9)</f>
        <v>5.5102000000000002</v>
      </c>
      <c r="L192" s="9">
        <f>4.7612 * CHOOSE(CONTROL!$C$32, $C$9, 100%, $E$9)</f>
        <v>4.7611999999999997</v>
      </c>
      <c r="M192" s="9">
        <f>4.7646 * CHOOSE(CONTROL!$C$32, $C$9, 100%, $E$9)</f>
        <v>4.7645999999999997</v>
      </c>
      <c r="N192" s="9">
        <f>4.7612 * CHOOSE(CONTROL!$C$32, $C$9, 100%, $E$9)</f>
        <v>4.7611999999999997</v>
      </c>
      <c r="O192" s="9">
        <f>4.7646 * CHOOSE(CONTROL!$C$32, $C$9, 100%, $E$9)</f>
        <v>4.7645999999999997</v>
      </c>
    </row>
    <row r="193" spans="1:15" ht="15" x14ac:dyDescent="0.2">
      <c r="A193" s="16">
        <v>46722</v>
      </c>
      <c r="B193" s="10">
        <f>4.3985 * CHOOSE(CONTROL!$C$32, $C$9, 100%, $E$9)</f>
        <v>4.3985000000000003</v>
      </c>
      <c r="C193" s="10">
        <f>4.3985 * CHOOSE(CONTROL!$C$32, $C$9, 100%, $E$9)</f>
        <v>4.3985000000000003</v>
      </c>
      <c r="D193" s="10">
        <f>4.3995 * CHOOSE(CONTROL!$C$32, $C$9, 100%, $E$9)</f>
        <v>4.3994999999999997</v>
      </c>
      <c r="E193" s="9">
        <f>4.7224 * CHOOSE(CONTROL!$C$32, $C$9, 100%, $E$9)</f>
        <v>4.7224000000000004</v>
      </c>
      <c r="F193" s="9">
        <f>4.7224 * CHOOSE(CONTROL!$C$32, $C$9, 100%, $E$9)</f>
        <v>4.7224000000000004</v>
      </c>
      <c r="G193" s="9">
        <f>4.7258 * CHOOSE(CONTROL!$C$32, $C$9, 100%, $E$9)</f>
        <v>4.7257999999999996</v>
      </c>
      <c r="H193" s="9">
        <f>5.5068 * CHOOSE(CONTROL!$C$32, $C$9, 100%, $E$9)</f>
        <v>5.5068000000000001</v>
      </c>
      <c r="I193" s="9">
        <f>5.5102 * CHOOSE(CONTROL!$C$32, $C$9, 100%, $E$9)</f>
        <v>5.5102000000000002</v>
      </c>
      <c r="J193" s="9">
        <f>5.5068 * CHOOSE(CONTROL!$C$32, $C$9, 100%, $E$9)</f>
        <v>5.5068000000000001</v>
      </c>
      <c r="K193" s="9">
        <f>5.5102 * CHOOSE(CONTROL!$C$32, $C$9, 100%, $E$9)</f>
        <v>5.5102000000000002</v>
      </c>
      <c r="L193" s="9">
        <f>4.7224 * CHOOSE(CONTROL!$C$32, $C$9, 100%, $E$9)</f>
        <v>4.7224000000000004</v>
      </c>
      <c r="M193" s="9">
        <f>4.7258 * CHOOSE(CONTROL!$C$32, $C$9, 100%, $E$9)</f>
        <v>4.7257999999999996</v>
      </c>
      <c r="N193" s="9">
        <f>4.7224 * CHOOSE(CONTROL!$C$32, $C$9, 100%, $E$9)</f>
        <v>4.7224000000000004</v>
      </c>
      <c r="O193" s="9">
        <f>4.7258 * CHOOSE(CONTROL!$C$32, $C$9, 100%, $E$9)</f>
        <v>4.7257999999999996</v>
      </c>
    </row>
    <row r="194" spans="1:15" ht="15" x14ac:dyDescent="0.2">
      <c r="A194" s="16">
        <v>46753</v>
      </c>
      <c r="B194" s="10">
        <f>4.4321 * CHOOSE(CONTROL!$C$32, $C$9, 100%, $E$9)</f>
        <v>4.4321000000000002</v>
      </c>
      <c r="C194" s="10">
        <f>4.4321 * CHOOSE(CONTROL!$C$32, $C$9, 100%, $E$9)</f>
        <v>4.4321000000000002</v>
      </c>
      <c r="D194" s="10">
        <f>4.4331 * CHOOSE(CONTROL!$C$32, $C$9, 100%, $E$9)</f>
        <v>4.4330999999999996</v>
      </c>
      <c r="E194" s="9">
        <f>4.7788 * CHOOSE(CONTROL!$C$32, $C$9, 100%, $E$9)</f>
        <v>4.7788000000000004</v>
      </c>
      <c r="F194" s="9">
        <f>4.7788 * CHOOSE(CONTROL!$C$32, $C$9, 100%, $E$9)</f>
        <v>4.7788000000000004</v>
      </c>
      <c r="G194" s="9">
        <f>4.7822 * CHOOSE(CONTROL!$C$32, $C$9, 100%, $E$9)</f>
        <v>4.7821999999999996</v>
      </c>
      <c r="H194" s="9">
        <f>5.5459 * CHOOSE(CONTROL!$C$32, $C$9, 100%, $E$9)</f>
        <v>5.5458999999999996</v>
      </c>
      <c r="I194" s="9">
        <f>5.5493 * CHOOSE(CONTROL!$C$32, $C$9, 100%, $E$9)</f>
        <v>5.5492999999999997</v>
      </c>
      <c r="J194" s="9">
        <f>5.5459 * CHOOSE(CONTROL!$C$32, $C$9, 100%, $E$9)</f>
        <v>5.5458999999999996</v>
      </c>
      <c r="K194" s="9">
        <f>5.5493 * CHOOSE(CONTROL!$C$32, $C$9, 100%, $E$9)</f>
        <v>5.5492999999999997</v>
      </c>
      <c r="L194" s="9">
        <f>4.7788 * CHOOSE(CONTROL!$C$32, $C$9, 100%, $E$9)</f>
        <v>4.7788000000000004</v>
      </c>
      <c r="M194" s="9">
        <f>4.7822 * CHOOSE(CONTROL!$C$32, $C$9, 100%, $E$9)</f>
        <v>4.7821999999999996</v>
      </c>
      <c r="N194" s="9">
        <f>4.7788 * CHOOSE(CONTROL!$C$32, $C$9, 100%, $E$9)</f>
        <v>4.7788000000000004</v>
      </c>
      <c r="O194" s="9">
        <f>4.7822 * CHOOSE(CONTROL!$C$32, $C$9, 100%, $E$9)</f>
        <v>4.7821999999999996</v>
      </c>
    </row>
    <row r="195" spans="1:15" ht="15" x14ac:dyDescent="0.2">
      <c r="A195" s="16">
        <v>46784</v>
      </c>
      <c r="B195" s="10">
        <f>4.4291 * CHOOSE(CONTROL!$C$32, $C$9, 100%, $E$9)</f>
        <v>4.4291</v>
      </c>
      <c r="C195" s="10">
        <f>4.4291 * CHOOSE(CONTROL!$C$32, $C$9, 100%, $E$9)</f>
        <v>4.4291</v>
      </c>
      <c r="D195" s="10">
        <f>4.4301 * CHOOSE(CONTROL!$C$32, $C$9, 100%, $E$9)</f>
        <v>4.4301000000000004</v>
      </c>
      <c r="E195" s="9">
        <f>4.7013 * CHOOSE(CONTROL!$C$32, $C$9, 100%, $E$9)</f>
        <v>4.7012999999999998</v>
      </c>
      <c r="F195" s="9">
        <f>4.7013 * CHOOSE(CONTROL!$C$32, $C$9, 100%, $E$9)</f>
        <v>4.7012999999999998</v>
      </c>
      <c r="G195" s="9">
        <f>4.7047 * CHOOSE(CONTROL!$C$32, $C$9, 100%, $E$9)</f>
        <v>4.7046999999999999</v>
      </c>
      <c r="H195" s="9">
        <f>5.5439 * CHOOSE(CONTROL!$C$32, $C$9, 100%, $E$9)</f>
        <v>5.5438999999999998</v>
      </c>
      <c r="I195" s="9">
        <f>5.5473 * CHOOSE(CONTROL!$C$32, $C$9, 100%, $E$9)</f>
        <v>5.5472999999999999</v>
      </c>
      <c r="J195" s="9">
        <f>5.5439 * CHOOSE(CONTROL!$C$32, $C$9, 100%, $E$9)</f>
        <v>5.5438999999999998</v>
      </c>
      <c r="K195" s="9">
        <f>5.5473 * CHOOSE(CONTROL!$C$32, $C$9, 100%, $E$9)</f>
        <v>5.5472999999999999</v>
      </c>
      <c r="L195" s="9">
        <f>4.7013 * CHOOSE(CONTROL!$C$32, $C$9, 100%, $E$9)</f>
        <v>4.7012999999999998</v>
      </c>
      <c r="M195" s="9">
        <f>4.7047 * CHOOSE(CONTROL!$C$32, $C$9, 100%, $E$9)</f>
        <v>4.7046999999999999</v>
      </c>
      <c r="N195" s="9">
        <f>4.7013 * CHOOSE(CONTROL!$C$32, $C$9, 100%, $E$9)</f>
        <v>4.7012999999999998</v>
      </c>
      <c r="O195" s="9">
        <f>4.7047 * CHOOSE(CONTROL!$C$32, $C$9, 100%, $E$9)</f>
        <v>4.7046999999999999</v>
      </c>
    </row>
    <row r="196" spans="1:15" ht="15" x14ac:dyDescent="0.2">
      <c r="A196" s="16">
        <v>46813</v>
      </c>
      <c r="B196" s="10">
        <f>4.426 * CHOOSE(CONTROL!$C$32, $C$9, 100%, $E$9)</f>
        <v>4.4260000000000002</v>
      </c>
      <c r="C196" s="10">
        <f>4.426 * CHOOSE(CONTROL!$C$32, $C$9, 100%, $E$9)</f>
        <v>4.4260000000000002</v>
      </c>
      <c r="D196" s="10">
        <f>4.427 * CHOOSE(CONTROL!$C$32, $C$9, 100%, $E$9)</f>
        <v>4.4269999999999996</v>
      </c>
      <c r="E196" s="9">
        <f>4.7586 * CHOOSE(CONTROL!$C$32, $C$9, 100%, $E$9)</f>
        <v>4.7586000000000004</v>
      </c>
      <c r="F196" s="9">
        <f>4.7586 * CHOOSE(CONTROL!$C$32, $C$9, 100%, $E$9)</f>
        <v>4.7586000000000004</v>
      </c>
      <c r="G196" s="9">
        <f>4.762 * CHOOSE(CONTROL!$C$32, $C$9, 100%, $E$9)</f>
        <v>4.7619999999999996</v>
      </c>
      <c r="H196" s="9">
        <f>5.5419 * CHOOSE(CONTROL!$C$32, $C$9, 100%, $E$9)</f>
        <v>5.5419</v>
      </c>
      <c r="I196" s="9">
        <f>5.5453 * CHOOSE(CONTROL!$C$32, $C$9, 100%, $E$9)</f>
        <v>5.5453000000000001</v>
      </c>
      <c r="J196" s="9">
        <f>5.5419 * CHOOSE(CONTROL!$C$32, $C$9, 100%, $E$9)</f>
        <v>5.5419</v>
      </c>
      <c r="K196" s="9">
        <f>5.5453 * CHOOSE(CONTROL!$C$32, $C$9, 100%, $E$9)</f>
        <v>5.5453000000000001</v>
      </c>
      <c r="L196" s="9">
        <f>4.7586 * CHOOSE(CONTROL!$C$32, $C$9, 100%, $E$9)</f>
        <v>4.7586000000000004</v>
      </c>
      <c r="M196" s="9">
        <f>4.762 * CHOOSE(CONTROL!$C$32, $C$9, 100%, $E$9)</f>
        <v>4.7619999999999996</v>
      </c>
      <c r="N196" s="9">
        <f>4.7586 * CHOOSE(CONTROL!$C$32, $C$9, 100%, $E$9)</f>
        <v>4.7586000000000004</v>
      </c>
      <c r="O196" s="9">
        <f>4.762 * CHOOSE(CONTROL!$C$32, $C$9, 100%, $E$9)</f>
        <v>4.7619999999999996</v>
      </c>
    </row>
    <row r="197" spans="1:15" ht="15" x14ac:dyDescent="0.2">
      <c r="A197" s="16">
        <v>46844</v>
      </c>
      <c r="B197" s="10">
        <f>4.4243 * CHOOSE(CONTROL!$C$32, $C$9, 100%, $E$9)</f>
        <v>4.4242999999999997</v>
      </c>
      <c r="C197" s="10">
        <f>4.4243 * CHOOSE(CONTROL!$C$32, $C$9, 100%, $E$9)</f>
        <v>4.4242999999999997</v>
      </c>
      <c r="D197" s="10">
        <f>4.4253 * CHOOSE(CONTROL!$C$32, $C$9, 100%, $E$9)</f>
        <v>4.4253</v>
      </c>
      <c r="E197" s="9">
        <f>4.8182 * CHOOSE(CONTROL!$C$32, $C$9, 100%, $E$9)</f>
        <v>4.8182</v>
      </c>
      <c r="F197" s="9">
        <f>4.8182 * CHOOSE(CONTROL!$C$32, $C$9, 100%, $E$9)</f>
        <v>4.8182</v>
      </c>
      <c r="G197" s="9">
        <f>4.8216 * CHOOSE(CONTROL!$C$32, $C$9, 100%, $E$9)</f>
        <v>4.8216000000000001</v>
      </c>
      <c r="H197" s="9">
        <f>5.5406 * CHOOSE(CONTROL!$C$32, $C$9, 100%, $E$9)</f>
        <v>5.5406000000000004</v>
      </c>
      <c r="I197" s="9">
        <f>5.544 * CHOOSE(CONTROL!$C$32, $C$9, 100%, $E$9)</f>
        <v>5.5439999999999996</v>
      </c>
      <c r="J197" s="9">
        <f>5.5406 * CHOOSE(CONTROL!$C$32, $C$9, 100%, $E$9)</f>
        <v>5.5406000000000004</v>
      </c>
      <c r="K197" s="9">
        <f>5.544 * CHOOSE(CONTROL!$C$32, $C$9, 100%, $E$9)</f>
        <v>5.5439999999999996</v>
      </c>
      <c r="L197" s="9">
        <f>4.8182 * CHOOSE(CONTROL!$C$32, $C$9, 100%, $E$9)</f>
        <v>4.8182</v>
      </c>
      <c r="M197" s="9">
        <f>4.8216 * CHOOSE(CONTROL!$C$32, $C$9, 100%, $E$9)</f>
        <v>4.8216000000000001</v>
      </c>
      <c r="N197" s="9">
        <f>4.8182 * CHOOSE(CONTROL!$C$32, $C$9, 100%, $E$9)</f>
        <v>4.8182</v>
      </c>
      <c r="O197" s="9">
        <f>4.8216 * CHOOSE(CONTROL!$C$32, $C$9, 100%, $E$9)</f>
        <v>4.8216000000000001</v>
      </c>
    </row>
    <row r="198" spans="1:15" ht="15" x14ac:dyDescent="0.2">
      <c r="A198" s="16">
        <v>46874</v>
      </c>
      <c r="B198" s="10">
        <f>4.4243 * CHOOSE(CONTROL!$C$32, $C$9, 100%, $E$9)</f>
        <v>4.4242999999999997</v>
      </c>
      <c r="C198" s="10">
        <f>4.4243 * CHOOSE(CONTROL!$C$32, $C$9, 100%, $E$9)</f>
        <v>4.4242999999999997</v>
      </c>
      <c r="D198" s="10">
        <f>4.4256 * CHOOSE(CONTROL!$C$32, $C$9, 100%, $E$9)</f>
        <v>4.4256000000000002</v>
      </c>
      <c r="E198" s="9">
        <f>4.8421 * CHOOSE(CONTROL!$C$32, $C$9, 100%, $E$9)</f>
        <v>4.8421000000000003</v>
      </c>
      <c r="F198" s="9">
        <f>4.8421 * CHOOSE(CONTROL!$C$32, $C$9, 100%, $E$9)</f>
        <v>4.8421000000000003</v>
      </c>
      <c r="G198" s="9">
        <f>4.8465 * CHOOSE(CONTROL!$C$32, $C$9, 100%, $E$9)</f>
        <v>4.8464999999999998</v>
      </c>
      <c r="H198" s="9">
        <f>5.5406 * CHOOSE(CONTROL!$C$32, $C$9, 100%, $E$9)</f>
        <v>5.5406000000000004</v>
      </c>
      <c r="I198" s="9">
        <f>5.545 * CHOOSE(CONTROL!$C$32, $C$9, 100%, $E$9)</f>
        <v>5.5449999999999999</v>
      </c>
      <c r="J198" s="9">
        <f>5.5406 * CHOOSE(CONTROL!$C$32, $C$9, 100%, $E$9)</f>
        <v>5.5406000000000004</v>
      </c>
      <c r="K198" s="9">
        <f>5.545 * CHOOSE(CONTROL!$C$32, $C$9, 100%, $E$9)</f>
        <v>5.5449999999999999</v>
      </c>
      <c r="L198" s="9">
        <f>4.8421 * CHOOSE(CONTROL!$C$32, $C$9, 100%, $E$9)</f>
        <v>4.8421000000000003</v>
      </c>
      <c r="M198" s="9">
        <f>4.8465 * CHOOSE(CONTROL!$C$32, $C$9, 100%, $E$9)</f>
        <v>4.8464999999999998</v>
      </c>
      <c r="N198" s="9">
        <f>4.8421 * CHOOSE(CONTROL!$C$32, $C$9, 100%, $E$9)</f>
        <v>4.8421000000000003</v>
      </c>
      <c r="O198" s="9">
        <f>4.8465 * CHOOSE(CONTROL!$C$32, $C$9, 100%, $E$9)</f>
        <v>4.8464999999999998</v>
      </c>
    </row>
    <row r="199" spans="1:15" ht="15" x14ac:dyDescent="0.2">
      <c r="A199" s="16">
        <v>46905</v>
      </c>
      <c r="B199" s="10">
        <f>4.4303 * CHOOSE(CONTROL!$C$32, $C$9, 100%, $E$9)</f>
        <v>4.4302999999999999</v>
      </c>
      <c r="C199" s="10">
        <f>4.4303 * CHOOSE(CONTROL!$C$32, $C$9, 100%, $E$9)</f>
        <v>4.4302999999999999</v>
      </c>
      <c r="D199" s="10">
        <f>4.4316 * CHOOSE(CONTROL!$C$32, $C$9, 100%, $E$9)</f>
        <v>4.4316000000000004</v>
      </c>
      <c r="E199" s="9">
        <f>4.8224 * CHOOSE(CONTROL!$C$32, $C$9, 100%, $E$9)</f>
        <v>4.8224</v>
      </c>
      <c r="F199" s="9">
        <f>4.8224 * CHOOSE(CONTROL!$C$32, $C$9, 100%, $E$9)</f>
        <v>4.8224</v>
      </c>
      <c r="G199" s="9">
        <f>4.8268 * CHOOSE(CONTROL!$C$32, $C$9, 100%, $E$9)</f>
        <v>4.8268000000000004</v>
      </c>
      <c r="H199" s="9">
        <f>5.5446 * CHOOSE(CONTROL!$C$32, $C$9, 100%, $E$9)</f>
        <v>5.5446</v>
      </c>
      <c r="I199" s="9">
        <f>5.549 * CHOOSE(CONTROL!$C$32, $C$9, 100%, $E$9)</f>
        <v>5.5490000000000004</v>
      </c>
      <c r="J199" s="9">
        <f>5.5446 * CHOOSE(CONTROL!$C$32, $C$9, 100%, $E$9)</f>
        <v>5.5446</v>
      </c>
      <c r="K199" s="9">
        <f>5.549 * CHOOSE(CONTROL!$C$32, $C$9, 100%, $E$9)</f>
        <v>5.5490000000000004</v>
      </c>
      <c r="L199" s="9">
        <f>4.8224 * CHOOSE(CONTROL!$C$32, $C$9, 100%, $E$9)</f>
        <v>4.8224</v>
      </c>
      <c r="M199" s="9">
        <f>4.8268 * CHOOSE(CONTROL!$C$32, $C$9, 100%, $E$9)</f>
        <v>4.8268000000000004</v>
      </c>
      <c r="N199" s="9">
        <f>4.8224 * CHOOSE(CONTROL!$C$32, $C$9, 100%, $E$9)</f>
        <v>4.8224</v>
      </c>
      <c r="O199" s="9">
        <f>4.8268 * CHOOSE(CONTROL!$C$32, $C$9, 100%, $E$9)</f>
        <v>4.8268000000000004</v>
      </c>
    </row>
    <row r="200" spans="1:15" ht="15" x14ac:dyDescent="0.2">
      <c r="A200" s="16">
        <v>46935</v>
      </c>
      <c r="B200" s="10">
        <f>4.4901 * CHOOSE(CONTROL!$C$32, $C$9, 100%, $E$9)</f>
        <v>4.4901</v>
      </c>
      <c r="C200" s="10">
        <f>4.4901 * CHOOSE(CONTROL!$C$32, $C$9, 100%, $E$9)</f>
        <v>4.4901</v>
      </c>
      <c r="D200" s="10">
        <f>4.4914 * CHOOSE(CONTROL!$C$32, $C$9, 100%, $E$9)</f>
        <v>4.4913999999999996</v>
      </c>
      <c r="E200" s="9">
        <f>4.8783 * CHOOSE(CONTROL!$C$32, $C$9, 100%, $E$9)</f>
        <v>4.8783000000000003</v>
      </c>
      <c r="F200" s="9">
        <f>4.8783 * CHOOSE(CONTROL!$C$32, $C$9, 100%, $E$9)</f>
        <v>4.8783000000000003</v>
      </c>
      <c r="G200" s="9">
        <f>4.8826 * CHOOSE(CONTROL!$C$32, $C$9, 100%, $E$9)</f>
        <v>4.8826000000000001</v>
      </c>
      <c r="H200" s="9">
        <f>5.6263 * CHOOSE(CONTROL!$C$32, $C$9, 100%, $E$9)</f>
        <v>5.6262999999999996</v>
      </c>
      <c r="I200" s="9">
        <f>5.6307 * CHOOSE(CONTROL!$C$32, $C$9, 100%, $E$9)</f>
        <v>5.6307</v>
      </c>
      <c r="J200" s="9">
        <f>5.6263 * CHOOSE(CONTROL!$C$32, $C$9, 100%, $E$9)</f>
        <v>5.6262999999999996</v>
      </c>
      <c r="K200" s="9">
        <f>5.6307 * CHOOSE(CONTROL!$C$32, $C$9, 100%, $E$9)</f>
        <v>5.6307</v>
      </c>
      <c r="L200" s="9">
        <f>4.8783 * CHOOSE(CONTROL!$C$32, $C$9, 100%, $E$9)</f>
        <v>4.8783000000000003</v>
      </c>
      <c r="M200" s="9">
        <f>4.8826 * CHOOSE(CONTROL!$C$32, $C$9, 100%, $E$9)</f>
        <v>4.8826000000000001</v>
      </c>
      <c r="N200" s="9">
        <f>4.8783 * CHOOSE(CONTROL!$C$32, $C$9, 100%, $E$9)</f>
        <v>4.8783000000000003</v>
      </c>
      <c r="O200" s="9">
        <f>4.8826 * CHOOSE(CONTROL!$C$32, $C$9, 100%, $E$9)</f>
        <v>4.8826000000000001</v>
      </c>
    </row>
    <row r="201" spans="1:15" ht="15" x14ac:dyDescent="0.2">
      <c r="A201" s="16">
        <v>46966</v>
      </c>
      <c r="B201" s="10">
        <f>4.4968 * CHOOSE(CONTROL!$C$32, $C$9, 100%, $E$9)</f>
        <v>4.4968000000000004</v>
      </c>
      <c r="C201" s="10">
        <f>4.4968 * CHOOSE(CONTROL!$C$32, $C$9, 100%, $E$9)</f>
        <v>4.4968000000000004</v>
      </c>
      <c r="D201" s="10">
        <f>4.4981 * CHOOSE(CONTROL!$C$32, $C$9, 100%, $E$9)</f>
        <v>4.4981</v>
      </c>
      <c r="E201" s="9">
        <f>4.8111 * CHOOSE(CONTROL!$C$32, $C$9, 100%, $E$9)</f>
        <v>4.8110999999999997</v>
      </c>
      <c r="F201" s="9">
        <f>4.8111 * CHOOSE(CONTROL!$C$32, $C$9, 100%, $E$9)</f>
        <v>4.8110999999999997</v>
      </c>
      <c r="G201" s="9">
        <f>4.8155 * CHOOSE(CONTROL!$C$32, $C$9, 100%, $E$9)</f>
        <v>4.8155000000000001</v>
      </c>
      <c r="H201" s="9">
        <f>5.6307 * CHOOSE(CONTROL!$C$32, $C$9, 100%, $E$9)</f>
        <v>5.6307</v>
      </c>
      <c r="I201" s="9">
        <f>5.6351 * CHOOSE(CONTROL!$C$32, $C$9, 100%, $E$9)</f>
        <v>5.6351000000000004</v>
      </c>
      <c r="J201" s="9">
        <f>5.6307 * CHOOSE(CONTROL!$C$32, $C$9, 100%, $E$9)</f>
        <v>5.6307</v>
      </c>
      <c r="K201" s="9">
        <f>5.6351 * CHOOSE(CONTROL!$C$32, $C$9, 100%, $E$9)</f>
        <v>5.6351000000000004</v>
      </c>
      <c r="L201" s="9">
        <f>4.8111 * CHOOSE(CONTROL!$C$32, $C$9, 100%, $E$9)</f>
        <v>4.8110999999999997</v>
      </c>
      <c r="M201" s="9">
        <f>4.8155 * CHOOSE(CONTROL!$C$32, $C$9, 100%, $E$9)</f>
        <v>4.8155000000000001</v>
      </c>
      <c r="N201" s="9">
        <f>4.8111 * CHOOSE(CONTROL!$C$32, $C$9, 100%, $E$9)</f>
        <v>4.8110999999999997</v>
      </c>
      <c r="O201" s="9">
        <f>4.8155 * CHOOSE(CONTROL!$C$32, $C$9, 100%, $E$9)</f>
        <v>4.8155000000000001</v>
      </c>
    </row>
    <row r="202" spans="1:15" ht="15" x14ac:dyDescent="0.2">
      <c r="A202" s="16">
        <v>46997</v>
      </c>
      <c r="B202" s="10">
        <f>4.4938 * CHOOSE(CONTROL!$C$32, $C$9, 100%, $E$9)</f>
        <v>4.4938000000000002</v>
      </c>
      <c r="C202" s="10">
        <f>4.4938 * CHOOSE(CONTROL!$C$32, $C$9, 100%, $E$9)</f>
        <v>4.4938000000000002</v>
      </c>
      <c r="D202" s="10">
        <f>4.4951 * CHOOSE(CONTROL!$C$32, $C$9, 100%, $E$9)</f>
        <v>4.4950999999999999</v>
      </c>
      <c r="E202" s="9">
        <f>4.801 * CHOOSE(CONTROL!$C$32, $C$9, 100%, $E$9)</f>
        <v>4.8010000000000002</v>
      </c>
      <c r="F202" s="9">
        <f>4.801 * CHOOSE(CONTROL!$C$32, $C$9, 100%, $E$9)</f>
        <v>4.8010000000000002</v>
      </c>
      <c r="G202" s="9">
        <f>4.8054 * CHOOSE(CONTROL!$C$32, $C$9, 100%, $E$9)</f>
        <v>4.8053999999999997</v>
      </c>
      <c r="H202" s="9">
        <f>5.6287 * CHOOSE(CONTROL!$C$32, $C$9, 100%, $E$9)</f>
        <v>5.6287000000000003</v>
      </c>
      <c r="I202" s="9">
        <f>5.6331 * CHOOSE(CONTROL!$C$32, $C$9, 100%, $E$9)</f>
        <v>5.6330999999999998</v>
      </c>
      <c r="J202" s="9">
        <f>5.6287 * CHOOSE(CONTROL!$C$32, $C$9, 100%, $E$9)</f>
        <v>5.6287000000000003</v>
      </c>
      <c r="K202" s="9">
        <f>5.6331 * CHOOSE(CONTROL!$C$32, $C$9, 100%, $E$9)</f>
        <v>5.6330999999999998</v>
      </c>
      <c r="L202" s="9">
        <f>4.801 * CHOOSE(CONTROL!$C$32, $C$9, 100%, $E$9)</f>
        <v>4.8010000000000002</v>
      </c>
      <c r="M202" s="9">
        <f>4.8054 * CHOOSE(CONTROL!$C$32, $C$9, 100%, $E$9)</f>
        <v>4.8053999999999997</v>
      </c>
      <c r="N202" s="9">
        <f>4.801 * CHOOSE(CONTROL!$C$32, $C$9, 100%, $E$9)</f>
        <v>4.8010000000000002</v>
      </c>
      <c r="O202" s="9">
        <f>4.8054 * CHOOSE(CONTROL!$C$32, $C$9, 100%, $E$9)</f>
        <v>4.8053999999999997</v>
      </c>
    </row>
    <row r="203" spans="1:15" ht="15" x14ac:dyDescent="0.2">
      <c r="A203" s="16">
        <v>47027</v>
      </c>
      <c r="B203" s="10">
        <f>4.4912 * CHOOSE(CONTROL!$C$32, $C$9, 100%, $E$9)</f>
        <v>4.4912000000000001</v>
      </c>
      <c r="C203" s="10">
        <f>4.4912 * CHOOSE(CONTROL!$C$32, $C$9, 100%, $E$9)</f>
        <v>4.4912000000000001</v>
      </c>
      <c r="D203" s="10">
        <f>4.4923 * CHOOSE(CONTROL!$C$32, $C$9, 100%, $E$9)</f>
        <v>4.4923000000000002</v>
      </c>
      <c r="E203" s="9">
        <f>4.8195 * CHOOSE(CONTROL!$C$32, $C$9, 100%, $E$9)</f>
        <v>4.8194999999999997</v>
      </c>
      <c r="F203" s="9">
        <f>4.8195 * CHOOSE(CONTROL!$C$32, $C$9, 100%, $E$9)</f>
        <v>4.8194999999999997</v>
      </c>
      <c r="G203" s="9">
        <f>4.8229 * CHOOSE(CONTROL!$C$32, $C$9, 100%, $E$9)</f>
        <v>4.8228999999999997</v>
      </c>
      <c r="H203" s="9">
        <f>5.6264 * CHOOSE(CONTROL!$C$32, $C$9, 100%, $E$9)</f>
        <v>5.6264000000000003</v>
      </c>
      <c r="I203" s="9">
        <f>5.6298 * CHOOSE(CONTROL!$C$32, $C$9, 100%, $E$9)</f>
        <v>5.6298000000000004</v>
      </c>
      <c r="J203" s="9">
        <f>5.6264 * CHOOSE(CONTROL!$C$32, $C$9, 100%, $E$9)</f>
        <v>5.6264000000000003</v>
      </c>
      <c r="K203" s="9">
        <f>5.6298 * CHOOSE(CONTROL!$C$32, $C$9, 100%, $E$9)</f>
        <v>5.6298000000000004</v>
      </c>
      <c r="L203" s="9">
        <f>4.8195 * CHOOSE(CONTROL!$C$32, $C$9, 100%, $E$9)</f>
        <v>4.8194999999999997</v>
      </c>
      <c r="M203" s="9">
        <f>4.8229 * CHOOSE(CONTROL!$C$32, $C$9, 100%, $E$9)</f>
        <v>4.8228999999999997</v>
      </c>
      <c r="N203" s="9">
        <f>4.8195 * CHOOSE(CONTROL!$C$32, $C$9, 100%, $E$9)</f>
        <v>4.8194999999999997</v>
      </c>
      <c r="O203" s="9">
        <f>4.8229 * CHOOSE(CONTROL!$C$32, $C$9, 100%, $E$9)</f>
        <v>4.8228999999999997</v>
      </c>
    </row>
    <row r="204" spans="1:15" ht="15" x14ac:dyDescent="0.2">
      <c r="A204" s="16">
        <v>47058</v>
      </c>
      <c r="B204" s="10">
        <f>4.4943 * CHOOSE(CONTROL!$C$32, $C$9, 100%, $E$9)</f>
        <v>4.4943</v>
      </c>
      <c r="C204" s="10">
        <f>4.4943 * CHOOSE(CONTROL!$C$32, $C$9, 100%, $E$9)</f>
        <v>4.4943</v>
      </c>
      <c r="D204" s="10">
        <f>4.4953 * CHOOSE(CONTROL!$C$32, $C$9, 100%, $E$9)</f>
        <v>4.4953000000000003</v>
      </c>
      <c r="E204" s="9">
        <f>4.8376 * CHOOSE(CONTROL!$C$32, $C$9, 100%, $E$9)</f>
        <v>4.8376000000000001</v>
      </c>
      <c r="F204" s="9">
        <f>4.8376 * CHOOSE(CONTROL!$C$32, $C$9, 100%, $E$9)</f>
        <v>4.8376000000000001</v>
      </c>
      <c r="G204" s="9">
        <f>4.841 * CHOOSE(CONTROL!$C$32, $C$9, 100%, $E$9)</f>
        <v>4.8410000000000002</v>
      </c>
      <c r="H204" s="9">
        <f>5.6284 * CHOOSE(CONTROL!$C$32, $C$9, 100%, $E$9)</f>
        <v>5.6284000000000001</v>
      </c>
      <c r="I204" s="9">
        <f>5.6318 * CHOOSE(CONTROL!$C$32, $C$9, 100%, $E$9)</f>
        <v>5.6318000000000001</v>
      </c>
      <c r="J204" s="9">
        <f>5.6284 * CHOOSE(CONTROL!$C$32, $C$9, 100%, $E$9)</f>
        <v>5.6284000000000001</v>
      </c>
      <c r="K204" s="9">
        <f>5.6318 * CHOOSE(CONTROL!$C$32, $C$9, 100%, $E$9)</f>
        <v>5.6318000000000001</v>
      </c>
      <c r="L204" s="9">
        <f>4.8376 * CHOOSE(CONTROL!$C$32, $C$9, 100%, $E$9)</f>
        <v>4.8376000000000001</v>
      </c>
      <c r="M204" s="9">
        <f>4.841 * CHOOSE(CONTROL!$C$32, $C$9, 100%, $E$9)</f>
        <v>4.8410000000000002</v>
      </c>
      <c r="N204" s="9">
        <f>4.8376 * CHOOSE(CONTROL!$C$32, $C$9, 100%, $E$9)</f>
        <v>4.8376000000000001</v>
      </c>
      <c r="O204" s="9">
        <f>4.841 * CHOOSE(CONTROL!$C$32, $C$9, 100%, $E$9)</f>
        <v>4.8410000000000002</v>
      </c>
    </row>
    <row r="205" spans="1:15" ht="15" x14ac:dyDescent="0.2">
      <c r="A205" s="16">
        <v>47088</v>
      </c>
      <c r="B205" s="10">
        <f>4.4943 * CHOOSE(CONTROL!$C$32, $C$9, 100%, $E$9)</f>
        <v>4.4943</v>
      </c>
      <c r="C205" s="10">
        <f>4.4943 * CHOOSE(CONTROL!$C$32, $C$9, 100%, $E$9)</f>
        <v>4.4943</v>
      </c>
      <c r="D205" s="10">
        <f>4.4953 * CHOOSE(CONTROL!$C$32, $C$9, 100%, $E$9)</f>
        <v>4.4953000000000003</v>
      </c>
      <c r="E205" s="9">
        <f>4.7977 * CHOOSE(CONTROL!$C$32, $C$9, 100%, $E$9)</f>
        <v>4.7976999999999999</v>
      </c>
      <c r="F205" s="9">
        <f>4.7977 * CHOOSE(CONTROL!$C$32, $C$9, 100%, $E$9)</f>
        <v>4.7976999999999999</v>
      </c>
      <c r="G205" s="9">
        <f>4.8011 * CHOOSE(CONTROL!$C$32, $C$9, 100%, $E$9)</f>
        <v>4.8010999999999999</v>
      </c>
      <c r="H205" s="9">
        <f>5.6284 * CHOOSE(CONTROL!$C$32, $C$9, 100%, $E$9)</f>
        <v>5.6284000000000001</v>
      </c>
      <c r="I205" s="9">
        <f>5.6318 * CHOOSE(CONTROL!$C$32, $C$9, 100%, $E$9)</f>
        <v>5.6318000000000001</v>
      </c>
      <c r="J205" s="9">
        <f>5.6284 * CHOOSE(CONTROL!$C$32, $C$9, 100%, $E$9)</f>
        <v>5.6284000000000001</v>
      </c>
      <c r="K205" s="9">
        <f>5.6318 * CHOOSE(CONTROL!$C$32, $C$9, 100%, $E$9)</f>
        <v>5.6318000000000001</v>
      </c>
      <c r="L205" s="9">
        <f>4.7977 * CHOOSE(CONTROL!$C$32, $C$9, 100%, $E$9)</f>
        <v>4.7976999999999999</v>
      </c>
      <c r="M205" s="9">
        <f>4.8011 * CHOOSE(CONTROL!$C$32, $C$9, 100%, $E$9)</f>
        <v>4.8010999999999999</v>
      </c>
      <c r="N205" s="9">
        <f>4.7977 * CHOOSE(CONTROL!$C$32, $C$9, 100%, $E$9)</f>
        <v>4.7976999999999999</v>
      </c>
      <c r="O205" s="9">
        <f>4.8011 * CHOOSE(CONTROL!$C$32, $C$9, 100%, $E$9)</f>
        <v>4.8010999999999999</v>
      </c>
    </row>
    <row r="206" spans="1:15" ht="15" x14ac:dyDescent="0.2">
      <c r="A206" s="16">
        <v>47119</v>
      </c>
      <c r="B206" s="10">
        <f>4.5398 * CHOOSE(CONTROL!$C$32, $C$9, 100%, $E$9)</f>
        <v>4.5397999999999996</v>
      </c>
      <c r="C206" s="10">
        <f>4.5398 * CHOOSE(CONTROL!$C$32, $C$9, 100%, $E$9)</f>
        <v>4.5397999999999996</v>
      </c>
      <c r="D206" s="10">
        <f>4.5408 * CHOOSE(CONTROL!$C$32, $C$9, 100%, $E$9)</f>
        <v>4.5407999999999999</v>
      </c>
      <c r="E206" s="9">
        <f>4.8591 * CHOOSE(CONTROL!$C$32, $C$9, 100%, $E$9)</f>
        <v>4.8590999999999998</v>
      </c>
      <c r="F206" s="9">
        <f>4.8591 * CHOOSE(CONTROL!$C$32, $C$9, 100%, $E$9)</f>
        <v>4.8590999999999998</v>
      </c>
      <c r="G206" s="9">
        <f>4.8625 * CHOOSE(CONTROL!$C$32, $C$9, 100%, $E$9)</f>
        <v>4.8624999999999998</v>
      </c>
      <c r="H206" s="9">
        <f>5.6752 * CHOOSE(CONTROL!$C$32, $C$9, 100%, $E$9)</f>
        <v>5.6752000000000002</v>
      </c>
      <c r="I206" s="9">
        <f>5.6786 * CHOOSE(CONTROL!$C$32, $C$9, 100%, $E$9)</f>
        <v>5.6786000000000003</v>
      </c>
      <c r="J206" s="9">
        <f>5.6752 * CHOOSE(CONTROL!$C$32, $C$9, 100%, $E$9)</f>
        <v>5.6752000000000002</v>
      </c>
      <c r="K206" s="9">
        <f>5.6786 * CHOOSE(CONTROL!$C$32, $C$9, 100%, $E$9)</f>
        <v>5.6786000000000003</v>
      </c>
      <c r="L206" s="9">
        <f>4.8591 * CHOOSE(CONTROL!$C$32, $C$9, 100%, $E$9)</f>
        <v>4.8590999999999998</v>
      </c>
      <c r="M206" s="9">
        <f>4.8625 * CHOOSE(CONTROL!$C$32, $C$9, 100%, $E$9)</f>
        <v>4.8624999999999998</v>
      </c>
      <c r="N206" s="9">
        <f>4.8591 * CHOOSE(CONTROL!$C$32, $C$9, 100%, $E$9)</f>
        <v>4.8590999999999998</v>
      </c>
      <c r="O206" s="9">
        <f>4.8625 * CHOOSE(CONTROL!$C$32, $C$9, 100%, $E$9)</f>
        <v>4.8624999999999998</v>
      </c>
    </row>
    <row r="207" spans="1:15" ht="15" x14ac:dyDescent="0.2">
      <c r="A207" s="16">
        <v>47150</v>
      </c>
      <c r="B207" s="10">
        <f>4.5368 * CHOOSE(CONTROL!$C$32, $C$9, 100%, $E$9)</f>
        <v>4.5368000000000004</v>
      </c>
      <c r="C207" s="10">
        <f>4.5368 * CHOOSE(CONTROL!$C$32, $C$9, 100%, $E$9)</f>
        <v>4.5368000000000004</v>
      </c>
      <c r="D207" s="10">
        <f>4.5378 * CHOOSE(CONTROL!$C$32, $C$9, 100%, $E$9)</f>
        <v>4.5377999999999998</v>
      </c>
      <c r="E207" s="9">
        <f>4.779 * CHOOSE(CONTROL!$C$32, $C$9, 100%, $E$9)</f>
        <v>4.7789999999999999</v>
      </c>
      <c r="F207" s="9">
        <f>4.779 * CHOOSE(CONTROL!$C$32, $C$9, 100%, $E$9)</f>
        <v>4.7789999999999999</v>
      </c>
      <c r="G207" s="9">
        <f>4.7824 * CHOOSE(CONTROL!$C$32, $C$9, 100%, $E$9)</f>
        <v>4.7824</v>
      </c>
      <c r="H207" s="9">
        <f>5.6732 * CHOOSE(CONTROL!$C$32, $C$9, 100%, $E$9)</f>
        <v>5.6731999999999996</v>
      </c>
      <c r="I207" s="9">
        <f>5.6766 * CHOOSE(CONTROL!$C$32, $C$9, 100%, $E$9)</f>
        <v>5.6765999999999996</v>
      </c>
      <c r="J207" s="9">
        <f>5.6732 * CHOOSE(CONTROL!$C$32, $C$9, 100%, $E$9)</f>
        <v>5.6731999999999996</v>
      </c>
      <c r="K207" s="9">
        <f>5.6766 * CHOOSE(CONTROL!$C$32, $C$9, 100%, $E$9)</f>
        <v>5.6765999999999996</v>
      </c>
      <c r="L207" s="9">
        <f>4.779 * CHOOSE(CONTROL!$C$32, $C$9, 100%, $E$9)</f>
        <v>4.7789999999999999</v>
      </c>
      <c r="M207" s="9">
        <f>4.7824 * CHOOSE(CONTROL!$C$32, $C$9, 100%, $E$9)</f>
        <v>4.7824</v>
      </c>
      <c r="N207" s="9">
        <f>4.779 * CHOOSE(CONTROL!$C$32, $C$9, 100%, $E$9)</f>
        <v>4.7789999999999999</v>
      </c>
      <c r="O207" s="9">
        <f>4.7824 * CHOOSE(CONTROL!$C$32, $C$9, 100%, $E$9)</f>
        <v>4.7824</v>
      </c>
    </row>
    <row r="208" spans="1:15" ht="15" x14ac:dyDescent="0.2">
      <c r="A208" s="16">
        <v>47178</v>
      </c>
      <c r="B208" s="10">
        <f>4.5337 * CHOOSE(CONTROL!$C$32, $C$9, 100%, $E$9)</f>
        <v>4.5336999999999996</v>
      </c>
      <c r="C208" s="10">
        <f>4.5337 * CHOOSE(CONTROL!$C$32, $C$9, 100%, $E$9)</f>
        <v>4.5336999999999996</v>
      </c>
      <c r="D208" s="10">
        <f>4.5347 * CHOOSE(CONTROL!$C$32, $C$9, 100%, $E$9)</f>
        <v>4.5347</v>
      </c>
      <c r="E208" s="9">
        <f>4.8384 * CHOOSE(CONTROL!$C$32, $C$9, 100%, $E$9)</f>
        <v>4.8384</v>
      </c>
      <c r="F208" s="9">
        <f>4.8384 * CHOOSE(CONTROL!$C$32, $C$9, 100%, $E$9)</f>
        <v>4.8384</v>
      </c>
      <c r="G208" s="9">
        <f>4.8418 * CHOOSE(CONTROL!$C$32, $C$9, 100%, $E$9)</f>
        <v>4.8418000000000001</v>
      </c>
      <c r="H208" s="9">
        <f>5.6712 * CHOOSE(CONTROL!$C$32, $C$9, 100%, $E$9)</f>
        <v>5.6711999999999998</v>
      </c>
      <c r="I208" s="9">
        <f>5.6746 * CHOOSE(CONTROL!$C$32, $C$9, 100%, $E$9)</f>
        <v>5.6745999999999999</v>
      </c>
      <c r="J208" s="9">
        <f>5.6712 * CHOOSE(CONTROL!$C$32, $C$9, 100%, $E$9)</f>
        <v>5.6711999999999998</v>
      </c>
      <c r="K208" s="9">
        <f>5.6746 * CHOOSE(CONTROL!$C$32, $C$9, 100%, $E$9)</f>
        <v>5.6745999999999999</v>
      </c>
      <c r="L208" s="9">
        <f>4.8384 * CHOOSE(CONTROL!$C$32, $C$9, 100%, $E$9)</f>
        <v>4.8384</v>
      </c>
      <c r="M208" s="9">
        <f>4.8418 * CHOOSE(CONTROL!$C$32, $C$9, 100%, $E$9)</f>
        <v>4.8418000000000001</v>
      </c>
      <c r="N208" s="9">
        <f>4.8384 * CHOOSE(CONTROL!$C$32, $C$9, 100%, $E$9)</f>
        <v>4.8384</v>
      </c>
      <c r="O208" s="9">
        <f>4.8418 * CHOOSE(CONTROL!$C$32, $C$9, 100%, $E$9)</f>
        <v>4.8418000000000001</v>
      </c>
    </row>
    <row r="209" spans="1:15" ht="15" x14ac:dyDescent="0.2">
      <c r="A209" s="16">
        <v>47209</v>
      </c>
      <c r="B209" s="10">
        <f>4.5321 * CHOOSE(CONTROL!$C$32, $C$9, 100%, $E$9)</f>
        <v>4.5320999999999998</v>
      </c>
      <c r="C209" s="10">
        <f>4.5321 * CHOOSE(CONTROL!$C$32, $C$9, 100%, $E$9)</f>
        <v>4.5320999999999998</v>
      </c>
      <c r="D209" s="10">
        <f>4.5331 * CHOOSE(CONTROL!$C$32, $C$9, 100%, $E$9)</f>
        <v>4.5331000000000001</v>
      </c>
      <c r="E209" s="9">
        <f>4.9001 * CHOOSE(CONTROL!$C$32, $C$9, 100%, $E$9)</f>
        <v>4.9001000000000001</v>
      </c>
      <c r="F209" s="9">
        <f>4.9001 * CHOOSE(CONTROL!$C$32, $C$9, 100%, $E$9)</f>
        <v>4.9001000000000001</v>
      </c>
      <c r="G209" s="9">
        <f>4.9035 * CHOOSE(CONTROL!$C$32, $C$9, 100%, $E$9)</f>
        <v>4.9035000000000002</v>
      </c>
      <c r="H209" s="9">
        <f>5.67 * CHOOSE(CONTROL!$C$32, $C$9, 100%, $E$9)</f>
        <v>5.67</v>
      </c>
      <c r="I209" s="9">
        <f>5.6734 * CHOOSE(CONTROL!$C$32, $C$9, 100%, $E$9)</f>
        <v>5.6734</v>
      </c>
      <c r="J209" s="9">
        <f>5.67 * CHOOSE(CONTROL!$C$32, $C$9, 100%, $E$9)</f>
        <v>5.67</v>
      </c>
      <c r="K209" s="9">
        <f>5.6734 * CHOOSE(CONTROL!$C$32, $C$9, 100%, $E$9)</f>
        <v>5.6734</v>
      </c>
      <c r="L209" s="9">
        <f>4.9001 * CHOOSE(CONTROL!$C$32, $C$9, 100%, $E$9)</f>
        <v>4.9001000000000001</v>
      </c>
      <c r="M209" s="9">
        <f>4.9035 * CHOOSE(CONTROL!$C$32, $C$9, 100%, $E$9)</f>
        <v>4.9035000000000002</v>
      </c>
      <c r="N209" s="9">
        <f>4.9001 * CHOOSE(CONTROL!$C$32, $C$9, 100%, $E$9)</f>
        <v>4.9001000000000001</v>
      </c>
      <c r="O209" s="9">
        <f>4.9035 * CHOOSE(CONTROL!$C$32, $C$9, 100%, $E$9)</f>
        <v>4.9035000000000002</v>
      </c>
    </row>
    <row r="210" spans="1:15" ht="15" x14ac:dyDescent="0.2">
      <c r="A210" s="16">
        <v>47239</v>
      </c>
      <c r="B210" s="10">
        <f>4.5321 * CHOOSE(CONTROL!$C$32, $C$9, 100%, $E$9)</f>
        <v>4.5320999999999998</v>
      </c>
      <c r="C210" s="10">
        <f>4.5321 * CHOOSE(CONTROL!$C$32, $C$9, 100%, $E$9)</f>
        <v>4.5320999999999998</v>
      </c>
      <c r="D210" s="10">
        <f>4.5334 * CHOOSE(CONTROL!$C$32, $C$9, 100%, $E$9)</f>
        <v>4.5334000000000003</v>
      </c>
      <c r="E210" s="9">
        <f>4.9249 * CHOOSE(CONTROL!$C$32, $C$9, 100%, $E$9)</f>
        <v>4.9249000000000001</v>
      </c>
      <c r="F210" s="9">
        <f>4.9249 * CHOOSE(CONTROL!$C$32, $C$9, 100%, $E$9)</f>
        <v>4.9249000000000001</v>
      </c>
      <c r="G210" s="9">
        <f>4.9293 * CHOOSE(CONTROL!$C$32, $C$9, 100%, $E$9)</f>
        <v>4.9292999999999996</v>
      </c>
      <c r="H210" s="9">
        <f>5.67 * CHOOSE(CONTROL!$C$32, $C$9, 100%, $E$9)</f>
        <v>5.67</v>
      </c>
      <c r="I210" s="9">
        <f>5.6743 * CHOOSE(CONTROL!$C$32, $C$9, 100%, $E$9)</f>
        <v>5.6742999999999997</v>
      </c>
      <c r="J210" s="9">
        <f>5.67 * CHOOSE(CONTROL!$C$32, $C$9, 100%, $E$9)</f>
        <v>5.67</v>
      </c>
      <c r="K210" s="9">
        <f>5.6743 * CHOOSE(CONTROL!$C$32, $C$9, 100%, $E$9)</f>
        <v>5.6742999999999997</v>
      </c>
      <c r="L210" s="9">
        <f>4.9249 * CHOOSE(CONTROL!$C$32, $C$9, 100%, $E$9)</f>
        <v>4.9249000000000001</v>
      </c>
      <c r="M210" s="9">
        <f>4.9293 * CHOOSE(CONTROL!$C$32, $C$9, 100%, $E$9)</f>
        <v>4.9292999999999996</v>
      </c>
      <c r="N210" s="9">
        <f>4.9249 * CHOOSE(CONTROL!$C$32, $C$9, 100%, $E$9)</f>
        <v>4.9249000000000001</v>
      </c>
      <c r="O210" s="9">
        <f>4.9293 * CHOOSE(CONTROL!$C$32, $C$9, 100%, $E$9)</f>
        <v>4.9292999999999996</v>
      </c>
    </row>
    <row r="211" spans="1:15" ht="15" x14ac:dyDescent="0.2">
      <c r="A211" s="16">
        <v>47270</v>
      </c>
      <c r="B211" s="10">
        <f>4.5381 * CHOOSE(CONTROL!$C$32, $C$9, 100%, $E$9)</f>
        <v>4.5381</v>
      </c>
      <c r="C211" s="10">
        <f>4.5381 * CHOOSE(CONTROL!$C$32, $C$9, 100%, $E$9)</f>
        <v>4.5381</v>
      </c>
      <c r="D211" s="10">
        <f>4.5394 * CHOOSE(CONTROL!$C$32, $C$9, 100%, $E$9)</f>
        <v>4.5393999999999997</v>
      </c>
      <c r="E211" s="9">
        <f>4.9044 * CHOOSE(CONTROL!$C$32, $C$9, 100%, $E$9)</f>
        <v>4.9043999999999999</v>
      </c>
      <c r="F211" s="9">
        <f>4.9044 * CHOOSE(CONTROL!$C$32, $C$9, 100%, $E$9)</f>
        <v>4.9043999999999999</v>
      </c>
      <c r="G211" s="9">
        <f>4.9087 * CHOOSE(CONTROL!$C$32, $C$9, 100%, $E$9)</f>
        <v>4.9086999999999996</v>
      </c>
      <c r="H211" s="9">
        <f>5.674 * CHOOSE(CONTROL!$C$32, $C$9, 100%, $E$9)</f>
        <v>5.6740000000000004</v>
      </c>
      <c r="I211" s="9">
        <f>5.6783 * CHOOSE(CONTROL!$C$32, $C$9, 100%, $E$9)</f>
        <v>5.6783000000000001</v>
      </c>
      <c r="J211" s="9">
        <f>5.674 * CHOOSE(CONTROL!$C$32, $C$9, 100%, $E$9)</f>
        <v>5.6740000000000004</v>
      </c>
      <c r="K211" s="9">
        <f>5.6783 * CHOOSE(CONTROL!$C$32, $C$9, 100%, $E$9)</f>
        <v>5.6783000000000001</v>
      </c>
      <c r="L211" s="9">
        <f>4.9044 * CHOOSE(CONTROL!$C$32, $C$9, 100%, $E$9)</f>
        <v>4.9043999999999999</v>
      </c>
      <c r="M211" s="9">
        <f>4.9087 * CHOOSE(CONTROL!$C$32, $C$9, 100%, $E$9)</f>
        <v>4.9086999999999996</v>
      </c>
      <c r="N211" s="9">
        <f>4.9044 * CHOOSE(CONTROL!$C$32, $C$9, 100%, $E$9)</f>
        <v>4.9043999999999999</v>
      </c>
      <c r="O211" s="9">
        <f>4.9087 * CHOOSE(CONTROL!$C$32, $C$9, 100%, $E$9)</f>
        <v>4.9086999999999996</v>
      </c>
    </row>
    <row r="212" spans="1:15" ht="15" x14ac:dyDescent="0.2">
      <c r="A212" s="16">
        <v>47300</v>
      </c>
      <c r="B212" s="10">
        <f>4.6224 * CHOOSE(CONTROL!$C$32, $C$9, 100%, $E$9)</f>
        <v>4.6223999999999998</v>
      </c>
      <c r="C212" s="10">
        <f>4.6224 * CHOOSE(CONTROL!$C$32, $C$9, 100%, $E$9)</f>
        <v>4.6223999999999998</v>
      </c>
      <c r="D212" s="10">
        <f>4.6237 * CHOOSE(CONTROL!$C$32, $C$9, 100%, $E$9)</f>
        <v>4.6237000000000004</v>
      </c>
      <c r="E212" s="9">
        <f>4.9592 * CHOOSE(CONTROL!$C$32, $C$9, 100%, $E$9)</f>
        <v>4.9592000000000001</v>
      </c>
      <c r="F212" s="9">
        <f>4.9592 * CHOOSE(CONTROL!$C$32, $C$9, 100%, $E$9)</f>
        <v>4.9592000000000001</v>
      </c>
      <c r="G212" s="9">
        <f>4.9635 * CHOOSE(CONTROL!$C$32, $C$9, 100%, $E$9)</f>
        <v>4.9634999999999998</v>
      </c>
      <c r="H212" s="9">
        <f>5.7718 * CHOOSE(CONTROL!$C$32, $C$9, 100%, $E$9)</f>
        <v>5.7717999999999998</v>
      </c>
      <c r="I212" s="9">
        <f>5.7761 * CHOOSE(CONTROL!$C$32, $C$9, 100%, $E$9)</f>
        <v>5.7760999999999996</v>
      </c>
      <c r="J212" s="9">
        <f>5.7718 * CHOOSE(CONTROL!$C$32, $C$9, 100%, $E$9)</f>
        <v>5.7717999999999998</v>
      </c>
      <c r="K212" s="9">
        <f>5.7761 * CHOOSE(CONTROL!$C$32, $C$9, 100%, $E$9)</f>
        <v>5.7760999999999996</v>
      </c>
      <c r="L212" s="9">
        <f>4.9592 * CHOOSE(CONTROL!$C$32, $C$9, 100%, $E$9)</f>
        <v>4.9592000000000001</v>
      </c>
      <c r="M212" s="9">
        <f>4.9635 * CHOOSE(CONTROL!$C$32, $C$9, 100%, $E$9)</f>
        <v>4.9634999999999998</v>
      </c>
      <c r="N212" s="9">
        <f>4.9592 * CHOOSE(CONTROL!$C$32, $C$9, 100%, $E$9)</f>
        <v>4.9592000000000001</v>
      </c>
      <c r="O212" s="9">
        <f>4.9635 * CHOOSE(CONTROL!$C$32, $C$9, 100%, $E$9)</f>
        <v>4.9634999999999998</v>
      </c>
    </row>
    <row r="213" spans="1:15" ht="15" x14ac:dyDescent="0.2">
      <c r="A213" s="16">
        <v>47331</v>
      </c>
      <c r="B213" s="10">
        <f>4.6291 * CHOOSE(CONTROL!$C$32, $C$9, 100%, $E$9)</f>
        <v>4.6291000000000002</v>
      </c>
      <c r="C213" s="10">
        <f>4.6291 * CHOOSE(CONTROL!$C$32, $C$9, 100%, $E$9)</f>
        <v>4.6291000000000002</v>
      </c>
      <c r="D213" s="10">
        <f>4.6304 * CHOOSE(CONTROL!$C$32, $C$9, 100%, $E$9)</f>
        <v>4.6303999999999998</v>
      </c>
      <c r="E213" s="9">
        <f>4.8896 * CHOOSE(CONTROL!$C$32, $C$9, 100%, $E$9)</f>
        <v>4.8895999999999997</v>
      </c>
      <c r="F213" s="9">
        <f>4.8896 * CHOOSE(CONTROL!$C$32, $C$9, 100%, $E$9)</f>
        <v>4.8895999999999997</v>
      </c>
      <c r="G213" s="9">
        <f>4.894 * CHOOSE(CONTROL!$C$32, $C$9, 100%, $E$9)</f>
        <v>4.8940000000000001</v>
      </c>
      <c r="H213" s="9">
        <f>5.7762 * CHOOSE(CONTROL!$C$32, $C$9, 100%, $E$9)</f>
        <v>5.7762000000000002</v>
      </c>
      <c r="I213" s="9">
        <f>5.7805 * CHOOSE(CONTROL!$C$32, $C$9, 100%, $E$9)</f>
        <v>5.7805</v>
      </c>
      <c r="J213" s="9">
        <f>5.7762 * CHOOSE(CONTROL!$C$32, $C$9, 100%, $E$9)</f>
        <v>5.7762000000000002</v>
      </c>
      <c r="K213" s="9">
        <f>5.7805 * CHOOSE(CONTROL!$C$32, $C$9, 100%, $E$9)</f>
        <v>5.7805</v>
      </c>
      <c r="L213" s="9">
        <f>4.8896 * CHOOSE(CONTROL!$C$32, $C$9, 100%, $E$9)</f>
        <v>4.8895999999999997</v>
      </c>
      <c r="M213" s="9">
        <f>4.894 * CHOOSE(CONTROL!$C$32, $C$9, 100%, $E$9)</f>
        <v>4.8940000000000001</v>
      </c>
      <c r="N213" s="9">
        <f>4.8896 * CHOOSE(CONTROL!$C$32, $C$9, 100%, $E$9)</f>
        <v>4.8895999999999997</v>
      </c>
      <c r="O213" s="9">
        <f>4.894 * CHOOSE(CONTROL!$C$32, $C$9, 100%, $E$9)</f>
        <v>4.8940000000000001</v>
      </c>
    </row>
    <row r="214" spans="1:15" ht="15" x14ac:dyDescent="0.2">
      <c r="A214" s="16">
        <v>47362</v>
      </c>
      <c r="B214" s="10">
        <f>4.6261 * CHOOSE(CONTROL!$C$32, $C$9, 100%, $E$9)</f>
        <v>4.6261000000000001</v>
      </c>
      <c r="C214" s="10">
        <f>4.6261 * CHOOSE(CONTROL!$C$32, $C$9, 100%, $E$9)</f>
        <v>4.6261000000000001</v>
      </c>
      <c r="D214" s="10">
        <f>4.6274 * CHOOSE(CONTROL!$C$32, $C$9, 100%, $E$9)</f>
        <v>4.6273999999999997</v>
      </c>
      <c r="E214" s="9">
        <f>4.8792 * CHOOSE(CONTROL!$C$32, $C$9, 100%, $E$9)</f>
        <v>4.8792</v>
      </c>
      <c r="F214" s="9">
        <f>4.8792 * CHOOSE(CONTROL!$C$32, $C$9, 100%, $E$9)</f>
        <v>4.8792</v>
      </c>
      <c r="G214" s="9">
        <f>4.8836 * CHOOSE(CONTROL!$C$32, $C$9, 100%, $E$9)</f>
        <v>4.8836000000000004</v>
      </c>
      <c r="H214" s="9">
        <f>5.7742 * CHOOSE(CONTROL!$C$32, $C$9, 100%, $E$9)</f>
        <v>5.7742000000000004</v>
      </c>
      <c r="I214" s="9">
        <f>5.7785 * CHOOSE(CONTROL!$C$32, $C$9, 100%, $E$9)</f>
        <v>5.7785000000000002</v>
      </c>
      <c r="J214" s="9">
        <f>5.7742 * CHOOSE(CONTROL!$C$32, $C$9, 100%, $E$9)</f>
        <v>5.7742000000000004</v>
      </c>
      <c r="K214" s="9">
        <f>5.7785 * CHOOSE(CONTROL!$C$32, $C$9, 100%, $E$9)</f>
        <v>5.7785000000000002</v>
      </c>
      <c r="L214" s="9">
        <f>4.8792 * CHOOSE(CONTROL!$C$32, $C$9, 100%, $E$9)</f>
        <v>4.8792</v>
      </c>
      <c r="M214" s="9">
        <f>4.8836 * CHOOSE(CONTROL!$C$32, $C$9, 100%, $E$9)</f>
        <v>4.8836000000000004</v>
      </c>
      <c r="N214" s="9">
        <f>4.8792 * CHOOSE(CONTROL!$C$32, $C$9, 100%, $E$9)</f>
        <v>4.8792</v>
      </c>
      <c r="O214" s="9">
        <f>4.8836 * CHOOSE(CONTROL!$C$32, $C$9, 100%, $E$9)</f>
        <v>4.8836000000000004</v>
      </c>
    </row>
    <row r="215" spans="1:15" ht="15" x14ac:dyDescent="0.2">
      <c r="A215" s="16">
        <v>47392</v>
      </c>
      <c r="B215" s="10">
        <f>4.6241 * CHOOSE(CONTROL!$C$32, $C$9, 100%, $E$9)</f>
        <v>4.6241000000000003</v>
      </c>
      <c r="C215" s="10">
        <f>4.6241 * CHOOSE(CONTROL!$C$32, $C$9, 100%, $E$9)</f>
        <v>4.6241000000000003</v>
      </c>
      <c r="D215" s="10">
        <f>4.6251 * CHOOSE(CONTROL!$C$32, $C$9, 100%, $E$9)</f>
        <v>4.6250999999999998</v>
      </c>
      <c r="E215" s="9">
        <f>4.8988 * CHOOSE(CONTROL!$C$32, $C$9, 100%, $E$9)</f>
        <v>4.8987999999999996</v>
      </c>
      <c r="F215" s="9">
        <f>4.8988 * CHOOSE(CONTROL!$C$32, $C$9, 100%, $E$9)</f>
        <v>4.8987999999999996</v>
      </c>
      <c r="G215" s="9">
        <f>4.9022 * CHOOSE(CONTROL!$C$32, $C$9, 100%, $E$9)</f>
        <v>4.9021999999999997</v>
      </c>
      <c r="H215" s="9">
        <f>5.7722 * CHOOSE(CONTROL!$C$32, $C$9, 100%, $E$9)</f>
        <v>5.7721999999999998</v>
      </c>
      <c r="I215" s="9">
        <f>5.7756 * CHOOSE(CONTROL!$C$32, $C$9, 100%, $E$9)</f>
        <v>5.7755999999999998</v>
      </c>
      <c r="J215" s="9">
        <f>5.7722 * CHOOSE(CONTROL!$C$32, $C$9, 100%, $E$9)</f>
        <v>5.7721999999999998</v>
      </c>
      <c r="K215" s="9">
        <f>5.7756 * CHOOSE(CONTROL!$C$32, $C$9, 100%, $E$9)</f>
        <v>5.7755999999999998</v>
      </c>
      <c r="L215" s="9">
        <f>4.8988 * CHOOSE(CONTROL!$C$32, $C$9, 100%, $E$9)</f>
        <v>4.8987999999999996</v>
      </c>
      <c r="M215" s="9">
        <f>4.9022 * CHOOSE(CONTROL!$C$32, $C$9, 100%, $E$9)</f>
        <v>4.9021999999999997</v>
      </c>
      <c r="N215" s="9">
        <f>4.8988 * CHOOSE(CONTROL!$C$32, $C$9, 100%, $E$9)</f>
        <v>4.8987999999999996</v>
      </c>
      <c r="O215" s="9">
        <f>4.9022 * CHOOSE(CONTROL!$C$32, $C$9, 100%, $E$9)</f>
        <v>4.9021999999999997</v>
      </c>
    </row>
    <row r="216" spans="1:15" ht="15" x14ac:dyDescent="0.2">
      <c r="A216" s="16">
        <v>47423</v>
      </c>
      <c r="B216" s="10">
        <f>4.6271 * CHOOSE(CONTROL!$C$32, $C$9, 100%, $E$9)</f>
        <v>4.6271000000000004</v>
      </c>
      <c r="C216" s="10">
        <f>4.6271 * CHOOSE(CONTROL!$C$32, $C$9, 100%, $E$9)</f>
        <v>4.6271000000000004</v>
      </c>
      <c r="D216" s="10">
        <f>4.6281 * CHOOSE(CONTROL!$C$32, $C$9, 100%, $E$9)</f>
        <v>4.6280999999999999</v>
      </c>
      <c r="E216" s="9">
        <f>4.9174 * CHOOSE(CONTROL!$C$32, $C$9, 100%, $E$9)</f>
        <v>4.9173999999999998</v>
      </c>
      <c r="F216" s="9">
        <f>4.9174 * CHOOSE(CONTROL!$C$32, $C$9, 100%, $E$9)</f>
        <v>4.9173999999999998</v>
      </c>
      <c r="G216" s="9">
        <f>4.9208 * CHOOSE(CONTROL!$C$32, $C$9, 100%, $E$9)</f>
        <v>4.9207999999999998</v>
      </c>
      <c r="H216" s="9">
        <f>5.7742 * CHOOSE(CONTROL!$C$32, $C$9, 100%, $E$9)</f>
        <v>5.7742000000000004</v>
      </c>
      <c r="I216" s="9">
        <f>5.7776 * CHOOSE(CONTROL!$C$32, $C$9, 100%, $E$9)</f>
        <v>5.7775999999999996</v>
      </c>
      <c r="J216" s="9">
        <f>5.7742 * CHOOSE(CONTROL!$C$32, $C$9, 100%, $E$9)</f>
        <v>5.7742000000000004</v>
      </c>
      <c r="K216" s="9">
        <f>5.7776 * CHOOSE(CONTROL!$C$32, $C$9, 100%, $E$9)</f>
        <v>5.7775999999999996</v>
      </c>
      <c r="L216" s="9">
        <f>4.9174 * CHOOSE(CONTROL!$C$32, $C$9, 100%, $E$9)</f>
        <v>4.9173999999999998</v>
      </c>
      <c r="M216" s="9">
        <f>4.9208 * CHOOSE(CONTROL!$C$32, $C$9, 100%, $E$9)</f>
        <v>4.9207999999999998</v>
      </c>
      <c r="N216" s="9">
        <f>4.9174 * CHOOSE(CONTROL!$C$32, $C$9, 100%, $E$9)</f>
        <v>4.9173999999999998</v>
      </c>
      <c r="O216" s="9">
        <f>4.9208 * CHOOSE(CONTROL!$C$32, $C$9, 100%, $E$9)</f>
        <v>4.9207999999999998</v>
      </c>
    </row>
    <row r="217" spans="1:15" ht="15" x14ac:dyDescent="0.2">
      <c r="A217" s="16">
        <v>47453</v>
      </c>
      <c r="B217" s="10">
        <f>4.6271 * CHOOSE(CONTROL!$C$32, $C$9, 100%, $E$9)</f>
        <v>4.6271000000000004</v>
      </c>
      <c r="C217" s="10">
        <f>4.6271 * CHOOSE(CONTROL!$C$32, $C$9, 100%, $E$9)</f>
        <v>4.6271000000000004</v>
      </c>
      <c r="D217" s="10">
        <f>4.6281 * CHOOSE(CONTROL!$C$32, $C$9, 100%, $E$9)</f>
        <v>4.6280999999999999</v>
      </c>
      <c r="E217" s="9">
        <f>4.8762 * CHOOSE(CONTROL!$C$32, $C$9, 100%, $E$9)</f>
        <v>4.8761999999999999</v>
      </c>
      <c r="F217" s="9">
        <f>4.8762 * CHOOSE(CONTROL!$C$32, $C$9, 100%, $E$9)</f>
        <v>4.8761999999999999</v>
      </c>
      <c r="G217" s="9">
        <f>4.8796 * CHOOSE(CONTROL!$C$32, $C$9, 100%, $E$9)</f>
        <v>4.8795999999999999</v>
      </c>
      <c r="H217" s="9">
        <f>5.7742 * CHOOSE(CONTROL!$C$32, $C$9, 100%, $E$9)</f>
        <v>5.7742000000000004</v>
      </c>
      <c r="I217" s="9">
        <f>5.7776 * CHOOSE(CONTROL!$C$32, $C$9, 100%, $E$9)</f>
        <v>5.7775999999999996</v>
      </c>
      <c r="J217" s="9">
        <f>5.7742 * CHOOSE(CONTROL!$C$32, $C$9, 100%, $E$9)</f>
        <v>5.7742000000000004</v>
      </c>
      <c r="K217" s="9">
        <f>5.7776 * CHOOSE(CONTROL!$C$32, $C$9, 100%, $E$9)</f>
        <v>5.7775999999999996</v>
      </c>
      <c r="L217" s="9">
        <f>4.8762 * CHOOSE(CONTROL!$C$32, $C$9, 100%, $E$9)</f>
        <v>4.8761999999999999</v>
      </c>
      <c r="M217" s="9">
        <f>4.8796 * CHOOSE(CONTROL!$C$32, $C$9, 100%, $E$9)</f>
        <v>4.8795999999999999</v>
      </c>
      <c r="N217" s="9">
        <f>4.8762 * CHOOSE(CONTROL!$C$32, $C$9, 100%, $E$9)</f>
        <v>4.8761999999999999</v>
      </c>
      <c r="O217" s="9">
        <f>4.8796 * CHOOSE(CONTROL!$C$32, $C$9, 100%, $E$9)</f>
        <v>4.8795999999999999</v>
      </c>
    </row>
    <row r="218" spans="1:15" ht="15" x14ac:dyDescent="0.2">
      <c r="A218" s="16">
        <v>47484</v>
      </c>
      <c r="B218" s="10">
        <f>4.6574 * CHOOSE(CONTROL!$C$32, $C$9, 100%, $E$9)</f>
        <v>4.6574</v>
      </c>
      <c r="C218" s="10">
        <f>4.6574 * CHOOSE(CONTROL!$C$32, $C$9, 100%, $E$9)</f>
        <v>4.6574</v>
      </c>
      <c r="D218" s="10">
        <f>4.6584 * CHOOSE(CONTROL!$C$32, $C$9, 100%, $E$9)</f>
        <v>4.6584000000000003</v>
      </c>
      <c r="E218" s="9">
        <f>4.9309 * CHOOSE(CONTROL!$C$32, $C$9, 100%, $E$9)</f>
        <v>4.9309000000000003</v>
      </c>
      <c r="F218" s="9">
        <f>4.9309 * CHOOSE(CONTROL!$C$32, $C$9, 100%, $E$9)</f>
        <v>4.9309000000000003</v>
      </c>
      <c r="G218" s="9">
        <f>4.9343 * CHOOSE(CONTROL!$C$32, $C$9, 100%, $E$9)</f>
        <v>4.9343000000000004</v>
      </c>
      <c r="H218" s="9">
        <f>5.8115 * CHOOSE(CONTROL!$C$32, $C$9, 100%, $E$9)</f>
        <v>5.8114999999999997</v>
      </c>
      <c r="I218" s="9">
        <f>5.8149 * CHOOSE(CONTROL!$C$32, $C$9, 100%, $E$9)</f>
        <v>5.8148999999999997</v>
      </c>
      <c r="J218" s="9">
        <f>5.8115 * CHOOSE(CONTROL!$C$32, $C$9, 100%, $E$9)</f>
        <v>5.8114999999999997</v>
      </c>
      <c r="K218" s="9">
        <f>5.8149 * CHOOSE(CONTROL!$C$32, $C$9, 100%, $E$9)</f>
        <v>5.8148999999999997</v>
      </c>
      <c r="L218" s="9">
        <f>4.9309 * CHOOSE(CONTROL!$C$32, $C$9, 100%, $E$9)</f>
        <v>4.9309000000000003</v>
      </c>
      <c r="M218" s="9">
        <f>4.9343 * CHOOSE(CONTROL!$C$32, $C$9, 100%, $E$9)</f>
        <v>4.9343000000000004</v>
      </c>
      <c r="N218" s="9">
        <f>4.9309 * CHOOSE(CONTROL!$C$32, $C$9, 100%, $E$9)</f>
        <v>4.9309000000000003</v>
      </c>
      <c r="O218" s="9">
        <f>4.9343 * CHOOSE(CONTROL!$C$32, $C$9, 100%, $E$9)</f>
        <v>4.9343000000000004</v>
      </c>
    </row>
    <row r="219" spans="1:15" ht="15" x14ac:dyDescent="0.2">
      <c r="A219" s="16">
        <v>47515</v>
      </c>
      <c r="B219" s="10">
        <f>4.6543 * CHOOSE(CONTROL!$C$32, $C$9, 100%, $E$9)</f>
        <v>4.6543000000000001</v>
      </c>
      <c r="C219" s="10">
        <f>4.6543 * CHOOSE(CONTROL!$C$32, $C$9, 100%, $E$9)</f>
        <v>4.6543000000000001</v>
      </c>
      <c r="D219" s="10">
        <f>4.6553 * CHOOSE(CONTROL!$C$32, $C$9, 100%, $E$9)</f>
        <v>4.6553000000000004</v>
      </c>
      <c r="E219" s="9">
        <f>4.8488 * CHOOSE(CONTROL!$C$32, $C$9, 100%, $E$9)</f>
        <v>4.8487999999999998</v>
      </c>
      <c r="F219" s="9">
        <f>4.8488 * CHOOSE(CONTROL!$C$32, $C$9, 100%, $E$9)</f>
        <v>4.8487999999999998</v>
      </c>
      <c r="G219" s="9">
        <f>4.8522 * CHOOSE(CONTROL!$C$32, $C$9, 100%, $E$9)</f>
        <v>4.8521999999999998</v>
      </c>
      <c r="H219" s="9">
        <f>5.8095 * CHOOSE(CONTROL!$C$32, $C$9, 100%, $E$9)</f>
        <v>5.8094999999999999</v>
      </c>
      <c r="I219" s="9">
        <f>5.8129 * CHOOSE(CONTROL!$C$32, $C$9, 100%, $E$9)</f>
        <v>5.8129</v>
      </c>
      <c r="J219" s="9">
        <f>5.8095 * CHOOSE(CONTROL!$C$32, $C$9, 100%, $E$9)</f>
        <v>5.8094999999999999</v>
      </c>
      <c r="K219" s="9">
        <f>5.8129 * CHOOSE(CONTROL!$C$32, $C$9, 100%, $E$9)</f>
        <v>5.8129</v>
      </c>
      <c r="L219" s="9">
        <f>4.8488 * CHOOSE(CONTROL!$C$32, $C$9, 100%, $E$9)</f>
        <v>4.8487999999999998</v>
      </c>
      <c r="M219" s="9">
        <f>4.8522 * CHOOSE(CONTROL!$C$32, $C$9, 100%, $E$9)</f>
        <v>4.8521999999999998</v>
      </c>
      <c r="N219" s="9">
        <f>4.8488 * CHOOSE(CONTROL!$C$32, $C$9, 100%, $E$9)</f>
        <v>4.8487999999999998</v>
      </c>
      <c r="O219" s="9">
        <f>4.8522 * CHOOSE(CONTROL!$C$32, $C$9, 100%, $E$9)</f>
        <v>4.8521999999999998</v>
      </c>
    </row>
    <row r="220" spans="1:15" ht="15" x14ac:dyDescent="0.2">
      <c r="A220" s="16">
        <v>47543</v>
      </c>
      <c r="B220" s="10">
        <f>4.6513 * CHOOSE(CONTROL!$C$32, $C$9, 100%, $E$9)</f>
        <v>4.6513</v>
      </c>
      <c r="C220" s="10">
        <f>4.6513 * CHOOSE(CONTROL!$C$32, $C$9, 100%, $E$9)</f>
        <v>4.6513</v>
      </c>
      <c r="D220" s="10">
        <f>4.6523 * CHOOSE(CONTROL!$C$32, $C$9, 100%, $E$9)</f>
        <v>4.6523000000000003</v>
      </c>
      <c r="E220" s="9">
        <f>4.9098 * CHOOSE(CONTROL!$C$32, $C$9, 100%, $E$9)</f>
        <v>4.9097999999999997</v>
      </c>
      <c r="F220" s="9">
        <f>4.9098 * CHOOSE(CONTROL!$C$32, $C$9, 100%, $E$9)</f>
        <v>4.9097999999999997</v>
      </c>
      <c r="G220" s="9">
        <f>4.9132 * CHOOSE(CONTROL!$C$32, $C$9, 100%, $E$9)</f>
        <v>4.9131999999999998</v>
      </c>
      <c r="H220" s="9">
        <f>5.8075 * CHOOSE(CONTROL!$C$32, $C$9, 100%, $E$9)</f>
        <v>5.8075000000000001</v>
      </c>
      <c r="I220" s="9">
        <f>5.8109 * CHOOSE(CONTROL!$C$32, $C$9, 100%, $E$9)</f>
        <v>5.8109000000000002</v>
      </c>
      <c r="J220" s="9">
        <f>5.8075 * CHOOSE(CONTROL!$C$32, $C$9, 100%, $E$9)</f>
        <v>5.8075000000000001</v>
      </c>
      <c r="K220" s="9">
        <f>5.8109 * CHOOSE(CONTROL!$C$32, $C$9, 100%, $E$9)</f>
        <v>5.8109000000000002</v>
      </c>
      <c r="L220" s="9">
        <f>4.9098 * CHOOSE(CONTROL!$C$32, $C$9, 100%, $E$9)</f>
        <v>4.9097999999999997</v>
      </c>
      <c r="M220" s="9">
        <f>4.9132 * CHOOSE(CONTROL!$C$32, $C$9, 100%, $E$9)</f>
        <v>4.9131999999999998</v>
      </c>
      <c r="N220" s="9">
        <f>4.9098 * CHOOSE(CONTROL!$C$32, $C$9, 100%, $E$9)</f>
        <v>4.9097999999999997</v>
      </c>
      <c r="O220" s="9">
        <f>4.9132 * CHOOSE(CONTROL!$C$32, $C$9, 100%, $E$9)</f>
        <v>4.9131999999999998</v>
      </c>
    </row>
    <row r="221" spans="1:15" ht="15" x14ac:dyDescent="0.2">
      <c r="A221" s="16">
        <v>47574</v>
      </c>
      <c r="B221" s="10">
        <f>4.6497 * CHOOSE(CONTROL!$C$32, $C$9, 100%, $E$9)</f>
        <v>4.6497000000000002</v>
      </c>
      <c r="C221" s="10">
        <f>4.6497 * CHOOSE(CONTROL!$C$32, $C$9, 100%, $E$9)</f>
        <v>4.6497000000000002</v>
      </c>
      <c r="D221" s="10">
        <f>4.6507 * CHOOSE(CONTROL!$C$32, $C$9, 100%, $E$9)</f>
        <v>4.6506999999999996</v>
      </c>
      <c r="E221" s="9">
        <f>4.9732 * CHOOSE(CONTROL!$C$32, $C$9, 100%, $E$9)</f>
        <v>4.9732000000000003</v>
      </c>
      <c r="F221" s="9">
        <f>4.9732 * CHOOSE(CONTROL!$C$32, $C$9, 100%, $E$9)</f>
        <v>4.9732000000000003</v>
      </c>
      <c r="G221" s="9">
        <f>4.9766 * CHOOSE(CONTROL!$C$32, $C$9, 100%, $E$9)</f>
        <v>4.9766000000000004</v>
      </c>
      <c r="H221" s="9">
        <f>5.8063 * CHOOSE(CONTROL!$C$32, $C$9, 100%, $E$9)</f>
        <v>5.8063000000000002</v>
      </c>
      <c r="I221" s="9">
        <f>5.8097 * CHOOSE(CONTROL!$C$32, $C$9, 100%, $E$9)</f>
        <v>5.8097000000000003</v>
      </c>
      <c r="J221" s="9">
        <f>5.8063 * CHOOSE(CONTROL!$C$32, $C$9, 100%, $E$9)</f>
        <v>5.8063000000000002</v>
      </c>
      <c r="K221" s="9">
        <f>5.8097 * CHOOSE(CONTROL!$C$32, $C$9, 100%, $E$9)</f>
        <v>5.8097000000000003</v>
      </c>
      <c r="L221" s="9">
        <f>4.9732 * CHOOSE(CONTROL!$C$32, $C$9, 100%, $E$9)</f>
        <v>4.9732000000000003</v>
      </c>
      <c r="M221" s="9">
        <f>4.9766 * CHOOSE(CONTROL!$C$32, $C$9, 100%, $E$9)</f>
        <v>4.9766000000000004</v>
      </c>
      <c r="N221" s="9">
        <f>4.9732 * CHOOSE(CONTROL!$C$32, $C$9, 100%, $E$9)</f>
        <v>4.9732000000000003</v>
      </c>
      <c r="O221" s="9">
        <f>4.9766 * CHOOSE(CONTROL!$C$32, $C$9, 100%, $E$9)</f>
        <v>4.9766000000000004</v>
      </c>
    </row>
    <row r="222" spans="1:15" ht="15" x14ac:dyDescent="0.2">
      <c r="A222" s="16">
        <v>47604</v>
      </c>
      <c r="B222" s="10">
        <f>4.6497 * CHOOSE(CONTROL!$C$32, $C$9, 100%, $E$9)</f>
        <v>4.6497000000000002</v>
      </c>
      <c r="C222" s="10">
        <f>4.6497 * CHOOSE(CONTROL!$C$32, $C$9, 100%, $E$9)</f>
        <v>4.6497000000000002</v>
      </c>
      <c r="D222" s="10">
        <f>4.651 * CHOOSE(CONTROL!$C$32, $C$9, 100%, $E$9)</f>
        <v>4.6509999999999998</v>
      </c>
      <c r="E222" s="9">
        <f>4.9986 * CHOOSE(CONTROL!$C$32, $C$9, 100%, $E$9)</f>
        <v>4.9985999999999997</v>
      </c>
      <c r="F222" s="9">
        <f>4.9986 * CHOOSE(CONTROL!$C$32, $C$9, 100%, $E$9)</f>
        <v>4.9985999999999997</v>
      </c>
      <c r="G222" s="9">
        <f>5.003 * CHOOSE(CONTROL!$C$32, $C$9, 100%, $E$9)</f>
        <v>5.0030000000000001</v>
      </c>
      <c r="H222" s="9">
        <f>5.8063 * CHOOSE(CONTROL!$C$32, $C$9, 100%, $E$9)</f>
        <v>5.8063000000000002</v>
      </c>
      <c r="I222" s="9">
        <f>5.8107 * CHOOSE(CONTROL!$C$32, $C$9, 100%, $E$9)</f>
        <v>5.8106999999999998</v>
      </c>
      <c r="J222" s="9">
        <f>5.8063 * CHOOSE(CONTROL!$C$32, $C$9, 100%, $E$9)</f>
        <v>5.8063000000000002</v>
      </c>
      <c r="K222" s="9">
        <f>5.8107 * CHOOSE(CONTROL!$C$32, $C$9, 100%, $E$9)</f>
        <v>5.8106999999999998</v>
      </c>
      <c r="L222" s="9">
        <f>4.9986 * CHOOSE(CONTROL!$C$32, $C$9, 100%, $E$9)</f>
        <v>4.9985999999999997</v>
      </c>
      <c r="M222" s="9">
        <f>5.003 * CHOOSE(CONTROL!$C$32, $C$9, 100%, $E$9)</f>
        <v>5.0030000000000001</v>
      </c>
      <c r="N222" s="9">
        <f>4.9986 * CHOOSE(CONTROL!$C$32, $C$9, 100%, $E$9)</f>
        <v>4.9985999999999997</v>
      </c>
      <c r="O222" s="9">
        <f>5.003 * CHOOSE(CONTROL!$C$32, $C$9, 100%, $E$9)</f>
        <v>5.0030000000000001</v>
      </c>
    </row>
    <row r="223" spans="1:15" ht="15" x14ac:dyDescent="0.2">
      <c r="A223" s="16">
        <v>47635</v>
      </c>
      <c r="B223" s="10">
        <f>4.6558 * CHOOSE(CONTROL!$C$32, $C$9, 100%, $E$9)</f>
        <v>4.6558000000000002</v>
      </c>
      <c r="C223" s="10">
        <f>4.6558 * CHOOSE(CONTROL!$C$32, $C$9, 100%, $E$9)</f>
        <v>4.6558000000000002</v>
      </c>
      <c r="D223" s="10">
        <f>4.6571 * CHOOSE(CONTROL!$C$32, $C$9, 100%, $E$9)</f>
        <v>4.6570999999999998</v>
      </c>
      <c r="E223" s="9">
        <f>4.9775 * CHOOSE(CONTROL!$C$32, $C$9, 100%, $E$9)</f>
        <v>4.9775</v>
      </c>
      <c r="F223" s="9">
        <f>4.9775 * CHOOSE(CONTROL!$C$32, $C$9, 100%, $E$9)</f>
        <v>4.9775</v>
      </c>
      <c r="G223" s="9">
        <f>4.9818 * CHOOSE(CONTROL!$C$32, $C$9, 100%, $E$9)</f>
        <v>4.9817999999999998</v>
      </c>
      <c r="H223" s="9">
        <f>5.8103 * CHOOSE(CONTROL!$C$32, $C$9, 100%, $E$9)</f>
        <v>5.8102999999999998</v>
      </c>
      <c r="I223" s="9">
        <f>5.8147 * CHOOSE(CONTROL!$C$32, $C$9, 100%, $E$9)</f>
        <v>5.8147000000000002</v>
      </c>
      <c r="J223" s="9">
        <f>5.8103 * CHOOSE(CONTROL!$C$32, $C$9, 100%, $E$9)</f>
        <v>5.8102999999999998</v>
      </c>
      <c r="K223" s="9">
        <f>5.8147 * CHOOSE(CONTROL!$C$32, $C$9, 100%, $E$9)</f>
        <v>5.8147000000000002</v>
      </c>
      <c r="L223" s="9">
        <f>4.9775 * CHOOSE(CONTROL!$C$32, $C$9, 100%, $E$9)</f>
        <v>4.9775</v>
      </c>
      <c r="M223" s="9">
        <f>4.9818 * CHOOSE(CONTROL!$C$32, $C$9, 100%, $E$9)</f>
        <v>4.9817999999999998</v>
      </c>
      <c r="N223" s="9">
        <f>4.9775 * CHOOSE(CONTROL!$C$32, $C$9, 100%, $E$9)</f>
        <v>4.9775</v>
      </c>
      <c r="O223" s="9">
        <f>4.9818 * CHOOSE(CONTROL!$C$32, $C$9, 100%, $E$9)</f>
        <v>4.9817999999999998</v>
      </c>
    </row>
    <row r="224" spans="1:15" ht="15" x14ac:dyDescent="0.2">
      <c r="A224" s="16">
        <v>47665</v>
      </c>
      <c r="B224" s="10">
        <f>4.708 * CHOOSE(CONTROL!$C$32, $C$9, 100%, $E$9)</f>
        <v>4.7080000000000002</v>
      </c>
      <c r="C224" s="10">
        <f>4.708 * CHOOSE(CONTROL!$C$32, $C$9, 100%, $E$9)</f>
        <v>4.7080000000000002</v>
      </c>
      <c r="D224" s="10">
        <f>4.7093 * CHOOSE(CONTROL!$C$32, $C$9, 100%, $E$9)</f>
        <v>4.7092999999999998</v>
      </c>
      <c r="E224" s="9">
        <f>5.0294 * CHOOSE(CONTROL!$C$32, $C$9, 100%, $E$9)</f>
        <v>5.0293999999999999</v>
      </c>
      <c r="F224" s="9">
        <f>5.0294 * CHOOSE(CONTROL!$C$32, $C$9, 100%, $E$9)</f>
        <v>5.0293999999999999</v>
      </c>
      <c r="G224" s="9">
        <f>5.0337 * CHOOSE(CONTROL!$C$32, $C$9, 100%, $E$9)</f>
        <v>5.0336999999999996</v>
      </c>
      <c r="H224" s="9">
        <f>5.8881 * CHOOSE(CONTROL!$C$32, $C$9, 100%, $E$9)</f>
        <v>5.8880999999999997</v>
      </c>
      <c r="I224" s="9">
        <f>5.8924 * CHOOSE(CONTROL!$C$32, $C$9, 100%, $E$9)</f>
        <v>5.8924000000000003</v>
      </c>
      <c r="J224" s="9">
        <f>5.8881 * CHOOSE(CONTROL!$C$32, $C$9, 100%, $E$9)</f>
        <v>5.8880999999999997</v>
      </c>
      <c r="K224" s="9">
        <f>5.8924 * CHOOSE(CONTROL!$C$32, $C$9, 100%, $E$9)</f>
        <v>5.8924000000000003</v>
      </c>
      <c r="L224" s="9">
        <f>5.0294 * CHOOSE(CONTROL!$C$32, $C$9, 100%, $E$9)</f>
        <v>5.0293999999999999</v>
      </c>
      <c r="M224" s="9">
        <f>5.0337 * CHOOSE(CONTROL!$C$32, $C$9, 100%, $E$9)</f>
        <v>5.0336999999999996</v>
      </c>
      <c r="N224" s="9">
        <f>5.0294 * CHOOSE(CONTROL!$C$32, $C$9, 100%, $E$9)</f>
        <v>5.0293999999999999</v>
      </c>
      <c r="O224" s="9">
        <f>5.0337 * CHOOSE(CONTROL!$C$32, $C$9, 100%, $E$9)</f>
        <v>5.0336999999999996</v>
      </c>
    </row>
    <row r="225" spans="1:15" ht="15" x14ac:dyDescent="0.2">
      <c r="A225" s="16">
        <v>47696</v>
      </c>
      <c r="B225" s="10">
        <f>4.7147 * CHOOSE(CONTROL!$C$32, $C$9, 100%, $E$9)</f>
        <v>4.7146999999999997</v>
      </c>
      <c r="C225" s="10">
        <f>4.7147 * CHOOSE(CONTROL!$C$32, $C$9, 100%, $E$9)</f>
        <v>4.7146999999999997</v>
      </c>
      <c r="D225" s="10">
        <f>4.716 * CHOOSE(CONTROL!$C$32, $C$9, 100%, $E$9)</f>
        <v>4.7160000000000002</v>
      </c>
      <c r="E225" s="9">
        <f>4.9579 * CHOOSE(CONTROL!$C$32, $C$9, 100%, $E$9)</f>
        <v>4.9579000000000004</v>
      </c>
      <c r="F225" s="9">
        <f>4.9579 * CHOOSE(CONTROL!$C$32, $C$9, 100%, $E$9)</f>
        <v>4.9579000000000004</v>
      </c>
      <c r="G225" s="9">
        <f>4.9622 * CHOOSE(CONTROL!$C$32, $C$9, 100%, $E$9)</f>
        <v>4.9622000000000002</v>
      </c>
      <c r="H225" s="9">
        <f>5.8925 * CHOOSE(CONTROL!$C$32, $C$9, 100%, $E$9)</f>
        <v>5.8925000000000001</v>
      </c>
      <c r="I225" s="9">
        <f>5.8968 * CHOOSE(CONTROL!$C$32, $C$9, 100%, $E$9)</f>
        <v>5.8967999999999998</v>
      </c>
      <c r="J225" s="9">
        <f>5.8925 * CHOOSE(CONTROL!$C$32, $C$9, 100%, $E$9)</f>
        <v>5.8925000000000001</v>
      </c>
      <c r="K225" s="9">
        <f>5.8968 * CHOOSE(CONTROL!$C$32, $C$9, 100%, $E$9)</f>
        <v>5.8967999999999998</v>
      </c>
      <c r="L225" s="9">
        <f>4.9579 * CHOOSE(CONTROL!$C$32, $C$9, 100%, $E$9)</f>
        <v>4.9579000000000004</v>
      </c>
      <c r="M225" s="9">
        <f>4.9622 * CHOOSE(CONTROL!$C$32, $C$9, 100%, $E$9)</f>
        <v>4.9622000000000002</v>
      </c>
      <c r="N225" s="9">
        <f>4.9579 * CHOOSE(CONTROL!$C$32, $C$9, 100%, $E$9)</f>
        <v>4.9579000000000004</v>
      </c>
      <c r="O225" s="9">
        <f>4.9622 * CHOOSE(CONTROL!$C$32, $C$9, 100%, $E$9)</f>
        <v>4.9622000000000002</v>
      </c>
    </row>
    <row r="226" spans="1:15" ht="15" x14ac:dyDescent="0.2">
      <c r="A226" s="16">
        <v>47727</v>
      </c>
      <c r="B226" s="10">
        <f>4.7116 * CHOOSE(CONTROL!$C$32, $C$9, 100%, $E$9)</f>
        <v>4.7115999999999998</v>
      </c>
      <c r="C226" s="10">
        <f>4.7116 * CHOOSE(CONTROL!$C$32, $C$9, 100%, $E$9)</f>
        <v>4.7115999999999998</v>
      </c>
      <c r="D226" s="10">
        <f>4.7129 * CHOOSE(CONTROL!$C$32, $C$9, 100%, $E$9)</f>
        <v>4.7129000000000003</v>
      </c>
      <c r="E226" s="9">
        <f>4.9473 * CHOOSE(CONTROL!$C$32, $C$9, 100%, $E$9)</f>
        <v>4.9473000000000003</v>
      </c>
      <c r="F226" s="9">
        <f>4.9473 * CHOOSE(CONTROL!$C$32, $C$9, 100%, $E$9)</f>
        <v>4.9473000000000003</v>
      </c>
      <c r="G226" s="9">
        <f>4.9517 * CHOOSE(CONTROL!$C$32, $C$9, 100%, $E$9)</f>
        <v>4.9516999999999998</v>
      </c>
      <c r="H226" s="9">
        <f>5.8905 * CHOOSE(CONTROL!$C$32, $C$9, 100%, $E$9)</f>
        <v>5.8905000000000003</v>
      </c>
      <c r="I226" s="9">
        <f>5.8948 * CHOOSE(CONTROL!$C$32, $C$9, 100%, $E$9)</f>
        <v>5.8948</v>
      </c>
      <c r="J226" s="9">
        <f>5.8905 * CHOOSE(CONTROL!$C$32, $C$9, 100%, $E$9)</f>
        <v>5.8905000000000003</v>
      </c>
      <c r="K226" s="9">
        <f>5.8948 * CHOOSE(CONTROL!$C$32, $C$9, 100%, $E$9)</f>
        <v>5.8948</v>
      </c>
      <c r="L226" s="9">
        <f>4.9473 * CHOOSE(CONTROL!$C$32, $C$9, 100%, $E$9)</f>
        <v>4.9473000000000003</v>
      </c>
      <c r="M226" s="9">
        <f>4.9517 * CHOOSE(CONTROL!$C$32, $C$9, 100%, $E$9)</f>
        <v>4.9516999999999998</v>
      </c>
      <c r="N226" s="9">
        <f>4.9473 * CHOOSE(CONTROL!$C$32, $C$9, 100%, $E$9)</f>
        <v>4.9473000000000003</v>
      </c>
      <c r="O226" s="9">
        <f>4.9517 * CHOOSE(CONTROL!$C$32, $C$9, 100%, $E$9)</f>
        <v>4.9516999999999998</v>
      </c>
    </row>
    <row r="227" spans="1:15" ht="15" x14ac:dyDescent="0.2">
      <c r="A227" s="16">
        <v>47757</v>
      </c>
      <c r="B227" s="10">
        <f>4.7099 * CHOOSE(CONTROL!$C$32, $C$9, 100%, $E$9)</f>
        <v>4.7099000000000002</v>
      </c>
      <c r="C227" s="10">
        <f>4.7099 * CHOOSE(CONTROL!$C$32, $C$9, 100%, $E$9)</f>
        <v>4.7099000000000002</v>
      </c>
      <c r="D227" s="10">
        <f>4.711 * CHOOSE(CONTROL!$C$32, $C$9, 100%, $E$9)</f>
        <v>4.7110000000000003</v>
      </c>
      <c r="E227" s="9">
        <f>4.9677 * CHOOSE(CONTROL!$C$32, $C$9, 100%, $E$9)</f>
        <v>4.9676999999999998</v>
      </c>
      <c r="F227" s="9">
        <f>4.9677 * CHOOSE(CONTROL!$C$32, $C$9, 100%, $E$9)</f>
        <v>4.9676999999999998</v>
      </c>
      <c r="G227" s="9">
        <f>4.9711 * CHOOSE(CONTROL!$C$32, $C$9, 100%, $E$9)</f>
        <v>4.9710999999999999</v>
      </c>
      <c r="H227" s="9">
        <f>5.8887 * CHOOSE(CONTROL!$C$32, $C$9, 100%, $E$9)</f>
        <v>5.8887</v>
      </c>
      <c r="I227" s="9">
        <f>5.8921 * CHOOSE(CONTROL!$C$32, $C$9, 100%, $E$9)</f>
        <v>5.8921000000000001</v>
      </c>
      <c r="J227" s="9">
        <f>5.8887 * CHOOSE(CONTROL!$C$32, $C$9, 100%, $E$9)</f>
        <v>5.8887</v>
      </c>
      <c r="K227" s="9">
        <f>5.8921 * CHOOSE(CONTROL!$C$32, $C$9, 100%, $E$9)</f>
        <v>5.8921000000000001</v>
      </c>
      <c r="L227" s="9">
        <f>4.9677 * CHOOSE(CONTROL!$C$32, $C$9, 100%, $E$9)</f>
        <v>4.9676999999999998</v>
      </c>
      <c r="M227" s="9">
        <f>4.9711 * CHOOSE(CONTROL!$C$32, $C$9, 100%, $E$9)</f>
        <v>4.9710999999999999</v>
      </c>
      <c r="N227" s="9">
        <f>4.9677 * CHOOSE(CONTROL!$C$32, $C$9, 100%, $E$9)</f>
        <v>4.9676999999999998</v>
      </c>
      <c r="O227" s="9">
        <f>4.9711 * CHOOSE(CONTROL!$C$32, $C$9, 100%, $E$9)</f>
        <v>4.9710999999999999</v>
      </c>
    </row>
    <row r="228" spans="1:15" ht="15" x14ac:dyDescent="0.2">
      <c r="A228" s="16">
        <v>47788</v>
      </c>
      <c r="B228" s="10">
        <f>4.713 * CHOOSE(CONTROL!$C$32, $C$9, 100%, $E$9)</f>
        <v>4.7130000000000001</v>
      </c>
      <c r="C228" s="10">
        <f>4.713 * CHOOSE(CONTROL!$C$32, $C$9, 100%, $E$9)</f>
        <v>4.7130000000000001</v>
      </c>
      <c r="D228" s="10">
        <f>4.714 * CHOOSE(CONTROL!$C$32, $C$9, 100%, $E$9)</f>
        <v>4.7140000000000004</v>
      </c>
      <c r="E228" s="9">
        <f>4.9868 * CHOOSE(CONTROL!$C$32, $C$9, 100%, $E$9)</f>
        <v>4.9867999999999997</v>
      </c>
      <c r="F228" s="9">
        <f>4.9868 * CHOOSE(CONTROL!$C$32, $C$9, 100%, $E$9)</f>
        <v>4.9867999999999997</v>
      </c>
      <c r="G228" s="9">
        <f>4.9902 * CHOOSE(CONTROL!$C$32, $C$9, 100%, $E$9)</f>
        <v>4.9901999999999997</v>
      </c>
      <c r="H228" s="9">
        <f>5.8907 * CHOOSE(CONTROL!$C$32, $C$9, 100%, $E$9)</f>
        <v>5.8906999999999998</v>
      </c>
      <c r="I228" s="9">
        <f>5.8941 * CHOOSE(CONTROL!$C$32, $C$9, 100%, $E$9)</f>
        <v>5.8940999999999999</v>
      </c>
      <c r="J228" s="9">
        <f>5.8907 * CHOOSE(CONTROL!$C$32, $C$9, 100%, $E$9)</f>
        <v>5.8906999999999998</v>
      </c>
      <c r="K228" s="9">
        <f>5.8941 * CHOOSE(CONTROL!$C$32, $C$9, 100%, $E$9)</f>
        <v>5.8940999999999999</v>
      </c>
      <c r="L228" s="9">
        <f>4.9868 * CHOOSE(CONTROL!$C$32, $C$9, 100%, $E$9)</f>
        <v>4.9867999999999997</v>
      </c>
      <c r="M228" s="9">
        <f>4.9902 * CHOOSE(CONTROL!$C$32, $C$9, 100%, $E$9)</f>
        <v>4.9901999999999997</v>
      </c>
      <c r="N228" s="9">
        <f>4.9868 * CHOOSE(CONTROL!$C$32, $C$9, 100%, $E$9)</f>
        <v>4.9867999999999997</v>
      </c>
      <c r="O228" s="9">
        <f>4.9902 * CHOOSE(CONTROL!$C$32, $C$9, 100%, $E$9)</f>
        <v>4.9901999999999997</v>
      </c>
    </row>
    <row r="229" spans="1:15" ht="15" x14ac:dyDescent="0.2">
      <c r="A229" s="16">
        <v>47818</v>
      </c>
      <c r="B229" s="10">
        <f>4.713 * CHOOSE(CONTROL!$C$32, $C$9, 100%, $E$9)</f>
        <v>4.7130000000000001</v>
      </c>
      <c r="C229" s="10">
        <f>4.713 * CHOOSE(CONTROL!$C$32, $C$9, 100%, $E$9)</f>
        <v>4.7130000000000001</v>
      </c>
      <c r="D229" s="10">
        <f>4.714 * CHOOSE(CONTROL!$C$32, $C$9, 100%, $E$9)</f>
        <v>4.7140000000000004</v>
      </c>
      <c r="E229" s="9">
        <f>4.9445 * CHOOSE(CONTROL!$C$32, $C$9, 100%, $E$9)</f>
        <v>4.9444999999999997</v>
      </c>
      <c r="F229" s="9">
        <f>4.9445 * CHOOSE(CONTROL!$C$32, $C$9, 100%, $E$9)</f>
        <v>4.9444999999999997</v>
      </c>
      <c r="G229" s="9">
        <f>4.9478 * CHOOSE(CONTROL!$C$32, $C$9, 100%, $E$9)</f>
        <v>4.9478</v>
      </c>
      <c r="H229" s="9">
        <f>5.8907 * CHOOSE(CONTROL!$C$32, $C$9, 100%, $E$9)</f>
        <v>5.8906999999999998</v>
      </c>
      <c r="I229" s="9">
        <f>5.8941 * CHOOSE(CONTROL!$C$32, $C$9, 100%, $E$9)</f>
        <v>5.8940999999999999</v>
      </c>
      <c r="J229" s="9">
        <f>5.8907 * CHOOSE(CONTROL!$C$32, $C$9, 100%, $E$9)</f>
        <v>5.8906999999999998</v>
      </c>
      <c r="K229" s="9">
        <f>5.8941 * CHOOSE(CONTROL!$C$32, $C$9, 100%, $E$9)</f>
        <v>5.8940999999999999</v>
      </c>
      <c r="L229" s="9">
        <f>4.9445 * CHOOSE(CONTROL!$C$32, $C$9, 100%, $E$9)</f>
        <v>4.9444999999999997</v>
      </c>
      <c r="M229" s="9">
        <f>4.9478 * CHOOSE(CONTROL!$C$32, $C$9, 100%, $E$9)</f>
        <v>4.9478</v>
      </c>
      <c r="N229" s="9">
        <f>4.9445 * CHOOSE(CONTROL!$C$32, $C$9, 100%, $E$9)</f>
        <v>4.9444999999999997</v>
      </c>
      <c r="O229" s="9">
        <f>4.9478 * CHOOSE(CONTROL!$C$32, $C$9, 100%, $E$9)</f>
        <v>4.9478</v>
      </c>
    </row>
    <row r="230" spans="1:15" ht="15" x14ac:dyDescent="0.2">
      <c r="A230" s="16">
        <v>47849</v>
      </c>
      <c r="B230" s="10">
        <f>4.758 * CHOOSE(CONTROL!$C$32, $C$9, 100%, $E$9)</f>
        <v>4.758</v>
      </c>
      <c r="C230" s="10">
        <f>4.758 * CHOOSE(CONTROL!$C$32, $C$9, 100%, $E$9)</f>
        <v>4.758</v>
      </c>
      <c r="D230" s="10">
        <f>4.759 * CHOOSE(CONTROL!$C$32, $C$9, 100%, $E$9)</f>
        <v>4.7590000000000003</v>
      </c>
      <c r="E230" s="9">
        <f>5.0046 * CHOOSE(CONTROL!$C$32, $C$9, 100%, $E$9)</f>
        <v>5.0045999999999999</v>
      </c>
      <c r="F230" s="9">
        <f>5.0046 * CHOOSE(CONTROL!$C$32, $C$9, 100%, $E$9)</f>
        <v>5.0045999999999999</v>
      </c>
      <c r="G230" s="9">
        <f>5.008 * CHOOSE(CONTROL!$C$32, $C$9, 100%, $E$9)</f>
        <v>5.008</v>
      </c>
      <c r="H230" s="9">
        <f>5.9385 * CHOOSE(CONTROL!$C$32, $C$9, 100%, $E$9)</f>
        <v>5.9385000000000003</v>
      </c>
      <c r="I230" s="9">
        <f>5.9418 * CHOOSE(CONTROL!$C$32, $C$9, 100%, $E$9)</f>
        <v>5.9417999999999997</v>
      </c>
      <c r="J230" s="9">
        <f>5.9385 * CHOOSE(CONTROL!$C$32, $C$9, 100%, $E$9)</f>
        <v>5.9385000000000003</v>
      </c>
      <c r="K230" s="9">
        <f>5.9418 * CHOOSE(CONTROL!$C$32, $C$9, 100%, $E$9)</f>
        <v>5.9417999999999997</v>
      </c>
      <c r="L230" s="9">
        <f>5.0046 * CHOOSE(CONTROL!$C$32, $C$9, 100%, $E$9)</f>
        <v>5.0045999999999999</v>
      </c>
      <c r="M230" s="9">
        <f>5.008 * CHOOSE(CONTROL!$C$32, $C$9, 100%, $E$9)</f>
        <v>5.008</v>
      </c>
      <c r="N230" s="9">
        <f>5.0046 * CHOOSE(CONTROL!$C$32, $C$9, 100%, $E$9)</f>
        <v>5.0045999999999999</v>
      </c>
      <c r="O230" s="9">
        <f>5.008 * CHOOSE(CONTROL!$C$32, $C$9, 100%, $E$9)</f>
        <v>5.008</v>
      </c>
    </row>
    <row r="231" spans="1:15" ht="15" x14ac:dyDescent="0.2">
      <c r="A231" s="16">
        <v>47880</v>
      </c>
      <c r="B231" s="10">
        <f>4.7549 * CHOOSE(CONTROL!$C$32, $C$9, 100%, $E$9)</f>
        <v>4.7549000000000001</v>
      </c>
      <c r="C231" s="10">
        <f>4.7549 * CHOOSE(CONTROL!$C$32, $C$9, 100%, $E$9)</f>
        <v>4.7549000000000001</v>
      </c>
      <c r="D231" s="10">
        <f>4.7559 * CHOOSE(CONTROL!$C$32, $C$9, 100%, $E$9)</f>
        <v>4.7558999999999996</v>
      </c>
      <c r="E231" s="9">
        <f>4.92 * CHOOSE(CONTROL!$C$32, $C$9, 100%, $E$9)</f>
        <v>4.92</v>
      </c>
      <c r="F231" s="9">
        <f>4.92 * CHOOSE(CONTROL!$C$32, $C$9, 100%, $E$9)</f>
        <v>4.92</v>
      </c>
      <c r="G231" s="9">
        <f>4.9234 * CHOOSE(CONTROL!$C$32, $C$9, 100%, $E$9)</f>
        <v>4.9234</v>
      </c>
      <c r="H231" s="9">
        <f>5.9365 * CHOOSE(CONTROL!$C$32, $C$9, 100%, $E$9)</f>
        <v>5.9364999999999997</v>
      </c>
      <c r="I231" s="9">
        <f>5.9398 * CHOOSE(CONTROL!$C$32, $C$9, 100%, $E$9)</f>
        <v>5.9398</v>
      </c>
      <c r="J231" s="9">
        <f>5.9365 * CHOOSE(CONTROL!$C$32, $C$9, 100%, $E$9)</f>
        <v>5.9364999999999997</v>
      </c>
      <c r="K231" s="9">
        <f>5.9398 * CHOOSE(CONTROL!$C$32, $C$9, 100%, $E$9)</f>
        <v>5.9398</v>
      </c>
      <c r="L231" s="9">
        <f>4.92 * CHOOSE(CONTROL!$C$32, $C$9, 100%, $E$9)</f>
        <v>4.92</v>
      </c>
      <c r="M231" s="9">
        <f>4.9234 * CHOOSE(CONTROL!$C$32, $C$9, 100%, $E$9)</f>
        <v>4.9234</v>
      </c>
      <c r="N231" s="9">
        <f>4.92 * CHOOSE(CONTROL!$C$32, $C$9, 100%, $E$9)</f>
        <v>4.92</v>
      </c>
      <c r="O231" s="9">
        <f>4.9234 * CHOOSE(CONTROL!$C$32, $C$9, 100%, $E$9)</f>
        <v>4.9234</v>
      </c>
    </row>
    <row r="232" spans="1:15" ht="15" x14ac:dyDescent="0.2">
      <c r="A232" s="16">
        <v>47908</v>
      </c>
      <c r="B232" s="10">
        <f>4.7519 * CHOOSE(CONTROL!$C$32, $C$9, 100%, $E$9)</f>
        <v>4.7519</v>
      </c>
      <c r="C232" s="10">
        <f>4.7519 * CHOOSE(CONTROL!$C$32, $C$9, 100%, $E$9)</f>
        <v>4.7519</v>
      </c>
      <c r="D232" s="10">
        <f>4.7529 * CHOOSE(CONTROL!$C$32, $C$9, 100%, $E$9)</f>
        <v>4.7529000000000003</v>
      </c>
      <c r="E232" s="9">
        <f>4.9829 * CHOOSE(CONTROL!$C$32, $C$9, 100%, $E$9)</f>
        <v>4.9828999999999999</v>
      </c>
      <c r="F232" s="9">
        <f>4.9829 * CHOOSE(CONTROL!$C$32, $C$9, 100%, $E$9)</f>
        <v>4.9828999999999999</v>
      </c>
      <c r="G232" s="9">
        <f>4.9863 * CHOOSE(CONTROL!$C$32, $C$9, 100%, $E$9)</f>
        <v>4.9863</v>
      </c>
      <c r="H232" s="9">
        <f>5.9345 * CHOOSE(CONTROL!$C$32, $C$9, 100%, $E$9)</f>
        <v>5.9344999999999999</v>
      </c>
      <c r="I232" s="9">
        <f>5.9378 * CHOOSE(CONTROL!$C$32, $C$9, 100%, $E$9)</f>
        <v>5.9378000000000002</v>
      </c>
      <c r="J232" s="9">
        <f>5.9345 * CHOOSE(CONTROL!$C$32, $C$9, 100%, $E$9)</f>
        <v>5.9344999999999999</v>
      </c>
      <c r="K232" s="9">
        <f>5.9378 * CHOOSE(CONTROL!$C$32, $C$9, 100%, $E$9)</f>
        <v>5.9378000000000002</v>
      </c>
      <c r="L232" s="9">
        <f>4.9829 * CHOOSE(CONTROL!$C$32, $C$9, 100%, $E$9)</f>
        <v>4.9828999999999999</v>
      </c>
      <c r="M232" s="9">
        <f>4.9863 * CHOOSE(CONTROL!$C$32, $C$9, 100%, $E$9)</f>
        <v>4.9863</v>
      </c>
      <c r="N232" s="9">
        <f>4.9829 * CHOOSE(CONTROL!$C$32, $C$9, 100%, $E$9)</f>
        <v>4.9828999999999999</v>
      </c>
      <c r="O232" s="9">
        <f>4.9863 * CHOOSE(CONTROL!$C$32, $C$9, 100%, $E$9)</f>
        <v>4.9863</v>
      </c>
    </row>
    <row r="233" spans="1:15" ht="15" x14ac:dyDescent="0.2">
      <c r="A233" s="16">
        <v>47939</v>
      </c>
      <c r="B233" s="10">
        <f>4.7504 * CHOOSE(CONTROL!$C$32, $C$9, 100%, $E$9)</f>
        <v>4.7504</v>
      </c>
      <c r="C233" s="10">
        <f>4.7504 * CHOOSE(CONTROL!$C$32, $C$9, 100%, $E$9)</f>
        <v>4.7504</v>
      </c>
      <c r="D233" s="10">
        <f>4.7514 * CHOOSE(CONTROL!$C$32, $C$9, 100%, $E$9)</f>
        <v>4.7514000000000003</v>
      </c>
      <c r="E233" s="9">
        <f>5.0484 * CHOOSE(CONTROL!$C$32, $C$9, 100%, $E$9)</f>
        <v>5.0484</v>
      </c>
      <c r="F233" s="9">
        <f>5.0484 * CHOOSE(CONTROL!$C$32, $C$9, 100%, $E$9)</f>
        <v>5.0484</v>
      </c>
      <c r="G233" s="9">
        <f>5.0518 * CHOOSE(CONTROL!$C$32, $C$9, 100%, $E$9)</f>
        <v>5.0518000000000001</v>
      </c>
      <c r="H233" s="9">
        <f>5.9333 * CHOOSE(CONTROL!$C$32, $C$9, 100%, $E$9)</f>
        <v>5.9333</v>
      </c>
      <c r="I233" s="9">
        <f>5.9367 * CHOOSE(CONTROL!$C$32, $C$9, 100%, $E$9)</f>
        <v>5.9367000000000001</v>
      </c>
      <c r="J233" s="9">
        <f>5.9333 * CHOOSE(CONTROL!$C$32, $C$9, 100%, $E$9)</f>
        <v>5.9333</v>
      </c>
      <c r="K233" s="9">
        <f>5.9367 * CHOOSE(CONTROL!$C$32, $C$9, 100%, $E$9)</f>
        <v>5.9367000000000001</v>
      </c>
      <c r="L233" s="9">
        <f>5.0484 * CHOOSE(CONTROL!$C$32, $C$9, 100%, $E$9)</f>
        <v>5.0484</v>
      </c>
      <c r="M233" s="9">
        <f>5.0518 * CHOOSE(CONTROL!$C$32, $C$9, 100%, $E$9)</f>
        <v>5.0518000000000001</v>
      </c>
      <c r="N233" s="9">
        <f>5.0484 * CHOOSE(CONTROL!$C$32, $C$9, 100%, $E$9)</f>
        <v>5.0484</v>
      </c>
      <c r="O233" s="9">
        <f>5.0518 * CHOOSE(CONTROL!$C$32, $C$9, 100%, $E$9)</f>
        <v>5.0518000000000001</v>
      </c>
    </row>
    <row r="234" spans="1:15" ht="15" x14ac:dyDescent="0.2">
      <c r="A234" s="16">
        <v>47969</v>
      </c>
      <c r="B234" s="10">
        <f>4.7504 * CHOOSE(CONTROL!$C$32, $C$9, 100%, $E$9)</f>
        <v>4.7504</v>
      </c>
      <c r="C234" s="10">
        <f>4.7504 * CHOOSE(CONTROL!$C$32, $C$9, 100%, $E$9)</f>
        <v>4.7504</v>
      </c>
      <c r="D234" s="10">
        <f>4.7517 * CHOOSE(CONTROL!$C$32, $C$9, 100%, $E$9)</f>
        <v>4.7516999999999996</v>
      </c>
      <c r="E234" s="9">
        <f>5.0746 * CHOOSE(CONTROL!$C$32, $C$9, 100%, $E$9)</f>
        <v>5.0746000000000002</v>
      </c>
      <c r="F234" s="9">
        <f>5.0746 * CHOOSE(CONTROL!$C$32, $C$9, 100%, $E$9)</f>
        <v>5.0746000000000002</v>
      </c>
      <c r="G234" s="9">
        <f>5.079 * CHOOSE(CONTROL!$C$32, $C$9, 100%, $E$9)</f>
        <v>5.0789999999999997</v>
      </c>
      <c r="H234" s="9">
        <f>5.9333 * CHOOSE(CONTROL!$C$32, $C$9, 100%, $E$9)</f>
        <v>5.9333</v>
      </c>
      <c r="I234" s="9">
        <f>5.9377 * CHOOSE(CONTROL!$C$32, $C$9, 100%, $E$9)</f>
        <v>5.9377000000000004</v>
      </c>
      <c r="J234" s="9">
        <f>5.9333 * CHOOSE(CONTROL!$C$32, $C$9, 100%, $E$9)</f>
        <v>5.9333</v>
      </c>
      <c r="K234" s="9">
        <f>5.9377 * CHOOSE(CONTROL!$C$32, $C$9, 100%, $E$9)</f>
        <v>5.9377000000000004</v>
      </c>
      <c r="L234" s="9">
        <f>5.0746 * CHOOSE(CONTROL!$C$32, $C$9, 100%, $E$9)</f>
        <v>5.0746000000000002</v>
      </c>
      <c r="M234" s="9">
        <f>5.079 * CHOOSE(CONTROL!$C$32, $C$9, 100%, $E$9)</f>
        <v>5.0789999999999997</v>
      </c>
      <c r="N234" s="9">
        <f>5.0746 * CHOOSE(CONTROL!$C$32, $C$9, 100%, $E$9)</f>
        <v>5.0746000000000002</v>
      </c>
      <c r="O234" s="9">
        <f>5.079 * CHOOSE(CONTROL!$C$32, $C$9, 100%, $E$9)</f>
        <v>5.0789999999999997</v>
      </c>
    </row>
    <row r="235" spans="1:15" ht="15" x14ac:dyDescent="0.2">
      <c r="A235" s="16">
        <v>48000</v>
      </c>
      <c r="B235" s="10">
        <f>4.7565 * CHOOSE(CONTROL!$C$32, $C$9, 100%, $E$9)</f>
        <v>4.7565</v>
      </c>
      <c r="C235" s="10">
        <f>4.7565 * CHOOSE(CONTROL!$C$32, $C$9, 100%, $E$9)</f>
        <v>4.7565</v>
      </c>
      <c r="D235" s="10">
        <f>4.7578 * CHOOSE(CONTROL!$C$32, $C$9, 100%, $E$9)</f>
        <v>4.7577999999999996</v>
      </c>
      <c r="E235" s="9">
        <f>5.0527 * CHOOSE(CONTROL!$C$32, $C$9, 100%, $E$9)</f>
        <v>5.0526999999999997</v>
      </c>
      <c r="F235" s="9">
        <f>5.0527 * CHOOSE(CONTROL!$C$32, $C$9, 100%, $E$9)</f>
        <v>5.0526999999999997</v>
      </c>
      <c r="G235" s="9">
        <f>5.057 * CHOOSE(CONTROL!$C$32, $C$9, 100%, $E$9)</f>
        <v>5.0570000000000004</v>
      </c>
      <c r="H235" s="9">
        <f>5.9373 * CHOOSE(CONTROL!$C$32, $C$9, 100%, $E$9)</f>
        <v>5.9372999999999996</v>
      </c>
      <c r="I235" s="9">
        <f>5.9417 * CHOOSE(CONTROL!$C$32, $C$9, 100%, $E$9)</f>
        <v>5.9417</v>
      </c>
      <c r="J235" s="9">
        <f>5.9373 * CHOOSE(CONTROL!$C$32, $C$9, 100%, $E$9)</f>
        <v>5.9372999999999996</v>
      </c>
      <c r="K235" s="9">
        <f>5.9417 * CHOOSE(CONTROL!$C$32, $C$9, 100%, $E$9)</f>
        <v>5.9417</v>
      </c>
      <c r="L235" s="9">
        <f>5.0527 * CHOOSE(CONTROL!$C$32, $C$9, 100%, $E$9)</f>
        <v>5.0526999999999997</v>
      </c>
      <c r="M235" s="9">
        <f>5.057 * CHOOSE(CONTROL!$C$32, $C$9, 100%, $E$9)</f>
        <v>5.0570000000000004</v>
      </c>
      <c r="N235" s="9">
        <f>5.0527 * CHOOSE(CONTROL!$C$32, $C$9, 100%, $E$9)</f>
        <v>5.0526999999999997</v>
      </c>
      <c r="O235" s="9">
        <f>5.057 * CHOOSE(CONTROL!$C$32, $C$9, 100%, $E$9)</f>
        <v>5.0570000000000004</v>
      </c>
    </row>
    <row r="236" spans="1:15" ht="15" x14ac:dyDescent="0.2">
      <c r="A236" s="16">
        <v>48030</v>
      </c>
      <c r="B236" s="10">
        <f>4.8391 * CHOOSE(CONTROL!$C$32, $C$9, 100%, $E$9)</f>
        <v>4.8391000000000002</v>
      </c>
      <c r="C236" s="10">
        <f>4.8391 * CHOOSE(CONTROL!$C$32, $C$9, 100%, $E$9)</f>
        <v>4.8391000000000002</v>
      </c>
      <c r="D236" s="10">
        <f>4.8404 * CHOOSE(CONTROL!$C$32, $C$9, 100%, $E$9)</f>
        <v>4.8403999999999998</v>
      </c>
      <c r="E236" s="9">
        <f>5.106 * CHOOSE(CONTROL!$C$32, $C$9, 100%, $E$9)</f>
        <v>5.1059999999999999</v>
      </c>
      <c r="F236" s="9">
        <f>5.106 * CHOOSE(CONTROL!$C$32, $C$9, 100%, $E$9)</f>
        <v>5.1059999999999999</v>
      </c>
      <c r="G236" s="9">
        <f>5.1104 * CHOOSE(CONTROL!$C$32, $C$9, 100%, $E$9)</f>
        <v>5.1104000000000003</v>
      </c>
      <c r="H236" s="9">
        <f>6.0371 * CHOOSE(CONTROL!$C$32, $C$9, 100%, $E$9)</f>
        <v>6.0370999999999997</v>
      </c>
      <c r="I236" s="9">
        <f>6.0414 * CHOOSE(CONTROL!$C$32, $C$9, 100%, $E$9)</f>
        <v>6.0414000000000003</v>
      </c>
      <c r="J236" s="9">
        <f>6.0371 * CHOOSE(CONTROL!$C$32, $C$9, 100%, $E$9)</f>
        <v>6.0370999999999997</v>
      </c>
      <c r="K236" s="9">
        <f>6.0414 * CHOOSE(CONTROL!$C$32, $C$9, 100%, $E$9)</f>
        <v>6.0414000000000003</v>
      </c>
      <c r="L236" s="9">
        <f>5.106 * CHOOSE(CONTROL!$C$32, $C$9, 100%, $E$9)</f>
        <v>5.1059999999999999</v>
      </c>
      <c r="M236" s="9">
        <f>5.1104 * CHOOSE(CONTROL!$C$32, $C$9, 100%, $E$9)</f>
        <v>5.1104000000000003</v>
      </c>
      <c r="N236" s="9">
        <f>5.106 * CHOOSE(CONTROL!$C$32, $C$9, 100%, $E$9)</f>
        <v>5.1059999999999999</v>
      </c>
      <c r="O236" s="9">
        <f>5.1104 * CHOOSE(CONTROL!$C$32, $C$9, 100%, $E$9)</f>
        <v>5.1104000000000003</v>
      </c>
    </row>
    <row r="237" spans="1:15" ht="15" x14ac:dyDescent="0.2">
      <c r="A237" s="16">
        <v>48061</v>
      </c>
      <c r="B237" s="10">
        <f>4.8457 * CHOOSE(CONTROL!$C$32, $C$9, 100%, $E$9)</f>
        <v>4.8456999999999999</v>
      </c>
      <c r="C237" s="10">
        <f>4.8457 * CHOOSE(CONTROL!$C$32, $C$9, 100%, $E$9)</f>
        <v>4.8456999999999999</v>
      </c>
      <c r="D237" s="10">
        <f>4.847 * CHOOSE(CONTROL!$C$32, $C$9, 100%, $E$9)</f>
        <v>4.8470000000000004</v>
      </c>
      <c r="E237" s="9">
        <f>5.0322 * CHOOSE(CONTROL!$C$32, $C$9, 100%, $E$9)</f>
        <v>5.0321999999999996</v>
      </c>
      <c r="F237" s="9">
        <f>5.0322 * CHOOSE(CONTROL!$C$32, $C$9, 100%, $E$9)</f>
        <v>5.0321999999999996</v>
      </c>
      <c r="G237" s="9">
        <f>5.0366 * CHOOSE(CONTROL!$C$32, $C$9, 100%, $E$9)</f>
        <v>5.0366</v>
      </c>
      <c r="H237" s="9">
        <f>6.0415 * CHOOSE(CONTROL!$C$32, $C$9, 100%, $E$9)</f>
        <v>6.0415000000000001</v>
      </c>
      <c r="I237" s="9">
        <f>6.0458 * CHOOSE(CONTROL!$C$32, $C$9, 100%, $E$9)</f>
        <v>6.0457999999999998</v>
      </c>
      <c r="J237" s="9">
        <f>6.0415 * CHOOSE(CONTROL!$C$32, $C$9, 100%, $E$9)</f>
        <v>6.0415000000000001</v>
      </c>
      <c r="K237" s="9">
        <f>6.0458 * CHOOSE(CONTROL!$C$32, $C$9, 100%, $E$9)</f>
        <v>6.0457999999999998</v>
      </c>
      <c r="L237" s="9">
        <f>5.0322 * CHOOSE(CONTROL!$C$32, $C$9, 100%, $E$9)</f>
        <v>5.0321999999999996</v>
      </c>
      <c r="M237" s="9">
        <f>5.0366 * CHOOSE(CONTROL!$C$32, $C$9, 100%, $E$9)</f>
        <v>5.0366</v>
      </c>
      <c r="N237" s="9">
        <f>5.0322 * CHOOSE(CONTROL!$C$32, $C$9, 100%, $E$9)</f>
        <v>5.0321999999999996</v>
      </c>
      <c r="O237" s="9">
        <f>5.0366 * CHOOSE(CONTROL!$C$32, $C$9, 100%, $E$9)</f>
        <v>5.0366</v>
      </c>
    </row>
    <row r="238" spans="1:15" ht="15" x14ac:dyDescent="0.2">
      <c r="A238" s="16">
        <v>48092</v>
      </c>
      <c r="B238" s="10">
        <f>4.8427 * CHOOSE(CONTROL!$C$32, $C$9, 100%, $E$9)</f>
        <v>4.8426999999999998</v>
      </c>
      <c r="C238" s="10">
        <f>4.8427 * CHOOSE(CONTROL!$C$32, $C$9, 100%, $E$9)</f>
        <v>4.8426999999999998</v>
      </c>
      <c r="D238" s="10">
        <f>4.844 * CHOOSE(CONTROL!$C$32, $C$9, 100%, $E$9)</f>
        <v>4.8440000000000003</v>
      </c>
      <c r="E238" s="9">
        <f>5.0214 * CHOOSE(CONTROL!$C$32, $C$9, 100%, $E$9)</f>
        <v>5.0213999999999999</v>
      </c>
      <c r="F238" s="9">
        <f>5.0214 * CHOOSE(CONTROL!$C$32, $C$9, 100%, $E$9)</f>
        <v>5.0213999999999999</v>
      </c>
      <c r="G238" s="9">
        <f>5.0257 * CHOOSE(CONTROL!$C$32, $C$9, 100%, $E$9)</f>
        <v>5.0256999999999996</v>
      </c>
      <c r="H238" s="9">
        <f>6.0395 * CHOOSE(CONTROL!$C$32, $C$9, 100%, $E$9)</f>
        <v>6.0395000000000003</v>
      </c>
      <c r="I238" s="9">
        <f>6.0438 * CHOOSE(CONTROL!$C$32, $C$9, 100%, $E$9)</f>
        <v>6.0438000000000001</v>
      </c>
      <c r="J238" s="9">
        <f>6.0395 * CHOOSE(CONTROL!$C$32, $C$9, 100%, $E$9)</f>
        <v>6.0395000000000003</v>
      </c>
      <c r="K238" s="9">
        <f>6.0438 * CHOOSE(CONTROL!$C$32, $C$9, 100%, $E$9)</f>
        <v>6.0438000000000001</v>
      </c>
      <c r="L238" s="9">
        <f>5.0214 * CHOOSE(CONTROL!$C$32, $C$9, 100%, $E$9)</f>
        <v>5.0213999999999999</v>
      </c>
      <c r="M238" s="9">
        <f>5.0257 * CHOOSE(CONTROL!$C$32, $C$9, 100%, $E$9)</f>
        <v>5.0256999999999996</v>
      </c>
      <c r="N238" s="9">
        <f>5.0214 * CHOOSE(CONTROL!$C$32, $C$9, 100%, $E$9)</f>
        <v>5.0213999999999999</v>
      </c>
      <c r="O238" s="9">
        <f>5.0257 * CHOOSE(CONTROL!$C$32, $C$9, 100%, $E$9)</f>
        <v>5.0256999999999996</v>
      </c>
    </row>
    <row r="239" spans="1:15" ht="15" x14ac:dyDescent="0.2">
      <c r="A239" s="16">
        <v>48122</v>
      </c>
      <c r="B239" s="10">
        <f>4.8415 * CHOOSE(CONTROL!$C$32, $C$9, 100%, $E$9)</f>
        <v>4.8414999999999999</v>
      </c>
      <c r="C239" s="10">
        <f>4.8415 * CHOOSE(CONTROL!$C$32, $C$9, 100%, $E$9)</f>
        <v>4.8414999999999999</v>
      </c>
      <c r="D239" s="10">
        <f>4.8425 * CHOOSE(CONTROL!$C$32, $C$9, 100%, $E$9)</f>
        <v>4.8425000000000002</v>
      </c>
      <c r="E239" s="9">
        <f>5.0428 * CHOOSE(CONTROL!$C$32, $C$9, 100%, $E$9)</f>
        <v>5.0427999999999997</v>
      </c>
      <c r="F239" s="9">
        <f>5.0428 * CHOOSE(CONTROL!$C$32, $C$9, 100%, $E$9)</f>
        <v>5.0427999999999997</v>
      </c>
      <c r="G239" s="9">
        <f>5.0462 * CHOOSE(CONTROL!$C$32, $C$9, 100%, $E$9)</f>
        <v>5.0461999999999998</v>
      </c>
      <c r="H239" s="9">
        <f>6.038 * CHOOSE(CONTROL!$C$32, $C$9, 100%, $E$9)</f>
        <v>6.0380000000000003</v>
      </c>
      <c r="I239" s="9">
        <f>6.0414 * CHOOSE(CONTROL!$C$32, $C$9, 100%, $E$9)</f>
        <v>6.0414000000000003</v>
      </c>
      <c r="J239" s="9">
        <f>6.038 * CHOOSE(CONTROL!$C$32, $C$9, 100%, $E$9)</f>
        <v>6.0380000000000003</v>
      </c>
      <c r="K239" s="9">
        <f>6.0414 * CHOOSE(CONTROL!$C$32, $C$9, 100%, $E$9)</f>
        <v>6.0414000000000003</v>
      </c>
      <c r="L239" s="9">
        <f>5.0428 * CHOOSE(CONTROL!$C$32, $C$9, 100%, $E$9)</f>
        <v>5.0427999999999997</v>
      </c>
      <c r="M239" s="9">
        <f>5.0462 * CHOOSE(CONTROL!$C$32, $C$9, 100%, $E$9)</f>
        <v>5.0461999999999998</v>
      </c>
      <c r="N239" s="9">
        <f>5.0428 * CHOOSE(CONTROL!$C$32, $C$9, 100%, $E$9)</f>
        <v>5.0427999999999997</v>
      </c>
      <c r="O239" s="9">
        <f>5.0462 * CHOOSE(CONTROL!$C$32, $C$9, 100%, $E$9)</f>
        <v>5.0461999999999998</v>
      </c>
    </row>
    <row r="240" spans="1:15" ht="15" x14ac:dyDescent="0.2">
      <c r="A240" s="16">
        <v>48153</v>
      </c>
      <c r="B240" s="10">
        <f>4.8445 * CHOOSE(CONTROL!$C$32, $C$9, 100%, $E$9)</f>
        <v>4.8445</v>
      </c>
      <c r="C240" s="10">
        <f>4.8445 * CHOOSE(CONTROL!$C$32, $C$9, 100%, $E$9)</f>
        <v>4.8445</v>
      </c>
      <c r="D240" s="10">
        <f>4.8456 * CHOOSE(CONTROL!$C$32, $C$9, 100%, $E$9)</f>
        <v>4.8456000000000001</v>
      </c>
      <c r="E240" s="9">
        <f>5.0624 * CHOOSE(CONTROL!$C$32, $C$9, 100%, $E$9)</f>
        <v>5.0624000000000002</v>
      </c>
      <c r="F240" s="9">
        <f>5.0624 * CHOOSE(CONTROL!$C$32, $C$9, 100%, $E$9)</f>
        <v>5.0624000000000002</v>
      </c>
      <c r="G240" s="9">
        <f>5.0658 * CHOOSE(CONTROL!$C$32, $C$9, 100%, $E$9)</f>
        <v>5.0658000000000003</v>
      </c>
      <c r="H240" s="9">
        <f>6.04 * CHOOSE(CONTROL!$C$32, $C$9, 100%, $E$9)</f>
        <v>6.04</v>
      </c>
      <c r="I240" s="9">
        <f>6.0434 * CHOOSE(CONTROL!$C$32, $C$9, 100%, $E$9)</f>
        <v>6.0434000000000001</v>
      </c>
      <c r="J240" s="9">
        <f>6.04 * CHOOSE(CONTROL!$C$32, $C$9, 100%, $E$9)</f>
        <v>6.04</v>
      </c>
      <c r="K240" s="9">
        <f>6.0434 * CHOOSE(CONTROL!$C$32, $C$9, 100%, $E$9)</f>
        <v>6.0434000000000001</v>
      </c>
      <c r="L240" s="9">
        <f>5.0624 * CHOOSE(CONTROL!$C$32, $C$9, 100%, $E$9)</f>
        <v>5.0624000000000002</v>
      </c>
      <c r="M240" s="9">
        <f>5.0658 * CHOOSE(CONTROL!$C$32, $C$9, 100%, $E$9)</f>
        <v>5.0658000000000003</v>
      </c>
      <c r="N240" s="9">
        <f>5.0624 * CHOOSE(CONTROL!$C$32, $C$9, 100%, $E$9)</f>
        <v>5.0624000000000002</v>
      </c>
      <c r="O240" s="9">
        <f>5.0658 * CHOOSE(CONTROL!$C$32, $C$9, 100%, $E$9)</f>
        <v>5.0658000000000003</v>
      </c>
    </row>
    <row r="241" spans="1:15" ht="15" x14ac:dyDescent="0.2">
      <c r="A241" s="16">
        <v>48183</v>
      </c>
      <c r="B241" s="10">
        <f>4.8445 * CHOOSE(CONTROL!$C$32, $C$9, 100%, $E$9)</f>
        <v>4.8445</v>
      </c>
      <c r="C241" s="10">
        <f>4.8445 * CHOOSE(CONTROL!$C$32, $C$9, 100%, $E$9)</f>
        <v>4.8445</v>
      </c>
      <c r="D241" s="10">
        <f>4.8456 * CHOOSE(CONTROL!$C$32, $C$9, 100%, $E$9)</f>
        <v>4.8456000000000001</v>
      </c>
      <c r="E241" s="9">
        <f>5.0188 * CHOOSE(CONTROL!$C$32, $C$9, 100%, $E$9)</f>
        <v>5.0187999999999997</v>
      </c>
      <c r="F241" s="9">
        <f>5.0188 * CHOOSE(CONTROL!$C$32, $C$9, 100%, $E$9)</f>
        <v>5.0187999999999997</v>
      </c>
      <c r="G241" s="9">
        <f>5.0222 * CHOOSE(CONTROL!$C$32, $C$9, 100%, $E$9)</f>
        <v>5.0221999999999998</v>
      </c>
      <c r="H241" s="9">
        <f>6.04 * CHOOSE(CONTROL!$C$32, $C$9, 100%, $E$9)</f>
        <v>6.04</v>
      </c>
      <c r="I241" s="9">
        <f>6.0434 * CHOOSE(CONTROL!$C$32, $C$9, 100%, $E$9)</f>
        <v>6.0434000000000001</v>
      </c>
      <c r="J241" s="9">
        <f>6.04 * CHOOSE(CONTROL!$C$32, $C$9, 100%, $E$9)</f>
        <v>6.04</v>
      </c>
      <c r="K241" s="9">
        <f>6.0434 * CHOOSE(CONTROL!$C$32, $C$9, 100%, $E$9)</f>
        <v>6.0434000000000001</v>
      </c>
      <c r="L241" s="9">
        <f>5.0188 * CHOOSE(CONTROL!$C$32, $C$9, 100%, $E$9)</f>
        <v>5.0187999999999997</v>
      </c>
      <c r="M241" s="9">
        <f>5.0222 * CHOOSE(CONTROL!$C$32, $C$9, 100%, $E$9)</f>
        <v>5.0221999999999998</v>
      </c>
      <c r="N241" s="9">
        <f>5.0188 * CHOOSE(CONTROL!$C$32, $C$9, 100%, $E$9)</f>
        <v>5.0187999999999997</v>
      </c>
      <c r="O241" s="9">
        <f>5.0222 * CHOOSE(CONTROL!$C$32, $C$9, 100%, $E$9)</f>
        <v>5.0221999999999998</v>
      </c>
    </row>
    <row r="242" spans="1:15" ht="15" x14ac:dyDescent="0.2">
      <c r="A242" s="16">
        <v>48214</v>
      </c>
      <c r="B242" s="10">
        <f>4.8835 * CHOOSE(CONTROL!$C$32, $C$9, 100%, $E$9)</f>
        <v>4.8834999999999997</v>
      </c>
      <c r="C242" s="10">
        <f>4.8835 * CHOOSE(CONTROL!$C$32, $C$9, 100%, $E$9)</f>
        <v>4.8834999999999997</v>
      </c>
      <c r="D242" s="10">
        <f>4.8845 * CHOOSE(CONTROL!$C$32, $C$9, 100%, $E$9)</f>
        <v>4.8845000000000001</v>
      </c>
      <c r="E242" s="9">
        <f>5.0761 * CHOOSE(CONTROL!$C$32, $C$9, 100%, $E$9)</f>
        <v>5.0761000000000003</v>
      </c>
      <c r="F242" s="9">
        <f>5.0761 * CHOOSE(CONTROL!$C$32, $C$9, 100%, $E$9)</f>
        <v>5.0761000000000003</v>
      </c>
      <c r="G242" s="9">
        <f>5.0795 * CHOOSE(CONTROL!$C$32, $C$9, 100%, $E$9)</f>
        <v>5.0795000000000003</v>
      </c>
      <c r="H242" s="9">
        <f>6.0835 * CHOOSE(CONTROL!$C$32, $C$9, 100%, $E$9)</f>
        <v>6.0834999999999999</v>
      </c>
      <c r="I242" s="9">
        <f>6.0869 * CHOOSE(CONTROL!$C$32, $C$9, 100%, $E$9)</f>
        <v>6.0869</v>
      </c>
      <c r="J242" s="9">
        <f>6.0835 * CHOOSE(CONTROL!$C$32, $C$9, 100%, $E$9)</f>
        <v>6.0834999999999999</v>
      </c>
      <c r="K242" s="9">
        <f>6.0869 * CHOOSE(CONTROL!$C$32, $C$9, 100%, $E$9)</f>
        <v>6.0869</v>
      </c>
      <c r="L242" s="9">
        <f>5.0761 * CHOOSE(CONTROL!$C$32, $C$9, 100%, $E$9)</f>
        <v>5.0761000000000003</v>
      </c>
      <c r="M242" s="9">
        <f>5.0795 * CHOOSE(CONTROL!$C$32, $C$9, 100%, $E$9)</f>
        <v>5.0795000000000003</v>
      </c>
      <c r="N242" s="9">
        <f>5.0761 * CHOOSE(CONTROL!$C$32, $C$9, 100%, $E$9)</f>
        <v>5.0761000000000003</v>
      </c>
      <c r="O242" s="9">
        <f>5.0795 * CHOOSE(CONTROL!$C$32, $C$9, 100%, $E$9)</f>
        <v>5.0795000000000003</v>
      </c>
    </row>
    <row r="243" spans="1:15" ht="15" x14ac:dyDescent="0.2">
      <c r="A243" s="16">
        <v>48245</v>
      </c>
      <c r="B243" s="10">
        <f>4.8804 * CHOOSE(CONTROL!$C$32, $C$9, 100%, $E$9)</f>
        <v>4.8803999999999998</v>
      </c>
      <c r="C243" s="10">
        <f>4.8804 * CHOOSE(CONTROL!$C$32, $C$9, 100%, $E$9)</f>
        <v>4.8803999999999998</v>
      </c>
      <c r="D243" s="10">
        <f>4.8815 * CHOOSE(CONTROL!$C$32, $C$9, 100%, $E$9)</f>
        <v>4.8815</v>
      </c>
      <c r="E243" s="9">
        <f>4.9891 * CHOOSE(CONTROL!$C$32, $C$9, 100%, $E$9)</f>
        <v>4.9890999999999996</v>
      </c>
      <c r="F243" s="9">
        <f>4.9891 * CHOOSE(CONTROL!$C$32, $C$9, 100%, $E$9)</f>
        <v>4.9890999999999996</v>
      </c>
      <c r="G243" s="9">
        <f>4.9924 * CHOOSE(CONTROL!$C$32, $C$9, 100%, $E$9)</f>
        <v>4.9923999999999999</v>
      </c>
      <c r="H243" s="9">
        <f>6.0815 * CHOOSE(CONTROL!$C$32, $C$9, 100%, $E$9)</f>
        <v>6.0815000000000001</v>
      </c>
      <c r="I243" s="9">
        <f>6.0849 * CHOOSE(CONTROL!$C$32, $C$9, 100%, $E$9)</f>
        <v>6.0849000000000002</v>
      </c>
      <c r="J243" s="9">
        <f>6.0815 * CHOOSE(CONTROL!$C$32, $C$9, 100%, $E$9)</f>
        <v>6.0815000000000001</v>
      </c>
      <c r="K243" s="9">
        <f>6.0849 * CHOOSE(CONTROL!$C$32, $C$9, 100%, $E$9)</f>
        <v>6.0849000000000002</v>
      </c>
      <c r="L243" s="9">
        <f>4.9891 * CHOOSE(CONTROL!$C$32, $C$9, 100%, $E$9)</f>
        <v>4.9890999999999996</v>
      </c>
      <c r="M243" s="9">
        <f>4.9924 * CHOOSE(CONTROL!$C$32, $C$9, 100%, $E$9)</f>
        <v>4.9923999999999999</v>
      </c>
      <c r="N243" s="9">
        <f>4.9891 * CHOOSE(CONTROL!$C$32, $C$9, 100%, $E$9)</f>
        <v>4.9890999999999996</v>
      </c>
      <c r="O243" s="9">
        <f>4.9924 * CHOOSE(CONTROL!$C$32, $C$9, 100%, $E$9)</f>
        <v>4.9923999999999999</v>
      </c>
    </row>
    <row r="244" spans="1:15" ht="15" x14ac:dyDescent="0.2">
      <c r="A244" s="16">
        <v>48274</v>
      </c>
      <c r="B244" s="10">
        <f>4.8774 * CHOOSE(CONTROL!$C$32, $C$9, 100%, $E$9)</f>
        <v>4.8773999999999997</v>
      </c>
      <c r="C244" s="10">
        <f>4.8774 * CHOOSE(CONTROL!$C$32, $C$9, 100%, $E$9)</f>
        <v>4.8773999999999997</v>
      </c>
      <c r="D244" s="10">
        <f>4.8784 * CHOOSE(CONTROL!$C$32, $C$9, 100%, $E$9)</f>
        <v>4.8784000000000001</v>
      </c>
      <c r="E244" s="9">
        <f>5.0539 * CHOOSE(CONTROL!$C$32, $C$9, 100%, $E$9)</f>
        <v>5.0538999999999996</v>
      </c>
      <c r="F244" s="9">
        <f>5.0539 * CHOOSE(CONTROL!$C$32, $C$9, 100%, $E$9)</f>
        <v>5.0538999999999996</v>
      </c>
      <c r="G244" s="9">
        <f>5.0573 * CHOOSE(CONTROL!$C$32, $C$9, 100%, $E$9)</f>
        <v>5.0572999999999997</v>
      </c>
      <c r="H244" s="9">
        <f>6.0795 * CHOOSE(CONTROL!$C$32, $C$9, 100%, $E$9)</f>
        <v>6.0795000000000003</v>
      </c>
      <c r="I244" s="9">
        <f>6.0829 * CHOOSE(CONTROL!$C$32, $C$9, 100%, $E$9)</f>
        <v>6.0829000000000004</v>
      </c>
      <c r="J244" s="9">
        <f>6.0795 * CHOOSE(CONTROL!$C$32, $C$9, 100%, $E$9)</f>
        <v>6.0795000000000003</v>
      </c>
      <c r="K244" s="9">
        <f>6.0829 * CHOOSE(CONTROL!$C$32, $C$9, 100%, $E$9)</f>
        <v>6.0829000000000004</v>
      </c>
      <c r="L244" s="9">
        <f>5.0539 * CHOOSE(CONTROL!$C$32, $C$9, 100%, $E$9)</f>
        <v>5.0538999999999996</v>
      </c>
      <c r="M244" s="9">
        <f>5.0573 * CHOOSE(CONTROL!$C$32, $C$9, 100%, $E$9)</f>
        <v>5.0572999999999997</v>
      </c>
      <c r="N244" s="9">
        <f>5.0539 * CHOOSE(CONTROL!$C$32, $C$9, 100%, $E$9)</f>
        <v>5.0538999999999996</v>
      </c>
      <c r="O244" s="9">
        <f>5.0573 * CHOOSE(CONTROL!$C$32, $C$9, 100%, $E$9)</f>
        <v>5.0572999999999997</v>
      </c>
    </row>
    <row r="245" spans="1:15" ht="15" x14ac:dyDescent="0.2">
      <c r="A245" s="16">
        <v>48305</v>
      </c>
      <c r="B245" s="10">
        <f>4.8761 * CHOOSE(CONTROL!$C$32, $C$9, 100%, $E$9)</f>
        <v>4.8761000000000001</v>
      </c>
      <c r="C245" s="10">
        <f>4.8761 * CHOOSE(CONTROL!$C$32, $C$9, 100%, $E$9)</f>
        <v>4.8761000000000001</v>
      </c>
      <c r="D245" s="10">
        <f>4.8771 * CHOOSE(CONTROL!$C$32, $C$9, 100%, $E$9)</f>
        <v>4.8771000000000004</v>
      </c>
      <c r="E245" s="9">
        <f>5.1216 * CHOOSE(CONTROL!$C$32, $C$9, 100%, $E$9)</f>
        <v>5.1215999999999999</v>
      </c>
      <c r="F245" s="9">
        <f>5.1216 * CHOOSE(CONTROL!$C$32, $C$9, 100%, $E$9)</f>
        <v>5.1215999999999999</v>
      </c>
      <c r="G245" s="9">
        <f>5.1249 * CHOOSE(CONTROL!$C$32, $C$9, 100%, $E$9)</f>
        <v>5.1249000000000002</v>
      </c>
      <c r="H245" s="9">
        <f>6.0785 * CHOOSE(CONTROL!$C$32, $C$9, 100%, $E$9)</f>
        <v>6.0785</v>
      </c>
      <c r="I245" s="9">
        <f>6.0818 * CHOOSE(CONTROL!$C$32, $C$9, 100%, $E$9)</f>
        <v>6.0818000000000003</v>
      </c>
      <c r="J245" s="9">
        <f>6.0785 * CHOOSE(CONTROL!$C$32, $C$9, 100%, $E$9)</f>
        <v>6.0785</v>
      </c>
      <c r="K245" s="9">
        <f>6.0818 * CHOOSE(CONTROL!$C$32, $C$9, 100%, $E$9)</f>
        <v>6.0818000000000003</v>
      </c>
      <c r="L245" s="9">
        <f>5.1216 * CHOOSE(CONTROL!$C$32, $C$9, 100%, $E$9)</f>
        <v>5.1215999999999999</v>
      </c>
      <c r="M245" s="9">
        <f>5.1249 * CHOOSE(CONTROL!$C$32, $C$9, 100%, $E$9)</f>
        <v>5.1249000000000002</v>
      </c>
      <c r="N245" s="9">
        <f>5.1216 * CHOOSE(CONTROL!$C$32, $C$9, 100%, $E$9)</f>
        <v>5.1215999999999999</v>
      </c>
      <c r="O245" s="9">
        <f>5.1249 * CHOOSE(CONTROL!$C$32, $C$9, 100%, $E$9)</f>
        <v>5.1249000000000002</v>
      </c>
    </row>
    <row r="246" spans="1:15" ht="15" x14ac:dyDescent="0.2">
      <c r="A246" s="16">
        <v>48335</v>
      </c>
      <c r="B246" s="10">
        <f>4.8761 * CHOOSE(CONTROL!$C$32, $C$9, 100%, $E$9)</f>
        <v>4.8761000000000001</v>
      </c>
      <c r="C246" s="10">
        <f>4.8761 * CHOOSE(CONTROL!$C$32, $C$9, 100%, $E$9)</f>
        <v>4.8761000000000001</v>
      </c>
      <c r="D246" s="10">
        <f>4.8774 * CHOOSE(CONTROL!$C$32, $C$9, 100%, $E$9)</f>
        <v>4.8773999999999997</v>
      </c>
      <c r="E246" s="9">
        <f>5.1485 * CHOOSE(CONTROL!$C$32, $C$9, 100%, $E$9)</f>
        <v>5.1485000000000003</v>
      </c>
      <c r="F246" s="9">
        <f>5.1485 * CHOOSE(CONTROL!$C$32, $C$9, 100%, $E$9)</f>
        <v>5.1485000000000003</v>
      </c>
      <c r="G246" s="9">
        <f>5.1529 * CHOOSE(CONTROL!$C$32, $C$9, 100%, $E$9)</f>
        <v>5.1528999999999998</v>
      </c>
      <c r="H246" s="9">
        <f>6.0785 * CHOOSE(CONTROL!$C$32, $C$9, 100%, $E$9)</f>
        <v>6.0785</v>
      </c>
      <c r="I246" s="9">
        <f>6.0828 * CHOOSE(CONTROL!$C$32, $C$9, 100%, $E$9)</f>
        <v>6.0827999999999998</v>
      </c>
      <c r="J246" s="9">
        <f>6.0785 * CHOOSE(CONTROL!$C$32, $C$9, 100%, $E$9)</f>
        <v>6.0785</v>
      </c>
      <c r="K246" s="9">
        <f>6.0828 * CHOOSE(CONTROL!$C$32, $C$9, 100%, $E$9)</f>
        <v>6.0827999999999998</v>
      </c>
      <c r="L246" s="9">
        <f>5.1485 * CHOOSE(CONTROL!$C$32, $C$9, 100%, $E$9)</f>
        <v>5.1485000000000003</v>
      </c>
      <c r="M246" s="9">
        <f>5.1529 * CHOOSE(CONTROL!$C$32, $C$9, 100%, $E$9)</f>
        <v>5.1528999999999998</v>
      </c>
      <c r="N246" s="9">
        <f>5.1485 * CHOOSE(CONTROL!$C$32, $C$9, 100%, $E$9)</f>
        <v>5.1485000000000003</v>
      </c>
      <c r="O246" s="9">
        <f>5.1529 * CHOOSE(CONTROL!$C$32, $C$9, 100%, $E$9)</f>
        <v>5.1528999999999998</v>
      </c>
    </row>
    <row r="247" spans="1:15" ht="15" x14ac:dyDescent="0.2">
      <c r="A247" s="16">
        <v>48366</v>
      </c>
      <c r="B247" s="10">
        <f>4.8821 * CHOOSE(CONTROL!$C$32, $C$9, 100%, $E$9)</f>
        <v>4.8821000000000003</v>
      </c>
      <c r="C247" s="10">
        <f>4.8821 * CHOOSE(CONTROL!$C$32, $C$9, 100%, $E$9)</f>
        <v>4.8821000000000003</v>
      </c>
      <c r="D247" s="10">
        <f>4.8834 * CHOOSE(CONTROL!$C$32, $C$9, 100%, $E$9)</f>
        <v>4.8834</v>
      </c>
      <c r="E247" s="9">
        <f>5.1258 * CHOOSE(CONTROL!$C$32, $C$9, 100%, $E$9)</f>
        <v>5.1257999999999999</v>
      </c>
      <c r="F247" s="9">
        <f>5.1258 * CHOOSE(CONTROL!$C$32, $C$9, 100%, $E$9)</f>
        <v>5.1257999999999999</v>
      </c>
      <c r="G247" s="9">
        <f>5.1302 * CHOOSE(CONTROL!$C$32, $C$9, 100%, $E$9)</f>
        <v>5.1302000000000003</v>
      </c>
      <c r="H247" s="9">
        <f>6.0825 * CHOOSE(CONTROL!$C$32, $C$9, 100%, $E$9)</f>
        <v>6.0824999999999996</v>
      </c>
      <c r="I247" s="9">
        <f>6.0868 * CHOOSE(CONTROL!$C$32, $C$9, 100%, $E$9)</f>
        <v>6.0868000000000002</v>
      </c>
      <c r="J247" s="9">
        <f>6.0825 * CHOOSE(CONTROL!$C$32, $C$9, 100%, $E$9)</f>
        <v>6.0824999999999996</v>
      </c>
      <c r="K247" s="9">
        <f>6.0868 * CHOOSE(CONTROL!$C$32, $C$9, 100%, $E$9)</f>
        <v>6.0868000000000002</v>
      </c>
      <c r="L247" s="9">
        <f>5.1258 * CHOOSE(CONTROL!$C$32, $C$9, 100%, $E$9)</f>
        <v>5.1257999999999999</v>
      </c>
      <c r="M247" s="9">
        <f>5.1302 * CHOOSE(CONTROL!$C$32, $C$9, 100%, $E$9)</f>
        <v>5.1302000000000003</v>
      </c>
      <c r="N247" s="9">
        <f>5.1258 * CHOOSE(CONTROL!$C$32, $C$9, 100%, $E$9)</f>
        <v>5.1257999999999999</v>
      </c>
      <c r="O247" s="9">
        <f>5.1302 * CHOOSE(CONTROL!$C$32, $C$9, 100%, $E$9)</f>
        <v>5.1302000000000003</v>
      </c>
    </row>
    <row r="248" spans="1:15" ht="15" x14ac:dyDescent="0.2">
      <c r="A248" s="16">
        <v>48396</v>
      </c>
      <c r="B248" s="10">
        <f>4.9515 * CHOOSE(CONTROL!$C$32, $C$9, 100%, $E$9)</f>
        <v>4.9515000000000002</v>
      </c>
      <c r="C248" s="10">
        <f>4.9515 * CHOOSE(CONTROL!$C$32, $C$9, 100%, $E$9)</f>
        <v>4.9515000000000002</v>
      </c>
      <c r="D248" s="10">
        <f>4.9528 * CHOOSE(CONTROL!$C$32, $C$9, 100%, $E$9)</f>
        <v>4.9527999999999999</v>
      </c>
      <c r="E248" s="9">
        <f>5.1692 * CHOOSE(CONTROL!$C$32, $C$9, 100%, $E$9)</f>
        <v>5.1692</v>
      </c>
      <c r="F248" s="9">
        <f>5.1692 * CHOOSE(CONTROL!$C$32, $C$9, 100%, $E$9)</f>
        <v>5.1692</v>
      </c>
      <c r="G248" s="9">
        <f>5.1736 * CHOOSE(CONTROL!$C$32, $C$9, 100%, $E$9)</f>
        <v>5.1736000000000004</v>
      </c>
      <c r="H248" s="9">
        <f>6.1728 * CHOOSE(CONTROL!$C$32, $C$9, 100%, $E$9)</f>
        <v>6.1727999999999996</v>
      </c>
      <c r="I248" s="9">
        <f>6.1772 * CHOOSE(CONTROL!$C$32, $C$9, 100%, $E$9)</f>
        <v>6.1772</v>
      </c>
      <c r="J248" s="9">
        <f>6.1728 * CHOOSE(CONTROL!$C$32, $C$9, 100%, $E$9)</f>
        <v>6.1727999999999996</v>
      </c>
      <c r="K248" s="9">
        <f>6.1772 * CHOOSE(CONTROL!$C$32, $C$9, 100%, $E$9)</f>
        <v>6.1772</v>
      </c>
      <c r="L248" s="9">
        <f>5.1692 * CHOOSE(CONTROL!$C$32, $C$9, 100%, $E$9)</f>
        <v>5.1692</v>
      </c>
      <c r="M248" s="9">
        <f>5.1736 * CHOOSE(CONTROL!$C$32, $C$9, 100%, $E$9)</f>
        <v>5.1736000000000004</v>
      </c>
      <c r="N248" s="9">
        <f>5.1692 * CHOOSE(CONTROL!$C$32, $C$9, 100%, $E$9)</f>
        <v>5.1692</v>
      </c>
      <c r="O248" s="9">
        <f>5.1736 * CHOOSE(CONTROL!$C$32, $C$9, 100%, $E$9)</f>
        <v>5.1736000000000004</v>
      </c>
    </row>
    <row r="249" spans="1:15" ht="15" x14ac:dyDescent="0.2">
      <c r="A249" s="16">
        <v>48427</v>
      </c>
      <c r="B249" s="10">
        <f>4.9582 * CHOOSE(CONTROL!$C$32, $C$9, 100%, $E$9)</f>
        <v>4.9581999999999997</v>
      </c>
      <c r="C249" s="10">
        <f>4.9582 * CHOOSE(CONTROL!$C$32, $C$9, 100%, $E$9)</f>
        <v>4.9581999999999997</v>
      </c>
      <c r="D249" s="10">
        <f>4.9595 * CHOOSE(CONTROL!$C$32, $C$9, 100%, $E$9)</f>
        <v>4.9595000000000002</v>
      </c>
      <c r="E249" s="9">
        <f>5.093 * CHOOSE(CONTROL!$C$32, $C$9, 100%, $E$9)</f>
        <v>5.093</v>
      </c>
      <c r="F249" s="9">
        <f>5.093 * CHOOSE(CONTROL!$C$32, $C$9, 100%, $E$9)</f>
        <v>5.093</v>
      </c>
      <c r="G249" s="9">
        <f>5.0974 * CHOOSE(CONTROL!$C$32, $C$9, 100%, $E$9)</f>
        <v>5.0974000000000004</v>
      </c>
      <c r="H249" s="9">
        <f>6.1772 * CHOOSE(CONTROL!$C$32, $C$9, 100%, $E$9)</f>
        <v>6.1772</v>
      </c>
      <c r="I249" s="9">
        <f>6.1816 * CHOOSE(CONTROL!$C$32, $C$9, 100%, $E$9)</f>
        <v>6.1816000000000004</v>
      </c>
      <c r="J249" s="9">
        <f>6.1772 * CHOOSE(CONTROL!$C$32, $C$9, 100%, $E$9)</f>
        <v>6.1772</v>
      </c>
      <c r="K249" s="9">
        <f>6.1816 * CHOOSE(CONTROL!$C$32, $C$9, 100%, $E$9)</f>
        <v>6.1816000000000004</v>
      </c>
      <c r="L249" s="9">
        <f>5.093 * CHOOSE(CONTROL!$C$32, $C$9, 100%, $E$9)</f>
        <v>5.093</v>
      </c>
      <c r="M249" s="9">
        <f>5.0974 * CHOOSE(CONTROL!$C$32, $C$9, 100%, $E$9)</f>
        <v>5.0974000000000004</v>
      </c>
      <c r="N249" s="9">
        <f>5.093 * CHOOSE(CONTROL!$C$32, $C$9, 100%, $E$9)</f>
        <v>5.093</v>
      </c>
      <c r="O249" s="9">
        <f>5.0974 * CHOOSE(CONTROL!$C$32, $C$9, 100%, $E$9)</f>
        <v>5.0974000000000004</v>
      </c>
    </row>
    <row r="250" spans="1:15" ht="15" x14ac:dyDescent="0.2">
      <c r="A250" s="16">
        <v>48458</v>
      </c>
      <c r="B250" s="10">
        <f>4.9552 * CHOOSE(CONTROL!$C$32, $C$9, 100%, $E$9)</f>
        <v>4.9551999999999996</v>
      </c>
      <c r="C250" s="10">
        <f>4.9552 * CHOOSE(CONTROL!$C$32, $C$9, 100%, $E$9)</f>
        <v>4.9551999999999996</v>
      </c>
      <c r="D250" s="10">
        <f>4.9565 * CHOOSE(CONTROL!$C$32, $C$9, 100%, $E$9)</f>
        <v>4.9565000000000001</v>
      </c>
      <c r="E250" s="9">
        <f>5.0819 * CHOOSE(CONTROL!$C$32, $C$9, 100%, $E$9)</f>
        <v>5.0819000000000001</v>
      </c>
      <c r="F250" s="9">
        <f>5.0819 * CHOOSE(CONTROL!$C$32, $C$9, 100%, $E$9)</f>
        <v>5.0819000000000001</v>
      </c>
      <c r="G250" s="9">
        <f>5.0862 * CHOOSE(CONTROL!$C$32, $C$9, 100%, $E$9)</f>
        <v>5.0861999999999998</v>
      </c>
      <c r="H250" s="9">
        <f>6.1752 * CHOOSE(CONTROL!$C$32, $C$9, 100%, $E$9)</f>
        <v>6.1752000000000002</v>
      </c>
      <c r="I250" s="9">
        <f>6.1796 * CHOOSE(CONTROL!$C$32, $C$9, 100%, $E$9)</f>
        <v>6.1795999999999998</v>
      </c>
      <c r="J250" s="9">
        <f>6.1752 * CHOOSE(CONTROL!$C$32, $C$9, 100%, $E$9)</f>
        <v>6.1752000000000002</v>
      </c>
      <c r="K250" s="9">
        <f>6.1796 * CHOOSE(CONTROL!$C$32, $C$9, 100%, $E$9)</f>
        <v>6.1795999999999998</v>
      </c>
      <c r="L250" s="9">
        <f>5.0819 * CHOOSE(CONTROL!$C$32, $C$9, 100%, $E$9)</f>
        <v>5.0819000000000001</v>
      </c>
      <c r="M250" s="9">
        <f>5.0862 * CHOOSE(CONTROL!$C$32, $C$9, 100%, $E$9)</f>
        <v>5.0861999999999998</v>
      </c>
      <c r="N250" s="9">
        <f>5.0819 * CHOOSE(CONTROL!$C$32, $C$9, 100%, $E$9)</f>
        <v>5.0819000000000001</v>
      </c>
      <c r="O250" s="9">
        <f>5.0862 * CHOOSE(CONTROL!$C$32, $C$9, 100%, $E$9)</f>
        <v>5.0861999999999998</v>
      </c>
    </row>
    <row r="251" spans="1:15" ht="15" x14ac:dyDescent="0.2">
      <c r="A251" s="16">
        <v>48488</v>
      </c>
      <c r="B251" s="10">
        <f>4.9544 * CHOOSE(CONTROL!$C$32, $C$9, 100%, $E$9)</f>
        <v>4.9543999999999997</v>
      </c>
      <c r="C251" s="10">
        <f>4.9544 * CHOOSE(CONTROL!$C$32, $C$9, 100%, $E$9)</f>
        <v>4.9543999999999997</v>
      </c>
      <c r="D251" s="10">
        <f>4.9554 * CHOOSE(CONTROL!$C$32, $C$9, 100%, $E$9)</f>
        <v>4.9554</v>
      </c>
      <c r="E251" s="9">
        <f>5.1044 * CHOOSE(CONTROL!$C$32, $C$9, 100%, $E$9)</f>
        <v>5.1044</v>
      </c>
      <c r="F251" s="9">
        <f>5.1044 * CHOOSE(CONTROL!$C$32, $C$9, 100%, $E$9)</f>
        <v>5.1044</v>
      </c>
      <c r="G251" s="9">
        <f>5.1078 * CHOOSE(CONTROL!$C$32, $C$9, 100%, $E$9)</f>
        <v>5.1078000000000001</v>
      </c>
      <c r="H251" s="9">
        <f>6.174 * CHOOSE(CONTROL!$C$32, $C$9, 100%, $E$9)</f>
        <v>6.1740000000000004</v>
      </c>
      <c r="I251" s="9">
        <f>6.1774 * CHOOSE(CONTROL!$C$32, $C$9, 100%, $E$9)</f>
        <v>6.1773999999999996</v>
      </c>
      <c r="J251" s="9">
        <f>6.174 * CHOOSE(CONTROL!$C$32, $C$9, 100%, $E$9)</f>
        <v>6.1740000000000004</v>
      </c>
      <c r="K251" s="9">
        <f>6.1774 * CHOOSE(CONTROL!$C$32, $C$9, 100%, $E$9)</f>
        <v>6.1773999999999996</v>
      </c>
      <c r="L251" s="9">
        <f>5.1044 * CHOOSE(CONTROL!$C$32, $C$9, 100%, $E$9)</f>
        <v>5.1044</v>
      </c>
      <c r="M251" s="9">
        <f>5.1078 * CHOOSE(CONTROL!$C$32, $C$9, 100%, $E$9)</f>
        <v>5.1078000000000001</v>
      </c>
      <c r="N251" s="9">
        <f>5.1044 * CHOOSE(CONTROL!$C$32, $C$9, 100%, $E$9)</f>
        <v>5.1044</v>
      </c>
      <c r="O251" s="9">
        <f>5.1078 * CHOOSE(CONTROL!$C$32, $C$9, 100%, $E$9)</f>
        <v>5.1078000000000001</v>
      </c>
    </row>
    <row r="252" spans="1:15" ht="15" x14ac:dyDescent="0.2">
      <c r="A252" s="16">
        <v>48519</v>
      </c>
      <c r="B252" s="10">
        <f>4.9574 * CHOOSE(CONTROL!$C$32, $C$9, 100%, $E$9)</f>
        <v>4.9573999999999998</v>
      </c>
      <c r="C252" s="10">
        <f>4.9574 * CHOOSE(CONTROL!$C$32, $C$9, 100%, $E$9)</f>
        <v>4.9573999999999998</v>
      </c>
      <c r="D252" s="10">
        <f>4.9584 * CHOOSE(CONTROL!$C$32, $C$9, 100%, $E$9)</f>
        <v>4.9584000000000001</v>
      </c>
      <c r="E252" s="9">
        <f>5.1245 * CHOOSE(CONTROL!$C$32, $C$9, 100%, $E$9)</f>
        <v>5.1245000000000003</v>
      </c>
      <c r="F252" s="9">
        <f>5.1245 * CHOOSE(CONTROL!$C$32, $C$9, 100%, $E$9)</f>
        <v>5.1245000000000003</v>
      </c>
      <c r="G252" s="9">
        <f>5.1279 * CHOOSE(CONTROL!$C$32, $C$9, 100%, $E$9)</f>
        <v>5.1279000000000003</v>
      </c>
      <c r="H252" s="9">
        <f>6.176 * CHOOSE(CONTROL!$C$32, $C$9, 100%, $E$9)</f>
        <v>6.1760000000000002</v>
      </c>
      <c r="I252" s="9">
        <f>6.1794 * CHOOSE(CONTROL!$C$32, $C$9, 100%, $E$9)</f>
        <v>6.1794000000000002</v>
      </c>
      <c r="J252" s="9">
        <f>6.176 * CHOOSE(CONTROL!$C$32, $C$9, 100%, $E$9)</f>
        <v>6.1760000000000002</v>
      </c>
      <c r="K252" s="9">
        <f>6.1794 * CHOOSE(CONTROL!$C$32, $C$9, 100%, $E$9)</f>
        <v>6.1794000000000002</v>
      </c>
      <c r="L252" s="9">
        <f>5.1245 * CHOOSE(CONTROL!$C$32, $C$9, 100%, $E$9)</f>
        <v>5.1245000000000003</v>
      </c>
      <c r="M252" s="9">
        <f>5.1279 * CHOOSE(CONTROL!$C$32, $C$9, 100%, $E$9)</f>
        <v>5.1279000000000003</v>
      </c>
      <c r="N252" s="9">
        <f>5.1245 * CHOOSE(CONTROL!$C$32, $C$9, 100%, $E$9)</f>
        <v>5.1245000000000003</v>
      </c>
      <c r="O252" s="9">
        <f>5.1279 * CHOOSE(CONTROL!$C$32, $C$9, 100%, $E$9)</f>
        <v>5.1279000000000003</v>
      </c>
    </row>
    <row r="253" spans="1:15" ht="15" x14ac:dyDescent="0.2">
      <c r="A253" s="16">
        <v>48549</v>
      </c>
      <c r="B253" s="10">
        <f>4.9574 * CHOOSE(CONTROL!$C$32, $C$9, 100%, $E$9)</f>
        <v>4.9573999999999998</v>
      </c>
      <c r="C253" s="10">
        <f>4.9574 * CHOOSE(CONTROL!$C$32, $C$9, 100%, $E$9)</f>
        <v>4.9573999999999998</v>
      </c>
      <c r="D253" s="10">
        <f>4.9584 * CHOOSE(CONTROL!$C$32, $C$9, 100%, $E$9)</f>
        <v>4.9584000000000001</v>
      </c>
      <c r="E253" s="9">
        <f>5.0796 * CHOOSE(CONTROL!$C$32, $C$9, 100%, $E$9)</f>
        <v>5.0796000000000001</v>
      </c>
      <c r="F253" s="9">
        <f>5.0796 * CHOOSE(CONTROL!$C$32, $C$9, 100%, $E$9)</f>
        <v>5.0796000000000001</v>
      </c>
      <c r="G253" s="9">
        <f>5.083 * CHOOSE(CONTROL!$C$32, $C$9, 100%, $E$9)</f>
        <v>5.0830000000000002</v>
      </c>
      <c r="H253" s="9">
        <f>6.176 * CHOOSE(CONTROL!$C$32, $C$9, 100%, $E$9)</f>
        <v>6.1760000000000002</v>
      </c>
      <c r="I253" s="9">
        <f>6.1794 * CHOOSE(CONTROL!$C$32, $C$9, 100%, $E$9)</f>
        <v>6.1794000000000002</v>
      </c>
      <c r="J253" s="9">
        <f>6.176 * CHOOSE(CONTROL!$C$32, $C$9, 100%, $E$9)</f>
        <v>6.1760000000000002</v>
      </c>
      <c r="K253" s="9">
        <f>6.1794 * CHOOSE(CONTROL!$C$32, $C$9, 100%, $E$9)</f>
        <v>6.1794000000000002</v>
      </c>
      <c r="L253" s="9">
        <f>5.0796 * CHOOSE(CONTROL!$C$32, $C$9, 100%, $E$9)</f>
        <v>5.0796000000000001</v>
      </c>
      <c r="M253" s="9">
        <f>5.083 * CHOOSE(CONTROL!$C$32, $C$9, 100%, $E$9)</f>
        <v>5.0830000000000002</v>
      </c>
      <c r="N253" s="9">
        <f>5.0796 * CHOOSE(CONTROL!$C$32, $C$9, 100%, $E$9)</f>
        <v>5.0796000000000001</v>
      </c>
      <c r="O253" s="9">
        <f>5.083 * CHOOSE(CONTROL!$C$32, $C$9, 100%, $E$9)</f>
        <v>5.0830000000000002</v>
      </c>
    </row>
    <row r="254" spans="1:15" ht="15" x14ac:dyDescent="0.2">
      <c r="A254" s="16">
        <v>48580</v>
      </c>
      <c r="B254" s="10">
        <f>5.001 * CHOOSE(CONTROL!$C$32, $C$9, 100%, $E$9)</f>
        <v>5.0010000000000003</v>
      </c>
      <c r="C254" s="10">
        <f>5.001 * CHOOSE(CONTROL!$C$32, $C$9, 100%, $E$9)</f>
        <v>5.0010000000000003</v>
      </c>
      <c r="D254" s="10">
        <f>5.002 * CHOOSE(CONTROL!$C$32, $C$9, 100%, $E$9)</f>
        <v>5.0019999999999998</v>
      </c>
      <c r="E254" s="9">
        <f>5.1394 * CHOOSE(CONTROL!$C$32, $C$9, 100%, $E$9)</f>
        <v>5.1394000000000002</v>
      </c>
      <c r="F254" s="9">
        <f>5.1394 * CHOOSE(CONTROL!$C$32, $C$9, 100%, $E$9)</f>
        <v>5.1394000000000002</v>
      </c>
      <c r="G254" s="9">
        <f>5.1427 * CHOOSE(CONTROL!$C$32, $C$9, 100%, $E$9)</f>
        <v>5.1426999999999996</v>
      </c>
      <c r="H254" s="9">
        <f>6.2225 * CHOOSE(CONTROL!$C$32, $C$9, 100%, $E$9)</f>
        <v>6.2225000000000001</v>
      </c>
      <c r="I254" s="9">
        <f>6.2259 * CHOOSE(CONTROL!$C$32, $C$9, 100%, $E$9)</f>
        <v>6.2259000000000002</v>
      </c>
      <c r="J254" s="9">
        <f>6.2225 * CHOOSE(CONTROL!$C$32, $C$9, 100%, $E$9)</f>
        <v>6.2225000000000001</v>
      </c>
      <c r="K254" s="9">
        <f>6.2259 * CHOOSE(CONTROL!$C$32, $C$9, 100%, $E$9)</f>
        <v>6.2259000000000002</v>
      </c>
      <c r="L254" s="9">
        <f>5.1394 * CHOOSE(CONTROL!$C$32, $C$9, 100%, $E$9)</f>
        <v>5.1394000000000002</v>
      </c>
      <c r="M254" s="9">
        <f>5.1427 * CHOOSE(CONTROL!$C$32, $C$9, 100%, $E$9)</f>
        <v>5.1426999999999996</v>
      </c>
      <c r="N254" s="9">
        <f>5.1394 * CHOOSE(CONTROL!$C$32, $C$9, 100%, $E$9)</f>
        <v>5.1394000000000002</v>
      </c>
      <c r="O254" s="9">
        <f>5.1427 * CHOOSE(CONTROL!$C$32, $C$9, 100%, $E$9)</f>
        <v>5.1426999999999996</v>
      </c>
    </row>
    <row r="255" spans="1:15" ht="15" x14ac:dyDescent="0.2">
      <c r="A255" s="16">
        <v>48611</v>
      </c>
      <c r="B255" s="10">
        <f>4.9979 * CHOOSE(CONTROL!$C$32, $C$9, 100%, $E$9)</f>
        <v>4.9978999999999996</v>
      </c>
      <c r="C255" s="10">
        <f>4.9979 * CHOOSE(CONTROL!$C$32, $C$9, 100%, $E$9)</f>
        <v>4.9978999999999996</v>
      </c>
      <c r="D255" s="10">
        <f>4.9989 * CHOOSE(CONTROL!$C$32, $C$9, 100%, $E$9)</f>
        <v>4.9988999999999999</v>
      </c>
      <c r="E255" s="9">
        <f>5.0497 * CHOOSE(CONTROL!$C$32, $C$9, 100%, $E$9)</f>
        <v>5.0496999999999996</v>
      </c>
      <c r="F255" s="9">
        <f>5.0497 * CHOOSE(CONTROL!$C$32, $C$9, 100%, $E$9)</f>
        <v>5.0496999999999996</v>
      </c>
      <c r="G255" s="9">
        <f>5.0531 * CHOOSE(CONTROL!$C$32, $C$9, 100%, $E$9)</f>
        <v>5.0530999999999997</v>
      </c>
      <c r="H255" s="9">
        <f>6.2205 * CHOOSE(CONTROL!$C$32, $C$9, 100%, $E$9)</f>
        <v>6.2205000000000004</v>
      </c>
      <c r="I255" s="9">
        <f>6.2239 * CHOOSE(CONTROL!$C$32, $C$9, 100%, $E$9)</f>
        <v>6.2239000000000004</v>
      </c>
      <c r="J255" s="9">
        <f>6.2205 * CHOOSE(CONTROL!$C$32, $C$9, 100%, $E$9)</f>
        <v>6.2205000000000004</v>
      </c>
      <c r="K255" s="9">
        <f>6.2239 * CHOOSE(CONTROL!$C$32, $C$9, 100%, $E$9)</f>
        <v>6.2239000000000004</v>
      </c>
      <c r="L255" s="9">
        <f>5.0497 * CHOOSE(CONTROL!$C$32, $C$9, 100%, $E$9)</f>
        <v>5.0496999999999996</v>
      </c>
      <c r="M255" s="9">
        <f>5.0531 * CHOOSE(CONTROL!$C$32, $C$9, 100%, $E$9)</f>
        <v>5.0530999999999997</v>
      </c>
      <c r="N255" s="9">
        <f>5.0497 * CHOOSE(CONTROL!$C$32, $C$9, 100%, $E$9)</f>
        <v>5.0496999999999996</v>
      </c>
      <c r="O255" s="9">
        <f>5.0531 * CHOOSE(CONTROL!$C$32, $C$9, 100%, $E$9)</f>
        <v>5.0530999999999997</v>
      </c>
    </row>
    <row r="256" spans="1:15" ht="15" x14ac:dyDescent="0.2">
      <c r="A256" s="16">
        <v>48639</v>
      </c>
      <c r="B256" s="10">
        <f>4.9949 * CHOOSE(CONTROL!$C$32, $C$9, 100%, $E$9)</f>
        <v>4.9949000000000003</v>
      </c>
      <c r="C256" s="10">
        <f>4.9949 * CHOOSE(CONTROL!$C$32, $C$9, 100%, $E$9)</f>
        <v>4.9949000000000003</v>
      </c>
      <c r="D256" s="10">
        <f>4.9959 * CHOOSE(CONTROL!$C$32, $C$9, 100%, $E$9)</f>
        <v>4.9958999999999998</v>
      </c>
      <c r="E256" s="9">
        <f>5.1166 * CHOOSE(CONTROL!$C$32, $C$9, 100%, $E$9)</f>
        <v>5.1166</v>
      </c>
      <c r="F256" s="9">
        <f>5.1166 * CHOOSE(CONTROL!$C$32, $C$9, 100%, $E$9)</f>
        <v>5.1166</v>
      </c>
      <c r="G256" s="9">
        <f>5.12 * CHOOSE(CONTROL!$C$32, $C$9, 100%, $E$9)</f>
        <v>5.12</v>
      </c>
      <c r="H256" s="9">
        <f>6.2185 * CHOOSE(CONTROL!$C$32, $C$9, 100%, $E$9)</f>
        <v>6.2184999999999997</v>
      </c>
      <c r="I256" s="9">
        <f>6.2219 * CHOOSE(CONTROL!$C$32, $C$9, 100%, $E$9)</f>
        <v>6.2218999999999998</v>
      </c>
      <c r="J256" s="9">
        <f>6.2185 * CHOOSE(CONTROL!$C$32, $C$9, 100%, $E$9)</f>
        <v>6.2184999999999997</v>
      </c>
      <c r="K256" s="9">
        <f>6.2219 * CHOOSE(CONTROL!$C$32, $C$9, 100%, $E$9)</f>
        <v>6.2218999999999998</v>
      </c>
      <c r="L256" s="9">
        <f>5.1166 * CHOOSE(CONTROL!$C$32, $C$9, 100%, $E$9)</f>
        <v>5.1166</v>
      </c>
      <c r="M256" s="9">
        <f>5.12 * CHOOSE(CONTROL!$C$32, $C$9, 100%, $E$9)</f>
        <v>5.12</v>
      </c>
      <c r="N256" s="9">
        <f>5.1166 * CHOOSE(CONTROL!$C$32, $C$9, 100%, $E$9)</f>
        <v>5.1166</v>
      </c>
      <c r="O256" s="9">
        <f>5.12 * CHOOSE(CONTROL!$C$32, $C$9, 100%, $E$9)</f>
        <v>5.12</v>
      </c>
    </row>
    <row r="257" spans="1:15" ht="15" x14ac:dyDescent="0.2">
      <c r="A257" s="16">
        <v>48670</v>
      </c>
      <c r="B257" s="10">
        <f>4.9937 * CHOOSE(CONTROL!$C$32, $C$9, 100%, $E$9)</f>
        <v>4.9936999999999996</v>
      </c>
      <c r="C257" s="10">
        <f>4.9937 * CHOOSE(CONTROL!$C$32, $C$9, 100%, $E$9)</f>
        <v>4.9936999999999996</v>
      </c>
      <c r="D257" s="10">
        <f>4.9947 * CHOOSE(CONTROL!$C$32, $C$9, 100%, $E$9)</f>
        <v>4.9946999999999999</v>
      </c>
      <c r="E257" s="9">
        <f>5.1865 * CHOOSE(CONTROL!$C$32, $C$9, 100%, $E$9)</f>
        <v>5.1864999999999997</v>
      </c>
      <c r="F257" s="9">
        <f>5.1865 * CHOOSE(CONTROL!$C$32, $C$9, 100%, $E$9)</f>
        <v>5.1864999999999997</v>
      </c>
      <c r="G257" s="9">
        <f>5.1898 * CHOOSE(CONTROL!$C$32, $C$9, 100%, $E$9)</f>
        <v>5.1898</v>
      </c>
      <c r="H257" s="9">
        <f>6.2175 * CHOOSE(CONTROL!$C$32, $C$9, 100%, $E$9)</f>
        <v>6.2175000000000002</v>
      </c>
      <c r="I257" s="9">
        <f>6.2209 * CHOOSE(CONTROL!$C$32, $C$9, 100%, $E$9)</f>
        <v>6.2209000000000003</v>
      </c>
      <c r="J257" s="9">
        <f>6.2175 * CHOOSE(CONTROL!$C$32, $C$9, 100%, $E$9)</f>
        <v>6.2175000000000002</v>
      </c>
      <c r="K257" s="9">
        <f>6.2209 * CHOOSE(CONTROL!$C$32, $C$9, 100%, $E$9)</f>
        <v>6.2209000000000003</v>
      </c>
      <c r="L257" s="9">
        <f>5.1865 * CHOOSE(CONTROL!$C$32, $C$9, 100%, $E$9)</f>
        <v>5.1864999999999997</v>
      </c>
      <c r="M257" s="9">
        <f>5.1898 * CHOOSE(CONTROL!$C$32, $C$9, 100%, $E$9)</f>
        <v>5.1898</v>
      </c>
      <c r="N257" s="9">
        <f>5.1865 * CHOOSE(CONTROL!$C$32, $C$9, 100%, $E$9)</f>
        <v>5.1864999999999997</v>
      </c>
      <c r="O257" s="9">
        <f>5.1898 * CHOOSE(CONTROL!$C$32, $C$9, 100%, $E$9)</f>
        <v>5.1898</v>
      </c>
    </row>
    <row r="258" spans="1:15" ht="15" x14ac:dyDescent="0.2">
      <c r="A258" s="16">
        <v>48700</v>
      </c>
      <c r="B258" s="10">
        <f>4.9937 * CHOOSE(CONTROL!$C$32, $C$9, 100%, $E$9)</f>
        <v>4.9936999999999996</v>
      </c>
      <c r="C258" s="10">
        <f>4.9937 * CHOOSE(CONTROL!$C$32, $C$9, 100%, $E$9)</f>
        <v>4.9936999999999996</v>
      </c>
      <c r="D258" s="10">
        <f>4.995 * CHOOSE(CONTROL!$C$32, $C$9, 100%, $E$9)</f>
        <v>4.9950000000000001</v>
      </c>
      <c r="E258" s="9">
        <f>5.2142 * CHOOSE(CONTROL!$C$32, $C$9, 100%, $E$9)</f>
        <v>5.2141999999999999</v>
      </c>
      <c r="F258" s="9">
        <f>5.2142 * CHOOSE(CONTROL!$C$32, $C$9, 100%, $E$9)</f>
        <v>5.2141999999999999</v>
      </c>
      <c r="G258" s="9">
        <f>5.2186 * CHOOSE(CONTROL!$C$32, $C$9, 100%, $E$9)</f>
        <v>5.2186000000000003</v>
      </c>
      <c r="H258" s="9">
        <f>6.2175 * CHOOSE(CONTROL!$C$32, $C$9, 100%, $E$9)</f>
        <v>6.2175000000000002</v>
      </c>
      <c r="I258" s="9">
        <f>6.2219 * CHOOSE(CONTROL!$C$32, $C$9, 100%, $E$9)</f>
        <v>6.2218999999999998</v>
      </c>
      <c r="J258" s="9">
        <f>6.2175 * CHOOSE(CONTROL!$C$32, $C$9, 100%, $E$9)</f>
        <v>6.2175000000000002</v>
      </c>
      <c r="K258" s="9">
        <f>6.2219 * CHOOSE(CONTROL!$C$32, $C$9, 100%, $E$9)</f>
        <v>6.2218999999999998</v>
      </c>
      <c r="L258" s="9">
        <f>5.2142 * CHOOSE(CONTROL!$C$32, $C$9, 100%, $E$9)</f>
        <v>5.2141999999999999</v>
      </c>
      <c r="M258" s="9">
        <f>5.2186 * CHOOSE(CONTROL!$C$32, $C$9, 100%, $E$9)</f>
        <v>5.2186000000000003</v>
      </c>
      <c r="N258" s="9">
        <f>5.2142 * CHOOSE(CONTROL!$C$32, $C$9, 100%, $E$9)</f>
        <v>5.2141999999999999</v>
      </c>
      <c r="O258" s="9">
        <f>5.2186 * CHOOSE(CONTROL!$C$32, $C$9, 100%, $E$9)</f>
        <v>5.2186000000000003</v>
      </c>
    </row>
    <row r="259" spans="1:15" ht="15" x14ac:dyDescent="0.2">
      <c r="A259" s="16">
        <v>48731</v>
      </c>
      <c r="B259" s="10">
        <f>4.9998 * CHOOSE(CONTROL!$C$32, $C$9, 100%, $E$9)</f>
        <v>4.9997999999999996</v>
      </c>
      <c r="C259" s="10">
        <f>4.9998 * CHOOSE(CONTROL!$C$32, $C$9, 100%, $E$9)</f>
        <v>4.9997999999999996</v>
      </c>
      <c r="D259" s="10">
        <f>5.0011 * CHOOSE(CONTROL!$C$32, $C$9, 100%, $E$9)</f>
        <v>5.0011000000000001</v>
      </c>
      <c r="E259" s="9">
        <f>5.1907 * CHOOSE(CONTROL!$C$32, $C$9, 100%, $E$9)</f>
        <v>5.1906999999999996</v>
      </c>
      <c r="F259" s="9">
        <f>5.1907 * CHOOSE(CONTROL!$C$32, $C$9, 100%, $E$9)</f>
        <v>5.1906999999999996</v>
      </c>
      <c r="G259" s="9">
        <f>5.1951 * CHOOSE(CONTROL!$C$32, $C$9, 100%, $E$9)</f>
        <v>5.1951000000000001</v>
      </c>
      <c r="H259" s="9">
        <f>6.2215 * CHOOSE(CONTROL!$C$32, $C$9, 100%, $E$9)</f>
        <v>6.2214999999999998</v>
      </c>
      <c r="I259" s="9">
        <f>6.2259 * CHOOSE(CONTROL!$C$32, $C$9, 100%, $E$9)</f>
        <v>6.2259000000000002</v>
      </c>
      <c r="J259" s="9">
        <f>6.2215 * CHOOSE(CONTROL!$C$32, $C$9, 100%, $E$9)</f>
        <v>6.2214999999999998</v>
      </c>
      <c r="K259" s="9">
        <f>6.2259 * CHOOSE(CONTROL!$C$32, $C$9, 100%, $E$9)</f>
        <v>6.2259000000000002</v>
      </c>
      <c r="L259" s="9">
        <f>5.1907 * CHOOSE(CONTROL!$C$32, $C$9, 100%, $E$9)</f>
        <v>5.1906999999999996</v>
      </c>
      <c r="M259" s="9">
        <f>5.1951 * CHOOSE(CONTROL!$C$32, $C$9, 100%, $E$9)</f>
        <v>5.1951000000000001</v>
      </c>
      <c r="N259" s="9">
        <f>5.1907 * CHOOSE(CONTROL!$C$32, $C$9, 100%, $E$9)</f>
        <v>5.1906999999999996</v>
      </c>
      <c r="O259" s="9">
        <f>5.1951 * CHOOSE(CONTROL!$C$32, $C$9, 100%, $E$9)</f>
        <v>5.1951000000000001</v>
      </c>
    </row>
    <row r="260" spans="1:15" ht="15" x14ac:dyDescent="0.2">
      <c r="A260" s="16">
        <v>48761</v>
      </c>
      <c r="B260" s="10">
        <f>5.0784 * CHOOSE(CONTROL!$C$32, $C$9, 100%, $E$9)</f>
        <v>5.0784000000000002</v>
      </c>
      <c r="C260" s="10">
        <f>5.0784 * CHOOSE(CONTROL!$C$32, $C$9, 100%, $E$9)</f>
        <v>5.0784000000000002</v>
      </c>
      <c r="D260" s="10">
        <f>5.0797 * CHOOSE(CONTROL!$C$32, $C$9, 100%, $E$9)</f>
        <v>5.0796999999999999</v>
      </c>
      <c r="E260" s="9">
        <f>5.2373 * CHOOSE(CONTROL!$C$32, $C$9, 100%, $E$9)</f>
        <v>5.2373000000000003</v>
      </c>
      <c r="F260" s="9">
        <f>5.2373 * CHOOSE(CONTROL!$C$32, $C$9, 100%, $E$9)</f>
        <v>5.2373000000000003</v>
      </c>
      <c r="G260" s="9">
        <f>5.2417 * CHOOSE(CONTROL!$C$32, $C$9, 100%, $E$9)</f>
        <v>5.2416999999999998</v>
      </c>
      <c r="H260" s="9">
        <f>6.3179 * CHOOSE(CONTROL!$C$32, $C$9, 100%, $E$9)</f>
        <v>6.3178999999999998</v>
      </c>
      <c r="I260" s="9">
        <f>6.3223 * CHOOSE(CONTROL!$C$32, $C$9, 100%, $E$9)</f>
        <v>6.3223000000000003</v>
      </c>
      <c r="J260" s="9">
        <f>6.3179 * CHOOSE(CONTROL!$C$32, $C$9, 100%, $E$9)</f>
        <v>6.3178999999999998</v>
      </c>
      <c r="K260" s="9">
        <f>6.3223 * CHOOSE(CONTROL!$C$32, $C$9, 100%, $E$9)</f>
        <v>6.3223000000000003</v>
      </c>
      <c r="L260" s="9">
        <f>5.2373 * CHOOSE(CONTROL!$C$32, $C$9, 100%, $E$9)</f>
        <v>5.2373000000000003</v>
      </c>
      <c r="M260" s="9">
        <f>5.2417 * CHOOSE(CONTROL!$C$32, $C$9, 100%, $E$9)</f>
        <v>5.2416999999999998</v>
      </c>
      <c r="N260" s="9">
        <f>5.2373 * CHOOSE(CONTROL!$C$32, $C$9, 100%, $E$9)</f>
        <v>5.2373000000000003</v>
      </c>
      <c r="O260" s="9">
        <f>5.2417 * CHOOSE(CONTROL!$C$32, $C$9, 100%, $E$9)</f>
        <v>5.2416999999999998</v>
      </c>
    </row>
    <row r="261" spans="1:15" ht="15" x14ac:dyDescent="0.2">
      <c r="A261" s="16">
        <v>48792</v>
      </c>
      <c r="B261" s="10">
        <f>5.0851 * CHOOSE(CONTROL!$C$32, $C$9, 100%, $E$9)</f>
        <v>5.0850999999999997</v>
      </c>
      <c r="C261" s="10">
        <f>5.0851 * CHOOSE(CONTROL!$C$32, $C$9, 100%, $E$9)</f>
        <v>5.0850999999999997</v>
      </c>
      <c r="D261" s="10">
        <f>5.0864 * CHOOSE(CONTROL!$C$32, $C$9, 100%, $E$9)</f>
        <v>5.0864000000000003</v>
      </c>
      <c r="E261" s="9">
        <f>5.1586 * CHOOSE(CONTROL!$C$32, $C$9, 100%, $E$9)</f>
        <v>5.1585999999999999</v>
      </c>
      <c r="F261" s="9">
        <f>5.1586 * CHOOSE(CONTROL!$C$32, $C$9, 100%, $E$9)</f>
        <v>5.1585999999999999</v>
      </c>
      <c r="G261" s="9">
        <f>5.163 * CHOOSE(CONTROL!$C$32, $C$9, 100%, $E$9)</f>
        <v>5.1630000000000003</v>
      </c>
      <c r="H261" s="9">
        <f>6.3223 * CHOOSE(CONTROL!$C$32, $C$9, 100%, $E$9)</f>
        <v>6.3223000000000003</v>
      </c>
      <c r="I261" s="9">
        <f>6.3267 * CHOOSE(CONTROL!$C$32, $C$9, 100%, $E$9)</f>
        <v>6.3266999999999998</v>
      </c>
      <c r="J261" s="9">
        <f>6.3223 * CHOOSE(CONTROL!$C$32, $C$9, 100%, $E$9)</f>
        <v>6.3223000000000003</v>
      </c>
      <c r="K261" s="9">
        <f>6.3267 * CHOOSE(CONTROL!$C$32, $C$9, 100%, $E$9)</f>
        <v>6.3266999999999998</v>
      </c>
      <c r="L261" s="9">
        <f>5.1586 * CHOOSE(CONTROL!$C$32, $C$9, 100%, $E$9)</f>
        <v>5.1585999999999999</v>
      </c>
      <c r="M261" s="9">
        <f>5.163 * CHOOSE(CONTROL!$C$32, $C$9, 100%, $E$9)</f>
        <v>5.1630000000000003</v>
      </c>
      <c r="N261" s="9">
        <f>5.1586 * CHOOSE(CONTROL!$C$32, $C$9, 100%, $E$9)</f>
        <v>5.1585999999999999</v>
      </c>
      <c r="O261" s="9">
        <f>5.163 * CHOOSE(CONTROL!$C$32, $C$9, 100%, $E$9)</f>
        <v>5.1630000000000003</v>
      </c>
    </row>
    <row r="262" spans="1:15" ht="15" x14ac:dyDescent="0.2">
      <c r="A262" s="16">
        <v>48823</v>
      </c>
      <c r="B262" s="10">
        <f>5.082 * CHOOSE(CONTROL!$C$32, $C$9, 100%, $E$9)</f>
        <v>5.0819999999999999</v>
      </c>
      <c r="C262" s="10">
        <f>5.082 * CHOOSE(CONTROL!$C$32, $C$9, 100%, $E$9)</f>
        <v>5.0819999999999999</v>
      </c>
      <c r="D262" s="10">
        <f>5.0833 * CHOOSE(CONTROL!$C$32, $C$9, 100%, $E$9)</f>
        <v>5.0833000000000004</v>
      </c>
      <c r="E262" s="9">
        <f>5.1472 * CHOOSE(CONTROL!$C$32, $C$9, 100%, $E$9)</f>
        <v>5.1471999999999998</v>
      </c>
      <c r="F262" s="9">
        <f>5.1472 * CHOOSE(CONTROL!$C$32, $C$9, 100%, $E$9)</f>
        <v>5.1471999999999998</v>
      </c>
      <c r="G262" s="9">
        <f>5.1516 * CHOOSE(CONTROL!$C$32, $C$9, 100%, $E$9)</f>
        <v>5.1516000000000002</v>
      </c>
      <c r="H262" s="9">
        <f>6.3203 * CHOOSE(CONTROL!$C$32, $C$9, 100%, $E$9)</f>
        <v>6.3202999999999996</v>
      </c>
      <c r="I262" s="9">
        <f>6.3247 * CHOOSE(CONTROL!$C$32, $C$9, 100%, $E$9)</f>
        <v>6.3247</v>
      </c>
      <c r="J262" s="9">
        <f>6.3203 * CHOOSE(CONTROL!$C$32, $C$9, 100%, $E$9)</f>
        <v>6.3202999999999996</v>
      </c>
      <c r="K262" s="9">
        <f>6.3247 * CHOOSE(CONTROL!$C$32, $C$9, 100%, $E$9)</f>
        <v>6.3247</v>
      </c>
      <c r="L262" s="9">
        <f>5.1472 * CHOOSE(CONTROL!$C$32, $C$9, 100%, $E$9)</f>
        <v>5.1471999999999998</v>
      </c>
      <c r="M262" s="9">
        <f>5.1516 * CHOOSE(CONTROL!$C$32, $C$9, 100%, $E$9)</f>
        <v>5.1516000000000002</v>
      </c>
      <c r="N262" s="9">
        <f>5.1472 * CHOOSE(CONTROL!$C$32, $C$9, 100%, $E$9)</f>
        <v>5.1471999999999998</v>
      </c>
      <c r="O262" s="9">
        <f>5.1516 * CHOOSE(CONTROL!$C$32, $C$9, 100%, $E$9)</f>
        <v>5.1516000000000002</v>
      </c>
    </row>
    <row r="263" spans="1:15" ht="15" x14ac:dyDescent="0.2">
      <c r="A263" s="16">
        <v>48853</v>
      </c>
      <c r="B263" s="10">
        <f>5.0817 * CHOOSE(CONTROL!$C$32, $C$9, 100%, $E$9)</f>
        <v>5.0816999999999997</v>
      </c>
      <c r="C263" s="10">
        <f>5.0817 * CHOOSE(CONTROL!$C$32, $C$9, 100%, $E$9)</f>
        <v>5.0816999999999997</v>
      </c>
      <c r="D263" s="10">
        <f>5.0828 * CHOOSE(CONTROL!$C$32, $C$9, 100%, $E$9)</f>
        <v>5.0827999999999998</v>
      </c>
      <c r="E263" s="9">
        <f>5.1709 * CHOOSE(CONTROL!$C$32, $C$9, 100%, $E$9)</f>
        <v>5.1708999999999996</v>
      </c>
      <c r="F263" s="9">
        <f>5.1709 * CHOOSE(CONTROL!$C$32, $C$9, 100%, $E$9)</f>
        <v>5.1708999999999996</v>
      </c>
      <c r="G263" s="9">
        <f>5.1742 * CHOOSE(CONTROL!$C$32, $C$9, 100%, $E$9)</f>
        <v>5.1741999999999999</v>
      </c>
      <c r="H263" s="9">
        <f>6.3194 * CHOOSE(CONTROL!$C$32, $C$9, 100%, $E$9)</f>
        <v>6.3193999999999999</v>
      </c>
      <c r="I263" s="9">
        <f>6.3228 * CHOOSE(CONTROL!$C$32, $C$9, 100%, $E$9)</f>
        <v>6.3228</v>
      </c>
      <c r="J263" s="9">
        <f>6.3194 * CHOOSE(CONTROL!$C$32, $C$9, 100%, $E$9)</f>
        <v>6.3193999999999999</v>
      </c>
      <c r="K263" s="9">
        <f>6.3228 * CHOOSE(CONTROL!$C$32, $C$9, 100%, $E$9)</f>
        <v>6.3228</v>
      </c>
      <c r="L263" s="9">
        <f>5.1709 * CHOOSE(CONTROL!$C$32, $C$9, 100%, $E$9)</f>
        <v>5.1708999999999996</v>
      </c>
      <c r="M263" s="9">
        <f>5.1742 * CHOOSE(CONTROL!$C$32, $C$9, 100%, $E$9)</f>
        <v>5.1741999999999999</v>
      </c>
      <c r="N263" s="9">
        <f>5.1709 * CHOOSE(CONTROL!$C$32, $C$9, 100%, $E$9)</f>
        <v>5.1708999999999996</v>
      </c>
      <c r="O263" s="9">
        <f>5.1742 * CHOOSE(CONTROL!$C$32, $C$9, 100%, $E$9)</f>
        <v>5.1741999999999999</v>
      </c>
    </row>
    <row r="264" spans="1:15" ht="15" x14ac:dyDescent="0.2">
      <c r="A264" s="16">
        <v>48884</v>
      </c>
      <c r="B264" s="10">
        <f>5.0848 * CHOOSE(CONTROL!$C$32, $C$9, 100%, $E$9)</f>
        <v>5.0848000000000004</v>
      </c>
      <c r="C264" s="10">
        <f>5.0848 * CHOOSE(CONTROL!$C$32, $C$9, 100%, $E$9)</f>
        <v>5.0848000000000004</v>
      </c>
      <c r="D264" s="10">
        <f>5.0858 * CHOOSE(CONTROL!$C$32, $C$9, 100%, $E$9)</f>
        <v>5.0857999999999999</v>
      </c>
      <c r="E264" s="9">
        <f>5.1915 * CHOOSE(CONTROL!$C$32, $C$9, 100%, $E$9)</f>
        <v>5.1914999999999996</v>
      </c>
      <c r="F264" s="9">
        <f>5.1915 * CHOOSE(CONTROL!$C$32, $C$9, 100%, $E$9)</f>
        <v>5.1914999999999996</v>
      </c>
      <c r="G264" s="9">
        <f>5.1949 * CHOOSE(CONTROL!$C$32, $C$9, 100%, $E$9)</f>
        <v>5.1948999999999996</v>
      </c>
      <c r="H264" s="9">
        <f>6.3214 * CHOOSE(CONTROL!$C$32, $C$9, 100%, $E$9)</f>
        <v>6.3213999999999997</v>
      </c>
      <c r="I264" s="9">
        <f>6.3248 * CHOOSE(CONTROL!$C$32, $C$9, 100%, $E$9)</f>
        <v>6.3247999999999998</v>
      </c>
      <c r="J264" s="9">
        <f>6.3214 * CHOOSE(CONTROL!$C$32, $C$9, 100%, $E$9)</f>
        <v>6.3213999999999997</v>
      </c>
      <c r="K264" s="9">
        <f>6.3248 * CHOOSE(CONTROL!$C$32, $C$9, 100%, $E$9)</f>
        <v>6.3247999999999998</v>
      </c>
      <c r="L264" s="9">
        <f>5.1915 * CHOOSE(CONTROL!$C$32, $C$9, 100%, $E$9)</f>
        <v>5.1914999999999996</v>
      </c>
      <c r="M264" s="9">
        <f>5.1949 * CHOOSE(CONTROL!$C$32, $C$9, 100%, $E$9)</f>
        <v>5.1948999999999996</v>
      </c>
      <c r="N264" s="9">
        <f>5.1915 * CHOOSE(CONTROL!$C$32, $C$9, 100%, $E$9)</f>
        <v>5.1914999999999996</v>
      </c>
      <c r="O264" s="9">
        <f>5.1949 * CHOOSE(CONTROL!$C$32, $C$9, 100%, $E$9)</f>
        <v>5.1948999999999996</v>
      </c>
    </row>
    <row r="265" spans="1:15" ht="15" x14ac:dyDescent="0.2">
      <c r="A265" s="16">
        <v>48914</v>
      </c>
      <c r="B265" s="10">
        <f>5.0848 * CHOOSE(CONTROL!$C$32, $C$9, 100%, $E$9)</f>
        <v>5.0848000000000004</v>
      </c>
      <c r="C265" s="10">
        <f>5.0848 * CHOOSE(CONTROL!$C$32, $C$9, 100%, $E$9)</f>
        <v>5.0848000000000004</v>
      </c>
      <c r="D265" s="10">
        <f>5.0858 * CHOOSE(CONTROL!$C$32, $C$9, 100%, $E$9)</f>
        <v>5.0857999999999999</v>
      </c>
      <c r="E265" s="9">
        <f>5.1452 * CHOOSE(CONTROL!$C$32, $C$9, 100%, $E$9)</f>
        <v>5.1452</v>
      </c>
      <c r="F265" s="9">
        <f>5.1452 * CHOOSE(CONTROL!$C$32, $C$9, 100%, $E$9)</f>
        <v>5.1452</v>
      </c>
      <c r="G265" s="9">
        <f>5.1486 * CHOOSE(CONTROL!$C$32, $C$9, 100%, $E$9)</f>
        <v>5.1486000000000001</v>
      </c>
      <c r="H265" s="9">
        <f>6.3214 * CHOOSE(CONTROL!$C$32, $C$9, 100%, $E$9)</f>
        <v>6.3213999999999997</v>
      </c>
      <c r="I265" s="9">
        <f>6.3248 * CHOOSE(CONTROL!$C$32, $C$9, 100%, $E$9)</f>
        <v>6.3247999999999998</v>
      </c>
      <c r="J265" s="9">
        <f>6.3214 * CHOOSE(CONTROL!$C$32, $C$9, 100%, $E$9)</f>
        <v>6.3213999999999997</v>
      </c>
      <c r="K265" s="9">
        <f>6.3248 * CHOOSE(CONTROL!$C$32, $C$9, 100%, $E$9)</f>
        <v>6.3247999999999998</v>
      </c>
      <c r="L265" s="9">
        <f>5.1452 * CHOOSE(CONTROL!$C$32, $C$9, 100%, $E$9)</f>
        <v>5.1452</v>
      </c>
      <c r="M265" s="9">
        <f>5.1486 * CHOOSE(CONTROL!$C$32, $C$9, 100%, $E$9)</f>
        <v>5.1486000000000001</v>
      </c>
      <c r="N265" s="9">
        <f>5.1452 * CHOOSE(CONTROL!$C$32, $C$9, 100%, $E$9)</f>
        <v>5.1452</v>
      </c>
      <c r="O265" s="9">
        <f>5.1486 * CHOOSE(CONTROL!$C$32, $C$9, 100%, $E$9)</f>
        <v>5.1486000000000001</v>
      </c>
    </row>
    <row r="266" spans="1:15" ht="15" x14ac:dyDescent="0.2">
      <c r="A266" s="16">
        <v>48945</v>
      </c>
      <c r="B266" s="10">
        <f>5.1288 * CHOOSE(CONTROL!$C$32, $C$9, 100%, $E$9)</f>
        <v>5.1288</v>
      </c>
      <c r="C266" s="10">
        <f>5.1288 * CHOOSE(CONTROL!$C$32, $C$9, 100%, $E$9)</f>
        <v>5.1288</v>
      </c>
      <c r="D266" s="10">
        <f>5.1298 * CHOOSE(CONTROL!$C$32, $C$9, 100%, $E$9)</f>
        <v>5.1298000000000004</v>
      </c>
      <c r="E266" s="9">
        <f>5.208 * CHOOSE(CONTROL!$C$32, $C$9, 100%, $E$9)</f>
        <v>5.2080000000000002</v>
      </c>
      <c r="F266" s="9">
        <f>5.208 * CHOOSE(CONTROL!$C$32, $C$9, 100%, $E$9)</f>
        <v>5.2080000000000002</v>
      </c>
      <c r="G266" s="9">
        <f>5.2114 * CHOOSE(CONTROL!$C$32, $C$9, 100%, $E$9)</f>
        <v>5.2114000000000003</v>
      </c>
      <c r="H266" s="9">
        <f>6.3693 * CHOOSE(CONTROL!$C$32, $C$9, 100%, $E$9)</f>
        <v>6.3693</v>
      </c>
      <c r="I266" s="9">
        <f>6.3727 * CHOOSE(CONTROL!$C$32, $C$9, 100%, $E$9)</f>
        <v>6.3727</v>
      </c>
      <c r="J266" s="9">
        <f>6.3693 * CHOOSE(CONTROL!$C$32, $C$9, 100%, $E$9)</f>
        <v>6.3693</v>
      </c>
      <c r="K266" s="9">
        <f>6.3727 * CHOOSE(CONTROL!$C$32, $C$9, 100%, $E$9)</f>
        <v>6.3727</v>
      </c>
      <c r="L266" s="9">
        <f>5.208 * CHOOSE(CONTROL!$C$32, $C$9, 100%, $E$9)</f>
        <v>5.2080000000000002</v>
      </c>
      <c r="M266" s="9">
        <f>5.2114 * CHOOSE(CONTROL!$C$32, $C$9, 100%, $E$9)</f>
        <v>5.2114000000000003</v>
      </c>
      <c r="N266" s="9">
        <f>5.208 * CHOOSE(CONTROL!$C$32, $C$9, 100%, $E$9)</f>
        <v>5.2080000000000002</v>
      </c>
      <c r="O266" s="9">
        <f>5.2114 * CHOOSE(CONTROL!$C$32, $C$9, 100%, $E$9)</f>
        <v>5.2114000000000003</v>
      </c>
    </row>
    <row r="267" spans="1:15" ht="15" x14ac:dyDescent="0.2">
      <c r="A267" s="16">
        <v>48976</v>
      </c>
      <c r="B267" s="10">
        <f>5.1257 * CHOOSE(CONTROL!$C$32, $C$9, 100%, $E$9)</f>
        <v>5.1257000000000001</v>
      </c>
      <c r="C267" s="10">
        <f>5.1257 * CHOOSE(CONTROL!$C$32, $C$9, 100%, $E$9)</f>
        <v>5.1257000000000001</v>
      </c>
      <c r="D267" s="10">
        <f>5.1267 * CHOOSE(CONTROL!$C$32, $C$9, 100%, $E$9)</f>
        <v>5.1266999999999996</v>
      </c>
      <c r="E267" s="9">
        <f>5.1156 * CHOOSE(CONTROL!$C$32, $C$9, 100%, $E$9)</f>
        <v>5.1155999999999997</v>
      </c>
      <c r="F267" s="9">
        <f>5.1156 * CHOOSE(CONTROL!$C$32, $C$9, 100%, $E$9)</f>
        <v>5.1155999999999997</v>
      </c>
      <c r="G267" s="9">
        <f>5.119 * CHOOSE(CONTROL!$C$32, $C$9, 100%, $E$9)</f>
        <v>5.1189999999999998</v>
      </c>
      <c r="H267" s="9">
        <f>6.3673 * CHOOSE(CONTROL!$C$32, $C$9, 100%, $E$9)</f>
        <v>6.3673000000000002</v>
      </c>
      <c r="I267" s="9">
        <f>6.3707 * CHOOSE(CONTROL!$C$32, $C$9, 100%, $E$9)</f>
        <v>6.3707000000000003</v>
      </c>
      <c r="J267" s="9">
        <f>6.3673 * CHOOSE(CONTROL!$C$32, $C$9, 100%, $E$9)</f>
        <v>6.3673000000000002</v>
      </c>
      <c r="K267" s="9">
        <f>6.3707 * CHOOSE(CONTROL!$C$32, $C$9, 100%, $E$9)</f>
        <v>6.3707000000000003</v>
      </c>
      <c r="L267" s="9">
        <f>5.1156 * CHOOSE(CONTROL!$C$32, $C$9, 100%, $E$9)</f>
        <v>5.1155999999999997</v>
      </c>
      <c r="M267" s="9">
        <f>5.119 * CHOOSE(CONTROL!$C$32, $C$9, 100%, $E$9)</f>
        <v>5.1189999999999998</v>
      </c>
      <c r="N267" s="9">
        <f>5.1156 * CHOOSE(CONTROL!$C$32, $C$9, 100%, $E$9)</f>
        <v>5.1155999999999997</v>
      </c>
      <c r="O267" s="9">
        <f>5.119 * CHOOSE(CONTROL!$C$32, $C$9, 100%, $E$9)</f>
        <v>5.1189999999999998</v>
      </c>
    </row>
    <row r="268" spans="1:15" ht="15" x14ac:dyDescent="0.2">
      <c r="A268" s="16">
        <v>49004</v>
      </c>
      <c r="B268" s="10">
        <f>5.1227 * CHOOSE(CONTROL!$C$32, $C$9, 100%, $E$9)</f>
        <v>5.1227</v>
      </c>
      <c r="C268" s="10">
        <f>5.1227 * CHOOSE(CONTROL!$C$32, $C$9, 100%, $E$9)</f>
        <v>5.1227</v>
      </c>
      <c r="D268" s="10">
        <f>5.1237 * CHOOSE(CONTROL!$C$32, $C$9, 100%, $E$9)</f>
        <v>5.1237000000000004</v>
      </c>
      <c r="E268" s="9">
        <f>5.1847 * CHOOSE(CONTROL!$C$32, $C$9, 100%, $E$9)</f>
        <v>5.1847000000000003</v>
      </c>
      <c r="F268" s="9">
        <f>5.1847 * CHOOSE(CONTROL!$C$32, $C$9, 100%, $E$9)</f>
        <v>5.1847000000000003</v>
      </c>
      <c r="G268" s="9">
        <f>5.1881 * CHOOSE(CONTROL!$C$32, $C$9, 100%, $E$9)</f>
        <v>5.1881000000000004</v>
      </c>
      <c r="H268" s="9">
        <f>6.3653 * CHOOSE(CONTROL!$C$32, $C$9, 100%, $E$9)</f>
        <v>6.3653000000000004</v>
      </c>
      <c r="I268" s="9">
        <f>6.3687 * CHOOSE(CONTROL!$C$32, $C$9, 100%, $E$9)</f>
        <v>6.3686999999999996</v>
      </c>
      <c r="J268" s="9">
        <f>6.3653 * CHOOSE(CONTROL!$C$32, $C$9, 100%, $E$9)</f>
        <v>6.3653000000000004</v>
      </c>
      <c r="K268" s="9">
        <f>6.3687 * CHOOSE(CONTROL!$C$32, $C$9, 100%, $E$9)</f>
        <v>6.3686999999999996</v>
      </c>
      <c r="L268" s="9">
        <f>5.1847 * CHOOSE(CONTROL!$C$32, $C$9, 100%, $E$9)</f>
        <v>5.1847000000000003</v>
      </c>
      <c r="M268" s="9">
        <f>5.1881 * CHOOSE(CONTROL!$C$32, $C$9, 100%, $E$9)</f>
        <v>5.1881000000000004</v>
      </c>
      <c r="N268" s="9">
        <f>5.1847 * CHOOSE(CONTROL!$C$32, $C$9, 100%, $E$9)</f>
        <v>5.1847000000000003</v>
      </c>
      <c r="O268" s="9">
        <f>5.1881 * CHOOSE(CONTROL!$C$32, $C$9, 100%, $E$9)</f>
        <v>5.1881000000000004</v>
      </c>
    </row>
    <row r="269" spans="1:15" ht="15" x14ac:dyDescent="0.2">
      <c r="A269" s="16">
        <v>49035</v>
      </c>
      <c r="B269" s="10">
        <f>5.1216 * CHOOSE(CONTROL!$C$32, $C$9, 100%, $E$9)</f>
        <v>5.1215999999999999</v>
      </c>
      <c r="C269" s="10">
        <f>5.1216 * CHOOSE(CONTROL!$C$32, $C$9, 100%, $E$9)</f>
        <v>5.1215999999999999</v>
      </c>
      <c r="D269" s="10">
        <f>5.1226 * CHOOSE(CONTROL!$C$32, $C$9, 100%, $E$9)</f>
        <v>5.1226000000000003</v>
      </c>
      <c r="E269" s="9">
        <f>5.2569 * CHOOSE(CONTROL!$C$32, $C$9, 100%, $E$9)</f>
        <v>5.2568999999999999</v>
      </c>
      <c r="F269" s="9">
        <f>5.2569 * CHOOSE(CONTROL!$C$32, $C$9, 100%, $E$9)</f>
        <v>5.2568999999999999</v>
      </c>
      <c r="G269" s="9">
        <f>5.2602 * CHOOSE(CONTROL!$C$32, $C$9, 100%, $E$9)</f>
        <v>5.2602000000000002</v>
      </c>
      <c r="H269" s="9">
        <f>6.3644 * CHOOSE(CONTROL!$C$32, $C$9, 100%, $E$9)</f>
        <v>6.3643999999999998</v>
      </c>
      <c r="I269" s="9">
        <f>6.3678 * CHOOSE(CONTROL!$C$32, $C$9, 100%, $E$9)</f>
        <v>6.3677999999999999</v>
      </c>
      <c r="J269" s="9">
        <f>6.3644 * CHOOSE(CONTROL!$C$32, $C$9, 100%, $E$9)</f>
        <v>6.3643999999999998</v>
      </c>
      <c r="K269" s="9">
        <f>6.3678 * CHOOSE(CONTROL!$C$32, $C$9, 100%, $E$9)</f>
        <v>6.3677999999999999</v>
      </c>
      <c r="L269" s="9">
        <f>5.2569 * CHOOSE(CONTROL!$C$32, $C$9, 100%, $E$9)</f>
        <v>5.2568999999999999</v>
      </c>
      <c r="M269" s="9">
        <f>5.2602 * CHOOSE(CONTROL!$C$32, $C$9, 100%, $E$9)</f>
        <v>5.2602000000000002</v>
      </c>
      <c r="N269" s="9">
        <f>5.2569 * CHOOSE(CONTROL!$C$32, $C$9, 100%, $E$9)</f>
        <v>5.2568999999999999</v>
      </c>
      <c r="O269" s="9">
        <f>5.2602 * CHOOSE(CONTROL!$C$32, $C$9, 100%, $E$9)</f>
        <v>5.2602000000000002</v>
      </c>
    </row>
    <row r="270" spans="1:15" ht="15" x14ac:dyDescent="0.2">
      <c r="A270" s="16">
        <v>49065</v>
      </c>
      <c r="B270" s="10">
        <f>5.1216 * CHOOSE(CONTROL!$C$32, $C$9, 100%, $E$9)</f>
        <v>5.1215999999999999</v>
      </c>
      <c r="C270" s="10">
        <f>5.1216 * CHOOSE(CONTROL!$C$32, $C$9, 100%, $E$9)</f>
        <v>5.1215999999999999</v>
      </c>
      <c r="D270" s="10">
        <f>5.1229 * CHOOSE(CONTROL!$C$32, $C$9, 100%, $E$9)</f>
        <v>5.1228999999999996</v>
      </c>
      <c r="E270" s="9">
        <f>5.2855 * CHOOSE(CONTROL!$C$32, $C$9, 100%, $E$9)</f>
        <v>5.2854999999999999</v>
      </c>
      <c r="F270" s="9">
        <f>5.2855 * CHOOSE(CONTROL!$C$32, $C$9, 100%, $E$9)</f>
        <v>5.2854999999999999</v>
      </c>
      <c r="G270" s="9">
        <f>5.2899 * CHOOSE(CONTROL!$C$32, $C$9, 100%, $E$9)</f>
        <v>5.2899000000000003</v>
      </c>
      <c r="H270" s="9">
        <f>6.3644 * CHOOSE(CONTROL!$C$32, $C$9, 100%, $E$9)</f>
        <v>6.3643999999999998</v>
      </c>
      <c r="I270" s="9">
        <f>6.3687 * CHOOSE(CONTROL!$C$32, $C$9, 100%, $E$9)</f>
        <v>6.3686999999999996</v>
      </c>
      <c r="J270" s="9">
        <f>6.3644 * CHOOSE(CONTROL!$C$32, $C$9, 100%, $E$9)</f>
        <v>6.3643999999999998</v>
      </c>
      <c r="K270" s="9">
        <f>6.3687 * CHOOSE(CONTROL!$C$32, $C$9, 100%, $E$9)</f>
        <v>6.3686999999999996</v>
      </c>
      <c r="L270" s="9">
        <f>5.2855 * CHOOSE(CONTROL!$C$32, $C$9, 100%, $E$9)</f>
        <v>5.2854999999999999</v>
      </c>
      <c r="M270" s="9">
        <f>5.2899 * CHOOSE(CONTROL!$C$32, $C$9, 100%, $E$9)</f>
        <v>5.2899000000000003</v>
      </c>
      <c r="N270" s="9">
        <f>5.2855 * CHOOSE(CONTROL!$C$32, $C$9, 100%, $E$9)</f>
        <v>5.2854999999999999</v>
      </c>
      <c r="O270" s="9">
        <f>5.2899 * CHOOSE(CONTROL!$C$32, $C$9, 100%, $E$9)</f>
        <v>5.2899000000000003</v>
      </c>
    </row>
    <row r="271" spans="1:15" ht="15" x14ac:dyDescent="0.2">
      <c r="A271" s="16">
        <v>49096</v>
      </c>
      <c r="B271" s="10">
        <f>5.1277 * CHOOSE(CONTROL!$C$32, $C$9, 100%, $E$9)</f>
        <v>5.1276999999999999</v>
      </c>
      <c r="C271" s="10">
        <f>5.1277 * CHOOSE(CONTROL!$C$32, $C$9, 100%, $E$9)</f>
        <v>5.1276999999999999</v>
      </c>
      <c r="D271" s="10">
        <f>5.129 * CHOOSE(CONTROL!$C$32, $C$9, 100%, $E$9)</f>
        <v>5.1289999999999996</v>
      </c>
      <c r="E271" s="9">
        <f>5.2611 * CHOOSE(CONTROL!$C$32, $C$9, 100%, $E$9)</f>
        <v>5.2610999999999999</v>
      </c>
      <c r="F271" s="9">
        <f>5.2611 * CHOOSE(CONTROL!$C$32, $C$9, 100%, $E$9)</f>
        <v>5.2610999999999999</v>
      </c>
      <c r="G271" s="9">
        <f>5.2655 * CHOOSE(CONTROL!$C$32, $C$9, 100%, $E$9)</f>
        <v>5.2655000000000003</v>
      </c>
      <c r="H271" s="9">
        <f>6.3684 * CHOOSE(CONTROL!$C$32, $C$9, 100%, $E$9)</f>
        <v>6.3684000000000003</v>
      </c>
      <c r="I271" s="9">
        <f>6.3727 * CHOOSE(CONTROL!$C$32, $C$9, 100%, $E$9)</f>
        <v>6.3727</v>
      </c>
      <c r="J271" s="9">
        <f>6.3684 * CHOOSE(CONTROL!$C$32, $C$9, 100%, $E$9)</f>
        <v>6.3684000000000003</v>
      </c>
      <c r="K271" s="9">
        <f>6.3727 * CHOOSE(CONTROL!$C$32, $C$9, 100%, $E$9)</f>
        <v>6.3727</v>
      </c>
      <c r="L271" s="9">
        <f>5.2611 * CHOOSE(CONTROL!$C$32, $C$9, 100%, $E$9)</f>
        <v>5.2610999999999999</v>
      </c>
      <c r="M271" s="9">
        <f>5.2655 * CHOOSE(CONTROL!$C$32, $C$9, 100%, $E$9)</f>
        <v>5.2655000000000003</v>
      </c>
      <c r="N271" s="9">
        <f>5.2611 * CHOOSE(CONTROL!$C$32, $C$9, 100%, $E$9)</f>
        <v>5.2610999999999999</v>
      </c>
      <c r="O271" s="9">
        <f>5.2655 * CHOOSE(CONTROL!$C$32, $C$9, 100%, $E$9)</f>
        <v>5.2655000000000003</v>
      </c>
    </row>
    <row r="272" spans="1:15" ht="15" x14ac:dyDescent="0.2">
      <c r="A272" s="16">
        <v>49126</v>
      </c>
      <c r="B272" s="10">
        <f>5.2067 * CHOOSE(CONTROL!$C$32, $C$9, 100%, $E$9)</f>
        <v>5.2066999999999997</v>
      </c>
      <c r="C272" s="10">
        <f>5.2067 * CHOOSE(CONTROL!$C$32, $C$9, 100%, $E$9)</f>
        <v>5.2066999999999997</v>
      </c>
      <c r="D272" s="10">
        <f>5.208 * CHOOSE(CONTROL!$C$32, $C$9, 100%, $E$9)</f>
        <v>5.2080000000000002</v>
      </c>
      <c r="E272" s="9">
        <f>5.3101 * CHOOSE(CONTROL!$C$32, $C$9, 100%, $E$9)</f>
        <v>5.3101000000000003</v>
      </c>
      <c r="F272" s="9">
        <f>5.3101 * CHOOSE(CONTROL!$C$32, $C$9, 100%, $E$9)</f>
        <v>5.3101000000000003</v>
      </c>
      <c r="G272" s="9">
        <f>5.3144 * CHOOSE(CONTROL!$C$32, $C$9, 100%, $E$9)</f>
        <v>5.3144</v>
      </c>
      <c r="H272" s="9">
        <f>6.4678 * CHOOSE(CONTROL!$C$32, $C$9, 100%, $E$9)</f>
        <v>6.4678000000000004</v>
      </c>
      <c r="I272" s="9">
        <f>6.4722 * CHOOSE(CONTROL!$C$32, $C$9, 100%, $E$9)</f>
        <v>6.4722</v>
      </c>
      <c r="J272" s="9">
        <f>6.4678 * CHOOSE(CONTROL!$C$32, $C$9, 100%, $E$9)</f>
        <v>6.4678000000000004</v>
      </c>
      <c r="K272" s="9">
        <f>6.4722 * CHOOSE(CONTROL!$C$32, $C$9, 100%, $E$9)</f>
        <v>6.4722</v>
      </c>
      <c r="L272" s="9">
        <f>5.3101 * CHOOSE(CONTROL!$C$32, $C$9, 100%, $E$9)</f>
        <v>5.3101000000000003</v>
      </c>
      <c r="M272" s="9">
        <f>5.3144 * CHOOSE(CONTROL!$C$32, $C$9, 100%, $E$9)</f>
        <v>5.3144</v>
      </c>
      <c r="N272" s="9">
        <f>5.3101 * CHOOSE(CONTROL!$C$32, $C$9, 100%, $E$9)</f>
        <v>5.3101000000000003</v>
      </c>
      <c r="O272" s="9">
        <f>5.3144 * CHOOSE(CONTROL!$C$32, $C$9, 100%, $E$9)</f>
        <v>5.3144</v>
      </c>
    </row>
    <row r="273" spans="1:15" ht="15" x14ac:dyDescent="0.2">
      <c r="A273" s="16">
        <v>49157</v>
      </c>
      <c r="B273" s="10">
        <f>5.2134 * CHOOSE(CONTROL!$C$32, $C$9, 100%, $E$9)</f>
        <v>5.2134</v>
      </c>
      <c r="C273" s="10">
        <f>5.2134 * CHOOSE(CONTROL!$C$32, $C$9, 100%, $E$9)</f>
        <v>5.2134</v>
      </c>
      <c r="D273" s="10">
        <f>5.2147 * CHOOSE(CONTROL!$C$32, $C$9, 100%, $E$9)</f>
        <v>5.2146999999999997</v>
      </c>
      <c r="E273" s="9">
        <f>5.2288 * CHOOSE(CONTROL!$C$32, $C$9, 100%, $E$9)</f>
        <v>5.2287999999999997</v>
      </c>
      <c r="F273" s="9">
        <f>5.2288 * CHOOSE(CONTROL!$C$32, $C$9, 100%, $E$9)</f>
        <v>5.2287999999999997</v>
      </c>
      <c r="G273" s="9">
        <f>5.2331 * CHOOSE(CONTROL!$C$32, $C$9, 100%, $E$9)</f>
        <v>5.2331000000000003</v>
      </c>
      <c r="H273" s="9">
        <f>6.4722 * CHOOSE(CONTROL!$C$32, $C$9, 100%, $E$9)</f>
        <v>6.4722</v>
      </c>
      <c r="I273" s="9">
        <f>6.4766 * CHOOSE(CONTROL!$C$32, $C$9, 100%, $E$9)</f>
        <v>6.4766000000000004</v>
      </c>
      <c r="J273" s="9">
        <f>6.4722 * CHOOSE(CONTROL!$C$32, $C$9, 100%, $E$9)</f>
        <v>6.4722</v>
      </c>
      <c r="K273" s="9">
        <f>6.4766 * CHOOSE(CONTROL!$C$32, $C$9, 100%, $E$9)</f>
        <v>6.4766000000000004</v>
      </c>
      <c r="L273" s="9">
        <f>5.2288 * CHOOSE(CONTROL!$C$32, $C$9, 100%, $E$9)</f>
        <v>5.2287999999999997</v>
      </c>
      <c r="M273" s="9">
        <f>5.2331 * CHOOSE(CONTROL!$C$32, $C$9, 100%, $E$9)</f>
        <v>5.2331000000000003</v>
      </c>
      <c r="N273" s="9">
        <f>5.2288 * CHOOSE(CONTROL!$C$32, $C$9, 100%, $E$9)</f>
        <v>5.2287999999999997</v>
      </c>
      <c r="O273" s="9">
        <f>5.2331 * CHOOSE(CONTROL!$C$32, $C$9, 100%, $E$9)</f>
        <v>5.2331000000000003</v>
      </c>
    </row>
    <row r="274" spans="1:15" ht="15" x14ac:dyDescent="0.2">
      <c r="A274" s="16">
        <v>49188</v>
      </c>
      <c r="B274" s="10">
        <f>5.2104 * CHOOSE(CONTROL!$C$32, $C$9, 100%, $E$9)</f>
        <v>5.2103999999999999</v>
      </c>
      <c r="C274" s="10">
        <f>5.2104 * CHOOSE(CONTROL!$C$32, $C$9, 100%, $E$9)</f>
        <v>5.2103999999999999</v>
      </c>
      <c r="D274" s="10">
        <f>5.2117 * CHOOSE(CONTROL!$C$32, $C$9, 100%, $E$9)</f>
        <v>5.2117000000000004</v>
      </c>
      <c r="E274" s="9">
        <f>5.2171 * CHOOSE(CONTROL!$C$32, $C$9, 100%, $E$9)</f>
        <v>5.2171000000000003</v>
      </c>
      <c r="F274" s="9">
        <f>5.2171 * CHOOSE(CONTROL!$C$32, $C$9, 100%, $E$9)</f>
        <v>5.2171000000000003</v>
      </c>
      <c r="G274" s="9">
        <f>5.2215 * CHOOSE(CONTROL!$C$32, $C$9, 100%, $E$9)</f>
        <v>5.2214999999999998</v>
      </c>
      <c r="H274" s="9">
        <f>6.4702 * CHOOSE(CONTROL!$C$32, $C$9, 100%, $E$9)</f>
        <v>6.4702000000000002</v>
      </c>
      <c r="I274" s="9">
        <f>6.4746 * CHOOSE(CONTROL!$C$32, $C$9, 100%, $E$9)</f>
        <v>6.4745999999999997</v>
      </c>
      <c r="J274" s="9">
        <f>6.4702 * CHOOSE(CONTROL!$C$32, $C$9, 100%, $E$9)</f>
        <v>6.4702000000000002</v>
      </c>
      <c r="K274" s="9">
        <f>6.4746 * CHOOSE(CONTROL!$C$32, $C$9, 100%, $E$9)</f>
        <v>6.4745999999999997</v>
      </c>
      <c r="L274" s="9">
        <f>5.2171 * CHOOSE(CONTROL!$C$32, $C$9, 100%, $E$9)</f>
        <v>5.2171000000000003</v>
      </c>
      <c r="M274" s="9">
        <f>5.2215 * CHOOSE(CONTROL!$C$32, $C$9, 100%, $E$9)</f>
        <v>5.2214999999999998</v>
      </c>
      <c r="N274" s="9">
        <f>5.2171 * CHOOSE(CONTROL!$C$32, $C$9, 100%, $E$9)</f>
        <v>5.2171000000000003</v>
      </c>
      <c r="O274" s="9">
        <f>5.2215 * CHOOSE(CONTROL!$C$32, $C$9, 100%, $E$9)</f>
        <v>5.2214999999999998</v>
      </c>
    </row>
    <row r="275" spans="1:15" ht="15" x14ac:dyDescent="0.2">
      <c r="A275" s="16">
        <v>49218</v>
      </c>
      <c r="B275" s="10">
        <f>5.2106 * CHOOSE(CONTROL!$C$32, $C$9, 100%, $E$9)</f>
        <v>5.2106000000000003</v>
      </c>
      <c r="C275" s="10">
        <f>5.2106 * CHOOSE(CONTROL!$C$32, $C$9, 100%, $E$9)</f>
        <v>5.2106000000000003</v>
      </c>
      <c r="D275" s="10">
        <f>5.2116 * CHOOSE(CONTROL!$C$32, $C$9, 100%, $E$9)</f>
        <v>5.2115999999999998</v>
      </c>
      <c r="E275" s="9">
        <f>5.2419 * CHOOSE(CONTROL!$C$32, $C$9, 100%, $E$9)</f>
        <v>5.2419000000000002</v>
      </c>
      <c r="F275" s="9">
        <f>5.2419 * CHOOSE(CONTROL!$C$32, $C$9, 100%, $E$9)</f>
        <v>5.2419000000000002</v>
      </c>
      <c r="G275" s="9">
        <f>5.2453 * CHOOSE(CONTROL!$C$32, $C$9, 100%, $E$9)</f>
        <v>5.2453000000000003</v>
      </c>
      <c r="H275" s="9">
        <f>6.4696 * CHOOSE(CONTROL!$C$32, $C$9, 100%, $E$9)</f>
        <v>6.4695999999999998</v>
      </c>
      <c r="I275" s="9">
        <f>6.473 * CHOOSE(CONTROL!$C$32, $C$9, 100%, $E$9)</f>
        <v>6.4729999999999999</v>
      </c>
      <c r="J275" s="9">
        <f>6.4696 * CHOOSE(CONTROL!$C$32, $C$9, 100%, $E$9)</f>
        <v>6.4695999999999998</v>
      </c>
      <c r="K275" s="9">
        <f>6.473 * CHOOSE(CONTROL!$C$32, $C$9, 100%, $E$9)</f>
        <v>6.4729999999999999</v>
      </c>
      <c r="L275" s="9">
        <f>5.2419 * CHOOSE(CONTROL!$C$32, $C$9, 100%, $E$9)</f>
        <v>5.2419000000000002</v>
      </c>
      <c r="M275" s="9">
        <f>5.2453 * CHOOSE(CONTROL!$C$32, $C$9, 100%, $E$9)</f>
        <v>5.2453000000000003</v>
      </c>
      <c r="N275" s="9">
        <f>5.2419 * CHOOSE(CONTROL!$C$32, $C$9, 100%, $E$9)</f>
        <v>5.2419000000000002</v>
      </c>
      <c r="O275" s="9">
        <f>5.2453 * CHOOSE(CONTROL!$C$32, $C$9, 100%, $E$9)</f>
        <v>5.2453000000000003</v>
      </c>
    </row>
    <row r="276" spans="1:15" ht="15" x14ac:dyDescent="0.2">
      <c r="A276" s="16">
        <v>49249</v>
      </c>
      <c r="B276" s="10">
        <f>5.2136 * CHOOSE(CONTROL!$C$32, $C$9, 100%, $E$9)</f>
        <v>5.2135999999999996</v>
      </c>
      <c r="C276" s="10">
        <f>5.2136 * CHOOSE(CONTROL!$C$32, $C$9, 100%, $E$9)</f>
        <v>5.2135999999999996</v>
      </c>
      <c r="D276" s="10">
        <f>5.2146 * CHOOSE(CONTROL!$C$32, $C$9, 100%, $E$9)</f>
        <v>5.2145999999999999</v>
      </c>
      <c r="E276" s="9">
        <f>5.2631 * CHOOSE(CONTROL!$C$32, $C$9, 100%, $E$9)</f>
        <v>5.2630999999999997</v>
      </c>
      <c r="F276" s="9">
        <f>5.2631 * CHOOSE(CONTROL!$C$32, $C$9, 100%, $E$9)</f>
        <v>5.2630999999999997</v>
      </c>
      <c r="G276" s="9">
        <f>5.2665 * CHOOSE(CONTROL!$C$32, $C$9, 100%, $E$9)</f>
        <v>5.2664999999999997</v>
      </c>
      <c r="H276" s="9">
        <f>6.4716 * CHOOSE(CONTROL!$C$32, $C$9, 100%, $E$9)</f>
        <v>6.4715999999999996</v>
      </c>
      <c r="I276" s="9">
        <f>6.475 * CHOOSE(CONTROL!$C$32, $C$9, 100%, $E$9)</f>
        <v>6.4749999999999996</v>
      </c>
      <c r="J276" s="9">
        <f>6.4716 * CHOOSE(CONTROL!$C$32, $C$9, 100%, $E$9)</f>
        <v>6.4715999999999996</v>
      </c>
      <c r="K276" s="9">
        <f>6.475 * CHOOSE(CONTROL!$C$32, $C$9, 100%, $E$9)</f>
        <v>6.4749999999999996</v>
      </c>
      <c r="L276" s="9">
        <f>5.2631 * CHOOSE(CONTROL!$C$32, $C$9, 100%, $E$9)</f>
        <v>5.2630999999999997</v>
      </c>
      <c r="M276" s="9">
        <f>5.2665 * CHOOSE(CONTROL!$C$32, $C$9, 100%, $E$9)</f>
        <v>5.2664999999999997</v>
      </c>
      <c r="N276" s="9">
        <f>5.2631 * CHOOSE(CONTROL!$C$32, $C$9, 100%, $E$9)</f>
        <v>5.2630999999999997</v>
      </c>
      <c r="O276" s="9">
        <f>5.2665 * CHOOSE(CONTROL!$C$32, $C$9, 100%, $E$9)</f>
        <v>5.2664999999999997</v>
      </c>
    </row>
    <row r="277" spans="1:15" ht="15" x14ac:dyDescent="0.2">
      <c r="A277" s="16">
        <v>49279</v>
      </c>
      <c r="B277" s="10">
        <f>5.2136 * CHOOSE(CONTROL!$C$32, $C$9, 100%, $E$9)</f>
        <v>5.2135999999999996</v>
      </c>
      <c r="C277" s="10">
        <f>5.2136 * CHOOSE(CONTROL!$C$32, $C$9, 100%, $E$9)</f>
        <v>5.2135999999999996</v>
      </c>
      <c r="D277" s="10">
        <f>5.2146 * CHOOSE(CONTROL!$C$32, $C$9, 100%, $E$9)</f>
        <v>5.2145999999999999</v>
      </c>
      <c r="E277" s="9">
        <f>5.2153 * CHOOSE(CONTROL!$C$32, $C$9, 100%, $E$9)</f>
        <v>5.2153</v>
      </c>
      <c r="F277" s="9">
        <f>5.2153 * CHOOSE(CONTROL!$C$32, $C$9, 100%, $E$9)</f>
        <v>5.2153</v>
      </c>
      <c r="G277" s="9">
        <f>5.2187 * CHOOSE(CONTROL!$C$32, $C$9, 100%, $E$9)</f>
        <v>5.2187000000000001</v>
      </c>
      <c r="H277" s="9">
        <f>6.4716 * CHOOSE(CONTROL!$C$32, $C$9, 100%, $E$9)</f>
        <v>6.4715999999999996</v>
      </c>
      <c r="I277" s="9">
        <f>6.475 * CHOOSE(CONTROL!$C$32, $C$9, 100%, $E$9)</f>
        <v>6.4749999999999996</v>
      </c>
      <c r="J277" s="9">
        <f>6.4716 * CHOOSE(CONTROL!$C$32, $C$9, 100%, $E$9)</f>
        <v>6.4715999999999996</v>
      </c>
      <c r="K277" s="9">
        <f>6.475 * CHOOSE(CONTROL!$C$32, $C$9, 100%, $E$9)</f>
        <v>6.4749999999999996</v>
      </c>
      <c r="L277" s="9">
        <f>5.2153 * CHOOSE(CONTROL!$C$32, $C$9, 100%, $E$9)</f>
        <v>5.2153</v>
      </c>
      <c r="M277" s="9">
        <f>5.2187 * CHOOSE(CONTROL!$C$32, $C$9, 100%, $E$9)</f>
        <v>5.2187000000000001</v>
      </c>
      <c r="N277" s="9">
        <f>5.2153 * CHOOSE(CONTROL!$C$32, $C$9, 100%, $E$9)</f>
        <v>5.2153</v>
      </c>
      <c r="O277" s="9">
        <f>5.2187 * CHOOSE(CONTROL!$C$32, $C$9, 100%, $E$9)</f>
        <v>5.2187000000000001</v>
      </c>
    </row>
    <row r="278" spans="1:15" ht="15" x14ac:dyDescent="0.2">
      <c r="A278" s="16">
        <v>49310</v>
      </c>
      <c r="B278" s="10">
        <f>5.2626 * CHOOSE(CONTROL!$C$32, $C$9, 100%, $E$9)</f>
        <v>5.2625999999999999</v>
      </c>
      <c r="C278" s="10">
        <f>5.2626 * CHOOSE(CONTROL!$C$32, $C$9, 100%, $E$9)</f>
        <v>5.2625999999999999</v>
      </c>
      <c r="D278" s="10">
        <f>5.2636 * CHOOSE(CONTROL!$C$32, $C$9, 100%, $E$9)</f>
        <v>5.2636000000000003</v>
      </c>
      <c r="E278" s="9">
        <f>5.2803 * CHOOSE(CONTROL!$C$32, $C$9, 100%, $E$9)</f>
        <v>5.2803000000000004</v>
      </c>
      <c r="F278" s="9">
        <f>5.2803 * CHOOSE(CONTROL!$C$32, $C$9, 100%, $E$9)</f>
        <v>5.2803000000000004</v>
      </c>
      <c r="G278" s="9">
        <f>5.2837 * CHOOSE(CONTROL!$C$32, $C$9, 100%, $E$9)</f>
        <v>5.2836999999999996</v>
      </c>
      <c r="H278" s="9">
        <f>6.5223 * CHOOSE(CONTROL!$C$32, $C$9, 100%, $E$9)</f>
        <v>6.5223000000000004</v>
      </c>
      <c r="I278" s="9">
        <f>6.5257 * CHOOSE(CONTROL!$C$32, $C$9, 100%, $E$9)</f>
        <v>6.5256999999999996</v>
      </c>
      <c r="J278" s="9">
        <f>6.5223 * CHOOSE(CONTROL!$C$32, $C$9, 100%, $E$9)</f>
        <v>6.5223000000000004</v>
      </c>
      <c r="K278" s="9">
        <f>6.5257 * CHOOSE(CONTROL!$C$32, $C$9, 100%, $E$9)</f>
        <v>6.5256999999999996</v>
      </c>
      <c r="L278" s="9">
        <f>5.2803 * CHOOSE(CONTROL!$C$32, $C$9, 100%, $E$9)</f>
        <v>5.2803000000000004</v>
      </c>
      <c r="M278" s="9">
        <f>5.2837 * CHOOSE(CONTROL!$C$32, $C$9, 100%, $E$9)</f>
        <v>5.2836999999999996</v>
      </c>
      <c r="N278" s="9">
        <f>5.2803 * CHOOSE(CONTROL!$C$32, $C$9, 100%, $E$9)</f>
        <v>5.2803000000000004</v>
      </c>
      <c r="O278" s="9">
        <f>5.2837 * CHOOSE(CONTROL!$C$32, $C$9, 100%, $E$9)</f>
        <v>5.2836999999999996</v>
      </c>
    </row>
    <row r="279" spans="1:15" ht="15" x14ac:dyDescent="0.2">
      <c r="A279" s="16">
        <v>49341</v>
      </c>
      <c r="B279" s="10">
        <f>5.2595 * CHOOSE(CONTROL!$C$32, $C$9, 100%, $E$9)</f>
        <v>5.2595000000000001</v>
      </c>
      <c r="C279" s="10">
        <f>5.2595 * CHOOSE(CONTROL!$C$32, $C$9, 100%, $E$9)</f>
        <v>5.2595000000000001</v>
      </c>
      <c r="D279" s="10">
        <f>5.2606 * CHOOSE(CONTROL!$C$32, $C$9, 100%, $E$9)</f>
        <v>5.2606000000000002</v>
      </c>
      <c r="E279" s="9">
        <f>5.185 * CHOOSE(CONTROL!$C$32, $C$9, 100%, $E$9)</f>
        <v>5.1849999999999996</v>
      </c>
      <c r="F279" s="9">
        <f>5.185 * CHOOSE(CONTROL!$C$32, $C$9, 100%, $E$9)</f>
        <v>5.1849999999999996</v>
      </c>
      <c r="G279" s="9">
        <f>5.1883 * CHOOSE(CONTROL!$C$32, $C$9, 100%, $E$9)</f>
        <v>5.1882999999999999</v>
      </c>
      <c r="H279" s="9">
        <f>6.5203 * CHOOSE(CONTROL!$C$32, $C$9, 100%, $E$9)</f>
        <v>6.5202999999999998</v>
      </c>
      <c r="I279" s="9">
        <f>6.5237 * CHOOSE(CONTROL!$C$32, $C$9, 100%, $E$9)</f>
        <v>6.5236999999999998</v>
      </c>
      <c r="J279" s="9">
        <f>6.5203 * CHOOSE(CONTROL!$C$32, $C$9, 100%, $E$9)</f>
        <v>6.5202999999999998</v>
      </c>
      <c r="K279" s="9">
        <f>6.5237 * CHOOSE(CONTROL!$C$32, $C$9, 100%, $E$9)</f>
        <v>6.5236999999999998</v>
      </c>
      <c r="L279" s="9">
        <f>5.185 * CHOOSE(CONTROL!$C$32, $C$9, 100%, $E$9)</f>
        <v>5.1849999999999996</v>
      </c>
      <c r="M279" s="9">
        <f>5.1883 * CHOOSE(CONTROL!$C$32, $C$9, 100%, $E$9)</f>
        <v>5.1882999999999999</v>
      </c>
      <c r="N279" s="9">
        <f>5.185 * CHOOSE(CONTROL!$C$32, $C$9, 100%, $E$9)</f>
        <v>5.1849999999999996</v>
      </c>
      <c r="O279" s="9">
        <f>5.1883 * CHOOSE(CONTROL!$C$32, $C$9, 100%, $E$9)</f>
        <v>5.1882999999999999</v>
      </c>
    </row>
    <row r="280" spans="1:15" ht="15" x14ac:dyDescent="0.2">
      <c r="A280" s="16">
        <v>49369</v>
      </c>
      <c r="B280" s="10">
        <f>5.2565 * CHOOSE(CONTROL!$C$32, $C$9, 100%, $E$9)</f>
        <v>5.2565</v>
      </c>
      <c r="C280" s="10">
        <f>5.2565 * CHOOSE(CONTROL!$C$32, $C$9, 100%, $E$9)</f>
        <v>5.2565</v>
      </c>
      <c r="D280" s="10">
        <f>5.2575 * CHOOSE(CONTROL!$C$32, $C$9, 100%, $E$9)</f>
        <v>5.2575000000000003</v>
      </c>
      <c r="E280" s="9">
        <f>5.2563 * CHOOSE(CONTROL!$C$32, $C$9, 100%, $E$9)</f>
        <v>5.2563000000000004</v>
      </c>
      <c r="F280" s="9">
        <f>5.2563 * CHOOSE(CONTROL!$C$32, $C$9, 100%, $E$9)</f>
        <v>5.2563000000000004</v>
      </c>
      <c r="G280" s="9">
        <f>5.2597 * CHOOSE(CONTROL!$C$32, $C$9, 100%, $E$9)</f>
        <v>5.2596999999999996</v>
      </c>
      <c r="H280" s="9">
        <f>6.5183 * CHOOSE(CONTROL!$C$32, $C$9, 100%, $E$9)</f>
        <v>6.5183</v>
      </c>
      <c r="I280" s="9">
        <f>6.5217 * CHOOSE(CONTROL!$C$32, $C$9, 100%, $E$9)</f>
        <v>6.5217000000000001</v>
      </c>
      <c r="J280" s="9">
        <f>6.5183 * CHOOSE(CONTROL!$C$32, $C$9, 100%, $E$9)</f>
        <v>6.5183</v>
      </c>
      <c r="K280" s="9">
        <f>6.5217 * CHOOSE(CONTROL!$C$32, $C$9, 100%, $E$9)</f>
        <v>6.5217000000000001</v>
      </c>
      <c r="L280" s="9">
        <f>5.2563 * CHOOSE(CONTROL!$C$32, $C$9, 100%, $E$9)</f>
        <v>5.2563000000000004</v>
      </c>
      <c r="M280" s="9">
        <f>5.2597 * CHOOSE(CONTROL!$C$32, $C$9, 100%, $E$9)</f>
        <v>5.2596999999999996</v>
      </c>
      <c r="N280" s="9">
        <f>5.2563 * CHOOSE(CONTROL!$C$32, $C$9, 100%, $E$9)</f>
        <v>5.2563000000000004</v>
      </c>
      <c r="O280" s="9">
        <f>5.2597 * CHOOSE(CONTROL!$C$32, $C$9, 100%, $E$9)</f>
        <v>5.2596999999999996</v>
      </c>
    </row>
    <row r="281" spans="1:15" ht="15" x14ac:dyDescent="0.2">
      <c r="A281" s="16">
        <v>49400</v>
      </c>
      <c r="B281" s="10">
        <f>5.2555 * CHOOSE(CONTROL!$C$32, $C$9, 100%, $E$9)</f>
        <v>5.2554999999999996</v>
      </c>
      <c r="C281" s="10">
        <f>5.2555 * CHOOSE(CONTROL!$C$32, $C$9, 100%, $E$9)</f>
        <v>5.2554999999999996</v>
      </c>
      <c r="D281" s="10">
        <f>5.2565 * CHOOSE(CONTROL!$C$32, $C$9, 100%, $E$9)</f>
        <v>5.2565</v>
      </c>
      <c r="E281" s="9">
        <f>5.331 * CHOOSE(CONTROL!$C$32, $C$9, 100%, $E$9)</f>
        <v>5.3310000000000004</v>
      </c>
      <c r="F281" s="9">
        <f>5.331 * CHOOSE(CONTROL!$C$32, $C$9, 100%, $E$9)</f>
        <v>5.3310000000000004</v>
      </c>
      <c r="G281" s="9">
        <f>5.3344 * CHOOSE(CONTROL!$C$32, $C$9, 100%, $E$9)</f>
        <v>5.3343999999999996</v>
      </c>
      <c r="H281" s="9">
        <f>6.5175 * CHOOSE(CONTROL!$C$32, $C$9, 100%, $E$9)</f>
        <v>6.5175000000000001</v>
      </c>
      <c r="I281" s="9">
        <f>6.5209 * CHOOSE(CONTROL!$C$32, $C$9, 100%, $E$9)</f>
        <v>6.5209000000000001</v>
      </c>
      <c r="J281" s="9">
        <f>6.5175 * CHOOSE(CONTROL!$C$32, $C$9, 100%, $E$9)</f>
        <v>6.5175000000000001</v>
      </c>
      <c r="K281" s="9">
        <f>6.5209 * CHOOSE(CONTROL!$C$32, $C$9, 100%, $E$9)</f>
        <v>6.5209000000000001</v>
      </c>
      <c r="L281" s="9">
        <f>5.331 * CHOOSE(CONTROL!$C$32, $C$9, 100%, $E$9)</f>
        <v>5.3310000000000004</v>
      </c>
      <c r="M281" s="9">
        <f>5.3344 * CHOOSE(CONTROL!$C$32, $C$9, 100%, $E$9)</f>
        <v>5.3343999999999996</v>
      </c>
      <c r="N281" s="9">
        <f>5.331 * CHOOSE(CONTROL!$C$32, $C$9, 100%, $E$9)</f>
        <v>5.3310000000000004</v>
      </c>
      <c r="O281" s="9">
        <f>5.3344 * CHOOSE(CONTROL!$C$32, $C$9, 100%, $E$9)</f>
        <v>5.3343999999999996</v>
      </c>
    </row>
    <row r="282" spans="1:15" ht="15" x14ac:dyDescent="0.2">
      <c r="A282" s="16">
        <v>49430</v>
      </c>
      <c r="B282" s="10">
        <f>5.2555 * CHOOSE(CONTROL!$C$32, $C$9, 100%, $E$9)</f>
        <v>5.2554999999999996</v>
      </c>
      <c r="C282" s="10">
        <f>5.2555 * CHOOSE(CONTROL!$C$32, $C$9, 100%, $E$9)</f>
        <v>5.2554999999999996</v>
      </c>
      <c r="D282" s="10">
        <f>5.2568 * CHOOSE(CONTROL!$C$32, $C$9, 100%, $E$9)</f>
        <v>5.2568000000000001</v>
      </c>
      <c r="E282" s="9">
        <f>5.3606 * CHOOSE(CONTROL!$C$32, $C$9, 100%, $E$9)</f>
        <v>5.3605999999999998</v>
      </c>
      <c r="F282" s="9">
        <f>5.3606 * CHOOSE(CONTROL!$C$32, $C$9, 100%, $E$9)</f>
        <v>5.3605999999999998</v>
      </c>
      <c r="G282" s="9">
        <f>5.3649 * CHOOSE(CONTROL!$C$32, $C$9, 100%, $E$9)</f>
        <v>5.3648999999999996</v>
      </c>
      <c r="H282" s="9">
        <f>6.5175 * CHOOSE(CONTROL!$C$32, $C$9, 100%, $E$9)</f>
        <v>6.5175000000000001</v>
      </c>
      <c r="I282" s="9">
        <f>6.5218 * CHOOSE(CONTROL!$C$32, $C$9, 100%, $E$9)</f>
        <v>6.5217999999999998</v>
      </c>
      <c r="J282" s="9">
        <f>6.5175 * CHOOSE(CONTROL!$C$32, $C$9, 100%, $E$9)</f>
        <v>6.5175000000000001</v>
      </c>
      <c r="K282" s="9">
        <f>6.5218 * CHOOSE(CONTROL!$C$32, $C$9, 100%, $E$9)</f>
        <v>6.5217999999999998</v>
      </c>
      <c r="L282" s="9">
        <f>5.3606 * CHOOSE(CONTROL!$C$32, $C$9, 100%, $E$9)</f>
        <v>5.3605999999999998</v>
      </c>
      <c r="M282" s="9">
        <f>5.3649 * CHOOSE(CONTROL!$C$32, $C$9, 100%, $E$9)</f>
        <v>5.3648999999999996</v>
      </c>
      <c r="N282" s="9">
        <f>5.3606 * CHOOSE(CONTROL!$C$32, $C$9, 100%, $E$9)</f>
        <v>5.3605999999999998</v>
      </c>
      <c r="O282" s="9">
        <f>5.3649 * CHOOSE(CONTROL!$C$32, $C$9, 100%, $E$9)</f>
        <v>5.3648999999999996</v>
      </c>
    </row>
    <row r="283" spans="1:15" ht="15" x14ac:dyDescent="0.2">
      <c r="A283" s="15">
        <v>49461</v>
      </c>
      <c r="B283" s="10">
        <f>5.2616 * CHOOSE(CONTROL!$C$32, $C$9, 100%, $E$9)</f>
        <v>5.2615999999999996</v>
      </c>
      <c r="C283" s="10">
        <f>5.2616 * CHOOSE(CONTROL!$C$32, $C$9, 100%, $E$9)</f>
        <v>5.2615999999999996</v>
      </c>
      <c r="D283" s="10">
        <f>5.2629 * CHOOSE(CONTROL!$C$32, $C$9, 100%, $E$9)</f>
        <v>5.2629000000000001</v>
      </c>
      <c r="E283" s="9">
        <f>5.3352 * CHOOSE(CONTROL!$C$32, $C$9, 100%, $E$9)</f>
        <v>5.3352000000000004</v>
      </c>
      <c r="F283" s="9">
        <f>5.3352 * CHOOSE(CONTROL!$C$32, $C$9, 100%, $E$9)</f>
        <v>5.3352000000000004</v>
      </c>
      <c r="G283" s="9">
        <f>5.3396 * CHOOSE(CONTROL!$C$32, $C$9, 100%, $E$9)</f>
        <v>5.3395999999999999</v>
      </c>
      <c r="H283" s="9">
        <f>6.5215 * CHOOSE(CONTROL!$C$32, $C$9, 100%, $E$9)</f>
        <v>6.5214999999999996</v>
      </c>
      <c r="I283" s="9">
        <f>6.5258 * CHOOSE(CONTROL!$C$32, $C$9, 100%, $E$9)</f>
        <v>6.5258000000000003</v>
      </c>
      <c r="J283" s="9">
        <f>6.5215 * CHOOSE(CONTROL!$C$32, $C$9, 100%, $E$9)</f>
        <v>6.5214999999999996</v>
      </c>
      <c r="K283" s="9">
        <f>6.5258 * CHOOSE(CONTROL!$C$32, $C$9, 100%, $E$9)</f>
        <v>6.5258000000000003</v>
      </c>
      <c r="L283" s="9">
        <f>5.3352 * CHOOSE(CONTROL!$C$32, $C$9, 100%, $E$9)</f>
        <v>5.3352000000000004</v>
      </c>
      <c r="M283" s="9">
        <f>5.3396 * CHOOSE(CONTROL!$C$32, $C$9, 100%, $E$9)</f>
        <v>5.3395999999999999</v>
      </c>
      <c r="N283" s="9">
        <f>5.3352 * CHOOSE(CONTROL!$C$32, $C$9, 100%, $E$9)</f>
        <v>5.3352000000000004</v>
      </c>
      <c r="O283" s="9">
        <f>5.3396 * CHOOSE(CONTROL!$C$32, $C$9, 100%, $E$9)</f>
        <v>5.3395999999999999</v>
      </c>
    </row>
    <row r="284" spans="1:15" ht="15" x14ac:dyDescent="0.2">
      <c r="A284" s="15">
        <v>49491</v>
      </c>
      <c r="B284" s="10">
        <f>5.3505 * CHOOSE(CONTROL!$C$32, $C$9, 100%, $E$9)</f>
        <v>5.3505000000000003</v>
      </c>
      <c r="C284" s="10">
        <f>5.3505 * CHOOSE(CONTROL!$C$32, $C$9, 100%, $E$9)</f>
        <v>5.3505000000000003</v>
      </c>
      <c r="D284" s="10">
        <f>5.3518 * CHOOSE(CONTROL!$C$32, $C$9, 100%, $E$9)</f>
        <v>5.3517999999999999</v>
      </c>
      <c r="E284" s="9">
        <f>5.3835 * CHOOSE(CONTROL!$C$32, $C$9, 100%, $E$9)</f>
        <v>5.3834999999999997</v>
      </c>
      <c r="F284" s="9">
        <f>5.3835 * CHOOSE(CONTROL!$C$32, $C$9, 100%, $E$9)</f>
        <v>5.3834999999999997</v>
      </c>
      <c r="G284" s="9">
        <f>5.3878 * CHOOSE(CONTROL!$C$32, $C$9, 100%, $E$9)</f>
        <v>5.3878000000000004</v>
      </c>
      <c r="H284" s="9">
        <f>6.6264 * CHOOSE(CONTROL!$C$32, $C$9, 100%, $E$9)</f>
        <v>6.6264000000000003</v>
      </c>
      <c r="I284" s="9">
        <f>6.6307 * CHOOSE(CONTROL!$C$32, $C$9, 100%, $E$9)</f>
        <v>6.6307</v>
      </c>
      <c r="J284" s="9">
        <f>6.6264 * CHOOSE(CONTROL!$C$32, $C$9, 100%, $E$9)</f>
        <v>6.6264000000000003</v>
      </c>
      <c r="K284" s="9">
        <f>6.6307 * CHOOSE(CONTROL!$C$32, $C$9, 100%, $E$9)</f>
        <v>6.6307</v>
      </c>
      <c r="L284" s="9">
        <f>5.3835 * CHOOSE(CONTROL!$C$32, $C$9, 100%, $E$9)</f>
        <v>5.3834999999999997</v>
      </c>
      <c r="M284" s="9">
        <f>5.3878 * CHOOSE(CONTROL!$C$32, $C$9, 100%, $E$9)</f>
        <v>5.3878000000000004</v>
      </c>
      <c r="N284" s="9">
        <f>5.3835 * CHOOSE(CONTROL!$C$32, $C$9, 100%, $E$9)</f>
        <v>5.3834999999999997</v>
      </c>
      <c r="O284" s="9">
        <f>5.3878 * CHOOSE(CONTROL!$C$32, $C$9, 100%, $E$9)</f>
        <v>5.3878000000000004</v>
      </c>
    </row>
    <row r="285" spans="1:15" ht="15" x14ac:dyDescent="0.2">
      <c r="A285" s="15">
        <v>49522</v>
      </c>
      <c r="B285" s="10">
        <f>5.3572 * CHOOSE(CONTROL!$C$32, $C$9, 100%, $E$9)</f>
        <v>5.3571999999999997</v>
      </c>
      <c r="C285" s="10">
        <f>5.3572 * CHOOSE(CONTROL!$C$32, $C$9, 100%, $E$9)</f>
        <v>5.3571999999999997</v>
      </c>
      <c r="D285" s="10">
        <f>5.3585 * CHOOSE(CONTROL!$C$32, $C$9, 100%, $E$9)</f>
        <v>5.3585000000000003</v>
      </c>
      <c r="E285" s="9">
        <f>5.2994 * CHOOSE(CONTROL!$C$32, $C$9, 100%, $E$9)</f>
        <v>5.2994000000000003</v>
      </c>
      <c r="F285" s="9">
        <f>5.2994 * CHOOSE(CONTROL!$C$32, $C$9, 100%, $E$9)</f>
        <v>5.2994000000000003</v>
      </c>
      <c r="G285" s="9">
        <f>5.3037 * CHOOSE(CONTROL!$C$32, $C$9, 100%, $E$9)</f>
        <v>5.3037000000000001</v>
      </c>
      <c r="H285" s="9">
        <f>6.6308 * CHOOSE(CONTROL!$C$32, $C$9, 100%, $E$9)</f>
        <v>6.6307999999999998</v>
      </c>
      <c r="I285" s="9">
        <f>6.6351 * CHOOSE(CONTROL!$C$32, $C$9, 100%, $E$9)</f>
        <v>6.6351000000000004</v>
      </c>
      <c r="J285" s="9">
        <f>6.6308 * CHOOSE(CONTROL!$C$32, $C$9, 100%, $E$9)</f>
        <v>6.6307999999999998</v>
      </c>
      <c r="K285" s="9">
        <f>6.6351 * CHOOSE(CONTROL!$C$32, $C$9, 100%, $E$9)</f>
        <v>6.6351000000000004</v>
      </c>
      <c r="L285" s="9">
        <f>5.2994 * CHOOSE(CONTROL!$C$32, $C$9, 100%, $E$9)</f>
        <v>5.2994000000000003</v>
      </c>
      <c r="M285" s="9">
        <f>5.3037 * CHOOSE(CONTROL!$C$32, $C$9, 100%, $E$9)</f>
        <v>5.3037000000000001</v>
      </c>
      <c r="N285" s="9">
        <f>5.2994 * CHOOSE(CONTROL!$C$32, $C$9, 100%, $E$9)</f>
        <v>5.2994000000000003</v>
      </c>
      <c r="O285" s="9">
        <f>5.3037 * CHOOSE(CONTROL!$C$32, $C$9, 100%, $E$9)</f>
        <v>5.3037000000000001</v>
      </c>
    </row>
    <row r="286" spans="1:15" ht="15" x14ac:dyDescent="0.2">
      <c r="A286" s="15">
        <v>49553</v>
      </c>
      <c r="B286" s="10">
        <f>5.3542 * CHOOSE(CONTROL!$C$32, $C$9, 100%, $E$9)</f>
        <v>5.3541999999999996</v>
      </c>
      <c r="C286" s="10">
        <f>5.3542 * CHOOSE(CONTROL!$C$32, $C$9, 100%, $E$9)</f>
        <v>5.3541999999999996</v>
      </c>
      <c r="D286" s="10">
        <f>5.3555 * CHOOSE(CONTROL!$C$32, $C$9, 100%, $E$9)</f>
        <v>5.3555000000000001</v>
      </c>
      <c r="E286" s="9">
        <f>5.2874 * CHOOSE(CONTROL!$C$32, $C$9, 100%, $E$9)</f>
        <v>5.2873999999999999</v>
      </c>
      <c r="F286" s="9">
        <f>5.2874 * CHOOSE(CONTROL!$C$32, $C$9, 100%, $E$9)</f>
        <v>5.2873999999999999</v>
      </c>
      <c r="G286" s="9">
        <f>5.2918 * CHOOSE(CONTROL!$C$32, $C$9, 100%, $E$9)</f>
        <v>5.2918000000000003</v>
      </c>
      <c r="H286" s="9">
        <f>6.6288 * CHOOSE(CONTROL!$C$32, $C$9, 100%, $E$9)</f>
        <v>6.6288</v>
      </c>
      <c r="I286" s="9">
        <f>6.6331 * CHOOSE(CONTROL!$C$32, $C$9, 100%, $E$9)</f>
        <v>6.6330999999999998</v>
      </c>
      <c r="J286" s="9">
        <f>6.6288 * CHOOSE(CONTROL!$C$32, $C$9, 100%, $E$9)</f>
        <v>6.6288</v>
      </c>
      <c r="K286" s="9">
        <f>6.6331 * CHOOSE(CONTROL!$C$32, $C$9, 100%, $E$9)</f>
        <v>6.6330999999999998</v>
      </c>
      <c r="L286" s="9">
        <f>5.2874 * CHOOSE(CONTROL!$C$32, $C$9, 100%, $E$9)</f>
        <v>5.2873999999999999</v>
      </c>
      <c r="M286" s="9">
        <f>5.2918 * CHOOSE(CONTROL!$C$32, $C$9, 100%, $E$9)</f>
        <v>5.2918000000000003</v>
      </c>
      <c r="N286" s="9">
        <f>5.2874 * CHOOSE(CONTROL!$C$32, $C$9, 100%, $E$9)</f>
        <v>5.2873999999999999</v>
      </c>
      <c r="O286" s="9">
        <f>5.2918 * CHOOSE(CONTROL!$C$32, $C$9, 100%, $E$9)</f>
        <v>5.2918000000000003</v>
      </c>
    </row>
    <row r="287" spans="1:15" ht="15" x14ac:dyDescent="0.2">
      <c r="A287" s="15">
        <v>49583</v>
      </c>
      <c r="B287" s="10">
        <f>5.3549 * CHOOSE(CONTROL!$C$32, $C$9, 100%, $E$9)</f>
        <v>5.3548999999999998</v>
      </c>
      <c r="C287" s="10">
        <f>5.3549 * CHOOSE(CONTROL!$C$32, $C$9, 100%, $E$9)</f>
        <v>5.3548999999999998</v>
      </c>
      <c r="D287" s="10">
        <f>5.3559 * CHOOSE(CONTROL!$C$32, $C$9, 100%, $E$9)</f>
        <v>5.3559000000000001</v>
      </c>
      <c r="E287" s="9">
        <f>5.3134 * CHOOSE(CONTROL!$C$32, $C$9, 100%, $E$9)</f>
        <v>5.3133999999999997</v>
      </c>
      <c r="F287" s="9">
        <f>5.3134 * CHOOSE(CONTROL!$C$32, $C$9, 100%, $E$9)</f>
        <v>5.3133999999999997</v>
      </c>
      <c r="G287" s="9">
        <f>5.3168 * CHOOSE(CONTROL!$C$32, $C$9, 100%, $E$9)</f>
        <v>5.3167999999999997</v>
      </c>
      <c r="H287" s="9">
        <f>6.6285 * CHOOSE(CONTROL!$C$32, $C$9, 100%, $E$9)</f>
        <v>6.6284999999999998</v>
      </c>
      <c r="I287" s="9">
        <f>6.6319 * CHOOSE(CONTROL!$C$32, $C$9, 100%, $E$9)</f>
        <v>6.6318999999999999</v>
      </c>
      <c r="J287" s="9">
        <f>6.6285 * CHOOSE(CONTROL!$C$32, $C$9, 100%, $E$9)</f>
        <v>6.6284999999999998</v>
      </c>
      <c r="K287" s="9">
        <f>6.6319 * CHOOSE(CONTROL!$C$32, $C$9, 100%, $E$9)</f>
        <v>6.6318999999999999</v>
      </c>
      <c r="L287" s="9">
        <f>5.3134 * CHOOSE(CONTROL!$C$32, $C$9, 100%, $E$9)</f>
        <v>5.3133999999999997</v>
      </c>
      <c r="M287" s="9">
        <f>5.3168 * CHOOSE(CONTROL!$C$32, $C$9, 100%, $E$9)</f>
        <v>5.3167999999999997</v>
      </c>
      <c r="N287" s="9">
        <f>5.3134 * CHOOSE(CONTROL!$C$32, $C$9, 100%, $E$9)</f>
        <v>5.3133999999999997</v>
      </c>
      <c r="O287" s="9">
        <f>5.3168 * CHOOSE(CONTROL!$C$32, $C$9, 100%, $E$9)</f>
        <v>5.3167999999999997</v>
      </c>
    </row>
    <row r="288" spans="1:15" ht="15" x14ac:dyDescent="0.2">
      <c r="A288" s="15">
        <v>49614</v>
      </c>
      <c r="B288" s="10">
        <f>5.358 * CHOOSE(CONTROL!$C$32, $C$9, 100%, $E$9)</f>
        <v>5.3579999999999997</v>
      </c>
      <c r="C288" s="10">
        <f>5.358 * CHOOSE(CONTROL!$C$32, $C$9, 100%, $E$9)</f>
        <v>5.3579999999999997</v>
      </c>
      <c r="D288" s="10">
        <f>5.359 * CHOOSE(CONTROL!$C$32, $C$9, 100%, $E$9)</f>
        <v>5.359</v>
      </c>
      <c r="E288" s="9">
        <f>5.3353 * CHOOSE(CONTROL!$C$32, $C$9, 100%, $E$9)</f>
        <v>5.3353000000000002</v>
      </c>
      <c r="F288" s="9">
        <f>5.3353 * CHOOSE(CONTROL!$C$32, $C$9, 100%, $E$9)</f>
        <v>5.3353000000000002</v>
      </c>
      <c r="G288" s="9">
        <f>5.3387 * CHOOSE(CONTROL!$C$32, $C$9, 100%, $E$9)</f>
        <v>5.3387000000000002</v>
      </c>
      <c r="H288" s="9">
        <f>6.6305 * CHOOSE(CONTROL!$C$32, $C$9, 100%, $E$9)</f>
        <v>6.6304999999999996</v>
      </c>
      <c r="I288" s="9">
        <f>6.6339 * CHOOSE(CONTROL!$C$32, $C$9, 100%, $E$9)</f>
        <v>6.6338999999999997</v>
      </c>
      <c r="J288" s="9">
        <f>6.6305 * CHOOSE(CONTROL!$C$32, $C$9, 100%, $E$9)</f>
        <v>6.6304999999999996</v>
      </c>
      <c r="K288" s="9">
        <f>6.6339 * CHOOSE(CONTROL!$C$32, $C$9, 100%, $E$9)</f>
        <v>6.6338999999999997</v>
      </c>
      <c r="L288" s="9">
        <f>5.3353 * CHOOSE(CONTROL!$C$32, $C$9, 100%, $E$9)</f>
        <v>5.3353000000000002</v>
      </c>
      <c r="M288" s="9">
        <f>5.3387 * CHOOSE(CONTROL!$C$32, $C$9, 100%, $E$9)</f>
        <v>5.3387000000000002</v>
      </c>
      <c r="N288" s="9">
        <f>5.3353 * CHOOSE(CONTROL!$C$32, $C$9, 100%, $E$9)</f>
        <v>5.3353000000000002</v>
      </c>
      <c r="O288" s="9">
        <f>5.3387 * CHOOSE(CONTROL!$C$32, $C$9, 100%, $E$9)</f>
        <v>5.3387000000000002</v>
      </c>
    </row>
    <row r="289" spans="1:15" ht="15" x14ac:dyDescent="0.2">
      <c r="A289" s="15">
        <v>49644</v>
      </c>
      <c r="B289" s="10">
        <f>5.358 * CHOOSE(CONTROL!$C$32, $C$9, 100%, $E$9)</f>
        <v>5.3579999999999997</v>
      </c>
      <c r="C289" s="10">
        <f>5.358 * CHOOSE(CONTROL!$C$32, $C$9, 100%, $E$9)</f>
        <v>5.3579999999999997</v>
      </c>
      <c r="D289" s="10">
        <f>5.359 * CHOOSE(CONTROL!$C$32, $C$9, 100%, $E$9)</f>
        <v>5.359</v>
      </c>
      <c r="E289" s="9">
        <f>5.286 * CHOOSE(CONTROL!$C$32, $C$9, 100%, $E$9)</f>
        <v>5.2859999999999996</v>
      </c>
      <c r="F289" s="9">
        <f>5.286 * CHOOSE(CONTROL!$C$32, $C$9, 100%, $E$9)</f>
        <v>5.2859999999999996</v>
      </c>
      <c r="G289" s="9">
        <f>5.2893 * CHOOSE(CONTROL!$C$32, $C$9, 100%, $E$9)</f>
        <v>5.2892999999999999</v>
      </c>
      <c r="H289" s="9">
        <f>6.6305 * CHOOSE(CONTROL!$C$32, $C$9, 100%, $E$9)</f>
        <v>6.6304999999999996</v>
      </c>
      <c r="I289" s="9">
        <f>6.6339 * CHOOSE(CONTROL!$C$32, $C$9, 100%, $E$9)</f>
        <v>6.6338999999999997</v>
      </c>
      <c r="J289" s="9">
        <f>6.6305 * CHOOSE(CONTROL!$C$32, $C$9, 100%, $E$9)</f>
        <v>6.6304999999999996</v>
      </c>
      <c r="K289" s="9">
        <f>6.6339 * CHOOSE(CONTROL!$C$32, $C$9, 100%, $E$9)</f>
        <v>6.6338999999999997</v>
      </c>
      <c r="L289" s="9">
        <f>5.286 * CHOOSE(CONTROL!$C$32, $C$9, 100%, $E$9)</f>
        <v>5.2859999999999996</v>
      </c>
      <c r="M289" s="9">
        <f>5.2893 * CHOOSE(CONTROL!$C$32, $C$9, 100%, $E$9)</f>
        <v>5.2892999999999999</v>
      </c>
      <c r="N289" s="9">
        <f>5.286 * CHOOSE(CONTROL!$C$32, $C$9, 100%, $E$9)</f>
        <v>5.2859999999999996</v>
      </c>
      <c r="O289" s="9">
        <f>5.2893 * CHOOSE(CONTROL!$C$32, $C$9, 100%, $E$9)</f>
        <v>5.2892999999999999</v>
      </c>
    </row>
    <row r="290" spans="1:15" ht="15" x14ac:dyDescent="0.2">
      <c r="A290" s="15">
        <v>49675</v>
      </c>
      <c r="B290" s="10">
        <f>5.403 * CHOOSE(CONTROL!$C$32, $C$9, 100%, $E$9)</f>
        <v>5.4029999999999996</v>
      </c>
      <c r="C290" s="10">
        <f>5.403 * CHOOSE(CONTROL!$C$32, $C$9, 100%, $E$9)</f>
        <v>5.4029999999999996</v>
      </c>
      <c r="D290" s="10">
        <f>5.404 * CHOOSE(CONTROL!$C$32, $C$9, 100%, $E$9)</f>
        <v>5.4039999999999999</v>
      </c>
      <c r="E290" s="9">
        <f>5.3612 * CHOOSE(CONTROL!$C$32, $C$9, 100%, $E$9)</f>
        <v>5.3612000000000002</v>
      </c>
      <c r="F290" s="9">
        <f>5.3612 * CHOOSE(CONTROL!$C$32, $C$9, 100%, $E$9)</f>
        <v>5.3612000000000002</v>
      </c>
      <c r="G290" s="9">
        <f>5.3646 * CHOOSE(CONTROL!$C$32, $C$9, 100%, $E$9)</f>
        <v>5.3646000000000003</v>
      </c>
      <c r="H290" s="9">
        <f>6.6799 * CHOOSE(CONTROL!$C$32, $C$9, 100%, $E$9)</f>
        <v>6.6798999999999999</v>
      </c>
      <c r="I290" s="9">
        <f>6.6833 * CHOOSE(CONTROL!$C$32, $C$9, 100%, $E$9)</f>
        <v>6.6833</v>
      </c>
      <c r="J290" s="9">
        <f>6.6799 * CHOOSE(CONTROL!$C$32, $C$9, 100%, $E$9)</f>
        <v>6.6798999999999999</v>
      </c>
      <c r="K290" s="9">
        <f>6.6833 * CHOOSE(CONTROL!$C$32, $C$9, 100%, $E$9)</f>
        <v>6.6833</v>
      </c>
      <c r="L290" s="9">
        <f>5.3612 * CHOOSE(CONTROL!$C$32, $C$9, 100%, $E$9)</f>
        <v>5.3612000000000002</v>
      </c>
      <c r="M290" s="9">
        <f>5.3646 * CHOOSE(CONTROL!$C$32, $C$9, 100%, $E$9)</f>
        <v>5.3646000000000003</v>
      </c>
      <c r="N290" s="9">
        <f>5.3612 * CHOOSE(CONTROL!$C$32, $C$9, 100%, $E$9)</f>
        <v>5.3612000000000002</v>
      </c>
      <c r="O290" s="9">
        <f>5.3646 * CHOOSE(CONTROL!$C$32, $C$9, 100%, $E$9)</f>
        <v>5.3646000000000003</v>
      </c>
    </row>
    <row r="291" spans="1:15" ht="15" x14ac:dyDescent="0.2">
      <c r="A291" s="15">
        <v>49706</v>
      </c>
      <c r="B291" s="10">
        <f>5.4 * CHOOSE(CONTROL!$C$32, $C$9, 100%, $E$9)</f>
        <v>5.4</v>
      </c>
      <c r="C291" s="10">
        <f>5.4 * CHOOSE(CONTROL!$C$32, $C$9, 100%, $E$9)</f>
        <v>5.4</v>
      </c>
      <c r="D291" s="10">
        <f>5.401 * CHOOSE(CONTROL!$C$32, $C$9, 100%, $E$9)</f>
        <v>5.4009999999999998</v>
      </c>
      <c r="E291" s="9">
        <f>5.2631 * CHOOSE(CONTROL!$C$32, $C$9, 100%, $E$9)</f>
        <v>5.2630999999999997</v>
      </c>
      <c r="F291" s="9">
        <f>5.2631 * CHOOSE(CONTROL!$C$32, $C$9, 100%, $E$9)</f>
        <v>5.2630999999999997</v>
      </c>
      <c r="G291" s="9">
        <f>5.2664 * CHOOSE(CONTROL!$C$32, $C$9, 100%, $E$9)</f>
        <v>5.2664</v>
      </c>
      <c r="H291" s="9">
        <f>6.6779 * CHOOSE(CONTROL!$C$32, $C$9, 100%, $E$9)</f>
        <v>6.6779000000000002</v>
      </c>
      <c r="I291" s="9">
        <f>6.6813 * CHOOSE(CONTROL!$C$32, $C$9, 100%, $E$9)</f>
        <v>6.6813000000000002</v>
      </c>
      <c r="J291" s="9">
        <f>6.6779 * CHOOSE(CONTROL!$C$32, $C$9, 100%, $E$9)</f>
        <v>6.6779000000000002</v>
      </c>
      <c r="K291" s="9">
        <f>6.6813 * CHOOSE(CONTROL!$C$32, $C$9, 100%, $E$9)</f>
        <v>6.6813000000000002</v>
      </c>
      <c r="L291" s="9">
        <f>5.2631 * CHOOSE(CONTROL!$C$32, $C$9, 100%, $E$9)</f>
        <v>5.2630999999999997</v>
      </c>
      <c r="M291" s="9">
        <f>5.2664 * CHOOSE(CONTROL!$C$32, $C$9, 100%, $E$9)</f>
        <v>5.2664</v>
      </c>
      <c r="N291" s="9">
        <f>5.2631 * CHOOSE(CONTROL!$C$32, $C$9, 100%, $E$9)</f>
        <v>5.2630999999999997</v>
      </c>
      <c r="O291" s="9">
        <f>5.2664 * CHOOSE(CONTROL!$C$32, $C$9, 100%, $E$9)</f>
        <v>5.2664</v>
      </c>
    </row>
    <row r="292" spans="1:15" ht="15" x14ac:dyDescent="0.2">
      <c r="A292" s="15">
        <v>49735</v>
      </c>
      <c r="B292" s="10">
        <f>5.3969 * CHOOSE(CONTROL!$C$32, $C$9, 100%, $E$9)</f>
        <v>5.3968999999999996</v>
      </c>
      <c r="C292" s="10">
        <f>5.3969 * CHOOSE(CONTROL!$C$32, $C$9, 100%, $E$9)</f>
        <v>5.3968999999999996</v>
      </c>
      <c r="D292" s="10">
        <f>5.3979 * CHOOSE(CONTROL!$C$32, $C$9, 100%, $E$9)</f>
        <v>5.3978999999999999</v>
      </c>
      <c r="E292" s="9">
        <f>5.3366 * CHOOSE(CONTROL!$C$32, $C$9, 100%, $E$9)</f>
        <v>5.3365999999999998</v>
      </c>
      <c r="F292" s="9">
        <f>5.3366 * CHOOSE(CONTROL!$C$32, $C$9, 100%, $E$9)</f>
        <v>5.3365999999999998</v>
      </c>
      <c r="G292" s="9">
        <f>5.34 * CHOOSE(CONTROL!$C$32, $C$9, 100%, $E$9)</f>
        <v>5.34</v>
      </c>
      <c r="H292" s="9">
        <f>6.9244 * CHOOSE(CONTROL!$C$32, $C$9, 100%, $E$9)</f>
        <v>6.9244000000000003</v>
      </c>
      <c r="I292" s="9">
        <f>6.9278 * CHOOSE(CONTROL!$C$32, $C$9, 100%, $E$9)</f>
        <v>6.9278000000000004</v>
      </c>
      <c r="J292" s="9">
        <f>6.9244 * CHOOSE(CONTROL!$C$32, $C$9, 100%, $E$9)</f>
        <v>6.9244000000000003</v>
      </c>
      <c r="K292" s="9">
        <f>6.9278 * CHOOSE(CONTROL!$C$32, $C$9, 100%, $E$9)</f>
        <v>6.9278000000000004</v>
      </c>
      <c r="L292" s="9">
        <f>5.3366 * CHOOSE(CONTROL!$C$32, $C$9, 100%, $E$9)</f>
        <v>5.3365999999999998</v>
      </c>
      <c r="M292" s="9">
        <f>5.34 * CHOOSE(CONTROL!$C$32, $C$9, 100%, $E$9)</f>
        <v>5.34</v>
      </c>
      <c r="N292" s="9">
        <f>5.3366 * CHOOSE(CONTROL!$C$32, $C$9, 100%, $E$9)</f>
        <v>5.3365999999999998</v>
      </c>
      <c r="O292" s="9">
        <f>5.34 * CHOOSE(CONTROL!$C$32, $C$9, 100%, $E$9)</f>
        <v>5.34</v>
      </c>
    </row>
    <row r="293" spans="1:15" ht="15" x14ac:dyDescent="0.2">
      <c r="A293" s="15">
        <v>49766</v>
      </c>
      <c r="B293" s="10">
        <f>5.3961 * CHOOSE(CONTROL!$C$32, $C$9, 100%, $E$9)</f>
        <v>5.3960999999999997</v>
      </c>
      <c r="C293" s="10">
        <f>5.3961 * CHOOSE(CONTROL!$C$32, $C$9, 100%, $E$9)</f>
        <v>5.3960999999999997</v>
      </c>
      <c r="D293" s="10">
        <f>5.3971 * CHOOSE(CONTROL!$C$32, $C$9, 100%, $E$9)</f>
        <v>5.3971</v>
      </c>
      <c r="E293" s="9">
        <f>5.4137 * CHOOSE(CONTROL!$C$32, $C$9, 100%, $E$9)</f>
        <v>5.4137000000000004</v>
      </c>
      <c r="F293" s="9">
        <f>5.4137 * CHOOSE(CONTROL!$C$32, $C$9, 100%, $E$9)</f>
        <v>5.4137000000000004</v>
      </c>
      <c r="G293" s="9">
        <f>5.417 * CHOOSE(CONTROL!$C$32, $C$9, 100%, $E$9)</f>
        <v>5.4169999999999998</v>
      </c>
      <c r="H293" s="9">
        <f>6.6751 * CHOOSE(CONTROL!$C$32, $C$9, 100%, $E$9)</f>
        <v>6.6750999999999996</v>
      </c>
      <c r="I293" s="9">
        <f>6.6785 * CHOOSE(CONTROL!$C$32, $C$9, 100%, $E$9)</f>
        <v>6.6784999999999997</v>
      </c>
      <c r="J293" s="9">
        <f>6.6751 * CHOOSE(CONTROL!$C$32, $C$9, 100%, $E$9)</f>
        <v>6.6750999999999996</v>
      </c>
      <c r="K293" s="9">
        <f>6.6785 * CHOOSE(CONTROL!$C$32, $C$9, 100%, $E$9)</f>
        <v>6.6784999999999997</v>
      </c>
      <c r="L293" s="9">
        <f>5.4137 * CHOOSE(CONTROL!$C$32, $C$9, 100%, $E$9)</f>
        <v>5.4137000000000004</v>
      </c>
      <c r="M293" s="9">
        <f>5.417 * CHOOSE(CONTROL!$C$32, $C$9, 100%, $E$9)</f>
        <v>5.4169999999999998</v>
      </c>
      <c r="N293" s="9">
        <f>5.4137 * CHOOSE(CONTROL!$C$32, $C$9, 100%, $E$9)</f>
        <v>5.4137000000000004</v>
      </c>
      <c r="O293" s="9">
        <f>5.417 * CHOOSE(CONTROL!$C$32, $C$9, 100%, $E$9)</f>
        <v>5.4169999999999998</v>
      </c>
    </row>
    <row r="294" spans="1:15" ht="15" x14ac:dyDescent="0.2">
      <c r="A294" s="15">
        <v>49796</v>
      </c>
      <c r="B294" s="10">
        <f>5.3961 * CHOOSE(CONTROL!$C$32, $C$9, 100%, $E$9)</f>
        <v>5.3960999999999997</v>
      </c>
      <c r="C294" s="10">
        <f>5.3961 * CHOOSE(CONTROL!$C$32, $C$9, 100%, $E$9)</f>
        <v>5.3960999999999997</v>
      </c>
      <c r="D294" s="10">
        <f>5.3974 * CHOOSE(CONTROL!$C$32, $C$9, 100%, $E$9)</f>
        <v>5.3974000000000002</v>
      </c>
      <c r="E294" s="9">
        <f>5.4441 * CHOOSE(CONTROL!$C$32, $C$9, 100%, $E$9)</f>
        <v>5.4440999999999997</v>
      </c>
      <c r="F294" s="9">
        <f>5.4441 * CHOOSE(CONTROL!$C$32, $C$9, 100%, $E$9)</f>
        <v>5.4440999999999997</v>
      </c>
      <c r="G294" s="9">
        <f>5.4485 * CHOOSE(CONTROL!$C$32, $C$9, 100%, $E$9)</f>
        <v>5.4485000000000001</v>
      </c>
      <c r="H294" s="9">
        <f>6.6751 * CHOOSE(CONTROL!$C$32, $C$9, 100%, $E$9)</f>
        <v>6.6750999999999996</v>
      </c>
      <c r="I294" s="9">
        <f>6.6795 * CHOOSE(CONTROL!$C$32, $C$9, 100%, $E$9)</f>
        <v>6.6795</v>
      </c>
      <c r="J294" s="9">
        <f>6.6751 * CHOOSE(CONTROL!$C$32, $C$9, 100%, $E$9)</f>
        <v>6.6750999999999996</v>
      </c>
      <c r="K294" s="9">
        <f>6.6795 * CHOOSE(CONTROL!$C$32, $C$9, 100%, $E$9)</f>
        <v>6.6795</v>
      </c>
      <c r="L294" s="9">
        <f>5.4441 * CHOOSE(CONTROL!$C$32, $C$9, 100%, $E$9)</f>
        <v>5.4440999999999997</v>
      </c>
      <c r="M294" s="9">
        <f>5.4485 * CHOOSE(CONTROL!$C$32, $C$9, 100%, $E$9)</f>
        <v>5.4485000000000001</v>
      </c>
      <c r="N294" s="9">
        <f>5.4441 * CHOOSE(CONTROL!$C$32, $C$9, 100%, $E$9)</f>
        <v>5.4440999999999997</v>
      </c>
      <c r="O294" s="9">
        <f>5.4485 * CHOOSE(CONTROL!$C$32, $C$9, 100%, $E$9)</f>
        <v>5.4485000000000001</v>
      </c>
    </row>
    <row r="295" spans="1:15" ht="15" x14ac:dyDescent="0.2">
      <c r="A295" s="15">
        <v>49827</v>
      </c>
      <c r="B295" s="10">
        <f>5.4022 * CHOOSE(CONTROL!$C$32, $C$9, 100%, $E$9)</f>
        <v>5.4021999999999997</v>
      </c>
      <c r="C295" s="10">
        <f>5.4022 * CHOOSE(CONTROL!$C$32, $C$9, 100%, $E$9)</f>
        <v>5.4021999999999997</v>
      </c>
      <c r="D295" s="10">
        <f>5.4035 * CHOOSE(CONTROL!$C$32, $C$9, 100%, $E$9)</f>
        <v>5.4035000000000002</v>
      </c>
      <c r="E295" s="9">
        <f>5.4179 * CHOOSE(CONTROL!$C$32, $C$9, 100%, $E$9)</f>
        <v>5.4179000000000004</v>
      </c>
      <c r="F295" s="9">
        <f>5.4179 * CHOOSE(CONTROL!$C$32, $C$9, 100%, $E$9)</f>
        <v>5.4179000000000004</v>
      </c>
      <c r="G295" s="9">
        <f>5.4223 * CHOOSE(CONTROL!$C$32, $C$9, 100%, $E$9)</f>
        <v>5.4222999999999999</v>
      </c>
      <c r="H295" s="9">
        <f>6.6791 * CHOOSE(CONTROL!$C$32, $C$9, 100%, $E$9)</f>
        <v>6.6791</v>
      </c>
      <c r="I295" s="9">
        <f>6.6835 * CHOOSE(CONTROL!$C$32, $C$9, 100%, $E$9)</f>
        <v>6.6835000000000004</v>
      </c>
      <c r="J295" s="9">
        <f>6.6791 * CHOOSE(CONTROL!$C$32, $C$9, 100%, $E$9)</f>
        <v>6.6791</v>
      </c>
      <c r="K295" s="9">
        <f>6.6835 * CHOOSE(CONTROL!$C$32, $C$9, 100%, $E$9)</f>
        <v>6.6835000000000004</v>
      </c>
      <c r="L295" s="9">
        <f>5.4179 * CHOOSE(CONTROL!$C$32, $C$9, 100%, $E$9)</f>
        <v>5.4179000000000004</v>
      </c>
      <c r="M295" s="9">
        <f>5.4223 * CHOOSE(CONTROL!$C$32, $C$9, 100%, $E$9)</f>
        <v>5.4222999999999999</v>
      </c>
      <c r="N295" s="9">
        <f>5.4179 * CHOOSE(CONTROL!$C$32, $C$9, 100%, $E$9)</f>
        <v>5.4179000000000004</v>
      </c>
      <c r="O295" s="9">
        <f>5.4223 * CHOOSE(CONTROL!$C$32, $C$9, 100%, $E$9)</f>
        <v>5.4222999999999999</v>
      </c>
    </row>
    <row r="296" spans="1:15" ht="15" x14ac:dyDescent="0.2">
      <c r="A296" s="15">
        <v>49857</v>
      </c>
      <c r="B296" s="10">
        <f>5.4827 * CHOOSE(CONTROL!$C$32, $C$9, 100%, $E$9)</f>
        <v>5.4827000000000004</v>
      </c>
      <c r="C296" s="10">
        <f>5.4827 * CHOOSE(CONTROL!$C$32, $C$9, 100%, $E$9)</f>
        <v>5.4827000000000004</v>
      </c>
      <c r="D296" s="10">
        <f>5.484 * CHOOSE(CONTROL!$C$32, $C$9, 100%, $E$9)</f>
        <v>5.484</v>
      </c>
      <c r="E296" s="9">
        <f>5.4936 * CHOOSE(CONTROL!$C$32, $C$9, 100%, $E$9)</f>
        <v>5.4935999999999998</v>
      </c>
      <c r="F296" s="9">
        <f>5.4936 * CHOOSE(CONTROL!$C$32, $C$9, 100%, $E$9)</f>
        <v>5.4935999999999998</v>
      </c>
      <c r="G296" s="9">
        <f>5.498 * CHOOSE(CONTROL!$C$32, $C$9, 100%, $E$9)</f>
        <v>5.4980000000000002</v>
      </c>
      <c r="H296" s="9">
        <f>6.7816 * CHOOSE(CONTROL!$C$32, $C$9, 100%, $E$9)</f>
        <v>6.7816000000000001</v>
      </c>
      <c r="I296" s="9">
        <f>6.7859 * CHOOSE(CONTROL!$C$32, $C$9, 100%, $E$9)</f>
        <v>6.7858999999999998</v>
      </c>
      <c r="J296" s="9">
        <f>6.7816 * CHOOSE(CONTROL!$C$32, $C$9, 100%, $E$9)</f>
        <v>6.7816000000000001</v>
      </c>
      <c r="K296" s="9">
        <f>6.7859 * CHOOSE(CONTROL!$C$32, $C$9, 100%, $E$9)</f>
        <v>6.7858999999999998</v>
      </c>
      <c r="L296" s="9">
        <f>5.4936 * CHOOSE(CONTROL!$C$32, $C$9, 100%, $E$9)</f>
        <v>5.4935999999999998</v>
      </c>
      <c r="M296" s="9">
        <f>5.498 * CHOOSE(CONTROL!$C$32, $C$9, 100%, $E$9)</f>
        <v>5.4980000000000002</v>
      </c>
      <c r="N296" s="9">
        <f>5.4936 * CHOOSE(CONTROL!$C$32, $C$9, 100%, $E$9)</f>
        <v>5.4935999999999998</v>
      </c>
      <c r="O296" s="9">
        <f>5.498 * CHOOSE(CONTROL!$C$32, $C$9, 100%, $E$9)</f>
        <v>5.4980000000000002</v>
      </c>
    </row>
    <row r="297" spans="1:15" ht="15" x14ac:dyDescent="0.2">
      <c r="A297" s="15">
        <v>49888</v>
      </c>
      <c r="B297" s="10">
        <f>5.4894 * CHOOSE(CONTROL!$C$32, $C$9, 100%, $E$9)</f>
        <v>5.4893999999999998</v>
      </c>
      <c r="C297" s="10">
        <f>5.4894 * CHOOSE(CONTROL!$C$32, $C$9, 100%, $E$9)</f>
        <v>5.4893999999999998</v>
      </c>
      <c r="D297" s="10">
        <f>5.4907 * CHOOSE(CONTROL!$C$32, $C$9, 100%, $E$9)</f>
        <v>5.4907000000000004</v>
      </c>
      <c r="E297" s="9">
        <f>5.4069 * CHOOSE(CONTROL!$C$32, $C$9, 100%, $E$9)</f>
        <v>5.4069000000000003</v>
      </c>
      <c r="F297" s="9">
        <f>5.4069 * CHOOSE(CONTROL!$C$32, $C$9, 100%, $E$9)</f>
        <v>5.4069000000000003</v>
      </c>
      <c r="G297" s="9">
        <f>5.4112 * CHOOSE(CONTROL!$C$32, $C$9, 100%, $E$9)</f>
        <v>5.4112</v>
      </c>
      <c r="H297" s="9">
        <f>6.786 * CHOOSE(CONTROL!$C$32, $C$9, 100%, $E$9)</f>
        <v>6.7859999999999996</v>
      </c>
      <c r="I297" s="9">
        <f>6.7903 * CHOOSE(CONTROL!$C$32, $C$9, 100%, $E$9)</f>
        <v>6.7903000000000002</v>
      </c>
      <c r="J297" s="9">
        <f>6.786 * CHOOSE(CONTROL!$C$32, $C$9, 100%, $E$9)</f>
        <v>6.7859999999999996</v>
      </c>
      <c r="K297" s="9">
        <f>6.7903 * CHOOSE(CONTROL!$C$32, $C$9, 100%, $E$9)</f>
        <v>6.7903000000000002</v>
      </c>
      <c r="L297" s="9">
        <f>5.4069 * CHOOSE(CONTROL!$C$32, $C$9, 100%, $E$9)</f>
        <v>5.4069000000000003</v>
      </c>
      <c r="M297" s="9">
        <f>5.4112 * CHOOSE(CONTROL!$C$32, $C$9, 100%, $E$9)</f>
        <v>5.4112</v>
      </c>
      <c r="N297" s="9">
        <f>5.4069 * CHOOSE(CONTROL!$C$32, $C$9, 100%, $E$9)</f>
        <v>5.4069000000000003</v>
      </c>
      <c r="O297" s="9">
        <f>5.4112 * CHOOSE(CONTROL!$C$32, $C$9, 100%, $E$9)</f>
        <v>5.4112</v>
      </c>
    </row>
    <row r="298" spans="1:15" ht="15" x14ac:dyDescent="0.2">
      <c r="A298" s="15">
        <v>49919</v>
      </c>
      <c r="B298" s="10">
        <f>5.4863 * CHOOSE(CONTROL!$C$32, $C$9, 100%, $E$9)</f>
        <v>5.4863</v>
      </c>
      <c r="C298" s="10">
        <f>5.4863 * CHOOSE(CONTROL!$C$32, $C$9, 100%, $E$9)</f>
        <v>5.4863</v>
      </c>
      <c r="D298" s="10">
        <f>5.4876 * CHOOSE(CONTROL!$C$32, $C$9, 100%, $E$9)</f>
        <v>5.4875999999999996</v>
      </c>
      <c r="E298" s="9">
        <f>5.3946 * CHOOSE(CONTROL!$C$32, $C$9, 100%, $E$9)</f>
        <v>5.3945999999999996</v>
      </c>
      <c r="F298" s="9">
        <f>5.3946 * CHOOSE(CONTROL!$C$32, $C$9, 100%, $E$9)</f>
        <v>5.3945999999999996</v>
      </c>
      <c r="G298" s="9">
        <f>5.3989 * CHOOSE(CONTROL!$C$32, $C$9, 100%, $E$9)</f>
        <v>5.3989000000000003</v>
      </c>
      <c r="H298" s="9">
        <f>6.784 * CHOOSE(CONTROL!$C$32, $C$9, 100%, $E$9)</f>
        <v>6.7839999999999998</v>
      </c>
      <c r="I298" s="9">
        <f>6.7883 * CHOOSE(CONTROL!$C$32, $C$9, 100%, $E$9)</f>
        <v>6.7882999999999996</v>
      </c>
      <c r="J298" s="9">
        <f>6.784 * CHOOSE(CONTROL!$C$32, $C$9, 100%, $E$9)</f>
        <v>6.7839999999999998</v>
      </c>
      <c r="K298" s="9">
        <f>6.7883 * CHOOSE(CONTROL!$C$32, $C$9, 100%, $E$9)</f>
        <v>6.7882999999999996</v>
      </c>
      <c r="L298" s="9">
        <f>5.3946 * CHOOSE(CONTROL!$C$32, $C$9, 100%, $E$9)</f>
        <v>5.3945999999999996</v>
      </c>
      <c r="M298" s="9">
        <f>5.3989 * CHOOSE(CONTROL!$C$32, $C$9, 100%, $E$9)</f>
        <v>5.3989000000000003</v>
      </c>
      <c r="N298" s="9">
        <f>5.3946 * CHOOSE(CONTROL!$C$32, $C$9, 100%, $E$9)</f>
        <v>5.3945999999999996</v>
      </c>
      <c r="O298" s="9">
        <f>5.3989 * CHOOSE(CONTROL!$C$32, $C$9, 100%, $E$9)</f>
        <v>5.3989000000000003</v>
      </c>
    </row>
    <row r="299" spans="1:15" ht="15" x14ac:dyDescent="0.2">
      <c r="A299" s="15">
        <v>49949</v>
      </c>
      <c r="B299" s="10">
        <f>5.4876 * CHOOSE(CONTROL!$C$32, $C$9, 100%, $E$9)</f>
        <v>5.4875999999999996</v>
      </c>
      <c r="C299" s="10">
        <f>5.4876 * CHOOSE(CONTROL!$C$32, $C$9, 100%, $E$9)</f>
        <v>5.4875999999999996</v>
      </c>
      <c r="D299" s="10">
        <f>5.4886 * CHOOSE(CONTROL!$C$32, $C$9, 100%, $E$9)</f>
        <v>5.4885999999999999</v>
      </c>
      <c r="E299" s="9">
        <f>5.4218 * CHOOSE(CONTROL!$C$32, $C$9, 100%, $E$9)</f>
        <v>5.4218000000000002</v>
      </c>
      <c r="F299" s="9">
        <f>5.4218 * CHOOSE(CONTROL!$C$32, $C$9, 100%, $E$9)</f>
        <v>5.4218000000000002</v>
      </c>
      <c r="G299" s="9">
        <f>5.4252 * CHOOSE(CONTROL!$C$32, $C$9, 100%, $E$9)</f>
        <v>5.4252000000000002</v>
      </c>
      <c r="H299" s="9">
        <f>6.784 * CHOOSE(CONTROL!$C$32, $C$9, 100%, $E$9)</f>
        <v>6.7839999999999998</v>
      </c>
      <c r="I299" s="9">
        <f>6.7874 * CHOOSE(CONTROL!$C$32, $C$9, 100%, $E$9)</f>
        <v>6.7873999999999999</v>
      </c>
      <c r="J299" s="9">
        <f>6.784 * CHOOSE(CONTROL!$C$32, $C$9, 100%, $E$9)</f>
        <v>6.7839999999999998</v>
      </c>
      <c r="K299" s="9">
        <f>6.7874 * CHOOSE(CONTROL!$C$32, $C$9, 100%, $E$9)</f>
        <v>6.7873999999999999</v>
      </c>
      <c r="L299" s="9">
        <f>5.4218 * CHOOSE(CONTROL!$C$32, $C$9, 100%, $E$9)</f>
        <v>5.4218000000000002</v>
      </c>
      <c r="M299" s="9">
        <f>5.4252 * CHOOSE(CONTROL!$C$32, $C$9, 100%, $E$9)</f>
        <v>5.4252000000000002</v>
      </c>
      <c r="N299" s="9">
        <f>5.4218 * CHOOSE(CONTROL!$C$32, $C$9, 100%, $E$9)</f>
        <v>5.4218000000000002</v>
      </c>
      <c r="O299" s="9">
        <f>5.4252 * CHOOSE(CONTROL!$C$32, $C$9, 100%, $E$9)</f>
        <v>5.4252000000000002</v>
      </c>
    </row>
    <row r="300" spans="1:15" ht="15" x14ac:dyDescent="0.2">
      <c r="A300" s="15">
        <v>49980</v>
      </c>
      <c r="B300" s="10">
        <f>5.4906 * CHOOSE(CONTROL!$C$32, $C$9, 100%, $E$9)</f>
        <v>5.4905999999999997</v>
      </c>
      <c r="C300" s="10">
        <f>5.4906 * CHOOSE(CONTROL!$C$32, $C$9, 100%, $E$9)</f>
        <v>5.4905999999999997</v>
      </c>
      <c r="D300" s="10">
        <f>5.4916 * CHOOSE(CONTROL!$C$32, $C$9, 100%, $E$9)</f>
        <v>5.4916</v>
      </c>
      <c r="E300" s="9">
        <f>5.4442 * CHOOSE(CONTROL!$C$32, $C$9, 100%, $E$9)</f>
        <v>5.4442000000000004</v>
      </c>
      <c r="F300" s="9">
        <f>5.4442 * CHOOSE(CONTROL!$C$32, $C$9, 100%, $E$9)</f>
        <v>5.4442000000000004</v>
      </c>
      <c r="G300" s="9">
        <f>5.4476 * CHOOSE(CONTROL!$C$32, $C$9, 100%, $E$9)</f>
        <v>5.4476000000000004</v>
      </c>
      <c r="H300" s="9">
        <f>6.786 * CHOOSE(CONTROL!$C$32, $C$9, 100%, $E$9)</f>
        <v>6.7859999999999996</v>
      </c>
      <c r="I300" s="9">
        <f>6.7894 * CHOOSE(CONTROL!$C$32, $C$9, 100%, $E$9)</f>
        <v>6.7893999999999997</v>
      </c>
      <c r="J300" s="9">
        <f>6.786 * CHOOSE(CONTROL!$C$32, $C$9, 100%, $E$9)</f>
        <v>6.7859999999999996</v>
      </c>
      <c r="K300" s="9">
        <f>6.7894 * CHOOSE(CONTROL!$C$32, $C$9, 100%, $E$9)</f>
        <v>6.7893999999999997</v>
      </c>
      <c r="L300" s="9">
        <f>5.4442 * CHOOSE(CONTROL!$C$32, $C$9, 100%, $E$9)</f>
        <v>5.4442000000000004</v>
      </c>
      <c r="M300" s="9">
        <f>5.4476 * CHOOSE(CONTROL!$C$32, $C$9, 100%, $E$9)</f>
        <v>5.4476000000000004</v>
      </c>
      <c r="N300" s="9">
        <f>5.4442 * CHOOSE(CONTROL!$C$32, $C$9, 100%, $E$9)</f>
        <v>5.4442000000000004</v>
      </c>
      <c r="O300" s="9">
        <f>5.4476 * CHOOSE(CONTROL!$C$32, $C$9, 100%, $E$9)</f>
        <v>5.4476000000000004</v>
      </c>
    </row>
    <row r="301" spans="1:15" ht="15" x14ac:dyDescent="0.2">
      <c r="A301" s="15">
        <v>50010</v>
      </c>
      <c r="B301" s="10">
        <f>5.4906 * CHOOSE(CONTROL!$C$32, $C$9, 100%, $E$9)</f>
        <v>5.4905999999999997</v>
      </c>
      <c r="C301" s="10">
        <f>5.4906 * CHOOSE(CONTROL!$C$32, $C$9, 100%, $E$9)</f>
        <v>5.4905999999999997</v>
      </c>
      <c r="D301" s="10">
        <f>5.4916 * CHOOSE(CONTROL!$C$32, $C$9, 100%, $E$9)</f>
        <v>5.4916</v>
      </c>
      <c r="E301" s="9">
        <f>5.3934 * CHOOSE(CONTROL!$C$32, $C$9, 100%, $E$9)</f>
        <v>5.3933999999999997</v>
      </c>
      <c r="F301" s="9">
        <f>5.3934 * CHOOSE(CONTROL!$C$32, $C$9, 100%, $E$9)</f>
        <v>5.3933999999999997</v>
      </c>
      <c r="G301" s="9">
        <f>5.3968 * CHOOSE(CONTROL!$C$32, $C$9, 100%, $E$9)</f>
        <v>5.3967999999999998</v>
      </c>
      <c r="H301" s="9">
        <f>6.786 * CHOOSE(CONTROL!$C$32, $C$9, 100%, $E$9)</f>
        <v>6.7859999999999996</v>
      </c>
      <c r="I301" s="9">
        <f>6.7894 * CHOOSE(CONTROL!$C$32, $C$9, 100%, $E$9)</f>
        <v>6.7893999999999997</v>
      </c>
      <c r="J301" s="9">
        <f>6.786 * CHOOSE(CONTROL!$C$32, $C$9, 100%, $E$9)</f>
        <v>6.7859999999999996</v>
      </c>
      <c r="K301" s="9">
        <f>6.7894 * CHOOSE(CONTROL!$C$32, $C$9, 100%, $E$9)</f>
        <v>6.7893999999999997</v>
      </c>
      <c r="L301" s="9">
        <f>5.3934 * CHOOSE(CONTROL!$C$32, $C$9, 100%, $E$9)</f>
        <v>5.3933999999999997</v>
      </c>
      <c r="M301" s="9">
        <f>5.3968 * CHOOSE(CONTROL!$C$32, $C$9, 100%, $E$9)</f>
        <v>5.3967999999999998</v>
      </c>
      <c r="N301" s="9">
        <f>5.3934 * CHOOSE(CONTROL!$C$32, $C$9, 100%, $E$9)</f>
        <v>5.3933999999999997</v>
      </c>
      <c r="O301" s="9">
        <f>5.3968 * CHOOSE(CONTROL!$C$32, $C$9, 100%, $E$9)</f>
        <v>5.3967999999999998</v>
      </c>
    </row>
    <row r="302" spans="1:15" ht="15" x14ac:dyDescent="0.2">
      <c r="A302" s="15">
        <v>50041</v>
      </c>
      <c r="B302" s="10">
        <f>5.5382 * CHOOSE(CONTROL!$C$32, $C$9, 100%, $E$9)</f>
        <v>5.5381999999999998</v>
      </c>
      <c r="C302" s="10">
        <f>5.5382 * CHOOSE(CONTROL!$C$32, $C$9, 100%, $E$9)</f>
        <v>5.5381999999999998</v>
      </c>
      <c r="D302" s="10">
        <f>5.5392 * CHOOSE(CONTROL!$C$32, $C$9, 100%, $E$9)</f>
        <v>5.5392000000000001</v>
      </c>
      <c r="E302" s="9">
        <f>5.4645 * CHOOSE(CONTROL!$C$32, $C$9, 100%, $E$9)</f>
        <v>5.4645000000000001</v>
      </c>
      <c r="F302" s="9">
        <f>5.4645 * CHOOSE(CONTROL!$C$32, $C$9, 100%, $E$9)</f>
        <v>5.4645000000000001</v>
      </c>
      <c r="G302" s="9">
        <f>5.4678 * CHOOSE(CONTROL!$C$32, $C$9, 100%, $E$9)</f>
        <v>5.4678000000000004</v>
      </c>
      <c r="H302" s="9">
        <f>6.8377 * CHOOSE(CONTROL!$C$32, $C$9, 100%, $E$9)</f>
        <v>6.8376999999999999</v>
      </c>
      <c r="I302" s="9">
        <f>6.8411 * CHOOSE(CONTROL!$C$32, $C$9, 100%, $E$9)</f>
        <v>6.8411</v>
      </c>
      <c r="J302" s="9">
        <f>6.8377 * CHOOSE(CONTROL!$C$32, $C$9, 100%, $E$9)</f>
        <v>6.8376999999999999</v>
      </c>
      <c r="K302" s="9">
        <f>6.8411 * CHOOSE(CONTROL!$C$32, $C$9, 100%, $E$9)</f>
        <v>6.8411</v>
      </c>
      <c r="L302" s="9">
        <f>5.4645 * CHOOSE(CONTROL!$C$32, $C$9, 100%, $E$9)</f>
        <v>5.4645000000000001</v>
      </c>
      <c r="M302" s="9">
        <f>5.4678 * CHOOSE(CONTROL!$C$32, $C$9, 100%, $E$9)</f>
        <v>5.4678000000000004</v>
      </c>
      <c r="N302" s="9">
        <f>5.4645 * CHOOSE(CONTROL!$C$32, $C$9, 100%, $E$9)</f>
        <v>5.4645000000000001</v>
      </c>
      <c r="O302" s="9">
        <f>5.4678 * CHOOSE(CONTROL!$C$32, $C$9, 100%, $E$9)</f>
        <v>5.4678000000000004</v>
      </c>
    </row>
    <row r="303" spans="1:15" ht="15" x14ac:dyDescent="0.2">
      <c r="A303" s="15">
        <v>50072</v>
      </c>
      <c r="B303" s="10">
        <f>5.5352 * CHOOSE(CONTROL!$C$32, $C$9, 100%, $E$9)</f>
        <v>5.5351999999999997</v>
      </c>
      <c r="C303" s="10">
        <f>5.5352 * CHOOSE(CONTROL!$C$32, $C$9, 100%, $E$9)</f>
        <v>5.5351999999999997</v>
      </c>
      <c r="D303" s="10">
        <f>5.5362 * CHOOSE(CONTROL!$C$32, $C$9, 100%, $E$9)</f>
        <v>5.5362</v>
      </c>
      <c r="E303" s="9">
        <f>5.3635 * CHOOSE(CONTROL!$C$32, $C$9, 100%, $E$9)</f>
        <v>5.3635000000000002</v>
      </c>
      <c r="F303" s="9">
        <f>5.3635 * CHOOSE(CONTROL!$C$32, $C$9, 100%, $E$9)</f>
        <v>5.3635000000000002</v>
      </c>
      <c r="G303" s="9">
        <f>5.3669 * CHOOSE(CONTROL!$C$32, $C$9, 100%, $E$9)</f>
        <v>5.3669000000000002</v>
      </c>
      <c r="H303" s="9">
        <f>6.8357 * CHOOSE(CONTROL!$C$32, $C$9, 100%, $E$9)</f>
        <v>6.8357000000000001</v>
      </c>
      <c r="I303" s="9">
        <f>6.8391 * CHOOSE(CONTROL!$C$32, $C$9, 100%, $E$9)</f>
        <v>6.8391000000000002</v>
      </c>
      <c r="J303" s="9">
        <f>6.8357 * CHOOSE(CONTROL!$C$32, $C$9, 100%, $E$9)</f>
        <v>6.8357000000000001</v>
      </c>
      <c r="K303" s="9">
        <f>6.8391 * CHOOSE(CONTROL!$C$32, $C$9, 100%, $E$9)</f>
        <v>6.8391000000000002</v>
      </c>
      <c r="L303" s="9">
        <f>5.3635 * CHOOSE(CONTROL!$C$32, $C$9, 100%, $E$9)</f>
        <v>5.3635000000000002</v>
      </c>
      <c r="M303" s="9">
        <f>5.3669 * CHOOSE(CONTROL!$C$32, $C$9, 100%, $E$9)</f>
        <v>5.3669000000000002</v>
      </c>
      <c r="N303" s="9">
        <f>5.3635 * CHOOSE(CONTROL!$C$32, $C$9, 100%, $E$9)</f>
        <v>5.3635000000000002</v>
      </c>
      <c r="O303" s="9">
        <f>5.3669 * CHOOSE(CONTROL!$C$32, $C$9, 100%, $E$9)</f>
        <v>5.3669000000000002</v>
      </c>
    </row>
    <row r="304" spans="1:15" ht="15" x14ac:dyDescent="0.2">
      <c r="A304" s="15">
        <v>50100</v>
      </c>
      <c r="B304" s="10">
        <f>5.5321 * CHOOSE(CONTROL!$C$32, $C$9, 100%, $E$9)</f>
        <v>5.5320999999999998</v>
      </c>
      <c r="C304" s="10">
        <f>5.5321 * CHOOSE(CONTROL!$C$32, $C$9, 100%, $E$9)</f>
        <v>5.5320999999999998</v>
      </c>
      <c r="D304" s="10">
        <f>5.5331 * CHOOSE(CONTROL!$C$32, $C$9, 100%, $E$9)</f>
        <v>5.5331000000000001</v>
      </c>
      <c r="E304" s="9">
        <f>5.4393 * CHOOSE(CONTROL!$C$32, $C$9, 100%, $E$9)</f>
        <v>5.4393000000000002</v>
      </c>
      <c r="F304" s="9">
        <f>5.4393 * CHOOSE(CONTROL!$C$32, $C$9, 100%, $E$9)</f>
        <v>5.4393000000000002</v>
      </c>
      <c r="G304" s="9">
        <f>5.4427 * CHOOSE(CONTROL!$C$32, $C$9, 100%, $E$9)</f>
        <v>5.4427000000000003</v>
      </c>
      <c r="H304" s="9">
        <f>6.8337 * CHOOSE(CONTROL!$C$32, $C$9, 100%, $E$9)</f>
        <v>6.8337000000000003</v>
      </c>
      <c r="I304" s="9">
        <f>6.8371 * CHOOSE(CONTROL!$C$32, $C$9, 100%, $E$9)</f>
        <v>6.8371000000000004</v>
      </c>
      <c r="J304" s="9">
        <f>6.8337 * CHOOSE(CONTROL!$C$32, $C$9, 100%, $E$9)</f>
        <v>6.8337000000000003</v>
      </c>
      <c r="K304" s="9">
        <f>6.8371 * CHOOSE(CONTROL!$C$32, $C$9, 100%, $E$9)</f>
        <v>6.8371000000000004</v>
      </c>
      <c r="L304" s="9">
        <f>5.4393 * CHOOSE(CONTROL!$C$32, $C$9, 100%, $E$9)</f>
        <v>5.4393000000000002</v>
      </c>
      <c r="M304" s="9">
        <f>5.4427 * CHOOSE(CONTROL!$C$32, $C$9, 100%, $E$9)</f>
        <v>5.4427000000000003</v>
      </c>
      <c r="N304" s="9">
        <f>5.4393 * CHOOSE(CONTROL!$C$32, $C$9, 100%, $E$9)</f>
        <v>5.4393000000000002</v>
      </c>
      <c r="O304" s="9">
        <f>5.4427 * CHOOSE(CONTROL!$C$32, $C$9, 100%, $E$9)</f>
        <v>5.4427000000000003</v>
      </c>
    </row>
    <row r="305" spans="1:15" ht="15" x14ac:dyDescent="0.2">
      <c r="A305" s="15">
        <v>50131</v>
      </c>
      <c r="B305" s="10">
        <f>5.5314 * CHOOSE(CONTROL!$C$32, $C$9, 100%, $E$9)</f>
        <v>5.5313999999999997</v>
      </c>
      <c r="C305" s="10">
        <f>5.5314 * CHOOSE(CONTROL!$C$32, $C$9, 100%, $E$9)</f>
        <v>5.5313999999999997</v>
      </c>
      <c r="D305" s="10">
        <f>5.5324 * CHOOSE(CONTROL!$C$32, $C$9, 100%, $E$9)</f>
        <v>5.5324</v>
      </c>
      <c r="E305" s="9">
        <f>5.5188 * CHOOSE(CONTROL!$C$32, $C$9, 100%, $E$9)</f>
        <v>5.5187999999999997</v>
      </c>
      <c r="F305" s="9">
        <f>5.5188 * CHOOSE(CONTROL!$C$32, $C$9, 100%, $E$9)</f>
        <v>5.5187999999999997</v>
      </c>
      <c r="G305" s="9">
        <f>5.5222 * CHOOSE(CONTROL!$C$32, $C$9, 100%, $E$9)</f>
        <v>5.5221999999999998</v>
      </c>
      <c r="H305" s="9">
        <f>6.8331 * CHOOSE(CONTROL!$C$32, $C$9, 100%, $E$9)</f>
        <v>6.8331</v>
      </c>
      <c r="I305" s="9">
        <f>6.8364 * CHOOSE(CONTROL!$C$32, $C$9, 100%, $E$9)</f>
        <v>6.8364000000000003</v>
      </c>
      <c r="J305" s="9">
        <f>6.8331 * CHOOSE(CONTROL!$C$32, $C$9, 100%, $E$9)</f>
        <v>6.8331</v>
      </c>
      <c r="K305" s="9">
        <f>6.8364 * CHOOSE(CONTROL!$C$32, $C$9, 100%, $E$9)</f>
        <v>6.8364000000000003</v>
      </c>
      <c r="L305" s="9">
        <f>5.5188 * CHOOSE(CONTROL!$C$32, $C$9, 100%, $E$9)</f>
        <v>5.5187999999999997</v>
      </c>
      <c r="M305" s="9">
        <f>5.5222 * CHOOSE(CONTROL!$C$32, $C$9, 100%, $E$9)</f>
        <v>5.5221999999999998</v>
      </c>
      <c r="N305" s="9">
        <f>5.5188 * CHOOSE(CONTROL!$C$32, $C$9, 100%, $E$9)</f>
        <v>5.5187999999999997</v>
      </c>
      <c r="O305" s="9">
        <f>5.5222 * CHOOSE(CONTROL!$C$32, $C$9, 100%, $E$9)</f>
        <v>5.5221999999999998</v>
      </c>
    </row>
    <row r="306" spans="1:15" ht="15" x14ac:dyDescent="0.2">
      <c r="A306" s="15">
        <v>50161</v>
      </c>
      <c r="B306" s="10">
        <f>5.5314 * CHOOSE(CONTROL!$C$32, $C$9, 100%, $E$9)</f>
        <v>5.5313999999999997</v>
      </c>
      <c r="C306" s="10">
        <f>5.5314 * CHOOSE(CONTROL!$C$32, $C$9, 100%, $E$9)</f>
        <v>5.5313999999999997</v>
      </c>
      <c r="D306" s="10">
        <f>5.5327 * CHOOSE(CONTROL!$C$32, $C$9, 100%, $E$9)</f>
        <v>5.5327000000000002</v>
      </c>
      <c r="E306" s="9">
        <f>5.5502 * CHOOSE(CONTROL!$C$32, $C$9, 100%, $E$9)</f>
        <v>5.5502000000000002</v>
      </c>
      <c r="F306" s="9">
        <f>5.5502 * CHOOSE(CONTROL!$C$32, $C$9, 100%, $E$9)</f>
        <v>5.5502000000000002</v>
      </c>
      <c r="G306" s="9">
        <f>5.5545 * CHOOSE(CONTROL!$C$32, $C$9, 100%, $E$9)</f>
        <v>5.5545</v>
      </c>
      <c r="H306" s="9">
        <f>6.8331 * CHOOSE(CONTROL!$C$32, $C$9, 100%, $E$9)</f>
        <v>6.8331</v>
      </c>
      <c r="I306" s="9">
        <f>6.8374 * CHOOSE(CONTROL!$C$32, $C$9, 100%, $E$9)</f>
        <v>6.8373999999999997</v>
      </c>
      <c r="J306" s="9">
        <f>6.8331 * CHOOSE(CONTROL!$C$32, $C$9, 100%, $E$9)</f>
        <v>6.8331</v>
      </c>
      <c r="K306" s="9">
        <f>6.8374 * CHOOSE(CONTROL!$C$32, $C$9, 100%, $E$9)</f>
        <v>6.8373999999999997</v>
      </c>
      <c r="L306" s="9">
        <f>5.5502 * CHOOSE(CONTROL!$C$32, $C$9, 100%, $E$9)</f>
        <v>5.5502000000000002</v>
      </c>
      <c r="M306" s="9">
        <f>5.5545 * CHOOSE(CONTROL!$C$32, $C$9, 100%, $E$9)</f>
        <v>5.5545</v>
      </c>
      <c r="N306" s="9">
        <f>5.5502 * CHOOSE(CONTROL!$C$32, $C$9, 100%, $E$9)</f>
        <v>5.5502000000000002</v>
      </c>
      <c r="O306" s="9">
        <f>5.5545 * CHOOSE(CONTROL!$C$32, $C$9, 100%, $E$9)</f>
        <v>5.5545</v>
      </c>
    </row>
    <row r="307" spans="1:15" ht="15" x14ac:dyDescent="0.2">
      <c r="A307" s="15">
        <v>50192</v>
      </c>
      <c r="B307" s="10">
        <f>5.5375 * CHOOSE(CONTROL!$C$32, $C$9, 100%, $E$9)</f>
        <v>5.5374999999999996</v>
      </c>
      <c r="C307" s="10">
        <f>5.5375 * CHOOSE(CONTROL!$C$32, $C$9, 100%, $E$9)</f>
        <v>5.5374999999999996</v>
      </c>
      <c r="D307" s="10">
        <f>5.5388 * CHOOSE(CONTROL!$C$32, $C$9, 100%, $E$9)</f>
        <v>5.5388000000000002</v>
      </c>
      <c r="E307" s="9">
        <f>5.523 * CHOOSE(CONTROL!$C$32, $C$9, 100%, $E$9)</f>
        <v>5.5229999999999997</v>
      </c>
      <c r="F307" s="9">
        <f>5.523 * CHOOSE(CONTROL!$C$32, $C$9, 100%, $E$9)</f>
        <v>5.5229999999999997</v>
      </c>
      <c r="G307" s="9">
        <f>5.5274 * CHOOSE(CONTROL!$C$32, $C$9, 100%, $E$9)</f>
        <v>5.5274000000000001</v>
      </c>
      <c r="H307" s="9">
        <f>6.8371 * CHOOSE(CONTROL!$C$32, $C$9, 100%, $E$9)</f>
        <v>6.8371000000000004</v>
      </c>
      <c r="I307" s="9">
        <f>6.8414 * CHOOSE(CONTROL!$C$32, $C$9, 100%, $E$9)</f>
        <v>6.8414000000000001</v>
      </c>
      <c r="J307" s="9">
        <f>6.8371 * CHOOSE(CONTROL!$C$32, $C$9, 100%, $E$9)</f>
        <v>6.8371000000000004</v>
      </c>
      <c r="K307" s="9">
        <f>6.8414 * CHOOSE(CONTROL!$C$32, $C$9, 100%, $E$9)</f>
        <v>6.8414000000000001</v>
      </c>
      <c r="L307" s="9">
        <f>5.523 * CHOOSE(CONTROL!$C$32, $C$9, 100%, $E$9)</f>
        <v>5.5229999999999997</v>
      </c>
      <c r="M307" s="9">
        <f>5.5274 * CHOOSE(CONTROL!$C$32, $C$9, 100%, $E$9)</f>
        <v>5.5274000000000001</v>
      </c>
      <c r="N307" s="9">
        <f>5.523 * CHOOSE(CONTROL!$C$32, $C$9, 100%, $E$9)</f>
        <v>5.5229999999999997</v>
      </c>
      <c r="O307" s="9">
        <f>5.5274 * CHOOSE(CONTROL!$C$32, $C$9, 100%, $E$9)</f>
        <v>5.5274000000000001</v>
      </c>
    </row>
    <row r="308" spans="1:15" ht="15" x14ac:dyDescent="0.2">
      <c r="A308" s="15">
        <v>50222</v>
      </c>
      <c r="B308" s="10">
        <f>5.6223 * CHOOSE(CONTROL!$C$32, $C$9, 100%, $E$9)</f>
        <v>5.6223000000000001</v>
      </c>
      <c r="C308" s="10">
        <f>5.6223 * CHOOSE(CONTROL!$C$32, $C$9, 100%, $E$9)</f>
        <v>5.6223000000000001</v>
      </c>
      <c r="D308" s="10">
        <f>5.6236 * CHOOSE(CONTROL!$C$32, $C$9, 100%, $E$9)</f>
        <v>5.6235999999999997</v>
      </c>
      <c r="E308" s="9">
        <f>5.5852 * CHOOSE(CONTROL!$C$32, $C$9, 100%, $E$9)</f>
        <v>5.5852000000000004</v>
      </c>
      <c r="F308" s="9">
        <f>5.5852 * CHOOSE(CONTROL!$C$32, $C$9, 100%, $E$9)</f>
        <v>5.5852000000000004</v>
      </c>
      <c r="G308" s="9">
        <f>5.5895 * CHOOSE(CONTROL!$C$32, $C$9, 100%, $E$9)</f>
        <v>5.5895000000000001</v>
      </c>
      <c r="H308" s="9">
        <f>6.944 * CHOOSE(CONTROL!$C$32, $C$9, 100%, $E$9)</f>
        <v>6.944</v>
      </c>
      <c r="I308" s="9">
        <f>6.9484 * CHOOSE(CONTROL!$C$32, $C$9, 100%, $E$9)</f>
        <v>6.9484000000000004</v>
      </c>
      <c r="J308" s="9">
        <f>6.944 * CHOOSE(CONTROL!$C$32, $C$9, 100%, $E$9)</f>
        <v>6.944</v>
      </c>
      <c r="K308" s="9">
        <f>6.9484 * CHOOSE(CONTROL!$C$32, $C$9, 100%, $E$9)</f>
        <v>6.9484000000000004</v>
      </c>
      <c r="L308" s="9">
        <f>5.5852 * CHOOSE(CONTROL!$C$32, $C$9, 100%, $E$9)</f>
        <v>5.5852000000000004</v>
      </c>
      <c r="M308" s="9">
        <f>5.5895 * CHOOSE(CONTROL!$C$32, $C$9, 100%, $E$9)</f>
        <v>5.5895000000000001</v>
      </c>
      <c r="N308" s="9">
        <f>5.5852 * CHOOSE(CONTROL!$C$32, $C$9, 100%, $E$9)</f>
        <v>5.5852000000000004</v>
      </c>
      <c r="O308" s="9">
        <f>5.5895 * CHOOSE(CONTROL!$C$32, $C$9, 100%, $E$9)</f>
        <v>5.5895000000000001</v>
      </c>
    </row>
    <row r="309" spans="1:15" ht="15" x14ac:dyDescent="0.2">
      <c r="A309" s="15">
        <v>50253</v>
      </c>
      <c r="B309" s="10">
        <f>5.629 * CHOOSE(CONTROL!$C$32, $C$9, 100%, $E$9)</f>
        <v>5.6289999999999996</v>
      </c>
      <c r="C309" s="10">
        <f>5.629 * CHOOSE(CONTROL!$C$32, $C$9, 100%, $E$9)</f>
        <v>5.6289999999999996</v>
      </c>
      <c r="D309" s="10">
        <f>5.6303 * CHOOSE(CONTROL!$C$32, $C$9, 100%, $E$9)</f>
        <v>5.6303000000000001</v>
      </c>
      <c r="E309" s="9">
        <f>5.4957 * CHOOSE(CONTROL!$C$32, $C$9, 100%, $E$9)</f>
        <v>5.4957000000000003</v>
      </c>
      <c r="F309" s="9">
        <f>5.4957 * CHOOSE(CONTROL!$C$32, $C$9, 100%, $E$9)</f>
        <v>5.4957000000000003</v>
      </c>
      <c r="G309" s="9">
        <f>5.5 * CHOOSE(CONTROL!$C$32, $C$9, 100%, $E$9)</f>
        <v>5.5</v>
      </c>
      <c r="H309" s="9">
        <f>6.9484 * CHOOSE(CONTROL!$C$32, $C$9, 100%, $E$9)</f>
        <v>6.9484000000000004</v>
      </c>
      <c r="I309" s="9">
        <f>6.9528 * CHOOSE(CONTROL!$C$32, $C$9, 100%, $E$9)</f>
        <v>6.9527999999999999</v>
      </c>
      <c r="J309" s="9">
        <f>6.9484 * CHOOSE(CONTROL!$C$32, $C$9, 100%, $E$9)</f>
        <v>6.9484000000000004</v>
      </c>
      <c r="K309" s="9">
        <f>6.9528 * CHOOSE(CONTROL!$C$32, $C$9, 100%, $E$9)</f>
        <v>6.9527999999999999</v>
      </c>
      <c r="L309" s="9">
        <f>5.4957 * CHOOSE(CONTROL!$C$32, $C$9, 100%, $E$9)</f>
        <v>5.4957000000000003</v>
      </c>
      <c r="M309" s="9">
        <f>5.5 * CHOOSE(CONTROL!$C$32, $C$9, 100%, $E$9)</f>
        <v>5.5</v>
      </c>
      <c r="N309" s="9">
        <f>5.4957 * CHOOSE(CONTROL!$C$32, $C$9, 100%, $E$9)</f>
        <v>5.4957000000000003</v>
      </c>
      <c r="O309" s="9">
        <f>5.5 * CHOOSE(CONTROL!$C$32, $C$9, 100%, $E$9)</f>
        <v>5.5</v>
      </c>
    </row>
    <row r="310" spans="1:15" ht="15" x14ac:dyDescent="0.2">
      <c r="A310" s="15">
        <v>50284</v>
      </c>
      <c r="B310" s="10">
        <f>5.626 * CHOOSE(CONTROL!$C$32, $C$9, 100%, $E$9)</f>
        <v>5.6260000000000003</v>
      </c>
      <c r="C310" s="10">
        <f>5.626 * CHOOSE(CONTROL!$C$32, $C$9, 100%, $E$9)</f>
        <v>5.6260000000000003</v>
      </c>
      <c r="D310" s="10">
        <f>5.6273 * CHOOSE(CONTROL!$C$32, $C$9, 100%, $E$9)</f>
        <v>5.6273</v>
      </c>
      <c r="E310" s="9">
        <f>5.4831 * CHOOSE(CONTROL!$C$32, $C$9, 100%, $E$9)</f>
        <v>5.4831000000000003</v>
      </c>
      <c r="F310" s="9">
        <f>5.4831 * CHOOSE(CONTROL!$C$32, $C$9, 100%, $E$9)</f>
        <v>5.4831000000000003</v>
      </c>
      <c r="G310" s="9">
        <f>5.4874 * CHOOSE(CONTROL!$C$32, $C$9, 100%, $E$9)</f>
        <v>5.4874000000000001</v>
      </c>
      <c r="H310" s="9">
        <f>6.9464 * CHOOSE(CONTROL!$C$32, $C$9, 100%, $E$9)</f>
        <v>6.9463999999999997</v>
      </c>
      <c r="I310" s="9">
        <f>6.9508 * CHOOSE(CONTROL!$C$32, $C$9, 100%, $E$9)</f>
        <v>6.9508000000000001</v>
      </c>
      <c r="J310" s="9">
        <f>6.9464 * CHOOSE(CONTROL!$C$32, $C$9, 100%, $E$9)</f>
        <v>6.9463999999999997</v>
      </c>
      <c r="K310" s="9">
        <f>6.9508 * CHOOSE(CONTROL!$C$32, $C$9, 100%, $E$9)</f>
        <v>6.9508000000000001</v>
      </c>
      <c r="L310" s="9">
        <f>5.4831 * CHOOSE(CONTROL!$C$32, $C$9, 100%, $E$9)</f>
        <v>5.4831000000000003</v>
      </c>
      <c r="M310" s="9">
        <f>5.4874 * CHOOSE(CONTROL!$C$32, $C$9, 100%, $E$9)</f>
        <v>5.4874000000000001</v>
      </c>
      <c r="N310" s="9">
        <f>5.4831 * CHOOSE(CONTROL!$C$32, $C$9, 100%, $E$9)</f>
        <v>5.4831000000000003</v>
      </c>
      <c r="O310" s="9">
        <f>5.4874 * CHOOSE(CONTROL!$C$32, $C$9, 100%, $E$9)</f>
        <v>5.4874000000000001</v>
      </c>
    </row>
    <row r="311" spans="1:15" ht="15" x14ac:dyDescent="0.2">
      <c r="A311" s="15">
        <v>50314</v>
      </c>
      <c r="B311" s="10">
        <f>5.6278 * CHOOSE(CONTROL!$C$32, $C$9, 100%, $E$9)</f>
        <v>5.6277999999999997</v>
      </c>
      <c r="C311" s="10">
        <f>5.6278 * CHOOSE(CONTROL!$C$32, $C$9, 100%, $E$9)</f>
        <v>5.6277999999999997</v>
      </c>
      <c r="D311" s="10">
        <f>5.6288 * CHOOSE(CONTROL!$C$32, $C$9, 100%, $E$9)</f>
        <v>5.6288</v>
      </c>
      <c r="E311" s="9">
        <f>5.5115 * CHOOSE(CONTROL!$C$32, $C$9, 100%, $E$9)</f>
        <v>5.5114999999999998</v>
      </c>
      <c r="F311" s="9">
        <f>5.5115 * CHOOSE(CONTROL!$C$32, $C$9, 100%, $E$9)</f>
        <v>5.5114999999999998</v>
      </c>
      <c r="G311" s="9">
        <f>5.5149 * CHOOSE(CONTROL!$C$32, $C$9, 100%, $E$9)</f>
        <v>5.5148999999999999</v>
      </c>
      <c r="H311" s="9">
        <f>6.9468 * CHOOSE(CONTROL!$C$32, $C$9, 100%, $E$9)</f>
        <v>6.9467999999999996</v>
      </c>
      <c r="I311" s="9">
        <f>6.9502 * CHOOSE(CONTROL!$C$32, $C$9, 100%, $E$9)</f>
        <v>6.9501999999999997</v>
      </c>
      <c r="J311" s="9">
        <f>6.9468 * CHOOSE(CONTROL!$C$32, $C$9, 100%, $E$9)</f>
        <v>6.9467999999999996</v>
      </c>
      <c r="K311" s="9">
        <f>6.9502 * CHOOSE(CONTROL!$C$32, $C$9, 100%, $E$9)</f>
        <v>6.9501999999999997</v>
      </c>
      <c r="L311" s="9">
        <f>5.5115 * CHOOSE(CONTROL!$C$32, $C$9, 100%, $E$9)</f>
        <v>5.5114999999999998</v>
      </c>
      <c r="M311" s="9">
        <f>5.5149 * CHOOSE(CONTROL!$C$32, $C$9, 100%, $E$9)</f>
        <v>5.5148999999999999</v>
      </c>
      <c r="N311" s="9">
        <f>5.5115 * CHOOSE(CONTROL!$C$32, $C$9, 100%, $E$9)</f>
        <v>5.5114999999999998</v>
      </c>
      <c r="O311" s="9">
        <f>5.5149 * CHOOSE(CONTROL!$C$32, $C$9, 100%, $E$9)</f>
        <v>5.5148999999999999</v>
      </c>
    </row>
    <row r="312" spans="1:15" ht="15" x14ac:dyDescent="0.2">
      <c r="A312" s="15">
        <v>50345</v>
      </c>
      <c r="B312" s="10">
        <f>5.6308 * CHOOSE(CONTROL!$C$32, $C$9, 100%, $E$9)</f>
        <v>5.6307999999999998</v>
      </c>
      <c r="C312" s="10">
        <f>5.6308 * CHOOSE(CONTROL!$C$32, $C$9, 100%, $E$9)</f>
        <v>5.6307999999999998</v>
      </c>
      <c r="D312" s="10">
        <f>5.6318 * CHOOSE(CONTROL!$C$32, $C$9, 100%, $E$9)</f>
        <v>5.6318000000000001</v>
      </c>
      <c r="E312" s="9">
        <f>5.5346 * CHOOSE(CONTROL!$C$32, $C$9, 100%, $E$9)</f>
        <v>5.5346000000000002</v>
      </c>
      <c r="F312" s="9">
        <f>5.5346 * CHOOSE(CONTROL!$C$32, $C$9, 100%, $E$9)</f>
        <v>5.5346000000000002</v>
      </c>
      <c r="G312" s="9">
        <f>5.538 * CHOOSE(CONTROL!$C$32, $C$9, 100%, $E$9)</f>
        <v>5.5380000000000003</v>
      </c>
      <c r="H312" s="9">
        <f>6.9488 * CHOOSE(CONTROL!$C$32, $C$9, 100%, $E$9)</f>
        <v>6.9488000000000003</v>
      </c>
      <c r="I312" s="9">
        <f>6.9522 * CHOOSE(CONTROL!$C$32, $C$9, 100%, $E$9)</f>
        <v>6.9522000000000004</v>
      </c>
      <c r="J312" s="9">
        <f>6.9488 * CHOOSE(CONTROL!$C$32, $C$9, 100%, $E$9)</f>
        <v>6.9488000000000003</v>
      </c>
      <c r="K312" s="9">
        <f>6.9522 * CHOOSE(CONTROL!$C$32, $C$9, 100%, $E$9)</f>
        <v>6.9522000000000004</v>
      </c>
      <c r="L312" s="9">
        <f>5.5346 * CHOOSE(CONTROL!$C$32, $C$9, 100%, $E$9)</f>
        <v>5.5346000000000002</v>
      </c>
      <c r="M312" s="9">
        <f>5.538 * CHOOSE(CONTROL!$C$32, $C$9, 100%, $E$9)</f>
        <v>5.5380000000000003</v>
      </c>
      <c r="N312" s="9">
        <f>5.5346 * CHOOSE(CONTROL!$C$32, $C$9, 100%, $E$9)</f>
        <v>5.5346000000000002</v>
      </c>
      <c r="O312" s="9">
        <f>5.538 * CHOOSE(CONTROL!$C$32, $C$9, 100%, $E$9)</f>
        <v>5.5380000000000003</v>
      </c>
    </row>
    <row r="313" spans="1:15" ht="15" x14ac:dyDescent="0.2">
      <c r="A313" s="15">
        <v>50375</v>
      </c>
      <c r="B313" s="10">
        <f>5.6308 * CHOOSE(CONTROL!$C$32, $C$9, 100%, $E$9)</f>
        <v>5.6307999999999998</v>
      </c>
      <c r="C313" s="10">
        <f>5.6308 * CHOOSE(CONTROL!$C$32, $C$9, 100%, $E$9)</f>
        <v>5.6307999999999998</v>
      </c>
      <c r="D313" s="10">
        <f>5.6318 * CHOOSE(CONTROL!$C$32, $C$9, 100%, $E$9)</f>
        <v>5.6318000000000001</v>
      </c>
      <c r="E313" s="9">
        <f>5.4823 * CHOOSE(CONTROL!$C$32, $C$9, 100%, $E$9)</f>
        <v>5.4823000000000004</v>
      </c>
      <c r="F313" s="9">
        <f>5.4823 * CHOOSE(CONTROL!$C$32, $C$9, 100%, $E$9)</f>
        <v>5.4823000000000004</v>
      </c>
      <c r="G313" s="9">
        <f>5.4856 * CHOOSE(CONTROL!$C$32, $C$9, 100%, $E$9)</f>
        <v>5.4855999999999998</v>
      </c>
      <c r="H313" s="9">
        <f>6.9488 * CHOOSE(CONTROL!$C$32, $C$9, 100%, $E$9)</f>
        <v>6.9488000000000003</v>
      </c>
      <c r="I313" s="9">
        <f>6.9522 * CHOOSE(CONTROL!$C$32, $C$9, 100%, $E$9)</f>
        <v>6.9522000000000004</v>
      </c>
      <c r="J313" s="9">
        <f>6.9488 * CHOOSE(CONTROL!$C$32, $C$9, 100%, $E$9)</f>
        <v>6.9488000000000003</v>
      </c>
      <c r="K313" s="9">
        <f>6.9522 * CHOOSE(CONTROL!$C$32, $C$9, 100%, $E$9)</f>
        <v>6.9522000000000004</v>
      </c>
      <c r="L313" s="9">
        <f>5.4823 * CHOOSE(CONTROL!$C$32, $C$9, 100%, $E$9)</f>
        <v>5.4823000000000004</v>
      </c>
      <c r="M313" s="9">
        <f>5.4856 * CHOOSE(CONTROL!$C$32, $C$9, 100%, $E$9)</f>
        <v>5.4855999999999998</v>
      </c>
      <c r="N313" s="9">
        <f>5.4823 * CHOOSE(CONTROL!$C$32, $C$9, 100%, $E$9)</f>
        <v>5.4823000000000004</v>
      </c>
      <c r="O313" s="9">
        <f>5.4856 * CHOOSE(CONTROL!$C$32, $C$9, 100%, $E$9)</f>
        <v>5.4855999999999998</v>
      </c>
    </row>
    <row r="314" spans="1:15" ht="15.75" x14ac:dyDescent="0.25">
      <c r="A314" s="14">
        <v>50436</v>
      </c>
      <c r="B314" s="10">
        <f>5.6787 * CHOOSE(CONTROL!$C$32, $C$9, 100%, $E$9)</f>
        <v>5.6787000000000001</v>
      </c>
      <c r="C314" s="10">
        <f>5.6787 * CHOOSE(CONTROL!$C$32, $C$9, 100%, $E$9)</f>
        <v>5.6787000000000001</v>
      </c>
      <c r="D314" s="10">
        <f>5.6798 * CHOOSE(CONTROL!$C$32, $C$9, 100%, $E$9)</f>
        <v>5.6798000000000002</v>
      </c>
      <c r="E314" s="9">
        <f>5.5584 * CHOOSE(CONTROL!$C$32, $C$9, 100%, $E$9)</f>
        <v>5.5583999999999998</v>
      </c>
      <c r="F314" s="9">
        <f>5.5584 * CHOOSE(CONTROL!$C$32, $C$9, 100%, $E$9)</f>
        <v>5.5583999999999998</v>
      </c>
      <c r="G314" s="9">
        <f>5.5617 * CHOOSE(CONTROL!$C$32, $C$9, 100%, $E$9)</f>
        <v>5.5617000000000001</v>
      </c>
      <c r="H314" s="9">
        <f>7.001 * CHOOSE(CONTROL!$C$32, $C$9, 100%, $E$9)</f>
        <v>7.0010000000000003</v>
      </c>
      <c r="I314" s="9">
        <f>7.0044 * CHOOSE(CONTROL!$C$32, $C$9, 100%, $E$9)</f>
        <v>7.0044000000000004</v>
      </c>
      <c r="J314" s="9">
        <f>7.001 * CHOOSE(CONTROL!$C$32, $C$9, 100%, $E$9)</f>
        <v>7.0010000000000003</v>
      </c>
      <c r="K314" s="9">
        <f>7.0044 * CHOOSE(CONTROL!$C$32, $C$9, 100%, $E$9)</f>
        <v>7.0044000000000004</v>
      </c>
      <c r="L314" s="9">
        <f>5.5584 * CHOOSE(CONTROL!$C$32, $C$9, 100%, $E$9)</f>
        <v>5.5583999999999998</v>
      </c>
      <c r="M314" s="9">
        <f>5.5617 * CHOOSE(CONTROL!$C$32, $C$9, 100%, $E$9)</f>
        <v>5.5617000000000001</v>
      </c>
      <c r="N314" s="9">
        <f>5.5584 * CHOOSE(CONTROL!$C$32, $C$9, 100%, $E$9)</f>
        <v>5.5583999999999998</v>
      </c>
      <c r="O314" s="9">
        <f>5.5617 * CHOOSE(CONTROL!$C$32, $C$9, 100%, $E$9)</f>
        <v>5.5617000000000001</v>
      </c>
    </row>
    <row r="315" spans="1:15" ht="15.75" x14ac:dyDescent="0.25">
      <c r="A315" s="14">
        <v>50464</v>
      </c>
      <c r="B315" s="10">
        <f>5.6757 * CHOOSE(CONTROL!$C$32, $C$9, 100%, $E$9)</f>
        <v>5.6757</v>
      </c>
      <c r="C315" s="10">
        <f>5.6757 * CHOOSE(CONTROL!$C$32, $C$9, 100%, $E$9)</f>
        <v>5.6757</v>
      </c>
      <c r="D315" s="10">
        <f>5.6767 * CHOOSE(CONTROL!$C$32, $C$9, 100%, $E$9)</f>
        <v>5.6767000000000003</v>
      </c>
      <c r="E315" s="9">
        <f>5.4544 * CHOOSE(CONTROL!$C$32, $C$9, 100%, $E$9)</f>
        <v>5.4543999999999997</v>
      </c>
      <c r="F315" s="9">
        <f>5.4544 * CHOOSE(CONTROL!$C$32, $C$9, 100%, $E$9)</f>
        <v>5.4543999999999997</v>
      </c>
      <c r="G315" s="9">
        <f>5.4578 * CHOOSE(CONTROL!$C$32, $C$9, 100%, $E$9)</f>
        <v>5.4577999999999998</v>
      </c>
      <c r="H315" s="9">
        <f>6.999 * CHOOSE(CONTROL!$C$32, $C$9, 100%, $E$9)</f>
        <v>6.9989999999999997</v>
      </c>
      <c r="I315" s="9">
        <f>7.0024 * CHOOSE(CONTROL!$C$32, $C$9, 100%, $E$9)</f>
        <v>7.0023999999999997</v>
      </c>
      <c r="J315" s="9">
        <f>6.999 * CHOOSE(CONTROL!$C$32, $C$9, 100%, $E$9)</f>
        <v>6.9989999999999997</v>
      </c>
      <c r="K315" s="9">
        <f>7.0024 * CHOOSE(CONTROL!$C$32, $C$9, 100%, $E$9)</f>
        <v>7.0023999999999997</v>
      </c>
      <c r="L315" s="9">
        <f>5.4544 * CHOOSE(CONTROL!$C$32, $C$9, 100%, $E$9)</f>
        <v>5.4543999999999997</v>
      </c>
      <c r="M315" s="9">
        <f>5.4578 * CHOOSE(CONTROL!$C$32, $C$9, 100%, $E$9)</f>
        <v>5.4577999999999998</v>
      </c>
      <c r="N315" s="9">
        <f>5.4544 * CHOOSE(CONTROL!$C$32, $C$9, 100%, $E$9)</f>
        <v>5.4543999999999997</v>
      </c>
      <c r="O315" s="9">
        <f>5.4578 * CHOOSE(CONTROL!$C$32, $C$9, 100%, $E$9)</f>
        <v>5.4577999999999998</v>
      </c>
    </row>
    <row r="316" spans="1:15" ht="15.75" x14ac:dyDescent="0.25">
      <c r="A316" s="14">
        <v>50495</v>
      </c>
      <c r="B316" s="10">
        <f>5.6727 * CHOOSE(CONTROL!$C$32, $C$9, 100%, $E$9)</f>
        <v>5.6726999999999999</v>
      </c>
      <c r="C316" s="10">
        <f>5.6727 * CHOOSE(CONTROL!$C$32, $C$9, 100%, $E$9)</f>
        <v>5.6726999999999999</v>
      </c>
      <c r="D316" s="10">
        <f>5.6737 * CHOOSE(CONTROL!$C$32, $C$9, 100%, $E$9)</f>
        <v>5.6737000000000002</v>
      </c>
      <c r="E316" s="9">
        <f>5.5326 * CHOOSE(CONTROL!$C$32, $C$9, 100%, $E$9)</f>
        <v>5.5326000000000004</v>
      </c>
      <c r="F316" s="9">
        <f>5.5326 * CHOOSE(CONTROL!$C$32, $C$9, 100%, $E$9)</f>
        <v>5.5326000000000004</v>
      </c>
      <c r="G316" s="9">
        <f>5.5359 * CHOOSE(CONTROL!$C$32, $C$9, 100%, $E$9)</f>
        <v>5.5358999999999998</v>
      </c>
      <c r="H316" s="9">
        <f>6.997 * CHOOSE(CONTROL!$C$32, $C$9, 100%, $E$9)</f>
        <v>6.9969999999999999</v>
      </c>
      <c r="I316" s="9">
        <f>7.0004 * CHOOSE(CONTROL!$C$32, $C$9, 100%, $E$9)</f>
        <v>7.0004</v>
      </c>
      <c r="J316" s="9">
        <f>6.997 * CHOOSE(CONTROL!$C$32, $C$9, 100%, $E$9)</f>
        <v>6.9969999999999999</v>
      </c>
      <c r="K316" s="9">
        <f>7.0004 * CHOOSE(CONTROL!$C$32, $C$9, 100%, $E$9)</f>
        <v>7.0004</v>
      </c>
      <c r="L316" s="9">
        <f>5.5326 * CHOOSE(CONTROL!$C$32, $C$9, 100%, $E$9)</f>
        <v>5.5326000000000004</v>
      </c>
      <c r="M316" s="9">
        <f>5.5359 * CHOOSE(CONTROL!$C$32, $C$9, 100%, $E$9)</f>
        <v>5.5358999999999998</v>
      </c>
      <c r="N316" s="9">
        <f>5.5326 * CHOOSE(CONTROL!$C$32, $C$9, 100%, $E$9)</f>
        <v>5.5326000000000004</v>
      </c>
      <c r="O316" s="9">
        <f>5.5359 * CHOOSE(CONTROL!$C$32, $C$9, 100%, $E$9)</f>
        <v>5.5358999999999998</v>
      </c>
    </row>
    <row r="317" spans="1:15" ht="15.75" x14ac:dyDescent="0.25">
      <c r="A317" s="14">
        <v>50525</v>
      </c>
      <c r="B317" s="10">
        <f>5.6721 * CHOOSE(CONTROL!$C$32, $C$9, 100%, $E$9)</f>
        <v>5.6721000000000004</v>
      </c>
      <c r="C317" s="10">
        <f>5.6721 * CHOOSE(CONTROL!$C$32, $C$9, 100%, $E$9)</f>
        <v>5.6721000000000004</v>
      </c>
      <c r="D317" s="10">
        <f>5.6731 * CHOOSE(CONTROL!$C$32, $C$9, 100%, $E$9)</f>
        <v>5.6730999999999998</v>
      </c>
      <c r="E317" s="9">
        <f>5.6145 * CHOOSE(CONTROL!$C$32, $C$9, 100%, $E$9)</f>
        <v>5.6144999999999996</v>
      </c>
      <c r="F317" s="9">
        <f>5.6145 * CHOOSE(CONTROL!$C$32, $C$9, 100%, $E$9)</f>
        <v>5.6144999999999996</v>
      </c>
      <c r="G317" s="9">
        <f>5.6179 * CHOOSE(CONTROL!$C$32, $C$9, 100%, $E$9)</f>
        <v>5.6178999999999997</v>
      </c>
      <c r="H317" s="9">
        <f>6.9965 * CHOOSE(CONTROL!$C$32, $C$9, 100%, $E$9)</f>
        <v>6.9965000000000002</v>
      </c>
      <c r="I317" s="9">
        <f>6.9999 * CHOOSE(CONTROL!$C$32, $C$9, 100%, $E$9)</f>
        <v>6.9999000000000002</v>
      </c>
      <c r="J317" s="9">
        <f>6.9965 * CHOOSE(CONTROL!$C$32, $C$9, 100%, $E$9)</f>
        <v>6.9965000000000002</v>
      </c>
      <c r="K317" s="9">
        <f>6.9999 * CHOOSE(CONTROL!$C$32, $C$9, 100%, $E$9)</f>
        <v>6.9999000000000002</v>
      </c>
      <c r="L317" s="9">
        <f>5.6145 * CHOOSE(CONTROL!$C$32, $C$9, 100%, $E$9)</f>
        <v>5.6144999999999996</v>
      </c>
      <c r="M317" s="9">
        <f>5.6179 * CHOOSE(CONTROL!$C$32, $C$9, 100%, $E$9)</f>
        <v>5.6178999999999997</v>
      </c>
      <c r="N317" s="9">
        <f>5.6145 * CHOOSE(CONTROL!$C$32, $C$9, 100%, $E$9)</f>
        <v>5.6144999999999996</v>
      </c>
      <c r="O317" s="9">
        <f>5.6179 * CHOOSE(CONTROL!$C$32, $C$9, 100%, $E$9)</f>
        <v>5.6178999999999997</v>
      </c>
    </row>
    <row r="318" spans="1:15" ht="15.75" x14ac:dyDescent="0.25">
      <c r="A318" s="14">
        <v>50556</v>
      </c>
      <c r="B318" s="10">
        <f>5.6721 * CHOOSE(CONTROL!$C$32, $C$9, 100%, $E$9)</f>
        <v>5.6721000000000004</v>
      </c>
      <c r="C318" s="10">
        <f>5.6721 * CHOOSE(CONTROL!$C$32, $C$9, 100%, $E$9)</f>
        <v>5.6721000000000004</v>
      </c>
      <c r="D318" s="10">
        <f>5.6734 * CHOOSE(CONTROL!$C$32, $C$9, 100%, $E$9)</f>
        <v>5.6734</v>
      </c>
      <c r="E318" s="9">
        <f>5.6469 * CHOOSE(CONTROL!$C$32, $C$9, 100%, $E$9)</f>
        <v>5.6468999999999996</v>
      </c>
      <c r="F318" s="9">
        <f>5.6469 * CHOOSE(CONTROL!$C$32, $C$9, 100%, $E$9)</f>
        <v>5.6468999999999996</v>
      </c>
      <c r="G318" s="9">
        <f>5.6512 * CHOOSE(CONTROL!$C$32, $C$9, 100%, $E$9)</f>
        <v>5.6512000000000002</v>
      </c>
      <c r="H318" s="9">
        <f>6.9965 * CHOOSE(CONTROL!$C$32, $C$9, 100%, $E$9)</f>
        <v>6.9965000000000002</v>
      </c>
      <c r="I318" s="9">
        <f>7.0008 * CHOOSE(CONTROL!$C$32, $C$9, 100%, $E$9)</f>
        <v>7.0007999999999999</v>
      </c>
      <c r="J318" s="9">
        <f>6.9965 * CHOOSE(CONTROL!$C$32, $C$9, 100%, $E$9)</f>
        <v>6.9965000000000002</v>
      </c>
      <c r="K318" s="9">
        <f>7.0008 * CHOOSE(CONTROL!$C$32, $C$9, 100%, $E$9)</f>
        <v>7.0007999999999999</v>
      </c>
      <c r="L318" s="9">
        <f>5.6469 * CHOOSE(CONTROL!$C$32, $C$9, 100%, $E$9)</f>
        <v>5.6468999999999996</v>
      </c>
      <c r="M318" s="9">
        <f>5.6512 * CHOOSE(CONTROL!$C$32, $C$9, 100%, $E$9)</f>
        <v>5.6512000000000002</v>
      </c>
      <c r="N318" s="9">
        <f>5.6469 * CHOOSE(CONTROL!$C$32, $C$9, 100%, $E$9)</f>
        <v>5.6468999999999996</v>
      </c>
      <c r="O318" s="9">
        <f>5.6512 * CHOOSE(CONTROL!$C$32, $C$9, 100%, $E$9)</f>
        <v>5.6512000000000002</v>
      </c>
    </row>
    <row r="319" spans="1:15" ht="15.75" x14ac:dyDescent="0.25">
      <c r="A319" s="14">
        <v>50586</v>
      </c>
      <c r="B319" s="10">
        <f>5.6782 * CHOOSE(CONTROL!$C$32, $C$9, 100%, $E$9)</f>
        <v>5.6782000000000004</v>
      </c>
      <c r="C319" s="10">
        <f>5.6782 * CHOOSE(CONTROL!$C$32, $C$9, 100%, $E$9)</f>
        <v>5.6782000000000004</v>
      </c>
      <c r="D319" s="10">
        <f>5.6795 * CHOOSE(CONTROL!$C$32, $C$9, 100%, $E$9)</f>
        <v>5.6795</v>
      </c>
      <c r="E319" s="9">
        <f>5.6188 * CHOOSE(CONTROL!$C$32, $C$9, 100%, $E$9)</f>
        <v>5.6188000000000002</v>
      </c>
      <c r="F319" s="9">
        <f>5.6188 * CHOOSE(CONTROL!$C$32, $C$9, 100%, $E$9)</f>
        <v>5.6188000000000002</v>
      </c>
      <c r="G319" s="9">
        <f>5.6231 * CHOOSE(CONTROL!$C$32, $C$9, 100%, $E$9)</f>
        <v>5.6231</v>
      </c>
      <c r="H319" s="9">
        <f>7.0005 * CHOOSE(CONTROL!$C$32, $C$9, 100%, $E$9)</f>
        <v>7.0004999999999997</v>
      </c>
      <c r="I319" s="9">
        <f>7.0048 * CHOOSE(CONTROL!$C$32, $C$9, 100%, $E$9)</f>
        <v>7.0048000000000004</v>
      </c>
      <c r="J319" s="9">
        <f>7.0005 * CHOOSE(CONTROL!$C$32, $C$9, 100%, $E$9)</f>
        <v>7.0004999999999997</v>
      </c>
      <c r="K319" s="9">
        <f>7.0048 * CHOOSE(CONTROL!$C$32, $C$9, 100%, $E$9)</f>
        <v>7.0048000000000004</v>
      </c>
      <c r="L319" s="9">
        <f>5.6188 * CHOOSE(CONTROL!$C$32, $C$9, 100%, $E$9)</f>
        <v>5.6188000000000002</v>
      </c>
      <c r="M319" s="9">
        <f>5.6231 * CHOOSE(CONTROL!$C$32, $C$9, 100%, $E$9)</f>
        <v>5.6231</v>
      </c>
      <c r="N319" s="9">
        <f>5.6188 * CHOOSE(CONTROL!$C$32, $C$9, 100%, $E$9)</f>
        <v>5.6188000000000002</v>
      </c>
      <c r="O319" s="9">
        <f>5.6231 * CHOOSE(CONTROL!$C$32, $C$9, 100%, $E$9)</f>
        <v>5.6231</v>
      </c>
    </row>
    <row r="320" spans="1:15" ht="15.75" x14ac:dyDescent="0.25">
      <c r="A320" s="14">
        <v>50617</v>
      </c>
      <c r="B320" s="10">
        <f>5.7636 * CHOOSE(CONTROL!$C$32, $C$9, 100%, $E$9)</f>
        <v>5.7636000000000003</v>
      </c>
      <c r="C320" s="10">
        <f>5.7636 * CHOOSE(CONTROL!$C$32, $C$9, 100%, $E$9)</f>
        <v>5.7636000000000003</v>
      </c>
      <c r="D320" s="10">
        <f>5.7649 * CHOOSE(CONTROL!$C$32, $C$9, 100%, $E$9)</f>
        <v>5.7648999999999999</v>
      </c>
      <c r="E320" s="9">
        <f>5.69 * CHOOSE(CONTROL!$C$32, $C$9, 100%, $E$9)</f>
        <v>5.69</v>
      </c>
      <c r="F320" s="9">
        <f>5.69 * CHOOSE(CONTROL!$C$32, $C$9, 100%, $E$9)</f>
        <v>5.69</v>
      </c>
      <c r="G320" s="9">
        <f>5.6944 * CHOOSE(CONTROL!$C$32, $C$9, 100%, $E$9)</f>
        <v>5.6943999999999999</v>
      </c>
      <c r="H320" s="9">
        <f>7.1086 * CHOOSE(CONTROL!$C$32, $C$9, 100%, $E$9)</f>
        <v>7.1086</v>
      </c>
      <c r="I320" s="9">
        <f>7.1129 * CHOOSE(CONTROL!$C$32, $C$9, 100%, $E$9)</f>
        <v>7.1128999999999998</v>
      </c>
      <c r="J320" s="9">
        <f>7.1086 * CHOOSE(CONTROL!$C$32, $C$9, 100%, $E$9)</f>
        <v>7.1086</v>
      </c>
      <c r="K320" s="9">
        <f>7.1129 * CHOOSE(CONTROL!$C$32, $C$9, 100%, $E$9)</f>
        <v>7.1128999999999998</v>
      </c>
      <c r="L320" s="9">
        <f>5.69 * CHOOSE(CONTROL!$C$32, $C$9, 100%, $E$9)</f>
        <v>5.69</v>
      </c>
      <c r="M320" s="9">
        <f>5.6944 * CHOOSE(CONTROL!$C$32, $C$9, 100%, $E$9)</f>
        <v>5.6943999999999999</v>
      </c>
      <c r="N320" s="9">
        <f>5.69 * CHOOSE(CONTROL!$C$32, $C$9, 100%, $E$9)</f>
        <v>5.69</v>
      </c>
      <c r="O320" s="9">
        <f>5.6944 * CHOOSE(CONTROL!$C$32, $C$9, 100%, $E$9)</f>
        <v>5.6943999999999999</v>
      </c>
    </row>
    <row r="321" spans="1:15" ht="15.75" x14ac:dyDescent="0.25">
      <c r="A321" s="14">
        <v>50648</v>
      </c>
      <c r="B321" s="10">
        <f>5.7703 * CHOOSE(CONTROL!$C$32, $C$9, 100%, $E$9)</f>
        <v>5.7702999999999998</v>
      </c>
      <c r="C321" s="10">
        <f>5.7703 * CHOOSE(CONTROL!$C$32, $C$9, 100%, $E$9)</f>
        <v>5.7702999999999998</v>
      </c>
      <c r="D321" s="10">
        <f>5.7716 * CHOOSE(CONTROL!$C$32, $C$9, 100%, $E$9)</f>
        <v>5.7716000000000003</v>
      </c>
      <c r="E321" s="9">
        <f>5.5977 * CHOOSE(CONTROL!$C$32, $C$9, 100%, $E$9)</f>
        <v>5.5976999999999997</v>
      </c>
      <c r="F321" s="9">
        <f>5.5977 * CHOOSE(CONTROL!$C$32, $C$9, 100%, $E$9)</f>
        <v>5.5976999999999997</v>
      </c>
      <c r="G321" s="9">
        <f>5.602 * CHOOSE(CONTROL!$C$32, $C$9, 100%, $E$9)</f>
        <v>5.6020000000000003</v>
      </c>
      <c r="H321" s="9">
        <f>7.113 * CHOOSE(CONTROL!$C$32, $C$9, 100%, $E$9)</f>
        <v>7.1130000000000004</v>
      </c>
      <c r="I321" s="9">
        <f>7.1173 * CHOOSE(CONTROL!$C$32, $C$9, 100%, $E$9)</f>
        <v>7.1173000000000002</v>
      </c>
      <c r="J321" s="9">
        <f>7.113 * CHOOSE(CONTROL!$C$32, $C$9, 100%, $E$9)</f>
        <v>7.1130000000000004</v>
      </c>
      <c r="K321" s="9">
        <f>7.1173 * CHOOSE(CONTROL!$C$32, $C$9, 100%, $E$9)</f>
        <v>7.1173000000000002</v>
      </c>
      <c r="L321" s="9">
        <f>5.5977 * CHOOSE(CONTROL!$C$32, $C$9, 100%, $E$9)</f>
        <v>5.5976999999999997</v>
      </c>
      <c r="M321" s="9">
        <f>5.602 * CHOOSE(CONTROL!$C$32, $C$9, 100%, $E$9)</f>
        <v>5.6020000000000003</v>
      </c>
      <c r="N321" s="9">
        <f>5.5977 * CHOOSE(CONTROL!$C$32, $C$9, 100%, $E$9)</f>
        <v>5.5976999999999997</v>
      </c>
      <c r="O321" s="9">
        <f>5.602 * CHOOSE(CONTROL!$C$32, $C$9, 100%, $E$9)</f>
        <v>5.6020000000000003</v>
      </c>
    </row>
    <row r="322" spans="1:15" ht="15.75" x14ac:dyDescent="0.25">
      <c r="A322" s="14">
        <v>50678</v>
      </c>
      <c r="B322" s="10">
        <f>5.7672 * CHOOSE(CONTROL!$C$32, $C$9, 100%, $E$9)</f>
        <v>5.7671999999999999</v>
      </c>
      <c r="C322" s="10">
        <f>5.7672 * CHOOSE(CONTROL!$C$32, $C$9, 100%, $E$9)</f>
        <v>5.7671999999999999</v>
      </c>
      <c r="D322" s="10">
        <f>5.7686 * CHOOSE(CONTROL!$C$32, $C$9, 100%, $E$9)</f>
        <v>5.7686000000000002</v>
      </c>
      <c r="E322" s="9">
        <f>5.5848 * CHOOSE(CONTROL!$C$32, $C$9, 100%, $E$9)</f>
        <v>5.5848000000000004</v>
      </c>
      <c r="F322" s="9">
        <f>5.5848 * CHOOSE(CONTROL!$C$32, $C$9, 100%, $E$9)</f>
        <v>5.5848000000000004</v>
      </c>
      <c r="G322" s="9">
        <f>5.5891 * CHOOSE(CONTROL!$C$32, $C$9, 100%, $E$9)</f>
        <v>5.5891000000000002</v>
      </c>
      <c r="H322" s="9">
        <f>7.111 * CHOOSE(CONTROL!$C$32, $C$9, 100%, $E$9)</f>
        <v>7.1109999999999998</v>
      </c>
      <c r="I322" s="9">
        <f>7.1153 * CHOOSE(CONTROL!$C$32, $C$9, 100%, $E$9)</f>
        <v>7.1153000000000004</v>
      </c>
      <c r="J322" s="9">
        <f>7.111 * CHOOSE(CONTROL!$C$32, $C$9, 100%, $E$9)</f>
        <v>7.1109999999999998</v>
      </c>
      <c r="K322" s="9">
        <f>7.1153 * CHOOSE(CONTROL!$C$32, $C$9, 100%, $E$9)</f>
        <v>7.1153000000000004</v>
      </c>
      <c r="L322" s="9">
        <f>5.5848 * CHOOSE(CONTROL!$C$32, $C$9, 100%, $E$9)</f>
        <v>5.5848000000000004</v>
      </c>
      <c r="M322" s="9">
        <f>5.5891 * CHOOSE(CONTROL!$C$32, $C$9, 100%, $E$9)</f>
        <v>5.5891000000000002</v>
      </c>
      <c r="N322" s="9">
        <f>5.5848 * CHOOSE(CONTROL!$C$32, $C$9, 100%, $E$9)</f>
        <v>5.5848000000000004</v>
      </c>
      <c r="O322" s="9">
        <f>5.5891 * CHOOSE(CONTROL!$C$32, $C$9, 100%, $E$9)</f>
        <v>5.5891000000000002</v>
      </c>
    </row>
    <row r="323" spans="1:15" ht="15.75" x14ac:dyDescent="0.25">
      <c r="A323" s="14">
        <v>50709</v>
      </c>
      <c r="B323" s="10">
        <f>5.7696 * CHOOSE(CONTROL!$C$32, $C$9, 100%, $E$9)</f>
        <v>5.7695999999999996</v>
      </c>
      <c r="C323" s="10">
        <f>5.7696 * CHOOSE(CONTROL!$C$32, $C$9, 100%, $E$9)</f>
        <v>5.7695999999999996</v>
      </c>
      <c r="D323" s="10">
        <f>5.7706 * CHOOSE(CONTROL!$C$32, $C$9, 100%, $E$9)</f>
        <v>5.7706</v>
      </c>
      <c r="E323" s="9">
        <f>5.6145 * CHOOSE(CONTROL!$C$32, $C$9, 100%, $E$9)</f>
        <v>5.6144999999999996</v>
      </c>
      <c r="F323" s="9">
        <f>5.6145 * CHOOSE(CONTROL!$C$32, $C$9, 100%, $E$9)</f>
        <v>5.6144999999999996</v>
      </c>
      <c r="G323" s="9">
        <f>5.6178 * CHOOSE(CONTROL!$C$32, $C$9, 100%, $E$9)</f>
        <v>5.6177999999999999</v>
      </c>
      <c r="H323" s="9">
        <f>7.1117 * CHOOSE(CONTROL!$C$32, $C$9, 100%, $E$9)</f>
        <v>7.1116999999999999</v>
      </c>
      <c r="I323" s="9">
        <f>7.1151 * CHOOSE(CONTROL!$C$32, $C$9, 100%, $E$9)</f>
        <v>7.1151</v>
      </c>
      <c r="J323" s="9">
        <f>7.1117 * CHOOSE(CONTROL!$C$32, $C$9, 100%, $E$9)</f>
        <v>7.1116999999999999</v>
      </c>
      <c r="K323" s="9">
        <f>7.1151 * CHOOSE(CONTROL!$C$32, $C$9, 100%, $E$9)</f>
        <v>7.1151</v>
      </c>
      <c r="L323" s="9">
        <f>5.6145 * CHOOSE(CONTROL!$C$32, $C$9, 100%, $E$9)</f>
        <v>5.6144999999999996</v>
      </c>
      <c r="M323" s="9">
        <f>5.6178 * CHOOSE(CONTROL!$C$32, $C$9, 100%, $E$9)</f>
        <v>5.6177999999999999</v>
      </c>
      <c r="N323" s="9">
        <f>5.6145 * CHOOSE(CONTROL!$C$32, $C$9, 100%, $E$9)</f>
        <v>5.6144999999999996</v>
      </c>
      <c r="O323" s="9">
        <f>5.6178 * CHOOSE(CONTROL!$C$32, $C$9, 100%, $E$9)</f>
        <v>5.6177999999999999</v>
      </c>
    </row>
    <row r="324" spans="1:15" ht="15.75" x14ac:dyDescent="0.25">
      <c r="A324" s="14">
        <v>50739</v>
      </c>
      <c r="B324" s="10">
        <f>5.7726 * CHOOSE(CONTROL!$C$32, $C$9, 100%, $E$9)</f>
        <v>5.7725999999999997</v>
      </c>
      <c r="C324" s="10">
        <f>5.7726 * CHOOSE(CONTROL!$C$32, $C$9, 100%, $E$9)</f>
        <v>5.7725999999999997</v>
      </c>
      <c r="D324" s="10">
        <f>5.7736 * CHOOSE(CONTROL!$C$32, $C$9, 100%, $E$9)</f>
        <v>5.7736000000000001</v>
      </c>
      <c r="E324" s="9">
        <f>5.6381 * CHOOSE(CONTROL!$C$32, $C$9, 100%, $E$9)</f>
        <v>5.6380999999999997</v>
      </c>
      <c r="F324" s="9">
        <f>5.6381 * CHOOSE(CONTROL!$C$32, $C$9, 100%, $E$9)</f>
        <v>5.6380999999999997</v>
      </c>
      <c r="G324" s="9">
        <f>5.6415 * CHOOSE(CONTROL!$C$32, $C$9, 100%, $E$9)</f>
        <v>5.6414999999999997</v>
      </c>
      <c r="H324" s="9">
        <f>7.1137 * CHOOSE(CONTROL!$C$32, $C$9, 100%, $E$9)</f>
        <v>7.1136999999999997</v>
      </c>
      <c r="I324" s="9">
        <f>7.1171 * CHOOSE(CONTROL!$C$32, $C$9, 100%, $E$9)</f>
        <v>7.1170999999999998</v>
      </c>
      <c r="J324" s="9">
        <f>7.1137 * CHOOSE(CONTROL!$C$32, $C$9, 100%, $E$9)</f>
        <v>7.1136999999999997</v>
      </c>
      <c r="K324" s="9">
        <f>7.1171 * CHOOSE(CONTROL!$C$32, $C$9, 100%, $E$9)</f>
        <v>7.1170999999999998</v>
      </c>
      <c r="L324" s="9">
        <f>5.6381 * CHOOSE(CONTROL!$C$32, $C$9, 100%, $E$9)</f>
        <v>5.6380999999999997</v>
      </c>
      <c r="M324" s="9">
        <f>5.6415 * CHOOSE(CONTROL!$C$32, $C$9, 100%, $E$9)</f>
        <v>5.6414999999999997</v>
      </c>
      <c r="N324" s="9">
        <f>5.6381 * CHOOSE(CONTROL!$C$32, $C$9, 100%, $E$9)</f>
        <v>5.6380999999999997</v>
      </c>
      <c r="O324" s="9">
        <f>5.6415 * CHOOSE(CONTROL!$C$32, $C$9, 100%, $E$9)</f>
        <v>5.6414999999999997</v>
      </c>
    </row>
    <row r="325" spans="1:15" ht="15.75" x14ac:dyDescent="0.25">
      <c r="A325" s="14">
        <v>50770</v>
      </c>
      <c r="B325" s="10">
        <f>5.7726 * CHOOSE(CONTROL!$C$32, $C$9, 100%, $E$9)</f>
        <v>5.7725999999999997</v>
      </c>
      <c r="C325" s="10">
        <f>5.7726 * CHOOSE(CONTROL!$C$32, $C$9, 100%, $E$9)</f>
        <v>5.7725999999999997</v>
      </c>
      <c r="D325" s="10">
        <f>5.7736 * CHOOSE(CONTROL!$C$32, $C$9, 100%, $E$9)</f>
        <v>5.7736000000000001</v>
      </c>
      <c r="E325" s="9">
        <f>5.6156 * CHOOSE(CONTROL!$C$32, $C$9, 100%, $E$9)</f>
        <v>5.6155999999999997</v>
      </c>
      <c r="F325" s="9">
        <f>5.6156 * CHOOSE(CONTROL!$C$32, $C$9, 100%, $E$9)</f>
        <v>5.6155999999999997</v>
      </c>
      <c r="G325" s="9">
        <f>5.619 * CHOOSE(CONTROL!$C$32, $C$9, 100%, $E$9)</f>
        <v>5.6189999999999998</v>
      </c>
      <c r="H325" s="9">
        <f>7.1137 * CHOOSE(CONTROL!$C$32, $C$9, 100%, $E$9)</f>
        <v>7.1136999999999997</v>
      </c>
      <c r="I325" s="9">
        <f>7.1171 * CHOOSE(CONTROL!$C$32, $C$9, 100%, $E$9)</f>
        <v>7.1170999999999998</v>
      </c>
      <c r="J325" s="9">
        <f>7.1137 * CHOOSE(CONTROL!$C$32, $C$9, 100%, $E$9)</f>
        <v>7.1136999999999997</v>
      </c>
      <c r="K325" s="9">
        <f>7.1171 * CHOOSE(CONTROL!$C$32, $C$9, 100%, $E$9)</f>
        <v>7.1170999999999998</v>
      </c>
      <c r="L325" s="9">
        <f>5.6156 * CHOOSE(CONTROL!$C$32, $C$9, 100%, $E$9)</f>
        <v>5.6155999999999997</v>
      </c>
      <c r="M325" s="9">
        <f>5.619 * CHOOSE(CONTROL!$C$32, $C$9, 100%, $E$9)</f>
        <v>5.6189999999999998</v>
      </c>
      <c r="N325" s="9">
        <f>5.6156 * CHOOSE(CONTROL!$C$32, $C$9, 100%, $E$9)</f>
        <v>5.6155999999999997</v>
      </c>
      <c r="O325" s="9">
        <f>5.619 * CHOOSE(CONTROL!$C$32, $C$9, 100%, $E$9)</f>
        <v>5.6189999999999998</v>
      </c>
    </row>
    <row r="326" spans="1:15" ht="15.75" x14ac:dyDescent="0.25">
      <c r="A326" s="14">
        <v>50801</v>
      </c>
      <c r="B326" s="10">
        <f>5.822 * CHOOSE(CONTROL!$C$32, $C$9, 100%, $E$9)</f>
        <v>5.8220000000000001</v>
      </c>
      <c r="C326" s="10">
        <f>5.822 * CHOOSE(CONTROL!$C$32, $C$9, 100%, $E$9)</f>
        <v>5.8220000000000001</v>
      </c>
      <c r="D326" s="10">
        <f>5.823 * CHOOSE(CONTROL!$C$32, $C$9, 100%, $E$9)</f>
        <v>5.8230000000000004</v>
      </c>
      <c r="E326" s="9">
        <f>5.6604 * CHOOSE(CONTROL!$C$32, $C$9, 100%, $E$9)</f>
        <v>5.6604000000000001</v>
      </c>
      <c r="F326" s="9">
        <f>5.6604 * CHOOSE(CONTROL!$C$32, $C$9, 100%, $E$9)</f>
        <v>5.6604000000000001</v>
      </c>
      <c r="G326" s="9">
        <f>5.6638 * CHOOSE(CONTROL!$C$32, $C$9, 100%, $E$9)</f>
        <v>5.6638000000000002</v>
      </c>
      <c r="H326" s="9">
        <f>7.1674 * CHOOSE(CONTROL!$C$32, $C$9, 100%, $E$9)</f>
        <v>7.1673999999999998</v>
      </c>
      <c r="I326" s="9">
        <f>7.1708 * CHOOSE(CONTROL!$C$32, $C$9, 100%, $E$9)</f>
        <v>7.1707999999999998</v>
      </c>
      <c r="J326" s="9">
        <f>7.1674 * CHOOSE(CONTROL!$C$32, $C$9, 100%, $E$9)</f>
        <v>7.1673999999999998</v>
      </c>
      <c r="K326" s="9">
        <f>7.1708 * CHOOSE(CONTROL!$C$32, $C$9, 100%, $E$9)</f>
        <v>7.1707999999999998</v>
      </c>
      <c r="L326" s="9">
        <f>5.6604 * CHOOSE(CONTROL!$C$32, $C$9, 100%, $E$9)</f>
        <v>5.6604000000000001</v>
      </c>
      <c r="M326" s="9">
        <f>5.6638 * CHOOSE(CONTROL!$C$32, $C$9, 100%, $E$9)</f>
        <v>5.6638000000000002</v>
      </c>
      <c r="N326" s="9">
        <f>5.6604 * CHOOSE(CONTROL!$C$32, $C$9, 100%, $E$9)</f>
        <v>5.6604000000000001</v>
      </c>
      <c r="O326" s="9">
        <f>5.6638 * CHOOSE(CONTROL!$C$32, $C$9, 100%, $E$9)</f>
        <v>5.6638000000000002</v>
      </c>
    </row>
    <row r="327" spans="1:15" ht="15.75" x14ac:dyDescent="0.25">
      <c r="A327" s="14">
        <v>50829</v>
      </c>
      <c r="B327" s="10">
        <f>5.8189 * CHOOSE(CONTROL!$C$32, $C$9, 100%, $E$9)</f>
        <v>5.8189000000000002</v>
      </c>
      <c r="C327" s="10">
        <f>5.8189 * CHOOSE(CONTROL!$C$32, $C$9, 100%, $E$9)</f>
        <v>5.8189000000000002</v>
      </c>
      <c r="D327" s="10">
        <f>5.8199 * CHOOSE(CONTROL!$C$32, $C$9, 100%, $E$9)</f>
        <v>5.8198999999999996</v>
      </c>
      <c r="E327" s="9">
        <f>5.5534 * CHOOSE(CONTROL!$C$32, $C$9, 100%, $E$9)</f>
        <v>5.5533999999999999</v>
      </c>
      <c r="F327" s="9">
        <f>5.5534 * CHOOSE(CONTROL!$C$32, $C$9, 100%, $E$9)</f>
        <v>5.5533999999999999</v>
      </c>
      <c r="G327" s="9">
        <f>5.5568 * CHOOSE(CONTROL!$C$32, $C$9, 100%, $E$9)</f>
        <v>5.5568</v>
      </c>
      <c r="H327" s="9">
        <f>7.1654 * CHOOSE(CONTROL!$C$32, $C$9, 100%, $E$9)</f>
        <v>7.1654</v>
      </c>
      <c r="I327" s="9">
        <f>7.1688 * CHOOSE(CONTROL!$C$32, $C$9, 100%, $E$9)</f>
        <v>7.1688000000000001</v>
      </c>
      <c r="J327" s="9">
        <f>7.1654 * CHOOSE(CONTROL!$C$32, $C$9, 100%, $E$9)</f>
        <v>7.1654</v>
      </c>
      <c r="K327" s="9">
        <f>7.1688 * CHOOSE(CONTROL!$C$32, $C$9, 100%, $E$9)</f>
        <v>7.1688000000000001</v>
      </c>
      <c r="L327" s="9">
        <f>5.5534 * CHOOSE(CONTROL!$C$32, $C$9, 100%, $E$9)</f>
        <v>5.5533999999999999</v>
      </c>
      <c r="M327" s="9">
        <f>5.5568 * CHOOSE(CONTROL!$C$32, $C$9, 100%, $E$9)</f>
        <v>5.5568</v>
      </c>
      <c r="N327" s="9">
        <f>5.5534 * CHOOSE(CONTROL!$C$32, $C$9, 100%, $E$9)</f>
        <v>5.5533999999999999</v>
      </c>
      <c r="O327" s="9">
        <f>5.5568 * CHOOSE(CONTROL!$C$32, $C$9, 100%, $E$9)</f>
        <v>5.5568</v>
      </c>
    </row>
    <row r="328" spans="1:15" ht="15.75" x14ac:dyDescent="0.25">
      <c r="A328" s="14">
        <v>50860</v>
      </c>
      <c r="B328" s="10">
        <f>5.8159 * CHOOSE(CONTROL!$C$32, $C$9, 100%, $E$9)</f>
        <v>5.8159000000000001</v>
      </c>
      <c r="C328" s="10">
        <f>5.8159 * CHOOSE(CONTROL!$C$32, $C$9, 100%, $E$9)</f>
        <v>5.8159000000000001</v>
      </c>
      <c r="D328" s="10">
        <f>5.8169 * CHOOSE(CONTROL!$C$32, $C$9, 100%, $E$9)</f>
        <v>5.8169000000000004</v>
      </c>
      <c r="E328" s="9">
        <f>5.634 * CHOOSE(CONTROL!$C$32, $C$9, 100%, $E$9)</f>
        <v>5.6340000000000003</v>
      </c>
      <c r="F328" s="9">
        <f>5.634 * CHOOSE(CONTROL!$C$32, $C$9, 100%, $E$9)</f>
        <v>5.6340000000000003</v>
      </c>
      <c r="G328" s="9">
        <f>5.6373 * CHOOSE(CONTROL!$C$32, $C$9, 100%, $E$9)</f>
        <v>5.6372999999999998</v>
      </c>
      <c r="H328" s="9">
        <f>7.1634 * CHOOSE(CONTROL!$C$32, $C$9, 100%, $E$9)</f>
        <v>7.1634000000000002</v>
      </c>
      <c r="I328" s="9">
        <f>7.1668 * CHOOSE(CONTROL!$C$32, $C$9, 100%, $E$9)</f>
        <v>7.1668000000000003</v>
      </c>
      <c r="J328" s="9">
        <f>7.1634 * CHOOSE(CONTROL!$C$32, $C$9, 100%, $E$9)</f>
        <v>7.1634000000000002</v>
      </c>
      <c r="K328" s="9">
        <f>7.1668 * CHOOSE(CONTROL!$C$32, $C$9, 100%, $E$9)</f>
        <v>7.1668000000000003</v>
      </c>
      <c r="L328" s="9">
        <f>5.634 * CHOOSE(CONTROL!$C$32, $C$9, 100%, $E$9)</f>
        <v>5.6340000000000003</v>
      </c>
      <c r="M328" s="9">
        <f>5.6373 * CHOOSE(CONTROL!$C$32, $C$9, 100%, $E$9)</f>
        <v>5.6372999999999998</v>
      </c>
      <c r="N328" s="9">
        <f>5.634 * CHOOSE(CONTROL!$C$32, $C$9, 100%, $E$9)</f>
        <v>5.6340000000000003</v>
      </c>
      <c r="O328" s="9">
        <f>5.6373 * CHOOSE(CONTROL!$C$32, $C$9, 100%, $E$9)</f>
        <v>5.6372999999999998</v>
      </c>
    </row>
    <row r="329" spans="1:15" ht="15.75" x14ac:dyDescent="0.25">
      <c r="A329" s="14">
        <v>50890</v>
      </c>
      <c r="B329" s="10">
        <f>5.8155 * CHOOSE(CONTROL!$C$32, $C$9, 100%, $E$9)</f>
        <v>5.8155000000000001</v>
      </c>
      <c r="C329" s="10">
        <f>5.8155 * CHOOSE(CONTROL!$C$32, $C$9, 100%, $E$9)</f>
        <v>5.8155000000000001</v>
      </c>
      <c r="D329" s="10">
        <f>5.8165 * CHOOSE(CONTROL!$C$32, $C$9, 100%, $E$9)</f>
        <v>5.8164999999999996</v>
      </c>
      <c r="E329" s="9">
        <f>5.7185 * CHOOSE(CONTROL!$C$32, $C$9, 100%, $E$9)</f>
        <v>5.7184999999999997</v>
      </c>
      <c r="F329" s="9">
        <f>5.7185 * CHOOSE(CONTROL!$C$32, $C$9, 100%, $E$9)</f>
        <v>5.7184999999999997</v>
      </c>
      <c r="G329" s="9">
        <f>5.7219 * CHOOSE(CONTROL!$C$32, $C$9, 100%, $E$9)</f>
        <v>5.7218999999999998</v>
      </c>
      <c r="H329" s="9">
        <f>7.163 * CHOOSE(CONTROL!$C$32, $C$9, 100%, $E$9)</f>
        <v>7.1630000000000003</v>
      </c>
      <c r="I329" s="9">
        <f>7.1663 * CHOOSE(CONTROL!$C$32, $C$9, 100%, $E$9)</f>
        <v>7.1662999999999997</v>
      </c>
      <c r="J329" s="9">
        <f>7.163 * CHOOSE(CONTROL!$C$32, $C$9, 100%, $E$9)</f>
        <v>7.1630000000000003</v>
      </c>
      <c r="K329" s="9">
        <f>7.1663 * CHOOSE(CONTROL!$C$32, $C$9, 100%, $E$9)</f>
        <v>7.1662999999999997</v>
      </c>
      <c r="L329" s="9">
        <f>5.7185 * CHOOSE(CONTROL!$C$32, $C$9, 100%, $E$9)</f>
        <v>5.7184999999999997</v>
      </c>
      <c r="M329" s="9">
        <f>5.7219 * CHOOSE(CONTROL!$C$32, $C$9, 100%, $E$9)</f>
        <v>5.7218999999999998</v>
      </c>
      <c r="N329" s="9">
        <f>5.7185 * CHOOSE(CONTROL!$C$32, $C$9, 100%, $E$9)</f>
        <v>5.7184999999999997</v>
      </c>
      <c r="O329" s="9">
        <f>5.7219 * CHOOSE(CONTROL!$C$32, $C$9, 100%, $E$9)</f>
        <v>5.7218999999999998</v>
      </c>
    </row>
    <row r="330" spans="1:15" ht="15.75" x14ac:dyDescent="0.25">
      <c r="A330" s="14">
        <v>50921</v>
      </c>
      <c r="B330" s="10">
        <f>5.8155 * CHOOSE(CONTROL!$C$32, $C$9, 100%, $E$9)</f>
        <v>5.8155000000000001</v>
      </c>
      <c r="C330" s="10">
        <f>5.8155 * CHOOSE(CONTROL!$C$32, $C$9, 100%, $E$9)</f>
        <v>5.8155000000000001</v>
      </c>
      <c r="D330" s="10">
        <f>5.8168 * CHOOSE(CONTROL!$C$32, $C$9, 100%, $E$9)</f>
        <v>5.8167999999999997</v>
      </c>
      <c r="E330" s="9">
        <f>5.7518 * CHOOSE(CONTROL!$C$32, $C$9, 100%, $E$9)</f>
        <v>5.7518000000000002</v>
      </c>
      <c r="F330" s="9">
        <f>5.7518 * CHOOSE(CONTROL!$C$32, $C$9, 100%, $E$9)</f>
        <v>5.7518000000000002</v>
      </c>
      <c r="G330" s="9">
        <f>5.7562 * CHOOSE(CONTROL!$C$32, $C$9, 100%, $E$9)</f>
        <v>5.7561999999999998</v>
      </c>
      <c r="H330" s="9">
        <f>7.163 * CHOOSE(CONTROL!$C$32, $C$9, 100%, $E$9)</f>
        <v>7.1630000000000003</v>
      </c>
      <c r="I330" s="9">
        <f>7.1673 * CHOOSE(CONTROL!$C$32, $C$9, 100%, $E$9)</f>
        <v>7.1673</v>
      </c>
      <c r="J330" s="9">
        <f>7.163 * CHOOSE(CONTROL!$C$32, $C$9, 100%, $E$9)</f>
        <v>7.1630000000000003</v>
      </c>
      <c r="K330" s="9">
        <f>7.1673 * CHOOSE(CONTROL!$C$32, $C$9, 100%, $E$9)</f>
        <v>7.1673</v>
      </c>
      <c r="L330" s="9">
        <f>5.7518 * CHOOSE(CONTROL!$C$32, $C$9, 100%, $E$9)</f>
        <v>5.7518000000000002</v>
      </c>
      <c r="M330" s="9">
        <f>5.7562 * CHOOSE(CONTROL!$C$32, $C$9, 100%, $E$9)</f>
        <v>5.7561999999999998</v>
      </c>
      <c r="N330" s="9">
        <f>5.7518 * CHOOSE(CONTROL!$C$32, $C$9, 100%, $E$9)</f>
        <v>5.7518000000000002</v>
      </c>
      <c r="O330" s="9">
        <f>5.7562 * CHOOSE(CONTROL!$C$32, $C$9, 100%, $E$9)</f>
        <v>5.7561999999999998</v>
      </c>
    </row>
    <row r="331" spans="1:15" ht="15.75" x14ac:dyDescent="0.25">
      <c r="A331" s="14">
        <v>50951</v>
      </c>
      <c r="B331" s="10">
        <f>5.8216 * CHOOSE(CONTROL!$C$32, $C$9, 100%, $E$9)</f>
        <v>5.8216000000000001</v>
      </c>
      <c r="C331" s="10">
        <f>5.8216 * CHOOSE(CONTROL!$C$32, $C$9, 100%, $E$9)</f>
        <v>5.8216000000000001</v>
      </c>
      <c r="D331" s="10">
        <f>5.8229 * CHOOSE(CONTROL!$C$32, $C$9, 100%, $E$9)</f>
        <v>5.8228999999999997</v>
      </c>
      <c r="E331" s="9">
        <f>5.7228 * CHOOSE(CONTROL!$C$32, $C$9, 100%, $E$9)</f>
        <v>5.7228000000000003</v>
      </c>
      <c r="F331" s="9">
        <f>5.7228 * CHOOSE(CONTROL!$C$32, $C$9, 100%, $E$9)</f>
        <v>5.7228000000000003</v>
      </c>
      <c r="G331" s="9">
        <f>5.7271 * CHOOSE(CONTROL!$C$32, $C$9, 100%, $E$9)</f>
        <v>5.7271000000000001</v>
      </c>
      <c r="H331" s="9">
        <f>7.167 * CHOOSE(CONTROL!$C$32, $C$9, 100%, $E$9)</f>
        <v>7.1669999999999998</v>
      </c>
      <c r="I331" s="9">
        <f>7.1713 * CHOOSE(CONTROL!$C$32, $C$9, 100%, $E$9)</f>
        <v>7.1712999999999996</v>
      </c>
      <c r="J331" s="9">
        <f>7.167 * CHOOSE(CONTROL!$C$32, $C$9, 100%, $E$9)</f>
        <v>7.1669999999999998</v>
      </c>
      <c r="K331" s="9">
        <f>7.1713 * CHOOSE(CONTROL!$C$32, $C$9, 100%, $E$9)</f>
        <v>7.1712999999999996</v>
      </c>
      <c r="L331" s="9">
        <f>5.7228 * CHOOSE(CONTROL!$C$32, $C$9, 100%, $E$9)</f>
        <v>5.7228000000000003</v>
      </c>
      <c r="M331" s="9">
        <f>5.7271 * CHOOSE(CONTROL!$C$32, $C$9, 100%, $E$9)</f>
        <v>5.7271000000000001</v>
      </c>
      <c r="N331" s="9">
        <f>5.7228 * CHOOSE(CONTROL!$C$32, $C$9, 100%, $E$9)</f>
        <v>5.7228000000000003</v>
      </c>
      <c r="O331" s="9">
        <f>5.7271 * CHOOSE(CONTROL!$C$32, $C$9, 100%, $E$9)</f>
        <v>5.7271000000000001</v>
      </c>
    </row>
    <row r="332" spans="1:15" ht="15.75" x14ac:dyDescent="0.25">
      <c r="A332" s="14">
        <v>50982</v>
      </c>
      <c r="B332" s="10">
        <f>5.9093 * CHOOSE(CONTROL!$C$32, $C$9, 100%, $E$9)</f>
        <v>5.9093</v>
      </c>
      <c r="C332" s="10">
        <f>5.9093 * CHOOSE(CONTROL!$C$32, $C$9, 100%, $E$9)</f>
        <v>5.9093</v>
      </c>
      <c r="D332" s="10">
        <f>5.9106 * CHOOSE(CONTROL!$C$32, $C$9, 100%, $E$9)</f>
        <v>5.9105999999999996</v>
      </c>
      <c r="E332" s="9">
        <f>5.7906 * CHOOSE(CONTROL!$C$32, $C$9, 100%, $E$9)</f>
        <v>5.7906000000000004</v>
      </c>
      <c r="F332" s="9">
        <f>5.7906 * CHOOSE(CONTROL!$C$32, $C$9, 100%, $E$9)</f>
        <v>5.7906000000000004</v>
      </c>
      <c r="G332" s="9">
        <f>5.795 * CHOOSE(CONTROL!$C$32, $C$9, 100%, $E$9)</f>
        <v>5.7949999999999999</v>
      </c>
      <c r="H332" s="9">
        <f>7.2779 * CHOOSE(CONTROL!$C$32, $C$9, 100%, $E$9)</f>
        <v>7.2778999999999998</v>
      </c>
      <c r="I332" s="9">
        <f>7.2823 * CHOOSE(CONTROL!$C$32, $C$9, 100%, $E$9)</f>
        <v>7.2823000000000002</v>
      </c>
      <c r="J332" s="9">
        <f>7.2779 * CHOOSE(CONTROL!$C$32, $C$9, 100%, $E$9)</f>
        <v>7.2778999999999998</v>
      </c>
      <c r="K332" s="9">
        <f>7.2823 * CHOOSE(CONTROL!$C$32, $C$9, 100%, $E$9)</f>
        <v>7.2823000000000002</v>
      </c>
      <c r="L332" s="9">
        <f>5.7906 * CHOOSE(CONTROL!$C$32, $C$9, 100%, $E$9)</f>
        <v>5.7906000000000004</v>
      </c>
      <c r="M332" s="9">
        <f>5.795 * CHOOSE(CONTROL!$C$32, $C$9, 100%, $E$9)</f>
        <v>5.7949999999999999</v>
      </c>
      <c r="N332" s="9">
        <f>5.7906 * CHOOSE(CONTROL!$C$32, $C$9, 100%, $E$9)</f>
        <v>5.7906000000000004</v>
      </c>
      <c r="O332" s="9">
        <f>5.795 * CHOOSE(CONTROL!$C$32, $C$9, 100%, $E$9)</f>
        <v>5.7949999999999999</v>
      </c>
    </row>
    <row r="333" spans="1:15" ht="15.75" x14ac:dyDescent="0.25">
      <c r="A333" s="14">
        <v>51013</v>
      </c>
      <c r="B333" s="10">
        <f>5.916 * CHOOSE(CONTROL!$C$32, $C$9, 100%, $E$9)</f>
        <v>5.9160000000000004</v>
      </c>
      <c r="C333" s="10">
        <f>5.916 * CHOOSE(CONTROL!$C$32, $C$9, 100%, $E$9)</f>
        <v>5.9160000000000004</v>
      </c>
      <c r="D333" s="10">
        <f>5.9173 * CHOOSE(CONTROL!$C$32, $C$9, 100%, $E$9)</f>
        <v>5.9173</v>
      </c>
      <c r="E333" s="9">
        <f>5.6954 * CHOOSE(CONTROL!$C$32, $C$9, 100%, $E$9)</f>
        <v>5.6954000000000002</v>
      </c>
      <c r="F333" s="9">
        <f>5.6954 * CHOOSE(CONTROL!$C$32, $C$9, 100%, $E$9)</f>
        <v>5.6954000000000002</v>
      </c>
      <c r="G333" s="9">
        <f>5.6997 * CHOOSE(CONTROL!$C$32, $C$9, 100%, $E$9)</f>
        <v>5.6997</v>
      </c>
      <c r="H333" s="9">
        <f>7.2823 * CHOOSE(CONTROL!$C$32, $C$9, 100%, $E$9)</f>
        <v>7.2823000000000002</v>
      </c>
      <c r="I333" s="9">
        <f>7.2867 * CHOOSE(CONTROL!$C$32, $C$9, 100%, $E$9)</f>
        <v>7.2866999999999997</v>
      </c>
      <c r="J333" s="9">
        <f>7.2823 * CHOOSE(CONTROL!$C$32, $C$9, 100%, $E$9)</f>
        <v>7.2823000000000002</v>
      </c>
      <c r="K333" s="9">
        <f>7.2867 * CHOOSE(CONTROL!$C$32, $C$9, 100%, $E$9)</f>
        <v>7.2866999999999997</v>
      </c>
      <c r="L333" s="9">
        <f>5.6954 * CHOOSE(CONTROL!$C$32, $C$9, 100%, $E$9)</f>
        <v>5.6954000000000002</v>
      </c>
      <c r="M333" s="9">
        <f>5.6997 * CHOOSE(CONTROL!$C$32, $C$9, 100%, $E$9)</f>
        <v>5.6997</v>
      </c>
      <c r="N333" s="9">
        <f>5.6954 * CHOOSE(CONTROL!$C$32, $C$9, 100%, $E$9)</f>
        <v>5.6954000000000002</v>
      </c>
      <c r="O333" s="9">
        <f>5.6997 * CHOOSE(CONTROL!$C$32, $C$9, 100%, $E$9)</f>
        <v>5.6997</v>
      </c>
    </row>
    <row r="334" spans="1:15" ht="15.75" x14ac:dyDescent="0.25">
      <c r="A334" s="14">
        <v>51043</v>
      </c>
      <c r="B334" s="10">
        <f>5.913 * CHOOSE(CONTROL!$C$32, $C$9, 100%, $E$9)</f>
        <v>5.9130000000000003</v>
      </c>
      <c r="C334" s="10">
        <f>5.913 * CHOOSE(CONTROL!$C$32, $C$9, 100%, $E$9)</f>
        <v>5.9130000000000003</v>
      </c>
      <c r="D334" s="10">
        <f>5.9143 * CHOOSE(CONTROL!$C$32, $C$9, 100%, $E$9)</f>
        <v>5.9142999999999999</v>
      </c>
      <c r="E334" s="9">
        <f>5.6822 * CHOOSE(CONTROL!$C$32, $C$9, 100%, $E$9)</f>
        <v>5.6821999999999999</v>
      </c>
      <c r="F334" s="9">
        <f>5.6822 * CHOOSE(CONTROL!$C$32, $C$9, 100%, $E$9)</f>
        <v>5.6821999999999999</v>
      </c>
      <c r="G334" s="9">
        <f>5.6865 * CHOOSE(CONTROL!$C$32, $C$9, 100%, $E$9)</f>
        <v>5.6864999999999997</v>
      </c>
      <c r="H334" s="9">
        <f>7.2803 * CHOOSE(CONTROL!$C$32, $C$9, 100%, $E$9)</f>
        <v>7.2803000000000004</v>
      </c>
      <c r="I334" s="9">
        <f>7.2847 * CHOOSE(CONTROL!$C$32, $C$9, 100%, $E$9)</f>
        <v>7.2847</v>
      </c>
      <c r="J334" s="9">
        <f>7.2803 * CHOOSE(CONTROL!$C$32, $C$9, 100%, $E$9)</f>
        <v>7.2803000000000004</v>
      </c>
      <c r="K334" s="9">
        <f>7.2847 * CHOOSE(CONTROL!$C$32, $C$9, 100%, $E$9)</f>
        <v>7.2847</v>
      </c>
      <c r="L334" s="9">
        <f>5.6822 * CHOOSE(CONTROL!$C$32, $C$9, 100%, $E$9)</f>
        <v>5.6821999999999999</v>
      </c>
      <c r="M334" s="9">
        <f>5.6865 * CHOOSE(CONTROL!$C$32, $C$9, 100%, $E$9)</f>
        <v>5.6864999999999997</v>
      </c>
      <c r="N334" s="9">
        <f>5.6822 * CHOOSE(CONTROL!$C$32, $C$9, 100%, $E$9)</f>
        <v>5.6821999999999999</v>
      </c>
      <c r="O334" s="9">
        <f>5.6865 * CHOOSE(CONTROL!$C$32, $C$9, 100%, $E$9)</f>
        <v>5.6864999999999997</v>
      </c>
    </row>
    <row r="335" spans="1:15" ht="15.75" x14ac:dyDescent="0.25">
      <c r="A335" s="14">
        <v>51074</v>
      </c>
      <c r="B335" s="10">
        <f>5.9159 * CHOOSE(CONTROL!$C$32, $C$9, 100%, $E$9)</f>
        <v>5.9158999999999997</v>
      </c>
      <c r="C335" s="10">
        <f>5.9159 * CHOOSE(CONTROL!$C$32, $C$9, 100%, $E$9)</f>
        <v>5.9158999999999997</v>
      </c>
      <c r="D335" s="10">
        <f>5.9169 * CHOOSE(CONTROL!$C$32, $C$9, 100%, $E$9)</f>
        <v>5.9169</v>
      </c>
      <c r="E335" s="9">
        <f>5.7131 * CHOOSE(CONTROL!$C$32, $C$9, 100%, $E$9)</f>
        <v>5.7130999999999998</v>
      </c>
      <c r="F335" s="9">
        <f>5.7131 * CHOOSE(CONTROL!$C$32, $C$9, 100%, $E$9)</f>
        <v>5.7130999999999998</v>
      </c>
      <c r="G335" s="9">
        <f>5.7165 * CHOOSE(CONTROL!$C$32, $C$9, 100%, $E$9)</f>
        <v>5.7164999999999999</v>
      </c>
      <c r="H335" s="9">
        <f>7.2814 * CHOOSE(CONTROL!$C$32, $C$9, 100%, $E$9)</f>
        <v>7.2813999999999997</v>
      </c>
      <c r="I335" s="9">
        <f>7.2848 * CHOOSE(CONTROL!$C$32, $C$9, 100%, $E$9)</f>
        <v>7.2847999999999997</v>
      </c>
      <c r="J335" s="9">
        <f>7.2814 * CHOOSE(CONTROL!$C$32, $C$9, 100%, $E$9)</f>
        <v>7.2813999999999997</v>
      </c>
      <c r="K335" s="9">
        <f>7.2848 * CHOOSE(CONTROL!$C$32, $C$9, 100%, $E$9)</f>
        <v>7.2847999999999997</v>
      </c>
      <c r="L335" s="9">
        <f>5.7131 * CHOOSE(CONTROL!$C$32, $C$9, 100%, $E$9)</f>
        <v>5.7130999999999998</v>
      </c>
      <c r="M335" s="9">
        <f>5.7165 * CHOOSE(CONTROL!$C$32, $C$9, 100%, $E$9)</f>
        <v>5.7164999999999999</v>
      </c>
      <c r="N335" s="9">
        <f>5.7131 * CHOOSE(CONTROL!$C$32, $C$9, 100%, $E$9)</f>
        <v>5.7130999999999998</v>
      </c>
      <c r="O335" s="9">
        <f>5.7165 * CHOOSE(CONTROL!$C$32, $C$9, 100%, $E$9)</f>
        <v>5.7164999999999999</v>
      </c>
    </row>
    <row r="336" spans="1:15" ht="15.75" x14ac:dyDescent="0.25">
      <c r="A336" s="14">
        <v>51104</v>
      </c>
      <c r="B336" s="10">
        <f>5.9189 * CHOOSE(CONTROL!$C$32, $C$9, 100%, $E$9)</f>
        <v>5.9188999999999998</v>
      </c>
      <c r="C336" s="10">
        <f>5.9189 * CHOOSE(CONTROL!$C$32, $C$9, 100%, $E$9)</f>
        <v>5.9188999999999998</v>
      </c>
      <c r="D336" s="10">
        <f>5.9199 * CHOOSE(CONTROL!$C$32, $C$9, 100%, $E$9)</f>
        <v>5.9199000000000002</v>
      </c>
      <c r="E336" s="9">
        <f>5.7375 * CHOOSE(CONTROL!$C$32, $C$9, 100%, $E$9)</f>
        <v>5.7374999999999998</v>
      </c>
      <c r="F336" s="9">
        <f>5.7375 * CHOOSE(CONTROL!$C$32, $C$9, 100%, $E$9)</f>
        <v>5.7374999999999998</v>
      </c>
      <c r="G336" s="9">
        <f>5.7409 * CHOOSE(CONTROL!$C$32, $C$9, 100%, $E$9)</f>
        <v>5.7408999999999999</v>
      </c>
      <c r="H336" s="9">
        <f>7.2834 * CHOOSE(CONTROL!$C$32, $C$9, 100%, $E$9)</f>
        <v>7.2834000000000003</v>
      </c>
      <c r="I336" s="9">
        <f>7.2868 * CHOOSE(CONTROL!$C$32, $C$9, 100%, $E$9)</f>
        <v>7.2868000000000004</v>
      </c>
      <c r="J336" s="9">
        <f>7.2834 * CHOOSE(CONTROL!$C$32, $C$9, 100%, $E$9)</f>
        <v>7.2834000000000003</v>
      </c>
      <c r="K336" s="9">
        <f>7.2868 * CHOOSE(CONTROL!$C$32, $C$9, 100%, $E$9)</f>
        <v>7.2868000000000004</v>
      </c>
      <c r="L336" s="9">
        <f>5.7375 * CHOOSE(CONTROL!$C$32, $C$9, 100%, $E$9)</f>
        <v>5.7374999999999998</v>
      </c>
      <c r="M336" s="9">
        <f>5.7409 * CHOOSE(CONTROL!$C$32, $C$9, 100%, $E$9)</f>
        <v>5.7408999999999999</v>
      </c>
      <c r="N336" s="9">
        <f>5.7375 * CHOOSE(CONTROL!$C$32, $C$9, 100%, $E$9)</f>
        <v>5.7374999999999998</v>
      </c>
      <c r="O336" s="9">
        <f>5.7409 * CHOOSE(CONTROL!$C$32, $C$9, 100%, $E$9)</f>
        <v>5.7408999999999999</v>
      </c>
    </row>
    <row r="337" spans="1:15" ht="15.75" x14ac:dyDescent="0.25">
      <c r="A337" s="14">
        <v>51135</v>
      </c>
      <c r="B337" s="10">
        <f>5.9189 * CHOOSE(CONTROL!$C$32, $C$9, 100%, $E$9)</f>
        <v>5.9188999999999998</v>
      </c>
      <c r="C337" s="10">
        <f>5.9189 * CHOOSE(CONTROL!$C$32, $C$9, 100%, $E$9)</f>
        <v>5.9188999999999998</v>
      </c>
      <c r="D337" s="10">
        <f>5.9199 * CHOOSE(CONTROL!$C$32, $C$9, 100%, $E$9)</f>
        <v>5.9199000000000002</v>
      </c>
      <c r="E337" s="9">
        <f>5.682 * CHOOSE(CONTROL!$C$32, $C$9, 100%, $E$9)</f>
        <v>5.6820000000000004</v>
      </c>
      <c r="F337" s="9">
        <f>5.682 * CHOOSE(CONTROL!$C$32, $C$9, 100%, $E$9)</f>
        <v>5.6820000000000004</v>
      </c>
      <c r="G337" s="9">
        <f>5.6853 * CHOOSE(CONTROL!$C$32, $C$9, 100%, $E$9)</f>
        <v>5.6852999999999998</v>
      </c>
      <c r="H337" s="9">
        <f>7.2834 * CHOOSE(CONTROL!$C$32, $C$9, 100%, $E$9)</f>
        <v>7.2834000000000003</v>
      </c>
      <c r="I337" s="9">
        <f>7.2868 * CHOOSE(CONTROL!$C$32, $C$9, 100%, $E$9)</f>
        <v>7.2868000000000004</v>
      </c>
      <c r="J337" s="9">
        <f>7.2834 * CHOOSE(CONTROL!$C$32, $C$9, 100%, $E$9)</f>
        <v>7.2834000000000003</v>
      </c>
      <c r="K337" s="9">
        <f>7.2868 * CHOOSE(CONTROL!$C$32, $C$9, 100%, $E$9)</f>
        <v>7.2868000000000004</v>
      </c>
      <c r="L337" s="9">
        <f>5.682 * CHOOSE(CONTROL!$C$32, $C$9, 100%, $E$9)</f>
        <v>5.6820000000000004</v>
      </c>
      <c r="M337" s="9">
        <f>5.6853 * CHOOSE(CONTROL!$C$32, $C$9, 100%, $E$9)</f>
        <v>5.6852999999999998</v>
      </c>
      <c r="N337" s="9">
        <f>5.682 * CHOOSE(CONTROL!$C$32, $C$9, 100%, $E$9)</f>
        <v>5.6820000000000004</v>
      </c>
      <c r="O337" s="9">
        <f>5.6853 * CHOOSE(CONTROL!$C$32, $C$9, 100%, $E$9)</f>
        <v>5.6852999999999998</v>
      </c>
    </row>
    <row r="338" spans="1:15" ht="15.75" x14ac:dyDescent="0.25">
      <c r="A338" s="14">
        <v>51166</v>
      </c>
      <c r="B338" s="10">
        <f>5.9692 * CHOOSE(CONTROL!$C$32, $C$9, 100%, $E$9)</f>
        <v>5.9691999999999998</v>
      </c>
      <c r="C338" s="10">
        <f>5.9692 * CHOOSE(CONTROL!$C$32, $C$9, 100%, $E$9)</f>
        <v>5.9691999999999998</v>
      </c>
      <c r="D338" s="10">
        <f>5.9702 * CHOOSE(CONTROL!$C$32, $C$9, 100%, $E$9)</f>
        <v>5.9702000000000002</v>
      </c>
      <c r="E338" s="9">
        <f>5.761 * CHOOSE(CONTROL!$C$32, $C$9, 100%, $E$9)</f>
        <v>5.7610000000000001</v>
      </c>
      <c r="F338" s="9">
        <f>5.761 * CHOOSE(CONTROL!$C$32, $C$9, 100%, $E$9)</f>
        <v>5.7610000000000001</v>
      </c>
      <c r="G338" s="9">
        <f>5.7644 * CHOOSE(CONTROL!$C$32, $C$9, 100%, $E$9)</f>
        <v>5.7644000000000002</v>
      </c>
      <c r="H338" s="9">
        <f>7.3382 * CHOOSE(CONTROL!$C$32, $C$9, 100%, $E$9)</f>
        <v>7.3381999999999996</v>
      </c>
      <c r="I338" s="9">
        <f>7.3416 * CHOOSE(CONTROL!$C$32, $C$9, 100%, $E$9)</f>
        <v>7.3415999999999997</v>
      </c>
      <c r="J338" s="9">
        <f>7.3382 * CHOOSE(CONTROL!$C$32, $C$9, 100%, $E$9)</f>
        <v>7.3381999999999996</v>
      </c>
      <c r="K338" s="9">
        <f>7.3416 * CHOOSE(CONTROL!$C$32, $C$9, 100%, $E$9)</f>
        <v>7.3415999999999997</v>
      </c>
      <c r="L338" s="9">
        <f>5.761 * CHOOSE(CONTROL!$C$32, $C$9, 100%, $E$9)</f>
        <v>5.7610000000000001</v>
      </c>
      <c r="M338" s="9">
        <f>5.7644 * CHOOSE(CONTROL!$C$32, $C$9, 100%, $E$9)</f>
        <v>5.7644000000000002</v>
      </c>
      <c r="N338" s="9">
        <f>5.761 * CHOOSE(CONTROL!$C$32, $C$9, 100%, $E$9)</f>
        <v>5.7610000000000001</v>
      </c>
      <c r="O338" s="9">
        <f>5.7644 * CHOOSE(CONTROL!$C$32, $C$9, 100%, $E$9)</f>
        <v>5.7644000000000002</v>
      </c>
    </row>
    <row r="339" spans="1:15" ht="15.75" x14ac:dyDescent="0.25">
      <c r="A339" s="14">
        <v>51194</v>
      </c>
      <c r="B339" s="10">
        <f>5.9662 * CHOOSE(CONTROL!$C$32, $C$9, 100%, $E$9)</f>
        <v>5.9661999999999997</v>
      </c>
      <c r="C339" s="10">
        <f>5.9662 * CHOOSE(CONTROL!$C$32, $C$9, 100%, $E$9)</f>
        <v>5.9661999999999997</v>
      </c>
      <c r="D339" s="10">
        <f>5.9672 * CHOOSE(CONTROL!$C$32, $C$9, 100%, $E$9)</f>
        <v>5.9672000000000001</v>
      </c>
      <c r="E339" s="9">
        <f>5.6509 * CHOOSE(CONTROL!$C$32, $C$9, 100%, $E$9)</f>
        <v>5.6509</v>
      </c>
      <c r="F339" s="9">
        <f>5.6509 * CHOOSE(CONTROL!$C$32, $C$9, 100%, $E$9)</f>
        <v>5.6509</v>
      </c>
      <c r="G339" s="9">
        <f>5.6542 * CHOOSE(CONTROL!$C$32, $C$9, 100%, $E$9)</f>
        <v>5.6542000000000003</v>
      </c>
      <c r="H339" s="9">
        <f>7.3362 * CHOOSE(CONTROL!$C$32, $C$9, 100%, $E$9)</f>
        <v>7.3361999999999998</v>
      </c>
      <c r="I339" s="9">
        <f>7.3396 * CHOOSE(CONTROL!$C$32, $C$9, 100%, $E$9)</f>
        <v>7.3395999999999999</v>
      </c>
      <c r="J339" s="9">
        <f>7.3362 * CHOOSE(CONTROL!$C$32, $C$9, 100%, $E$9)</f>
        <v>7.3361999999999998</v>
      </c>
      <c r="K339" s="9">
        <f>7.3396 * CHOOSE(CONTROL!$C$32, $C$9, 100%, $E$9)</f>
        <v>7.3395999999999999</v>
      </c>
      <c r="L339" s="9">
        <f>5.6509 * CHOOSE(CONTROL!$C$32, $C$9, 100%, $E$9)</f>
        <v>5.6509</v>
      </c>
      <c r="M339" s="9">
        <f>5.6542 * CHOOSE(CONTROL!$C$32, $C$9, 100%, $E$9)</f>
        <v>5.6542000000000003</v>
      </c>
      <c r="N339" s="9">
        <f>5.6509 * CHOOSE(CONTROL!$C$32, $C$9, 100%, $E$9)</f>
        <v>5.6509</v>
      </c>
      <c r="O339" s="9">
        <f>5.6542 * CHOOSE(CONTROL!$C$32, $C$9, 100%, $E$9)</f>
        <v>5.6542000000000003</v>
      </c>
    </row>
    <row r="340" spans="1:15" ht="15.75" x14ac:dyDescent="0.25">
      <c r="A340" s="14">
        <v>51226</v>
      </c>
      <c r="B340" s="10">
        <f>5.9632 * CHOOSE(CONTROL!$C$32, $C$9, 100%, $E$9)</f>
        <v>5.9631999999999996</v>
      </c>
      <c r="C340" s="10">
        <f>5.9632 * CHOOSE(CONTROL!$C$32, $C$9, 100%, $E$9)</f>
        <v>5.9631999999999996</v>
      </c>
      <c r="D340" s="10">
        <f>5.9642 * CHOOSE(CONTROL!$C$32, $C$9, 100%, $E$9)</f>
        <v>5.9641999999999999</v>
      </c>
      <c r="E340" s="9">
        <f>5.7339 * CHOOSE(CONTROL!$C$32, $C$9, 100%, $E$9)</f>
        <v>5.7339000000000002</v>
      </c>
      <c r="F340" s="9">
        <f>5.7339 * CHOOSE(CONTROL!$C$32, $C$9, 100%, $E$9)</f>
        <v>5.7339000000000002</v>
      </c>
      <c r="G340" s="9">
        <f>5.7373 * CHOOSE(CONTROL!$C$32, $C$9, 100%, $E$9)</f>
        <v>5.7373000000000003</v>
      </c>
      <c r="H340" s="9">
        <f>7.3342 * CHOOSE(CONTROL!$C$32, $C$9, 100%, $E$9)</f>
        <v>7.3342000000000001</v>
      </c>
      <c r="I340" s="9">
        <f>7.3376 * CHOOSE(CONTROL!$C$32, $C$9, 100%, $E$9)</f>
        <v>7.3376000000000001</v>
      </c>
      <c r="J340" s="9">
        <f>7.3342 * CHOOSE(CONTROL!$C$32, $C$9, 100%, $E$9)</f>
        <v>7.3342000000000001</v>
      </c>
      <c r="K340" s="9">
        <f>7.3376 * CHOOSE(CONTROL!$C$32, $C$9, 100%, $E$9)</f>
        <v>7.3376000000000001</v>
      </c>
      <c r="L340" s="9">
        <f>5.7339 * CHOOSE(CONTROL!$C$32, $C$9, 100%, $E$9)</f>
        <v>5.7339000000000002</v>
      </c>
      <c r="M340" s="9">
        <f>5.7373 * CHOOSE(CONTROL!$C$32, $C$9, 100%, $E$9)</f>
        <v>5.7373000000000003</v>
      </c>
      <c r="N340" s="9">
        <f>5.7339 * CHOOSE(CONTROL!$C$32, $C$9, 100%, $E$9)</f>
        <v>5.7339000000000002</v>
      </c>
      <c r="O340" s="9">
        <f>5.7373 * CHOOSE(CONTROL!$C$32, $C$9, 100%, $E$9)</f>
        <v>5.7373000000000003</v>
      </c>
    </row>
    <row r="341" spans="1:15" ht="15.75" x14ac:dyDescent="0.25">
      <c r="A341" s="14">
        <v>51256</v>
      </c>
      <c r="B341" s="10">
        <f>5.9629 * CHOOSE(CONTROL!$C$32, $C$9, 100%, $E$9)</f>
        <v>5.9629000000000003</v>
      </c>
      <c r="C341" s="10">
        <f>5.9629 * CHOOSE(CONTROL!$C$32, $C$9, 100%, $E$9)</f>
        <v>5.9629000000000003</v>
      </c>
      <c r="D341" s="10">
        <f>5.9639 * CHOOSE(CONTROL!$C$32, $C$9, 100%, $E$9)</f>
        <v>5.9638999999999998</v>
      </c>
      <c r="E341" s="9">
        <f>5.8211 * CHOOSE(CONTROL!$C$32, $C$9, 100%, $E$9)</f>
        <v>5.8211000000000004</v>
      </c>
      <c r="F341" s="9">
        <f>5.8211 * CHOOSE(CONTROL!$C$32, $C$9, 100%, $E$9)</f>
        <v>5.8211000000000004</v>
      </c>
      <c r="G341" s="9">
        <f>5.8245 * CHOOSE(CONTROL!$C$32, $C$9, 100%, $E$9)</f>
        <v>5.8244999999999996</v>
      </c>
      <c r="H341" s="9">
        <f>7.3338 * CHOOSE(CONTROL!$C$32, $C$9, 100%, $E$9)</f>
        <v>7.3338000000000001</v>
      </c>
      <c r="I341" s="9">
        <f>7.3372 * CHOOSE(CONTROL!$C$32, $C$9, 100%, $E$9)</f>
        <v>7.3372000000000002</v>
      </c>
      <c r="J341" s="9">
        <f>7.3338 * CHOOSE(CONTROL!$C$32, $C$9, 100%, $E$9)</f>
        <v>7.3338000000000001</v>
      </c>
      <c r="K341" s="9">
        <f>7.3372 * CHOOSE(CONTROL!$C$32, $C$9, 100%, $E$9)</f>
        <v>7.3372000000000002</v>
      </c>
      <c r="L341" s="9">
        <f>5.8211 * CHOOSE(CONTROL!$C$32, $C$9, 100%, $E$9)</f>
        <v>5.8211000000000004</v>
      </c>
      <c r="M341" s="9">
        <f>5.8245 * CHOOSE(CONTROL!$C$32, $C$9, 100%, $E$9)</f>
        <v>5.8244999999999996</v>
      </c>
      <c r="N341" s="9">
        <f>5.8211 * CHOOSE(CONTROL!$C$32, $C$9, 100%, $E$9)</f>
        <v>5.8211000000000004</v>
      </c>
      <c r="O341" s="9">
        <f>5.8245 * CHOOSE(CONTROL!$C$32, $C$9, 100%, $E$9)</f>
        <v>5.8244999999999996</v>
      </c>
    </row>
    <row r="342" spans="1:15" ht="15.75" x14ac:dyDescent="0.25">
      <c r="A342" s="14">
        <v>51287</v>
      </c>
      <c r="B342" s="10">
        <f>5.9629 * CHOOSE(CONTROL!$C$32, $C$9, 100%, $E$9)</f>
        <v>5.9629000000000003</v>
      </c>
      <c r="C342" s="10">
        <f>5.9629 * CHOOSE(CONTROL!$C$32, $C$9, 100%, $E$9)</f>
        <v>5.9629000000000003</v>
      </c>
      <c r="D342" s="10">
        <f>5.9642 * CHOOSE(CONTROL!$C$32, $C$9, 100%, $E$9)</f>
        <v>5.9641999999999999</v>
      </c>
      <c r="E342" s="9">
        <f>5.8555 * CHOOSE(CONTROL!$C$32, $C$9, 100%, $E$9)</f>
        <v>5.8555000000000001</v>
      </c>
      <c r="F342" s="9">
        <f>5.8555 * CHOOSE(CONTROL!$C$32, $C$9, 100%, $E$9)</f>
        <v>5.8555000000000001</v>
      </c>
      <c r="G342" s="9">
        <f>5.8598 * CHOOSE(CONTROL!$C$32, $C$9, 100%, $E$9)</f>
        <v>5.8597999999999999</v>
      </c>
      <c r="H342" s="9">
        <f>7.3338 * CHOOSE(CONTROL!$C$32, $C$9, 100%, $E$9)</f>
        <v>7.3338000000000001</v>
      </c>
      <c r="I342" s="9">
        <f>7.3382 * CHOOSE(CONTROL!$C$32, $C$9, 100%, $E$9)</f>
        <v>7.3381999999999996</v>
      </c>
      <c r="J342" s="9">
        <f>7.3338 * CHOOSE(CONTROL!$C$32, $C$9, 100%, $E$9)</f>
        <v>7.3338000000000001</v>
      </c>
      <c r="K342" s="9">
        <f>7.3382 * CHOOSE(CONTROL!$C$32, $C$9, 100%, $E$9)</f>
        <v>7.3381999999999996</v>
      </c>
      <c r="L342" s="9">
        <f>5.8555 * CHOOSE(CONTROL!$C$32, $C$9, 100%, $E$9)</f>
        <v>5.8555000000000001</v>
      </c>
      <c r="M342" s="9">
        <f>5.8598 * CHOOSE(CONTROL!$C$32, $C$9, 100%, $E$9)</f>
        <v>5.8597999999999999</v>
      </c>
      <c r="N342" s="9">
        <f>5.8555 * CHOOSE(CONTROL!$C$32, $C$9, 100%, $E$9)</f>
        <v>5.8555000000000001</v>
      </c>
      <c r="O342" s="9">
        <f>5.8598 * CHOOSE(CONTROL!$C$32, $C$9, 100%, $E$9)</f>
        <v>5.8597999999999999</v>
      </c>
    </row>
    <row r="343" spans="1:15" ht="15.75" x14ac:dyDescent="0.25">
      <c r="A343" s="14">
        <v>51317</v>
      </c>
      <c r="B343" s="10">
        <f>5.969 * CHOOSE(CONTROL!$C$32, $C$9, 100%, $E$9)</f>
        <v>5.9690000000000003</v>
      </c>
      <c r="C343" s="10">
        <f>5.969 * CHOOSE(CONTROL!$C$32, $C$9, 100%, $E$9)</f>
        <v>5.9690000000000003</v>
      </c>
      <c r="D343" s="10">
        <f>5.9703 * CHOOSE(CONTROL!$C$32, $C$9, 100%, $E$9)</f>
        <v>5.9702999999999999</v>
      </c>
      <c r="E343" s="9">
        <f>5.8254 * CHOOSE(CONTROL!$C$32, $C$9, 100%, $E$9)</f>
        <v>5.8254000000000001</v>
      </c>
      <c r="F343" s="9">
        <f>5.8254 * CHOOSE(CONTROL!$C$32, $C$9, 100%, $E$9)</f>
        <v>5.8254000000000001</v>
      </c>
      <c r="G343" s="9">
        <f>5.8297 * CHOOSE(CONTROL!$C$32, $C$9, 100%, $E$9)</f>
        <v>5.8296999999999999</v>
      </c>
      <c r="H343" s="9">
        <f>7.3378 * CHOOSE(CONTROL!$C$32, $C$9, 100%, $E$9)</f>
        <v>7.3377999999999997</v>
      </c>
      <c r="I343" s="9">
        <f>7.3422 * CHOOSE(CONTROL!$C$32, $C$9, 100%, $E$9)</f>
        <v>7.3422000000000001</v>
      </c>
      <c r="J343" s="9">
        <f>7.3378 * CHOOSE(CONTROL!$C$32, $C$9, 100%, $E$9)</f>
        <v>7.3377999999999997</v>
      </c>
      <c r="K343" s="9">
        <f>7.3422 * CHOOSE(CONTROL!$C$32, $C$9, 100%, $E$9)</f>
        <v>7.3422000000000001</v>
      </c>
      <c r="L343" s="9">
        <f>5.8254 * CHOOSE(CONTROL!$C$32, $C$9, 100%, $E$9)</f>
        <v>5.8254000000000001</v>
      </c>
      <c r="M343" s="9">
        <f>5.8297 * CHOOSE(CONTROL!$C$32, $C$9, 100%, $E$9)</f>
        <v>5.8296999999999999</v>
      </c>
      <c r="N343" s="9">
        <f>5.8254 * CHOOSE(CONTROL!$C$32, $C$9, 100%, $E$9)</f>
        <v>5.8254000000000001</v>
      </c>
      <c r="O343" s="9">
        <f>5.8297 * CHOOSE(CONTROL!$C$32, $C$9, 100%, $E$9)</f>
        <v>5.8296999999999999</v>
      </c>
    </row>
    <row r="344" spans="1:15" ht="15.75" x14ac:dyDescent="0.25">
      <c r="A344" s="14">
        <v>51348</v>
      </c>
      <c r="B344" s="10">
        <f>6.0583 * CHOOSE(CONTROL!$C$32, $C$9, 100%, $E$9)</f>
        <v>6.0583</v>
      </c>
      <c r="C344" s="10">
        <f>6.0583 * CHOOSE(CONTROL!$C$32, $C$9, 100%, $E$9)</f>
        <v>6.0583</v>
      </c>
      <c r="D344" s="10">
        <f>6.0596 * CHOOSE(CONTROL!$C$32, $C$9, 100%, $E$9)</f>
        <v>6.0595999999999997</v>
      </c>
      <c r="E344" s="9">
        <f>5.8967 * CHOOSE(CONTROL!$C$32, $C$9, 100%, $E$9)</f>
        <v>5.8967000000000001</v>
      </c>
      <c r="F344" s="9">
        <f>5.8967 * CHOOSE(CONTROL!$C$32, $C$9, 100%, $E$9)</f>
        <v>5.8967000000000001</v>
      </c>
      <c r="G344" s="9">
        <f>5.9011 * CHOOSE(CONTROL!$C$32, $C$9, 100%, $E$9)</f>
        <v>5.9010999999999996</v>
      </c>
      <c r="H344" s="9">
        <f>7.451 * CHOOSE(CONTROL!$C$32, $C$9, 100%, $E$9)</f>
        <v>7.4509999999999996</v>
      </c>
      <c r="I344" s="9">
        <f>7.4553 * CHOOSE(CONTROL!$C$32, $C$9, 100%, $E$9)</f>
        <v>7.4553000000000003</v>
      </c>
      <c r="J344" s="9">
        <f>7.451 * CHOOSE(CONTROL!$C$32, $C$9, 100%, $E$9)</f>
        <v>7.4509999999999996</v>
      </c>
      <c r="K344" s="9">
        <f>7.4553 * CHOOSE(CONTROL!$C$32, $C$9, 100%, $E$9)</f>
        <v>7.4553000000000003</v>
      </c>
      <c r="L344" s="9">
        <f>5.8967 * CHOOSE(CONTROL!$C$32, $C$9, 100%, $E$9)</f>
        <v>5.8967000000000001</v>
      </c>
      <c r="M344" s="9">
        <f>5.9011 * CHOOSE(CONTROL!$C$32, $C$9, 100%, $E$9)</f>
        <v>5.9010999999999996</v>
      </c>
      <c r="N344" s="9">
        <f>5.8967 * CHOOSE(CONTROL!$C$32, $C$9, 100%, $E$9)</f>
        <v>5.8967000000000001</v>
      </c>
      <c r="O344" s="9">
        <f>5.9011 * CHOOSE(CONTROL!$C$32, $C$9, 100%, $E$9)</f>
        <v>5.9010999999999996</v>
      </c>
    </row>
    <row r="345" spans="1:15" ht="15.75" x14ac:dyDescent="0.25">
      <c r="A345" s="14">
        <v>51379</v>
      </c>
      <c r="B345" s="10">
        <f>6.065 * CHOOSE(CONTROL!$C$32, $C$9, 100%, $E$9)</f>
        <v>6.0650000000000004</v>
      </c>
      <c r="C345" s="10">
        <f>6.065 * CHOOSE(CONTROL!$C$32, $C$9, 100%, $E$9)</f>
        <v>6.0650000000000004</v>
      </c>
      <c r="D345" s="10">
        <f>6.0663 * CHOOSE(CONTROL!$C$32, $C$9, 100%, $E$9)</f>
        <v>6.0663</v>
      </c>
      <c r="E345" s="9">
        <f>5.7985 * CHOOSE(CONTROL!$C$32, $C$9, 100%, $E$9)</f>
        <v>5.7984999999999998</v>
      </c>
      <c r="F345" s="9">
        <f>5.7985 * CHOOSE(CONTROL!$C$32, $C$9, 100%, $E$9)</f>
        <v>5.7984999999999998</v>
      </c>
      <c r="G345" s="9">
        <f>5.8028 * CHOOSE(CONTROL!$C$32, $C$9, 100%, $E$9)</f>
        <v>5.8028000000000004</v>
      </c>
      <c r="H345" s="9">
        <f>7.4554 * CHOOSE(CONTROL!$C$32, $C$9, 100%, $E$9)</f>
        <v>7.4554</v>
      </c>
      <c r="I345" s="9">
        <f>7.4597 * CHOOSE(CONTROL!$C$32, $C$9, 100%, $E$9)</f>
        <v>7.4596999999999998</v>
      </c>
      <c r="J345" s="9">
        <f>7.4554 * CHOOSE(CONTROL!$C$32, $C$9, 100%, $E$9)</f>
        <v>7.4554</v>
      </c>
      <c r="K345" s="9">
        <f>7.4597 * CHOOSE(CONTROL!$C$32, $C$9, 100%, $E$9)</f>
        <v>7.4596999999999998</v>
      </c>
      <c r="L345" s="9">
        <f>5.7985 * CHOOSE(CONTROL!$C$32, $C$9, 100%, $E$9)</f>
        <v>5.7984999999999998</v>
      </c>
      <c r="M345" s="9">
        <f>5.8028 * CHOOSE(CONTROL!$C$32, $C$9, 100%, $E$9)</f>
        <v>5.8028000000000004</v>
      </c>
      <c r="N345" s="9">
        <f>5.7985 * CHOOSE(CONTROL!$C$32, $C$9, 100%, $E$9)</f>
        <v>5.7984999999999998</v>
      </c>
      <c r="O345" s="9">
        <f>5.8028 * CHOOSE(CONTROL!$C$32, $C$9, 100%, $E$9)</f>
        <v>5.8028000000000004</v>
      </c>
    </row>
    <row r="346" spans="1:15" ht="15.75" x14ac:dyDescent="0.25">
      <c r="A346" s="14">
        <v>51409</v>
      </c>
      <c r="B346" s="10">
        <f>6.062 * CHOOSE(CONTROL!$C$32, $C$9, 100%, $E$9)</f>
        <v>6.0620000000000003</v>
      </c>
      <c r="C346" s="10">
        <f>6.062 * CHOOSE(CONTROL!$C$32, $C$9, 100%, $E$9)</f>
        <v>6.0620000000000003</v>
      </c>
      <c r="D346" s="10">
        <f>6.0633 * CHOOSE(CONTROL!$C$32, $C$9, 100%, $E$9)</f>
        <v>6.0632999999999999</v>
      </c>
      <c r="E346" s="9">
        <f>5.7849 * CHOOSE(CONTROL!$C$32, $C$9, 100%, $E$9)</f>
        <v>5.7849000000000004</v>
      </c>
      <c r="F346" s="9">
        <f>5.7849 * CHOOSE(CONTROL!$C$32, $C$9, 100%, $E$9)</f>
        <v>5.7849000000000004</v>
      </c>
      <c r="G346" s="9">
        <f>5.7893 * CHOOSE(CONTROL!$C$32, $C$9, 100%, $E$9)</f>
        <v>5.7892999999999999</v>
      </c>
      <c r="H346" s="9">
        <f>7.4534 * CHOOSE(CONTROL!$C$32, $C$9, 100%, $E$9)</f>
        <v>7.4534000000000002</v>
      </c>
      <c r="I346" s="9">
        <f>7.4577 * CHOOSE(CONTROL!$C$32, $C$9, 100%, $E$9)</f>
        <v>7.4577</v>
      </c>
      <c r="J346" s="9">
        <f>7.4534 * CHOOSE(CONTROL!$C$32, $C$9, 100%, $E$9)</f>
        <v>7.4534000000000002</v>
      </c>
      <c r="K346" s="9">
        <f>7.4577 * CHOOSE(CONTROL!$C$32, $C$9, 100%, $E$9)</f>
        <v>7.4577</v>
      </c>
      <c r="L346" s="9">
        <f>5.7849 * CHOOSE(CONTROL!$C$32, $C$9, 100%, $E$9)</f>
        <v>5.7849000000000004</v>
      </c>
      <c r="M346" s="9">
        <f>5.7893 * CHOOSE(CONTROL!$C$32, $C$9, 100%, $E$9)</f>
        <v>5.7892999999999999</v>
      </c>
      <c r="N346" s="9">
        <f>5.7849 * CHOOSE(CONTROL!$C$32, $C$9, 100%, $E$9)</f>
        <v>5.7849000000000004</v>
      </c>
      <c r="O346" s="9">
        <f>5.7893 * CHOOSE(CONTROL!$C$32, $C$9, 100%, $E$9)</f>
        <v>5.7892999999999999</v>
      </c>
    </row>
    <row r="347" spans="1:15" ht="15.75" x14ac:dyDescent="0.25">
      <c r="A347" s="14">
        <v>51440</v>
      </c>
      <c r="B347" s="10">
        <f>6.0654 * CHOOSE(CONTROL!$C$32, $C$9, 100%, $E$9)</f>
        <v>6.0654000000000003</v>
      </c>
      <c r="C347" s="10">
        <f>6.0654 * CHOOSE(CONTROL!$C$32, $C$9, 100%, $E$9)</f>
        <v>6.0654000000000003</v>
      </c>
      <c r="D347" s="10">
        <f>6.0665 * CHOOSE(CONTROL!$C$32, $C$9, 100%, $E$9)</f>
        <v>6.0664999999999996</v>
      </c>
      <c r="E347" s="9">
        <f>5.8172 * CHOOSE(CONTROL!$C$32, $C$9, 100%, $E$9)</f>
        <v>5.8171999999999997</v>
      </c>
      <c r="F347" s="9">
        <f>5.8172 * CHOOSE(CONTROL!$C$32, $C$9, 100%, $E$9)</f>
        <v>5.8171999999999997</v>
      </c>
      <c r="G347" s="9">
        <f>5.8206 * CHOOSE(CONTROL!$C$32, $C$9, 100%, $E$9)</f>
        <v>5.8205999999999998</v>
      </c>
      <c r="H347" s="9">
        <f>7.4548 * CHOOSE(CONTROL!$C$32, $C$9, 100%, $E$9)</f>
        <v>7.4547999999999996</v>
      </c>
      <c r="I347" s="9">
        <f>7.4582 * CHOOSE(CONTROL!$C$32, $C$9, 100%, $E$9)</f>
        <v>7.4581999999999997</v>
      </c>
      <c r="J347" s="9">
        <f>7.4548 * CHOOSE(CONTROL!$C$32, $C$9, 100%, $E$9)</f>
        <v>7.4547999999999996</v>
      </c>
      <c r="K347" s="9">
        <f>7.4582 * CHOOSE(CONTROL!$C$32, $C$9, 100%, $E$9)</f>
        <v>7.4581999999999997</v>
      </c>
      <c r="L347" s="9">
        <f>5.8172 * CHOOSE(CONTROL!$C$32, $C$9, 100%, $E$9)</f>
        <v>5.8171999999999997</v>
      </c>
      <c r="M347" s="9">
        <f>5.8206 * CHOOSE(CONTROL!$C$32, $C$9, 100%, $E$9)</f>
        <v>5.8205999999999998</v>
      </c>
      <c r="N347" s="9">
        <f>5.8172 * CHOOSE(CONTROL!$C$32, $C$9, 100%, $E$9)</f>
        <v>5.8171999999999997</v>
      </c>
      <c r="O347" s="9">
        <f>5.8206 * CHOOSE(CONTROL!$C$32, $C$9, 100%, $E$9)</f>
        <v>5.8205999999999998</v>
      </c>
    </row>
    <row r="348" spans="1:15" ht="15.75" x14ac:dyDescent="0.25">
      <c r="A348" s="14">
        <v>51470</v>
      </c>
      <c r="B348" s="10">
        <f>6.0685 * CHOOSE(CONTROL!$C$32, $C$9, 100%, $E$9)</f>
        <v>6.0685000000000002</v>
      </c>
      <c r="C348" s="10">
        <f>6.0685 * CHOOSE(CONTROL!$C$32, $C$9, 100%, $E$9)</f>
        <v>6.0685000000000002</v>
      </c>
      <c r="D348" s="10">
        <f>6.0695 * CHOOSE(CONTROL!$C$32, $C$9, 100%, $E$9)</f>
        <v>6.0694999999999997</v>
      </c>
      <c r="E348" s="9">
        <f>5.8422 * CHOOSE(CONTROL!$C$32, $C$9, 100%, $E$9)</f>
        <v>5.8422000000000001</v>
      </c>
      <c r="F348" s="9">
        <f>5.8422 * CHOOSE(CONTROL!$C$32, $C$9, 100%, $E$9)</f>
        <v>5.8422000000000001</v>
      </c>
      <c r="G348" s="9">
        <f>5.8456 * CHOOSE(CONTROL!$C$32, $C$9, 100%, $E$9)</f>
        <v>5.8456000000000001</v>
      </c>
      <c r="H348" s="9">
        <f>7.4568 * CHOOSE(CONTROL!$C$32, $C$9, 100%, $E$9)</f>
        <v>7.4568000000000003</v>
      </c>
      <c r="I348" s="9">
        <f>7.4602 * CHOOSE(CONTROL!$C$32, $C$9, 100%, $E$9)</f>
        <v>7.4602000000000004</v>
      </c>
      <c r="J348" s="9">
        <f>7.4568 * CHOOSE(CONTROL!$C$32, $C$9, 100%, $E$9)</f>
        <v>7.4568000000000003</v>
      </c>
      <c r="K348" s="9">
        <f>7.4602 * CHOOSE(CONTROL!$C$32, $C$9, 100%, $E$9)</f>
        <v>7.4602000000000004</v>
      </c>
      <c r="L348" s="9">
        <f>5.8422 * CHOOSE(CONTROL!$C$32, $C$9, 100%, $E$9)</f>
        <v>5.8422000000000001</v>
      </c>
      <c r="M348" s="9">
        <f>5.8456 * CHOOSE(CONTROL!$C$32, $C$9, 100%, $E$9)</f>
        <v>5.8456000000000001</v>
      </c>
      <c r="N348" s="9">
        <f>5.8422 * CHOOSE(CONTROL!$C$32, $C$9, 100%, $E$9)</f>
        <v>5.8422000000000001</v>
      </c>
      <c r="O348" s="9">
        <f>5.8456 * CHOOSE(CONTROL!$C$32, $C$9, 100%, $E$9)</f>
        <v>5.8456000000000001</v>
      </c>
    </row>
    <row r="349" spans="1:15" ht="15.75" x14ac:dyDescent="0.25">
      <c r="A349" s="14">
        <v>51501</v>
      </c>
      <c r="B349" s="10">
        <f>6.0685 * CHOOSE(CONTROL!$C$32, $C$9, 100%, $E$9)</f>
        <v>6.0685000000000002</v>
      </c>
      <c r="C349" s="10">
        <f>6.0685 * CHOOSE(CONTROL!$C$32, $C$9, 100%, $E$9)</f>
        <v>6.0685000000000002</v>
      </c>
      <c r="D349" s="10">
        <f>6.0695 * CHOOSE(CONTROL!$C$32, $C$9, 100%, $E$9)</f>
        <v>6.0694999999999997</v>
      </c>
      <c r="E349" s="9">
        <f>5.7851 * CHOOSE(CONTROL!$C$32, $C$9, 100%, $E$9)</f>
        <v>5.7850999999999999</v>
      </c>
      <c r="F349" s="9">
        <f>5.7851 * CHOOSE(CONTROL!$C$32, $C$9, 100%, $E$9)</f>
        <v>5.7850999999999999</v>
      </c>
      <c r="G349" s="9">
        <f>5.7884 * CHOOSE(CONTROL!$C$32, $C$9, 100%, $E$9)</f>
        <v>5.7884000000000002</v>
      </c>
      <c r="H349" s="9">
        <f>7.4568 * CHOOSE(CONTROL!$C$32, $C$9, 100%, $E$9)</f>
        <v>7.4568000000000003</v>
      </c>
      <c r="I349" s="9">
        <f>7.4602 * CHOOSE(CONTROL!$C$32, $C$9, 100%, $E$9)</f>
        <v>7.4602000000000004</v>
      </c>
      <c r="J349" s="9">
        <f>7.4568 * CHOOSE(CONTROL!$C$32, $C$9, 100%, $E$9)</f>
        <v>7.4568000000000003</v>
      </c>
      <c r="K349" s="9">
        <f>7.4602 * CHOOSE(CONTROL!$C$32, $C$9, 100%, $E$9)</f>
        <v>7.4602000000000004</v>
      </c>
      <c r="L349" s="9">
        <f>5.7851 * CHOOSE(CONTROL!$C$32, $C$9, 100%, $E$9)</f>
        <v>5.7850999999999999</v>
      </c>
      <c r="M349" s="9">
        <f>5.7884 * CHOOSE(CONTROL!$C$32, $C$9, 100%, $E$9)</f>
        <v>5.7884000000000002</v>
      </c>
      <c r="N349" s="9">
        <f>5.7851 * CHOOSE(CONTROL!$C$32, $C$9, 100%, $E$9)</f>
        <v>5.7850999999999999</v>
      </c>
      <c r="O349" s="9">
        <f>5.7884 * CHOOSE(CONTROL!$C$32, $C$9, 100%, $E$9)</f>
        <v>5.7884000000000002</v>
      </c>
    </row>
    <row r="350" spans="1:15" ht="15.75" x14ac:dyDescent="0.25">
      <c r="A350" s="14">
        <v>51532</v>
      </c>
      <c r="B350" s="10">
        <f>6.12 * CHOOSE(CONTROL!$C$32, $C$9, 100%, $E$9)</f>
        <v>6.12</v>
      </c>
      <c r="C350" s="10">
        <f>6.12 * CHOOSE(CONTROL!$C$32, $C$9, 100%, $E$9)</f>
        <v>6.12</v>
      </c>
      <c r="D350" s="10">
        <f>6.1211 * CHOOSE(CONTROL!$C$32, $C$9, 100%, $E$9)</f>
        <v>6.1211000000000002</v>
      </c>
      <c r="E350" s="9">
        <f>5.8655 * CHOOSE(CONTROL!$C$32, $C$9, 100%, $E$9)</f>
        <v>5.8654999999999999</v>
      </c>
      <c r="F350" s="9">
        <f>5.8655 * CHOOSE(CONTROL!$C$32, $C$9, 100%, $E$9)</f>
        <v>5.8654999999999999</v>
      </c>
      <c r="G350" s="9">
        <f>5.8689 * CHOOSE(CONTROL!$C$32, $C$9, 100%, $E$9)</f>
        <v>5.8689</v>
      </c>
      <c r="H350" s="9">
        <f>7.5129 * CHOOSE(CONTROL!$C$32, $C$9, 100%, $E$9)</f>
        <v>7.5129000000000001</v>
      </c>
      <c r="I350" s="9">
        <f>7.5163 * CHOOSE(CONTROL!$C$32, $C$9, 100%, $E$9)</f>
        <v>7.5163000000000002</v>
      </c>
      <c r="J350" s="9">
        <f>7.5129 * CHOOSE(CONTROL!$C$32, $C$9, 100%, $E$9)</f>
        <v>7.5129000000000001</v>
      </c>
      <c r="K350" s="9">
        <f>7.5163 * CHOOSE(CONTROL!$C$32, $C$9, 100%, $E$9)</f>
        <v>7.5163000000000002</v>
      </c>
      <c r="L350" s="9">
        <f>5.8655 * CHOOSE(CONTROL!$C$32, $C$9, 100%, $E$9)</f>
        <v>5.8654999999999999</v>
      </c>
      <c r="M350" s="9">
        <f>5.8689 * CHOOSE(CONTROL!$C$32, $C$9, 100%, $E$9)</f>
        <v>5.8689</v>
      </c>
      <c r="N350" s="9">
        <f>5.8655 * CHOOSE(CONTROL!$C$32, $C$9, 100%, $E$9)</f>
        <v>5.8654999999999999</v>
      </c>
      <c r="O350" s="9">
        <f>5.8689 * CHOOSE(CONTROL!$C$32, $C$9, 100%, $E$9)</f>
        <v>5.8689</v>
      </c>
    </row>
    <row r="351" spans="1:15" ht="15.75" x14ac:dyDescent="0.25">
      <c r="A351" s="14">
        <v>51560</v>
      </c>
      <c r="B351" s="10">
        <f>6.117 * CHOOSE(CONTROL!$C$32, $C$9, 100%, $E$9)</f>
        <v>6.117</v>
      </c>
      <c r="C351" s="10">
        <f>6.117 * CHOOSE(CONTROL!$C$32, $C$9, 100%, $E$9)</f>
        <v>6.117</v>
      </c>
      <c r="D351" s="10">
        <f>6.118 * CHOOSE(CONTROL!$C$32, $C$9, 100%, $E$9)</f>
        <v>6.1180000000000003</v>
      </c>
      <c r="E351" s="9">
        <f>5.7521 * CHOOSE(CONTROL!$C$32, $C$9, 100%, $E$9)</f>
        <v>5.7521000000000004</v>
      </c>
      <c r="F351" s="9">
        <f>5.7521 * CHOOSE(CONTROL!$C$32, $C$9, 100%, $E$9)</f>
        <v>5.7521000000000004</v>
      </c>
      <c r="G351" s="9">
        <f>5.7555 * CHOOSE(CONTROL!$C$32, $C$9, 100%, $E$9)</f>
        <v>5.7554999999999996</v>
      </c>
      <c r="H351" s="9">
        <f>7.5109 * CHOOSE(CONTROL!$C$32, $C$9, 100%, $E$9)</f>
        <v>7.5109000000000004</v>
      </c>
      <c r="I351" s="9">
        <f>7.5143 * CHOOSE(CONTROL!$C$32, $C$9, 100%, $E$9)</f>
        <v>7.5143000000000004</v>
      </c>
      <c r="J351" s="9">
        <f>7.5109 * CHOOSE(CONTROL!$C$32, $C$9, 100%, $E$9)</f>
        <v>7.5109000000000004</v>
      </c>
      <c r="K351" s="9">
        <f>7.5143 * CHOOSE(CONTROL!$C$32, $C$9, 100%, $E$9)</f>
        <v>7.5143000000000004</v>
      </c>
      <c r="L351" s="9">
        <f>5.7521 * CHOOSE(CONTROL!$C$32, $C$9, 100%, $E$9)</f>
        <v>5.7521000000000004</v>
      </c>
      <c r="M351" s="9">
        <f>5.7555 * CHOOSE(CONTROL!$C$32, $C$9, 100%, $E$9)</f>
        <v>5.7554999999999996</v>
      </c>
      <c r="N351" s="9">
        <f>5.7521 * CHOOSE(CONTROL!$C$32, $C$9, 100%, $E$9)</f>
        <v>5.7521000000000004</v>
      </c>
      <c r="O351" s="9">
        <f>5.7555 * CHOOSE(CONTROL!$C$32, $C$9, 100%, $E$9)</f>
        <v>5.7554999999999996</v>
      </c>
    </row>
    <row r="352" spans="1:15" ht="15.75" x14ac:dyDescent="0.25">
      <c r="A352" s="14">
        <v>51591</v>
      </c>
      <c r="B352" s="10">
        <f>6.114 * CHOOSE(CONTROL!$C$32, $C$9, 100%, $E$9)</f>
        <v>6.1139999999999999</v>
      </c>
      <c r="C352" s="10">
        <f>6.114 * CHOOSE(CONTROL!$C$32, $C$9, 100%, $E$9)</f>
        <v>6.1139999999999999</v>
      </c>
      <c r="D352" s="10">
        <f>6.115 * CHOOSE(CONTROL!$C$32, $C$9, 100%, $E$9)</f>
        <v>6.1150000000000002</v>
      </c>
      <c r="E352" s="9">
        <f>5.8377 * CHOOSE(CONTROL!$C$32, $C$9, 100%, $E$9)</f>
        <v>5.8376999999999999</v>
      </c>
      <c r="F352" s="9">
        <f>5.8377 * CHOOSE(CONTROL!$C$32, $C$9, 100%, $E$9)</f>
        <v>5.8376999999999999</v>
      </c>
      <c r="G352" s="9">
        <f>5.8411 * CHOOSE(CONTROL!$C$32, $C$9, 100%, $E$9)</f>
        <v>5.8411</v>
      </c>
      <c r="H352" s="9">
        <f>7.5089 * CHOOSE(CONTROL!$C$32, $C$9, 100%, $E$9)</f>
        <v>7.5088999999999997</v>
      </c>
      <c r="I352" s="9">
        <f>7.5123 * CHOOSE(CONTROL!$C$32, $C$9, 100%, $E$9)</f>
        <v>7.5122999999999998</v>
      </c>
      <c r="J352" s="9">
        <f>7.5089 * CHOOSE(CONTROL!$C$32, $C$9, 100%, $E$9)</f>
        <v>7.5088999999999997</v>
      </c>
      <c r="K352" s="9">
        <f>7.5123 * CHOOSE(CONTROL!$C$32, $C$9, 100%, $E$9)</f>
        <v>7.5122999999999998</v>
      </c>
      <c r="L352" s="9">
        <f>5.8377 * CHOOSE(CONTROL!$C$32, $C$9, 100%, $E$9)</f>
        <v>5.8376999999999999</v>
      </c>
      <c r="M352" s="9">
        <f>5.8411 * CHOOSE(CONTROL!$C$32, $C$9, 100%, $E$9)</f>
        <v>5.8411</v>
      </c>
      <c r="N352" s="9">
        <f>5.8377 * CHOOSE(CONTROL!$C$32, $C$9, 100%, $E$9)</f>
        <v>5.8376999999999999</v>
      </c>
      <c r="O352" s="9">
        <f>5.8411 * CHOOSE(CONTROL!$C$32, $C$9, 100%, $E$9)</f>
        <v>5.8411</v>
      </c>
    </row>
    <row r="353" spans="1:15" ht="15.75" x14ac:dyDescent="0.25">
      <c r="A353" s="14">
        <v>51621</v>
      </c>
      <c r="B353" s="10">
        <f>6.1139 * CHOOSE(CONTROL!$C$32, $C$9, 100%, $E$9)</f>
        <v>6.1139000000000001</v>
      </c>
      <c r="C353" s="10">
        <f>6.1139 * CHOOSE(CONTROL!$C$32, $C$9, 100%, $E$9)</f>
        <v>6.1139000000000001</v>
      </c>
      <c r="D353" s="10">
        <f>6.1149 * CHOOSE(CONTROL!$C$32, $C$9, 100%, $E$9)</f>
        <v>6.1148999999999996</v>
      </c>
      <c r="E353" s="9">
        <f>5.9277 * CHOOSE(CONTROL!$C$32, $C$9, 100%, $E$9)</f>
        <v>5.9276999999999997</v>
      </c>
      <c r="F353" s="9">
        <f>5.9277 * CHOOSE(CONTROL!$C$32, $C$9, 100%, $E$9)</f>
        <v>5.9276999999999997</v>
      </c>
      <c r="G353" s="9">
        <f>5.9311 * CHOOSE(CONTROL!$C$32, $C$9, 100%, $E$9)</f>
        <v>5.9310999999999998</v>
      </c>
      <c r="H353" s="9">
        <f>7.5086 * CHOOSE(CONTROL!$C$32, $C$9, 100%, $E$9)</f>
        <v>7.5086000000000004</v>
      </c>
      <c r="I353" s="9">
        <f>7.512 * CHOOSE(CONTROL!$C$32, $C$9, 100%, $E$9)</f>
        <v>7.5119999999999996</v>
      </c>
      <c r="J353" s="9">
        <f>7.5086 * CHOOSE(CONTROL!$C$32, $C$9, 100%, $E$9)</f>
        <v>7.5086000000000004</v>
      </c>
      <c r="K353" s="9">
        <f>7.512 * CHOOSE(CONTROL!$C$32, $C$9, 100%, $E$9)</f>
        <v>7.5119999999999996</v>
      </c>
      <c r="L353" s="9">
        <f>5.9277 * CHOOSE(CONTROL!$C$32, $C$9, 100%, $E$9)</f>
        <v>5.9276999999999997</v>
      </c>
      <c r="M353" s="9">
        <f>5.9311 * CHOOSE(CONTROL!$C$32, $C$9, 100%, $E$9)</f>
        <v>5.9310999999999998</v>
      </c>
      <c r="N353" s="9">
        <f>5.9277 * CHOOSE(CONTROL!$C$32, $C$9, 100%, $E$9)</f>
        <v>5.9276999999999997</v>
      </c>
      <c r="O353" s="9">
        <f>5.9311 * CHOOSE(CONTROL!$C$32, $C$9, 100%, $E$9)</f>
        <v>5.9310999999999998</v>
      </c>
    </row>
    <row r="354" spans="1:15" ht="15.75" x14ac:dyDescent="0.25">
      <c r="A354" s="14">
        <v>51652</v>
      </c>
      <c r="B354" s="10">
        <f>6.1139 * CHOOSE(CONTROL!$C$32, $C$9, 100%, $E$9)</f>
        <v>6.1139000000000001</v>
      </c>
      <c r="C354" s="10">
        <f>6.1139 * CHOOSE(CONTROL!$C$32, $C$9, 100%, $E$9)</f>
        <v>6.1139000000000001</v>
      </c>
      <c r="D354" s="10">
        <f>6.1152 * CHOOSE(CONTROL!$C$32, $C$9, 100%, $E$9)</f>
        <v>6.1151999999999997</v>
      </c>
      <c r="E354" s="9">
        <f>5.9631 * CHOOSE(CONTROL!$C$32, $C$9, 100%, $E$9)</f>
        <v>5.9630999999999998</v>
      </c>
      <c r="F354" s="9">
        <f>5.9631 * CHOOSE(CONTROL!$C$32, $C$9, 100%, $E$9)</f>
        <v>5.9630999999999998</v>
      </c>
      <c r="G354" s="9">
        <f>5.9674 * CHOOSE(CONTROL!$C$32, $C$9, 100%, $E$9)</f>
        <v>5.9673999999999996</v>
      </c>
      <c r="H354" s="9">
        <f>7.5086 * CHOOSE(CONTROL!$C$32, $C$9, 100%, $E$9)</f>
        <v>7.5086000000000004</v>
      </c>
      <c r="I354" s="9">
        <f>7.513 * CHOOSE(CONTROL!$C$32, $C$9, 100%, $E$9)</f>
        <v>7.5129999999999999</v>
      </c>
      <c r="J354" s="9">
        <f>7.5086 * CHOOSE(CONTROL!$C$32, $C$9, 100%, $E$9)</f>
        <v>7.5086000000000004</v>
      </c>
      <c r="K354" s="9">
        <f>7.513 * CHOOSE(CONTROL!$C$32, $C$9, 100%, $E$9)</f>
        <v>7.5129999999999999</v>
      </c>
      <c r="L354" s="9">
        <f>5.9631 * CHOOSE(CONTROL!$C$32, $C$9, 100%, $E$9)</f>
        <v>5.9630999999999998</v>
      </c>
      <c r="M354" s="9">
        <f>5.9674 * CHOOSE(CONTROL!$C$32, $C$9, 100%, $E$9)</f>
        <v>5.9673999999999996</v>
      </c>
      <c r="N354" s="9">
        <f>5.9631 * CHOOSE(CONTROL!$C$32, $C$9, 100%, $E$9)</f>
        <v>5.9630999999999998</v>
      </c>
      <c r="O354" s="9">
        <f>5.9674 * CHOOSE(CONTROL!$C$32, $C$9, 100%, $E$9)</f>
        <v>5.9673999999999996</v>
      </c>
    </row>
    <row r="355" spans="1:15" ht="15.75" x14ac:dyDescent="0.25">
      <c r="A355" s="14">
        <v>51682</v>
      </c>
      <c r="B355" s="10">
        <f>6.1199 * CHOOSE(CONTROL!$C$32, $C$9, 100%, $E$9)</f>
        <v>6.1199000000000003</v>
      </c>
      <c r="C355" s="10">
        <f>6.1199 * CHOOSE(CONTROL!$C$32, $C$9, 100%, $E$9)</f>
        <v>6.1199000000000003</v>
      </c>
      <c r="D355" s="10">
        <f>6.1212 * CHOOSE(CONTROL!$C$32, $C$9, 100%, $E$9)</f>
        <v>6.1212</v>
      </c>
      <c r="E355" s="9">
        <f>5.932 * CHOOSE(CONTROL!$C$32, $C$9, 100%, $E$9)</f>
        <v>5.9320000000000004</v>
      </c>
      <c r="F355" s="9">
        <f>5.932 * CHOOSE(CONTROL!$C$32, $C$9, 100%, $E$9)</f>
        <v>5.9320000000000004</v>
      </c>
      <c r="G355" s="9">
        <f>5.9363 * CHOOSE(CONTROL!$C$32, $C$9, 100%, $E$9)</f>
        <v>5.9363000000000001</v>
      </c>
      <c r="H355" s="9">
        <f>7.5126 * CHOOSE(CONTROL!$C$32, $C$9, 100%, $E$9)</f>
        <v>7.5125999999999999</v>
      </c>
      <c r="I355" s="9">
        <f>7.517 * CHOOSE(CONTROL!$C$32, $C$9, 100%, $E$9)</f>
        <v>7.5170000000000003</v>
      </c>
      <c r="J355" s="9">
        <f>7.5126 * CHOOSE(CONTROL!$C$32, $C$9, 100%, $E$9)</f>
        <v>7.5125999999999999</v>
      </c>
      <c r="K355" s="9">
        <f>7.517 * CHOOSE(CONTROL!$C$32, $C$9, 100%, $E$9)</f>
        <v>7.5170000000000003</v>
      </c>
      <c r="L355" s="9">
        <f>5.932 * CHOOSE(CONTROL!$C$32, $C$9, 100%, $E$9)</f>
        <v>5.9320000000000004</v>
      </c>
      <c r="M355" s="9">
        <f>5.9363 * CHOOSE(CONTROL!$C$32, $C$9, 100%, $E$9)</f>
        <v>5.9363000000000001</v>
      </c>
      <c r="N355" s="9">
        <f>5.932 * CHOOSE(CONTROL!$C$32, $C$9, 100%, $E$9)</f>
        <v>5.9320000000000004</v>
      </c>
      <c r="O355" s="9">
        <f>5.9363 * CHOOSE(CONTROL!$C$32, $C$9, 100%, $E$9)</f>
        <v>5.9363000000000001</v>
      </c>
    </row>
    <row r="356" spans="1:15" ht="15.75" x14ac:dyDescent="0.25">
      <c r="A356" s="14">
        <v>51713</v>
      </c>
      <c r="B356" s="10">
        <f>6.2113 * CHOOSE(CONTROL!$C$32, $C$9, 100%, $E$9)</f>
        <v>6.2112999999999996</v>
      </c>
      <c r="C356" s="10">
        <f>6.2113 * CHOOSE(CONTROL!$C$32, $C$9, 100%, $E$9)</f>
        <v>6.2112999999999996</v>
      </c>
      <c r="D356" s="10">
        <f>6.2126 * CHOOSE(CONTROL!$C$32, $C$9, 100%, $E$9)</f>
        <v>6.2126000000000001</v>
      </c>
      <c r="E356" s="9">
        <f>6.0031 * CHOOSE(CONTROL!$C$32, $C$9, 100%, $E$9)</f>
        <v>6.0030999999999999</v>
      </c>
      <c r="F356" s="9">
        <f>6.0031 * CHOOSE(CONTROL!$C$32, $C$9, 100%, $E$9)</f>
        <v>6.0030999999999999</v>
      </c>
      <c r="G356" s="9">
        <f>6.0074 * CHOOSE(CONTROL!$C$32, $C$9, 100%, $E$9)</f>
        <v>6.0073999999999996</v>
      </c>
      <c r="H356" s="9">
        <f>7.6283 * CHOOSE(CONTROL!$C$32, $C$9, 100%, $E$9)</f>
        <v>7.6283000000000003</v>
      </c>
      <c r="I356" s="9">
        <f>7.6327 * CHOOSE(CONTROL!$C$32, $C$9, 100%, $E$9)</f>
        <v>7.6326999999999998</v>
      </c>
      <c r="J356" s="9">
        <f>7.6283 * CHOOSE(CONTROL!$C$32, $C$9, 100%, $E$9)</f>
        <v>7.6283000000000003</v>
      </c>
      <c r="K356" s="9">
        <f>7.6327 * CHOOSE(CONTROL!$C$32, $C$9, 100%, $E$9)</f>
        <v>7.6326999999999998</v>
      </c>
      <c r="L356" s="9">
        <f>6.0031 * CHOOSE(CONTROL!$C$32, $C$9, 100%, $E$9)</f>
        <v>6.0030999999999999</v>
      </c>
      <c r="M356" s="9">
        <f>6.0074 * CHOOSE(CONTROL!$C$32, $C$9, 100%, $E$9)</f>
        <v>6.0073999999999996</v>
      </c>
      <c r="N356" s="9">
        <f>6.0031 * CHOOSE(CONTROL!$C$32, $C$9, 100%, $E$9)</f>
        <v>6.0030999999999999</v>
      </c>
      <c r="O356" s="9">
        <f>6.0074 * CHOOSE(CONTROL!$C$32, $C$9, 100%, $E$9)</f>
        <v>6.0073999999999996</v>
      </c>
    </row>
    <row r="357" spans="1:15" ht="15.75" x14ac:dyDescent="0.25">
      <c r="A357" s="14">
        <v>51744</v>
      </c>
      <c r="B357" s="10">
        <f>6.218 * CHOOSE(CONTROL!$C$32, $C$9, 100%, $E$9)</f>
        <v>6.218</v>
      </c>
      <c r="C357" s="10">
        <f>6.218 * CHOOSE(CONTROL!$C$32, $C$9, 100%, $E$9)</f>
        <v>6.218</v>
      </c>
      <c r="D357" s="10">
        <f>6.2193 * CHOOSE(CONTROL!$C$32, $C$9, 100%, $E$9)</f>
        <v>6.2192999999999996</v>
      </c>
      <c r="E357" s="9">
        <f>5.9017 * CHOOSE(CONTROL!$C$32, $C$9, 100%, $E$9)</f>
        <v>5.9016999999999999</v>
      </c>
      <c r="F357" s="9">
        <f>5.9017 * CHOOSE(CONTROL!$C$32, $C$9, 100%, $E$9)</f>
        <v>5.9016999999999999</v>
      </c>
      <c r="G357" s="9">
        <f>5.9061 * CHOOSE(CONTROL!$C$32, $C$9, 100%, $E$9)</f>
        <v>5.9061000000000003</v>
      </c>
      <c r="H357" s="9">
        <f>7.6327 * CHOOSE(CONTROL!$C$32, $C$9, 100%, $E$9)</f>
        <v>7.6326999999999998</v>
      </c>
      <c r="I357" s="9">
        <f>7.6371 * CHOOSE(CONTROL!$C$32, $C$9, 100%, $E$9)</f>
        <v>7.6371000000000002</v>
      </c>
      <c r="J357" s="9">
        <f>7.6327 * CHOOSE(CONTROL!$C$32, $C$9, 100%, $E$9)</f>
        <v>7.6326999999999998</v>
      </c>
      <c r="K357" s="9">
        <f>7.6371 * CHOOSE(CONTROL!$C$32, $C$9, 100%, $E$9)</f>
        <v>7.6371000000000002</v>
      </c>
      <c r="L357" s="9">
        <f>5.9017 * CHOOSE(CONTROL!$C$32, $C$9, 100%, $E$9)</f>
        <v>5.9016999999999999</v>
      </c>
      <c r="M357" s="9">
        <f>5.9061 * CHOOSE(CONTROL!$C$32, $C$9, 100%, $E$9)</f>
        <v>5.9061000000000003</v>
      </c>
      <c r="N357" s="9">
        <f>5.9017 * CHOOSE(CONTROL!$C$32, $C$9, 100%, $E$9)</f>
        <v>5.9016999999999999</v>
      </c>
      <c r="O357" s="9">
        <f>5.9061 * CHOOSE(CONTROL!$C$32, $C$9, 100%, $E$9)</f>
        <v>5.9061000000000003</v>
      </c>
    </row>
    <row r="358" spans="1:15" ht="15.75" x14ac:dyDescent="0.25">
      <c r="A358" s="14">
        <v>51774</v>
      </c>
      <c r="B358" s="10">
        <f>6.2149 * CHOOSE(CONTROL!$C$32, $C$9, 100%, $E$9)</f>
        <v>6.2149000000000001</v>
      </c>
      <c r="C358" s="10">
        <f>6.2149 * CHOOSE(CONTROL!$C$32, $C$9, 100%, $E$9)</f>
        <v>6.2149000000000001</v>
      </c>
      <c r="D358" s="10">
        <f>6.2162 * CHOOSE(CONTROL!$C$32, $C$9, 100%, $E$9)</f>
        <v>6.2161999999999997</v>
      </c>
      <c r="E358" s="9">
        <f>5.8878 * CHOOSE(CONTROL!$C$32, $C$9, 100%, $E$9)</f>
        <v>5.8878000000000004</v>
      </c>
      <c r="F358" s="9">
        <f>5.8878 * CHOOSE(CONTROL!$C$32, $C$9, 100%, $E$9)</f>
        <v>5.8878000000000004</v>
      </c>
      <c r="G358" s="9">
        <f>5.8922 * CHOOSE(CONTROL!$C$32, $C$9, 100%, $E$9)</f>
        <v>5.8921999999999999</v>
      </c>
      <c r="H358" s="9">
        <f>7.6307 * CHOOSE(CONTROL!$C$32, $C$9, 100%, $E$9)</f>
        <v>7.6307</v>
      </c>
      <c r="I358" s="9">
        <f>7.6351 * CHOOSE(CONTROL!$C$32, $C$9, 100%, $E$9)</f>
        <v>7.6351000000000004</v>
      </c>
      <c r="J358" s="9">
        <f>7.6307 * CHOOSE(CONTROL!$C$32, $C$9, 100%, $E$9)</f>
        <v>7.6307</v>
      </c>
      <c r="K358" s="9">
        <f>7.6351 * CHOOSE(CONTROL!$C$32, $C$9, 100%, $E$9)</f>
        <v>7.6351000000000004</v>
      </c>
      <c r="L358" s="9">
        <f>5.8878 * CHOOSE(CONTROL!$C$32, $C$9, 100%, $E$9)</f>
        <v>5.8878000000000004</v>
      </c>
      <c r="M358" s="9">
        <f>5.8922 * CHOOSE(CONTROL!$C$32, $C$9, 100%, $E$9)</f>
        <v>5.8921999999999999</v>
      </c>
      <c r="N358" s="9">
        <f>5.8878 * CHOOSE(CONTROL!$C$32, $C$9, 100%, $E$9)</f>
        <v>5.8878000000000004</v>
      </c>
      <c r="O358" s="9">
        <f>5.8922 * CHOOSE(CONTROL!$C$32, $C$9, 100%, $E$9)</f>
        <v>5.8921999999999999</v>
      </c>
    </row>
    <row r="359" spans="1:15" ht="15.75" x14ac:dyDescent="0.25">
      <c r="A359" s="14">
        <v>51805</v>
      </c>
      <c r="B359" s="10">
        <f>6.219 * CHOOSE(CONTROL!$C$32, $C$9, 100%, $E$9)</f>
        <v>6.2190000000000003</v>
      </c>
      <c r="C359" s="10">
        <f>6.219 * CHOOSE(CONTROL!$C$32, $C$9, 100%, $E$9)</f>
        <v>6.2190000000000003</v>
      </c>
      <c r="D359" s="10">
        <f>6.22 * CHOOSE(CONTROL!$C$32, $C$9, 100%, $E$9)</f>
        <v>6.22</v>
      </c>
      <c r="E359" s="9">
        <f>5.9215 * CHOOSE(CONTROL!$C$32, $C$9, 100%, $E$9)</f>
        <v>5.9215</v>
      </c>
      <c r="F359" s="9">
        <f>5.9215 * CHOOSE(CONTROL!$C$32, $C$9, 100%, $E$9)</f>
        <v>5.9215</v>
      </c>
      <c r="G359" s="9">
        <f>5.9249 * CHOOSE(CONTROL!$C$32, $C$9, 100%, $E$9)</f>
        <v>5.9249000000000001</v>
      </c>
      <c r="H359" s="9">
        <f>7.6325 * CHOOSE(CONTROL!$C$32, $C$9, 100%, $E$9)</f>
        <v>7.6325000000000003</v>
      </c>
      <c r="I359" s="9">
        <f>7.6359 * CHOOSE(CONTROL!$C$32, $C$9, 100%, $E$9)</f>
        <v>7.6359000000000004</v>
      </c>
      <c r="J359" s="9">
        <f>7.6325 * CHOOSE(CONTROL!$C$32, $C$9, 100%, $E$9)</f>
        <v>7.6325000000000003</v>
      </c>
      <c r="K359" s="9">
        <f>7.6359 * CHOOSE(CONTROL!$C$32, $C$9, 100%, $E$9)</f>
        <v>7.6359000000000004</v>
      </c>
      <c r="L359" s="9">
        <f>5.9215 * CHOOSE(CONTROL!$C$32, $C$9, 100%, $E$9)</f>
        <v>5.9215</v>
      </c>
      <c r="M359" s="9">
        <f>5.9249 * CHOOSE(CONTROL!$C$32, $C$9, 100%, $E$9)</f>
        <v>5.9249000000000001</v>
      </c>
      <c r="N359" s="9">
        <f>5.9215 * CHOOSE(CONTROL!$C$32, $C$9, 100%, $E$9)</f>
        <v>5.9215</v>
      </c>
      <c r="O359" s="9">
        <f>5.9249 * CHOOSE(CONTROL!$C$32, $C$9, 100%, $E$9)</f>
        <v>5.9249000000000001</v>
      </c>
    </row>
    <row r="360" spans="1:15" ht="15.75" x14ac:dyDescent="0.25">
      <c r="A360" s="14">
        <v>51835</v>
      </c>
      <c r="B360" s="10">
        <f>6.222 * CHOOSE(CONTROL!$C$32, $C$9, 100%, $E$9)</f>
        <v>6.2220000000000004</v>
      </c>
      <c r="C360" s="10">
        <f>6.222 * CHOOSE(CONTROL!$C$32, $C$9, 100%, $E$9)</f>
        <v>6.2220000000000004</v>
      </c>
      <c r="D360" s="10">
        <f>6.223 * CHOOSE(CONTROL!$C$32, $C$9, 100%, $E$9)</f>
        <v>6.2229999999999999</v>
      </c>
      <c r="E360" s="9">
        <f>5.9472 * CHOOSE(CONTROL!$C$32, $C$9, 100%, $E$9)</f>
        <v>5.9471999999999996</v>
      </c>
      <c r="F360" s="9">
        <f>5.9472 * CHOOSE(CONTROL!$C$32, $C$9, 100%, $E$9)</f>
        <v>5.9471999999999996</v>
      </c>
      <c r="G360" s="9">
        <f>5.9506 * CHOOSE(CONTROL!$C$32, $C$9, 100%, $E$9)</f>
        <v>5.9505999999999997</v>
      </c>
      <c r="H360" s="9">
        <f>7.6345 * CHOOSE(CONTROL!$C$32, $C$9, 100%, $E$9)</f>
        <v>7.6345000000000001</v>
      </c>
      <c r="I360" s="9">
        <f>7.6379 * CHOOSE(CONTROL!$C$32, $C$9, 100%, $E$9)</f>
        <v>7.6379000000000001</v>
      </c>
      <c r="J360" s="9">
        <f>7.6345 * CHOOSE(CONTROL!$C$32, $C$9, 100%, $E$9)</f>
        <v>7.6345000000000001</v>
      </c>
      <c r="K360" s="9">
        <f>7.6379 * CHOOSE(CONTROL!$C$32, $C$9, 100%, $E$9)</f>
        <v>7.6379000000000001</v>
      </c>
      <c r="L360" s="9">
        <f>5.9472 * CHOOSE(CONTROL!$C$32, $C$9, 100%, $E$9)</f>
        <v>5.9471999999999996</v>
      </c>
      <c r="M360" s="9">
        <f>5.9506 * CHOOSE(CONTROL!$C$32, $C$9, 100%, $E$9)</f>
        <v>5.9505999999999997</v>
      </c>
      <c r="N360" s="9">
        <f>5.9472 * CHOOSE(CONTROL!$C$32, $C$9, 100%, $E$9)</f>
        <v>5.9471999999999996</v>
      </c>
      <c r="O360" s="9">
        <f>5.9506 * CHOOSE(CONTROL!$C$32, $C$9, 100%, $E$9)</f>
        <v>5.9505999999999997</v>
      </c>
    </row>
    <row r="361" spans="1:15" ht="15.75" x14ac:dyDescent="0.25">
      <c r="A361" s="14">
        <v>51866</v>
      </c>
      <c r="B361" s="10">
        <f>6.222 * CHOOSE(CONTROL!$C$32, $C$9, 100%, $E$9)</f>
        <v>6.2220000000000004</v>
      </c>
      <c r="C361" s="10">
        <f>6.222 * CHOOSE(CONTROL!$C$32, $C$9, 100%, $E$9)</f>
        <v>6.2220000000000004</v>
      </c>
      <c r="D361" s="10">
        <f>6.223 * CHOOSE(CONTROL!$C$32, $C$9, 100%, $E$9)</f>
        <v>6.2229999999999999</v>
      </c>
      <c r="E361" s="9">
        <f>5.8883 * CHOOSE(CONTROL!$C$32, $C$9, 100%, $E$9)</f>
        <v>5.8883000000000001</v>
      </c>
      <c r="F361" s="9">
        <f>5.8883 * CHOOSE(CONTROL!$C$32, $C$9, 100%, $E$9)</f>
        <v>5.8883000000000001</v>
      </c>
      <c r="G361" s="9">
        <f>5.8917 * CHOOSE(CONTROL!$C$32, $C$9, 100%, $E$9)</f>
        <v>5.8917000000000002</v>
      </c>
      <c r="H361" s="9">
        <f>7.6345 * CHOOSE(CONTROL!$C$32, $C$9, 100%, $E$9)</f>
        <v>7.6345000000000001</v>
      </c>
      <c r="I361" s="9">
        <f>7.6379 * CHOOSE(CONTROL!$C$32, $C$9, 100%, $E$9)</f>
        <v>7.6379000000000001</v>
      </c>
      <c r="J361" s="9">
        <f>7.6345 * CHOOSE(CONTROL!$C$32, $C$9, 100%, $E$9)</f>
        <v>7.6345000000000001</v>
      </c>
      <c r="K361" s="9">
        <f>7.6379 * CHOOSE(CONTROL!$C$32, $C$9, 100%, $E$9)</f>
        <v>7.6379000000000001</v>
      </c>
      <c r="L361" s="9">
        <f>5.8883 * CHOOSE(CONTROL!$C$32, $C$9, 100%, $E$9)</f>
        <v>5.8883000000000001</v>
      </c>
      <c r="M361" s="9">
        <f>5.8917 * CHOOSE(CONTROL!$C$32, $C$9, 100%, $E$9)</f>
        <v>5.8917000000000002</v>
      </c>
      <c r="N361" s="9">
        <f>5.8883 * CHOOSE(CONTROL!$C$32, $C$9, 100%, $E$9)</f>
        <v>5.8883000000000001</v>
      </c>
      <c r="O361" s="9">
        <f>5.8917 * CHOOSE(CONTROL!$C$32, $C$9, 100%, $E$9)</f>
        <v>5.8917000000000002</v>
      </c>
    </row>
    <row r="362" spans="1:15" ht="15.75" x14ac:dyDescent="0.25">
      <c r="A362" s="14">
        <v>51897</v>
      </c>
      <c r="B362" s="10">
        <f>6.2748 * CHOOSE(CONTROL!$C$32, $C$9, 100%, $E$9)</f>
        <v>6.2747999999999999</v>
      </c>
      <c r="C362" s="10">
        <f>6.2748 * CHOOSE(CONTROL!$C$32, $C$9, 100%, $E$9)</f>
        <v>6.2747999999999999</v>
      </c>
      <c r="D362" s="10">
        <f>6.2758 * CHOOSE(CONTROL!$C$32, $C$9, 100%, $E$9)</f>
        <v>6.2758000000000003</v>
      </c>
      <c r="E362" s="9">
        <f>5.9711 * CHOOSE(CONTROL!$C$32, $C$9, 100%, $E$9)</f>
        <v>5.9710999999999999</v>
      </c>
      <c r="F362" s="9">
        <f>5.9711 * CHOOSE(CONTROL!$C$32, $C$9, 100%, $E$9)</f>
        <v>5.9710999999999999</v>
      </c>
      <c r="G362" s="9">
        <f>5.9745 * CHOOSE(CONTROL!$C$32, $C$9, 100%, $E$9)</f>
        <v>5.9744999999999999</v>
      </c>
      <c r="H362" s="9">
        <f>7.6918 * CHOOSE(CONTROL!$C$32, $C$9, 100%, $E$9)</f>
        <v>7.6917999999999997</v>
      </c>
      <c r="I362" s="9">
        <f>7.6952 * CHOOSE(CONTROL!$C$32, $C$9, 100%, $E$9)</f>
        <v>7.6951999999999998</v>
      </c>
      <c r="J362" s="9">
        <f>7.6918 * CHOOSE(CONTROL!$C$32, $C$9, 100%, $E$9)</f>
        <v>7.6917999999999997</v>
      </c>
      <c r="K362" s="9">
        <f>7.6952 * CHOOSE(CONTROL!$C$32, $C$9, 100%, $E$9)</f>
        <v>7.6951999999999998</v>
      </c>
      <c r="L362" s="9">
        <f>5.9711 * CHOOSE(CONTROL!$C$32, $C$9, 100%, $E$9)</f>
        <v>5.9710999999999999</v>
      </c>
      <c r="M362" s="9">
        <f>5.9745 * CHOOSE(CONTROL!$C$32, $C$9, 100%, $E$9)</f>
        <v>5.9744999999999999</v>
      </c>
      <c r="N362" s="9">
        <f>5.9711 * CHOOSE(CONTROL!$C$32, $C$9, 100%, $E$9)</f>
        <v>5.9710999999999999</v>
      </c>
      <c r="O362" s="9">
        <f>5.9745 * CHOOSE(CONTROL!$C$32, $C$9, 100%, $E$9)</f>
        <v>5.9744999999999999</v>
      </c>
    </row>
    <row r="363" spans="1:15" ht="15.75" x14ac:dyDescent="0.25">
      <c r="A363" s="14">
        <v>51925</v>
      </c>
      <c r="B363" s="10">
        <f>6.2717 * CHOOSE(CONTROL!$C$32, $C$9, 100%, $E$9)</f>
        <v>6.2717000000000001</v>
      </c>
      <c r="C363" s="10">
        <f>6.2717 * CHOOSE(CONTROL!$C$32, $C$9, 100%, $E$9)</f>
        <v>6.2717000000000001</v>
      </c>
      <c r="D363" s="10">
        <f>6.2727 * CHOOSE(CONTROL!$C$32, $C$9, 100%, $E$9)</f>
        <v>6.2727000000000004</v>
      </c>
      <c r="E363" s="9">
        <f>5.8544 * CHOOSE(CONTROL!$C$32, $C$9, 100%, $E$9)</f>
        <v>5.8544</v>
      </c>
      <c r="F363" s="9">
        <f>5.8544 * CHOOSE(CONTROL!$C$32, $C$9, 100%, $E$9)</f>
        <v>5.8544</v>
      </c>
      <c r="G363" s="9">
        <f>5.8577 * CHOOSE(CONTROL!$C$32, $C$9, 100%, $E$9)</f>
        <v>5.8577000000000004</v>
      </c>
      <c r="H363" s="9">
        <f>7.6898 * CHOOSE(CONTROL!$C$32, $C$9, 100%, $E$9)</f>
        <v>7.6898</v>
      </c>
      <c r="I363" s="9">
        <f>7.6932 * CHOOSE(CONTROL!$C$32, $C$9, 100%, $E$9)</f>
        <v>7.6932</v>
      </c>
      <c r="J363" s="9">
        <f>7.6898 * CHOOSE(CONTROL!$C$32, $C$9, 100%, $E$9)</f>
        <v>7.6898</v>
      </c>
      <c r="K363" s="9">
        <f>7.6932 * CHOOSE(CONTROL!$C$32, $C$9, 100%, $E$9)</f>
        <v>7.6932</v>
      </c>
      <c r="L363" s="9">
        <f>5.8544 * CHOOSE(CONTROL!$C$32, $C$9, 100%, $E$9)</f>
        <v>5.8544</v>
      </c>
      <c r="M363" s="9">
        <f>5.8577 * CHOOSE(CONTROL!$C$32, $C$9, 100%, $E$9)</f>
        <v>5.8577000000000004</v>
      </c>
      <c r="N363" s="9">
        <f>5.8544 * CHOOSE(CONTROL!$C$32, $C$9, 100%, $E$9)</f>
        <v>5.8544</v>
      </c>
      <c r="O363" s="9">
        <f>5.8577 * CHOOSE(CONTROL!$C$32, $C$9, 100%, $E$9)</f>
        <v>5.8577000000000004</v>
      </c>
    </row>
    <row r="364" spans="1:15" ht="15.75" x14ac:dyDescent="0.25">
      <c r="A364" s="14">
        <v>51956</v>
      </c>
      <c r="B364" s="10">
        <f>6.2687 * CHOOSE(CONTROL!$C$32, $C$9, 100%, $E$9)</f>
        <v>6.2686999999999999</v>
      </c>
      <c r="C364" s="10">
        <f>6.2687 * CHOOSE(CONTROL!$C$32, $C$9, 100%, $E$9)</f>
        <v>6.2686999999999999</v>
      </c>
      <c r="D364" s="10">
        <f>6.2697 * CHOOSE(CONTROL!$C$32, $C$9, 100%, $E$9)</f>
        <v>6.2697000000000003</v>
      </c>
      <c r="E364" s="9">
        <f>5.9426 * CHOOSE(CONTROL!$C$32, $C$9, 100%, $E$9)</f>
        <v>5.9425999999999997</v>
      </c>
      <c r="F364" s="9">
        <f>5.9426 * CHOOSE(CONTROL!$C$32, $C$9, 100%, $E$9)</f>
        <v>5.9425999999999997</v>
      </c>
      <c r="G364" s="9">
        <f>5.946 * CHOOSE(CONTROL!$C$32, $C$9, 100%, $E$9)</f>
        <v>5.9459999999999997</v>
      </c>
      <c r="H364" s="9">
        <f>7.6878 * CHOOSE(CONTROL!$C$32, $C$9, 100%, $E$9)</f>
        <v>7.6878000000000002</v>
      </c>
      <c r="I364" s="9">
        <f>7.6912 * CHOOSE(CONTROL!$C$32, $C$9, 100%, $E$9)</f>
        <v>7.6912000000000003</v>
      </c>
      <c r="J364" s="9">
        <f>7.6878 * CHOOSE(CONTROL!$C$32, $C$9, 100%, $E$9)</f>
        <v>7.6878000000000002</v>
      </c>
      <c r="K364" s="9">
        <f>7.6912 * CHOOSE(CONTROL!$C$32, $C$9, 100%, $E$9)</f>
        <v>7.6912000000000003</v>
      </c>
      <c r="L364" s="9">
        <f>5.9426 * CHOOSE(CONTROL!$C$32, $C$9, 100%, $E$9)</f>
        <v>5.9425999999999997</v>
      </c>
      <c r="M364" s="9">
        <f>5.946 * CHOOSE(CONTROL!$C$32, $C$9, 100%, $E$9)</f>
        <v>5.9459999999999997</v>
      </c>
      <c r="N364" s="9">
        <f>5.9426 * CHOOSE(CONTROL!$C$32, $C$9, 100%, $E$9)</f>
        <v>5.9425999999999997</v>
      </c>
      <c r="O364" s="9">
        <f>5.946 * CHOOSE(CONTROL!$C$32, $C$9, 100%, $E$9)</f>
        <v>5.9459999999999997</v>
      </c>
    </row>
    <row r="365" spans="1:15" ht="15.75" x14ac:dyDescent="0.25">
      <c r="A365" s="14">
        <v>51986</v>
      </c>
      <c r="B365" s="10">
        <f>6.2687 * CHOOSE(CONTROL!$C$32, $C$9, 100%, $E$9)</f>
        <v>6.2686999999999999</v>
      </c>
      <c r="C365" s="10">
        <f>6.2687 * CHOOSE(CONTROL!$C$32, $C$9, 100%, $E$9)</f>
        <v>6.2686999999999999</v>
      </c>
      <c r="D365" s="10">
        <f>6.2697 * CHOOSE(CONTROL!$C$32, $C$9, 100%, $E$9)</f>
        <v>6.2697000000000003</v>
      </c>
      <c r="E365" s="9">
        <f>6.0354 * CHOOSE(CONTROL!$C$32, $C$9, 100%, $E$9)</f>
        <v>6.0354000000000001</v>
      </c>
      <c r="F365" s="9">
        <f>6.0354 * CHOOSE(CONTROL!$C$32, $C$9, 100%, $E$9)</f>
        <v>6.0354000000000001</v>
      </c>
      <c r="G365" s="9">
        <f>6.0388 * CHOOSE(CONTROL!$C$32, $C$9, 100%, $E$9)</f>
        <v>6.0388000000000002</v>
      </c>
      <c r="H365" s="9">
        <f>7.6876 * CHOOSE(CONTROL!$C$32, $C$9, 100%, $E$9)</f>
        <v>7.6875999999999998</v>
      </c>
      <c r="I365" s="9">
        <f>7.691 * CHOOSE(CONTROL!$C$32, $C$9, 100%, $E$9)</f>
        <v>7.6909999999999998</v>
      </c>
      <c r="J365" s="9">
        <f>7.6876 * CHOOSE(CONTROL!$C$32, $C$9, 100%, $E$9)</f>
        <v>7.6875999999999998</v>
      </c>
      <c r="K365" s="9">
        <f>7.691 * CHOOSE(CONTROL!$C$32, $C$9, 100%, $E$9)</f>
        <v>7.6909999999999998</v>
      </c>
      <c r="L365" s="9">
        <f>6.0354 * CHOOSE(CONTROL!$C$32, $C$9, 100%, $E$9)</f>
        <v>6.0354000000000001</v>
      </c>
      <c r="M365" s="9">
        <f>6.0388 * CHOOSE(CONTROL!$C$32, $C$9, 100%, $E$9)</f>
        <v>6.0388000000000002</v>
      </c>
      <c r="N365" s="9">
        <f>6.0354 * CHOOSE(CONTROL!$C$32, $C$9, 100%, $E$9)</f>
        <v>6.0354000000000001</v>
      </c>
      <c r="O365" s="9">
        <f>6.0388 * CHOOSE(CONTROL!$C$32, $C$9, 100%, $E$9)</f>
        <v>6.0388000000000002</v>
      </c>
    </row>
    <row r="366" spans="1:15" ht="15.75" x14ac:dyDescent="0.25">
      <c r="A366" s="14">
        <v>52017</v>
      </c>
      <c r="B366" s="10">
        <f>6.2687 * CHOOSE(CONTROL!$C$32, $C$9, 100%, $E$9)</f>
        <v>6.2686999999999999</v>
      </c>
      <c r="C366" s="10">
        <f>6.2687 * CHOOSE(CONTROL!$C$32, $C$9, 100%, $E$9)</f>
        <v>6.2686999999999999</v>
      </c>
      <c r="D366" s="10">
        <f>6.27 * CHOOSE(CONTROL!$C$32, $C$9, 100%, $E$9)</f>
        <v>6.27</v>
      </c>
      <c r="E366" s="9">
        <f>6.0718 * CHOOSE(CONTROL!$C$32, $C$9, 100%, $E$9)</f>
        <v>6.0717999999999996</v>
      </c>
      <c r="F366" s="9">
        <f>6.0718 * CHOOSE(CONTROL!$C$32, $C$9, 100%, $E$9)</f>
        <v>6.0717999999999996</v>
      </c>
      <c r="G366" s="9">
        <f>6.0762 * CHOOSE(CONTROL!$C$32, $C$9, 100%, $E$9)</f>
        <v>6.0762</v>
      </c>
      <c r="H366" s="9">
        <f>7.6876 * CHOOSE(CONTROL!$C$32, $C$9, 100%, $E$9)</f>
        <v>7.6875999999999998</v>
      </c>
      <c r="I366" s="9">
        <f>7.692 * CHOOSE(CONTROL!$C$32, $C$9, 100%, $E$9)</f>
        <v>7.6920000000000002</v>
      </c>
      <c r="J366" s="9">
        <f>7.6876 * CHOOSE(CONTROL!$C$32, $C$9, 100%, $E$9)</f>
        <v>7.6875999999999998</v>
      </c>
      <c r="K366" s="9">
        <f>7.692 * CHOOSE(CONTROL!$C$32, $C$9, 100%, $E$9)</f>
        <v>7.6920000000000002</v>
      </c>
      <c r="L366" s="9">
        <f>6.0718 * CHOOSE(CONTROL!$C$32, $C$9, 100%, $E$9)</f>
        <v>6.0717999999999996</v>
      </c>
      <c r="M366" s="9">
        <f>6.0762 * CHOOSE(CONTROL!$C$32, $C$9, 100%, $E$9)</f>
        <v>6.0762</v>
      </c>
      <c r="N366" s="9">
        <f>6.0718 * CHOOSE(CONTROL!$C$32, $C$9, 100%, $E$9)</f>
        <v>6.0717999999999996</v>
      </c>
      <c r="O366" s="9">
        <f>6.0762 * CHOOSE(CONTROL!$C$32, $C$9, 100%, $E$9)</f>
        <v>6.0762</v>
      </c>
    </row>
    <row r="367" spans="1:15" ht="15.75" x14ac:dyDescent="0.25">
      <c r="A367" s="14">
        <v>52047</v>
      </c>
      <c r="B367" s="10">
        <f>6.2748 * CHOOSE(CONTROL!$C$32, $C$9, 100%, $E$9)</f>
        <v>6.2747999999999999</v>
      </c>
      <c r="C367" s="10">
        <f>6.2748 * CHOOSE(CONTROL!$C$32, $C$9, 100%, $E$9)</f>
        <v>6.2747999999999999</v>
      </c>
      <c r="D367" s="10">
        <f>6.2761 * CHOOSE(CONTROL!$C$32, $C$9, 100%, $E$9)</f>
        <v>6.2760999999999996</v>
      </c>
      <c r="E367" s="9">
        <f>6.0396 * CHOOSE(CONTROL!$C$32, $C$9, 100%, $E$9)</f>
        <v>6.0396000000000001</v>
      </c>
      <c r="F367" s="9">
        <f>6.0396 * CHOOSE(CONTROL!$C$32, $C$9, 100%, $E$9)</f>
        <v>6.0396000000000001</v>
      </c>
      <c r="G367" s="9">
        <f>6.044 * CHOOSE(CONTROL!$C$32, $C$9, 100%, $E$9)</f>
        <v>6.0439999999999996</v>
      </c>
      <c r="H367" s="9">
        <f>7.6916 * CHOOSE(CONTROL!$C$32, $C$9, 100%, $E$9)</f>
        <v>7.6916000000000002</v>
      </c>
      <c r="I367" s="9">
        <f>7.696 * CHOOSE(CONTROL!$C$32, $C$9, 100%, $E$9)</f>
        <v>7.6959999999999997</v>
      </c>
      <c r="J367" s="9">
        <f>7.6916 * CHOOSE(CONTROL!$C$32, $C$9, 100%, $E$9)</f>
        <v>7.6916000000000002</v>
      </c>
      <c r="K367" s="9">
        <f>7.696 * CHOOSE(CONTROL!$C$32, $C$9, 100%, $E$9)</f>
        <v>7.6959999999999997</v>
      </c>
      <c r="L367" s="9">
        <f>6.0396 * CHOOSE(CONTROL!$C$32, $C$9, 100%, $E$9)</f>
        <v>6.0396000000000001</v>
      </c>
      <c r="M367" s="9">
        <f>6.044 * CHOOSE(CONTROL!$C$32, $C$9, 100%, $E$9)</f>
        <v>6.0439999999999996</v>
      </c>
      <c r="N367" s="9">
        <f>6.0396 * CHOOSE(CONTROL!$C$32, $C$9, 100%, $E$9)</f>
        <v>6.0396000000000001</v>
      </c>
      <c r="O367" s="9">
        <f>6.044 * CHOOSE(CONTROL!$C$32, $C$9, 100%, $E$9)</f>
        <v>6.0439999999999996</v>
      </c>
    </row>
    <row r="368" spans="1:15" ht="15.75" x14ac:dyDescent="0.25">
      <c r="A368" s="14">
        <v>52078</v>
      </c>
      <c r="B368" s="10">
        <f>6.3681 * CHOOSE(CONTROL!$C$32, $C$9, 100%, $E$9)</f>
        <v>6.3681000000000001</v>
      </c>
      <c r="C368" s="10">
        <f>6.3681 * CHOOSE(CONTROL!$C$32, $C$9, 100%, $E$9)</f>
        <v>6.3681000000000001</v>
      </c>
      <c r="D368" s="10">
        <f>6.3694 * CHOOSE(CONTROL!$C$32, $C$9, 100%, $E$9)</f>
        <v>6.3693999999999997</v>
      </c>
      <c r="E368" s="9">
        <f>6.1126 * CHOOSE(CONTROL!$C$32, $C$9, 100%, $E$9)</f>
        <v>6.1125999999999996</v>
      </c>
      <c r="F368" s="9">
        <f>6.1126 * CHOOSE(CONTROL!$C$32, $C$9, 100%, $E$9)</f>
        <v>6.1125999999999996</v>
      </c>
      <c r="G368" s="9">
        <f>6.117 * CHOOSE(CONTROL!$C$32, $C$9, 100%, $E$9)</f>
        <v>6.117</v>
      </c>
      <c r="H368" s="9">
        <f>7.8098 * CHOOSE(CONTROL!$C$32, $C$9, 100%, $E$9)</f>
        <v>7.8098000000000001</v>
      </c>
      <c r="I368" s="9">
        <f>7.8142 * CHOOSE(CONTROL!$C$32, $C$9, 100%, $E$9)</f>
        <v>7.8141999999999996</v>
      </c>
      <c r="J368" s="9">
        <f>7.8098 * CHOOSE(CONTROL!$C$32, $C$9, 100%, $E$9)</f>
        <v>7.8098000000000001</v>
      </c>
      <c r="K368" s="9">
        <f>7.8142 * CHOOSE(CONTROL!$C$32, $C$9, 100%, $E$9)</f>
        <v>7.8141999999999996</v>
      </c>
      <c r="L368" s="9">
        <f>6.1126 * CHOOSE(CONTROL!$C$32, $C$9, 100%, $E$9)</f>
        <v>6.1125999999999996</v>
      </c>
      <c r="M368" s="9">
        <f>6.117 * CHOOSE(CONTROL!$C$32, $C$9, 100%, $E$9)</f>
        <v>6.117</v>
      </c>
      <c r="N368" s="9">
        <f>6.1126 * CHOOSE(CONTROL!$C$32, $C$9, 100%, $E$9)</f>
        <v>6.1125999999999996</v>
      </c>
      <c r="O368" s="9">
        <f>6.117 * CHOOSE(CONTROL!$C$32, $C$9, 100%, $E$9)</f>
        <v>6.117</v>
      </c>
    </row>
    <row r="369" spans="1:15" ht="15.75" x14ac:dyDescent="0.25">
      <c r="A369" s="14">
        <v>52109</v>
      </c>
      <c r="B369" s="10">
        <f>6.3747 * CHOOSE(CONTROL!$C$32, $C$9, 100%, $E$9)</f>
        <v>6.3746999999999998</v>
      </c>
      <c r="C369" s="10">
        <f>6.3747 * CHOOSE(CONTROL!$C$32, $C$9, 100%, $E$9)</f>
        <v>6.3746999999999998</v>
      </c>
      <c r="D369" s="10">
        <f>6.376 * CHOOSE(CONTROL!$C$32, $C$9, 100%, $E$9)</f>
        <v>6.3760000000000003</v>
      </c>
      <c r="E369" s="9">
        <f>6.0081 * CHOOSE(CONTROL!$C$32, $C$9, 100%, $E$9)</f>
        <v>6.0080999999999998</v>
      </c>
      <c r="F369" s="9">
        <f>6.0081 * CHOOSE(CONTROL!$C$32, $C$9, 100%, $E$9)</f>
        <v>6.0080999999999998</v>
      </c>
      <c r="G369" s="9">
        <f>6.0124 * CHOOSE(CONTROL!$C$32, $C$9, 100%, $E$9)</f>
        <v>6.0124000000000004</v>
      </c>
      <c r="H369" s="9">
        <f>7.8142 * CHOOSE(CONTROL!$C$32, $C$9, 100%, $E$9)</f>
        <v>7.8141999999999996</v>
      </c>
      <c r="I369" s="9">
        <f>7.8186 * CHOOSE(CONTROL!$C$32, $C$9, 100%, $E$9)</f>
        <v>7.8186</v>
      </c>
      <c r="J369" s="9">
        <f>7.8142 * CHOOSE(CONTROL!$C$32, $C$9, 100%, $E$9)</f>
        <v>7.8141999999999996</v>
      </c>
      <c r="K369" s="9">
        <f>7.8186 * CHOOSE(CONTROL!$C$32, $C$9, 100%, $E$9)</f>
        <v>7.8186</v>
      </c>
      <c r="L369" s="9">
        <f>6.0081 * CHOOSE(CONTROL!$C$32, $C$9, 100%, $E$9)</f>
        <v>6.0080999999999998</v>
      </c>
      <c r="M369" s="9">
        <f>6.0124 * CHOOSE(CONTROL!$C$32, $C$9, 100%, $E$9)</f>
        <v>6.0124000000000004</v>
      </c>
      <c r="N369" s="9">
        <f>6.0081 * CHOOSE(CONTROL!$C$32, $C$9, 100%, $E$9)</f>
        <v>6.0080999999999998</v>
      </c>
      <c r="O369" s="9">
        <f>6.0124 * CHOOSE(CONTROL!$C$32, $C$9, 100%, $E$9)</f>
        <v>6.0124000000000004</v>
      </c>
    </row>
    <row r="370" spans="1:15" ht="15.75" x14ac:dyDescent="0.25">
      <c r="A370" s="14">
        <v>52139</v>
      </c>
      <c r="B370" s="10">
        <f>6.3717 * CHOOSE(CONTROL!$C$32, $C$9, 100%, $E$9)</f>
        <v>6.3716999999999997</v>
      </c>
      <c r="C370" s="10">
        <f>6.3717 * CHOOSE(CONTROL!$C$32, $C$9, 100%, $E$9)</f>
        <v>6.3716999999999997</v>
      </c>
      <c r="D370" s="10">
        <f>6.373 * CHOOSE(CONTROL!$C$32, $C$9, 100%, $E$9)</f>
        <v>6.3730000000000002</v>
      </c>
      <c r="E370" s="9">
        <f>5.9938 * CHOOSE(CONTROL!$C$32, $C$9, 100%, $E$9)</f>
        <v>5.9938000000000002</v>
      </c>
      <c r="F370" s="9">
        <f>5.9938 * CHOOSE(CONTROL!$C$32, $C$9, 100%, $E$9)</f>
        <v>5.9938000000000002</v>
      </c>
      <c r="G370" s="9">
        <f>5.9982 * CHOOSE(CONTROL!$C$32, $C$9, 100%, $E$9)</f>
        <v>5.9981999999999998</v>
      </c>
      <c r="H370" s="9">
        <f>7.8122 * CHOOSE(CONTROL!$C$32, $C$9, 100%, $E$9)</f>
        <v>7.8121999999999998</v>
      </c>
      <c r="I370" s="9">
        <f>7.8166 * CHOOSE(CONTROL!$C$32, $C$9, 100%, $E$9)</f>
        <v>7.8166000000000002</v>
      </c>
      <c r="J370" s="9">
        <f>7.8122 * CHOOSE(CONTROL!$C$32, $C$9, 100%, $E$9)</f>
        <v>7.8121999999999998</v>
      </c>
      <c r="K370" s="9">
        <f>7.8166 * CHOOSE(CONTROL!$C$32, $C$9, 100%, $E$9)</f>
        <v>7.8166000000000002</v>
      </c>
      <c r="L370" s="9">
        <f>5.9938 * CHOOSE(CONTROL!$C$32, $C$9, 100%, $E$9)</f>
        <v>5.9938000000000002</v>
      </c>
      <c r="M370" s="9">
        <f>5.9982 * CHOOSE(CONTROL!$C$32, $C$9, 100%, $E$9)</f>
        <v>5.9981999999999998</v>
      </c>
      <c r="N370" s="9">
        <f>5.9938 * CHOOSE(CONTROL!$C$32, $C$9, 100%, $E$9)</f>
        <v>5.9938000000000002</v>
      </c>
      <c r="O370" s="9">
        <f>5.9982 * CHOOSE(CONTROL!$C$32, $C$9, 100%, $E$9)</f>
        <v>5.9981999999999998</v>
      </c>
    </row>
    <row r="371" spans="1:15" ht="15.75" x14ac:dyDescent="0.25">
      <c r="A371" s="14">
        <v>52170</v>
      </c>
      <c r="B371" s="10">
        <f>6.3764 * CHOOSE(CONTROL!$C$32, $C$9, 100%, $E$9)</f>
        <v>6.3764000000000003</v>
      </c>
      <c r="C371" s="10">
        <f>6.3764 * CHOOSE(CONTROL!$C$32, $C$9, 100%, $E$9)</f>
        <v>6.3764000000000003</v>
      </c>
      <c r="D371" s="10">
        <f>6.3774 * CHOOSE(CONTROL!$C$32, $C$9, 100%, $E$9)</f>
        <v>6.3773999999999997</v>
      </c>
      <c r="E371" s="9">
        <f>6.0289 * CHOOSE(CONTROL!$C$32, $C$9, 100%, $E$9)</f>
        <v>6.0289000000000001</v>
      </c>
      <c r="F371" s="9">
        <f>6.0289 * CHOOSE(CONTROL!$C$32, $C$9, 100%, $E$9)</f>
        <v>6.0289000000000001</v>
      </c>
      <c r="G371" s="9">
        <f>6.0323 * CHOOSE(CONTROL!$C$32, $C$9, 100%, $E$9)</f>
        <v>6.0323000000000002</v>
      </c>
      <c r="H371" s="9">
        <f>7.8144 * CHOOSE(CONTROL!$C$32, $C$9, 100%, $E$9)</f>
        <v>7.8144</v>
      </c>
      <c r="I371" s="9">
        <f>7.8178 * CHOOSE(CONTROL!$C$32, $C$9, 100%, $E$9)</f>
        <v>7.8178000000000001</v>
      </c>
      <c r="J371" s="9">
        <f>7.8144 * CHOOSE(CONTROL!$C$32, $C$9, 100%, $E$9)</f>
        <v>7.8144</v>
      </c>
      <c r="K371" s="9">
        <f>7.8178 * CHOOSE(CONTROL!$C$32, $C$9, 100%, $E$9)</f>
        <v>7.8178000000000001</v>
      </c>
      <c r="L371" s="9">
        <f>6.0289 * CHOOSE(CONTROL!$C$32, $C$9, 100%, $E$9)</f>
        <v>6.0289000000000001</v>
      </c>
      <c r="M371" s="9">
        <f>6.0323 * CHOOSE(CONTROL!$C$32, $C$9, 100%, $E$9)</f>
        <v>6.0323000000000002</v>
      </c>
      <c r="N371" s="9">
        <f>6.0289 * CHOOSE(CONTROL!$C$32, $C$9, 100%, $E$9)</f>
        <v>6.0289000000000001</v>
      </c>
      <c r="O371" s="9">
        <f>6.0323 * CHOOSE(CONTROL!$C$32, $C$9, 100%, $E$9)</f>
        <v>6.0323000000000002</v>
      </c>
    </row>
    <row r="372" spans="1:15" ht="15.75" x14ac:dyDescent="0.25">
      <c r="A372" s="14">
        <v>52200</v>
      </c>
      <c r="B372" s="10">
        <f>6.3794 * CHOOSE(CONTROL!$C$32, $C$9, 100%, $E$9)</f>
        <v>6.3794000000000004</v>
      </c>
      <c r="C372" s="10">
        <f>6.3794 * CHOOSE(CONTROL!$C$32, $C$9, 100%, $E$9)</f>
        <v>6.3794000000000004</v>
      </c>
      <c r="D372" s="10">
        <f>6.3804 * CHOOSE(CONTROL!$C$32, $C$9, 100%, $E$9)</f>
        <v>6.3803999999999998</v>
      </c>
      <c r="E372" s="9">
        <f>6.0553 * CHOOSE(CONTROL!$C$32, $C$9, 100%, $E$9)</f>
        <v>6.0552999999999999</v>
      </c>
      <c r="F372" s="9">
        <f>6.0553 * CHOOSE(CONTROL!$C$32, $C$9, 100%, $E$9)</f>
        <v>6.0552999999999999</v>
      </c>
      <c r="G372" s="9">
        <f>6.0587 * CHOOSE(CONTROL!$C$32, $C$9, 100%, $E$9)</f>
        <v>6.0587</v>
      </c>
      <c r="H372" s="9">
        <f>7.8164 * CHOOSE(CONTROL!$C$32, $C$9, 100%, $E$9)</f>
        <v>7.8163999999999998</v>
      </c>
      <c r="I372" s="9">
        <f>7.8198 * CHOOSE(CONTROL!$C$32, $C$9, 100%, $E$9)</f>
        <v>7.8197999999999999</v>
      </c>
      <c r="J372" s="9">
        <f>7.8164 * CHOOSE(CONTROL!$C$32, $C$9, 100%, $E$9)</f>
        <v>7.8163999999999998</v>
      </c>
      <c r="K372" s="9">
        <f>7.8198 * CHOOSE(CONTROL!$C$32, $C$9, 100%, $E$9)</f>
        <v>7.8197999999999999</v>
      </c>
      <c r="L372" s="9">
        <f>6.0553 * CHOOSE(CONTROL!$C$32, $C$9, 100%, $E$9)</f>
        <v>6.0552999999999999</v>
      </c>
      <c r="M372" s="9">
        <f>6.0587 * CHOOSE(CONTROL!$C$32, $C$9, 100%, $E$9)</f>
        <v>6.0587</v>
      </c>
      <c r="N372" s="9">
        <f>6.0553 * CHOOSE(CONTROL!$C$32, $C$9, 100%, $E$9)</f>
        <v>6.0552999999999999</v>
      </c>
      <c r="O372" s="9">
        <f>6.0587 * CHOOSE(CONTROL!$C$32, $C$9, 100%, $E$9)</f>
        <v>6.0587</v>
      </c>
    </row>
    <row r="373" spans="1:15" ht="15.75" x14ac:dyDescent="0.25">
      <c r="A373" s="14">
        <v>52231</v>
      </c>
      <c r="B373" s="10">
        <f>6.3794 * CHOOSE(CONTROL!$C$32, $C$9, 100%, $E$9)</f>
        <v>6.3794000000000004</v>
      </c>
      <c r="C373" s="10">
        <f>6.3794 * CHOOSE(CONTROL!$C$32, $C$9, 100%, $E$9)</f>
        <v>6.3794000000000004</v>
      </c>
      <c r="D373" s="10">
        <f>6.3804 * CHOOSE(CONTROL!$C$32, $C$9, 100%, $E$9)</f>
        <v>6.3803999999999998</v>
      </c>
      <c r="E373" s="9">
        <f>5.9947 * CHOOSE(CONTROL!$C$32, $C$9, 100%, $E$9)</f>
        <v>5.9946999999999999</v>
      </c>
      <c r="F373" s="9">
        <f>5.9947 * CHOOSE(CONTROL!$C$32, $C$9, 100%, $E$9)</f>
        <v>5.9946999999999999</v>
      </c>
      <c r="G373" s="9">
        <f>5.998 * CHOOSE(CONTROL!$C$32, $C$9, 100%, $E$9)</f>
        <v>5.9980000000000002</v>
      </c>
      <c r="H373" s="9">
        <f>7.8164 * CHOOSE(CONTROL!$C$32, $C$9, 100%, $E$9)</f>
        <v>7.8163999999999998</v>
      </c>
      <c r="I373" s="9">
        <f>7.8198 * CHOOSE(CONTROL!$C$32, $C$9, 100%, $E$9)</f>
        <v>7.8197999999999999</v>
      </c>
      <c r="J373" s="9">
        <f>7.8164 * CHOOSE(CONTROL!$C$32, $C$9, 100%, $E$9)</f>
        <v>7.8163999999999998</v>
      </c>
      <c r="K373" s="9">
        <f>7.8198 * CHOOSE(CONTROL!$C$32, $C$9, 100%, $E$9)</f>
        <v>7.8197999999999999</v>
      </c>
      <c r="L373" s="9">
        <f>5.9947 * CHOOSE(CONTROL!$C$32, $C$9, 100%, $E$9)</f>
        <v>5.9946999999999999</v>
      </c>
      <c r="M373" s="9">
        <f>5.998 * CHOOSE(CONTROL!$C$32, $C$9, 100%, $E$9)</f>
        <v>5.9980000000000002</v>
      </c>
      <c r="N373" s="9">
        <f>5.9947 * CHOOSE(CONTROL!$C$32, $C$9, 100%, $E$9)</f>
        <v>5.9946999999999999</v>
      </c>
      <c r="O373" s="9">
        <f>5.998 * CHOOSE(CONTROL!$C$32, $C$9, 100%, $E$9)</f>
        <v>5.9980000000000002</v>
      </c>
    </row>
    <row r="374" spans="1:15" ht="15.75" x14ac:dyDescent="0.25">
      <c r="A374" s="14">
        <v>52262</v>
      </c>
      <c r="B374" s="10">
        <f>6.4334 * CHOOSE(CONTROL!$C$32, $C$9, 100%, $E$9)</f>
        <v>6.4333999999999998</v>
      </c>
      <c r="C374" s="10">
        <f>6.4334 * CHOOSE(CONTROL!$C$32, $C$9, 100%, $E$9)</f>
        <v>6.4333999999999998</v>
      </c>
      <c r="D374" s="10">
        <f>6.4344 * CHOOSE(CONTROL!$C$32, $C$9, 100%, $E$9)</f>
        <v>6.4344000000000001</v>
      </c>
      <c r="E374" s="9">
        <f>6.0794 * CHOOSE(CONTROL!$C$32, $C$9, 100%, $E$9)</f>
        <v>6.0793999999999997</v>
      </c>
      <c r="F374" s="9">
        <f>6.0794 * CHOOSE(CONTROL!$C$32, $C$9, 100%, $E$9)</f>
        <v>6.0793999999999997</v>
      </c>
      <c r="G374" s="9">
        <f>6.0827 * CHOOSE(CONTROL!$C$32, $C$9, 100%, $E$9)</f>
        <v>6.0827</v>
      </c>
      <c r="H374" s="9">
        <f>7.875 * CHOOSE(CONTROL!$C$32, $C$9, 100%, $E$9)</f>
        <v>7.875</v>
      </c>
      <c r="I374" s="9">
        <f>7.8784 * CHOOSE(CONTROL!$C$32, $C$9, 100%, $E$9)</f>
        <v>7.8784000000000001</v>
      </c>
      <c r="J374" s="9">
        <f>7.875 * CHOOSE(CONTROL!$C$32, $C$9, 100%, $E$9)</f>
        <v>7.875</v>
      </c>
      <c r="K374" s="9">
        <f>7.8784 * CHOOSE(CONTROL!$C$32, $C$9, 100%, $E$9)</f>
        <v>7.8784000000000001</v>
      </c>
      <c r="L374" s="9">
        <f>6.0794 * CHOOSE(CONTROL!$C$32, $C$9, 100%, $E$9)</f>
        <v>6.0793999999999997</v>
      </c>
      <c r="M374" s="9">
        <f>6.0827 * CHOOSE(CONTROL!$C$32, $C$9, 100%, $E$9)</f>
        <v>6.0827</v>
      </c>
      <c r="N374" s="9">
        <f>6.0794 * CHOOSE(CONTROL!$C$32, $C$9, 100%, $E$9)</f>
        <v>6.0793999999999997</v>
      </c>
      <c r="O374" s="9">
        <f>6.0827 * CHOOSE(CONTROL!$C$32, $C$9, 100%, $E$9)</f>
        <v>6.0827</v>
      </c>
    </row>
    <row r="375" spans="1:15" ht="15.75" x14ac:dyDescent="0.25">
      <c r="A375" s="14">
        <v>52290</v>
      </c>
      <c r="B375" s="10">
        <f>6.4303 * CHOOSE(CONTROL!$C$32, $C$9, 100%, $E$9)</f>
        <v>6.4302999999999999</v>
      </c>
      <c r="C375" s="10">
        <f>6.4303 * CHOOSE(CONTROL!$C$32, $C$9, 100%, $E$9)</f>
        <v>6.4302999999999999</v>
      </c>
      <c r="D375" s="10">
        <f>6.4313 * CHOOSE(CONTROL!$C$32, $C$9, 100%, $E$9)</f>
        <v>6.4313000000000002</v>
      </c>
      <c r="E375" s="9">
        <f>5.9592 * CHOOSE(CONTROL!$C$32, $C$9, 100%, $E$9)</f>
        <v>5.9592000000000001</v>
      </c>
      <c r="F375" s="9">
        <f>5.9592 * CHOOSE(CONTROL!$C$32, $C$9, 100%, $E$9)</f>
        <v>5.9592000000000001</v>
      </c>
      <c r="G375" s="9">
        <f>5.9626 * CHOOSE(CONTROL!$C$32, $C$9, 100%, $E$9)</f>
        <v>5.9626000000000001</v>
      </c>
      <c r="H375" s="9">
        <f>7.873 * CHOOSE(CONTROL!$C$32, $C$9, 100%, $E$9)</f>
        <v>7.8730000000000002</v>
      </c>
      <c r="I375" s="9">
        <f>7.8764 * CHOOSE(CONTROL!$C$32, $C$9, 100%, $E$9)</f>
        <v>7.8764000000000003</v>
      </c>
      <c r="J375" s="9">
        <f>7.873 * CHOOSE(CONTROL!$C$32, $C$9, 100%, $E$9)</f>
        <v>7.8730000000000002</v>
      </c>
      <c r="K375" s="9">
        <f>7.8764 * CHOOSE(CONTROL!$C$32, $C$9, 100%, $E$9)</f>
        <v>7.8764000000000003</v>
      </c>
      <c r="L375" s="9">
        <f>5.9592 * CHOOSE(CONTROL!$C$32, $C$9, 100%, $E$9)</f>
        <v>5.9592000000000001</v>
      </c>
      <c r="M375" s="9">
        <f>5.9626 * CHOOSE(CONTROL!$C$32, $C$9, 100%, $E$9)</f>
        <v>5.9626000000000001</v>
      </c>
      <c r="N375" s="9">
        <f>5.9592 * CHOOSE(CONTROL!$C$32, $C$9, 100%, $E$9)</f>
        <v>5.9592000000000001</v>
      </c>
      <c r="O375" s="9">
        <f>5.9626 * CHOOSE(CONTROL!$C$32, $C$9, 100%, $E$9)</f>
        <v>5.9626000000000001</v>
      </c>
    </row>
    <row r="376" spans="1:15" ht="15.75" x14ac:dyDescent="0.25">
      <c r="A376" s="14">
        <v>52321</v>
      </c>
      <c r="B376" s="10">
        <f>6.4273 * CHOOSE(CONTROL!$C$32, $C$9, 100%, $E$9)</f>
        <v>6.4272999999999998</v>
      </c>
      <c r="C376" s="10">
        <f>6.4273 * CHOOSE(CONTROL!$C$32, $C$9, 100%, $E$9)</f>
        <v>6.4272999999999998</v>
      </c>
      <c r="D376" s="10">
        <f>6.4283 * CHOOSE(CONTROL!$C$32, $C$9, 100%, $E$9)</f>
        <v>6.4283000000000001</v>
      </c>
      <c r="E376" s="9">
        <f>6.0501 * CHOOSE(CONTROL!$C$32, $C$9, 100%, $E$9)</f>
        <v>6.0500999999999996</v>
      </c>
      <c r="F376" s="9">
        <f>6.0501 * CHOOSE(CONTROL!$C$32, $C$9, 100%, $E$9)</f>
        <v>6.0500999999999996</v>
      </c>
      <c r="G376" s="9">
        <f>6.0535 * CHOOSE(CONTROL!$C$32, $C$9, 100%, $E$9)</f>
        <v>6.0534999999999997</v>
      </c>
      <c r="H376" s="9">
        <f>7.871 * CHOOSE(CONTROL!$C$32, $C$9, 100%, $E$9)</f>
        <v>7.8710000000000004</v>
      </c>
      <c r="I376" s="9">
        <f>7.8744 * CHOOSE(CONTROL!$C$32, $C$9, 100%, $E$9)</f>
        <v>7.8743999999999996</v>
      </c>
      <c r="J376" s="9">
        <f>7.871 * CHOOSE(CONTROL!$C$32, $C$9, 100%, $E$9)</f>
        <v>7.8710000000000004</v>
      </c>
      <c r="K376" s="9">
        <f>7.8744 * CHOOSE(CONTROL!$C$32, $C$9, 100%, $E$9)</f>
        <v>7.8743999999999996</v>
      </c>
      <c r="L376" s="9">
        <f>6.0501 * CHOOSE(CONTROL!$C$32, $C$9, 100%, $E$9)</f>
        <v>6.0500999999999996</v>
      </c>
      <c r="M376" s="9">
        <f>6.0535 * CHOOSE(CONTROL!$C$32, $C$9, 100%, $E$9)</f>
        <v>6.0534999999999997</v>
      </c>
      <c r="N376" s="9">
        <f>6.0501 * CHOOSE(CONTROL!$C$32, $C$9, 100%, $E$9)</f>
        <v>6.0500999999999996</v>
      </c>
      <c r="O376" s="9">
        <f>6.0535 * CHOOSE(CONTROL!$C$32, $C$9, 100%, $E$9)</f>
        <v>6.0534999999999997</v>
      </c>
    </row>
    <row r="377" spans="1:15" ht="15.75" x14ac:dyDescent="0.25">
      <c r="A377" s="14">
        <v>52351</v>
      </c>
      <c r="B377" s="10">
        <f>6.4275 * CHOOSE(CONTROL!$C$32, $C$9, 100%, $E$9)</f>
        <v>6.4275000000000002</v>
      </c>
      <c r="C377" s="10">
        <f>6.4275 * CHOOSE(CONTROL!$C$32, $C$9, 100%, $E$9)</f>
        <v>6.4275000000000002</v>
      </c>
      <c r="D377" s="10">
        <f>6.4285 * CHOOSE(CONTROL!$C$32, $C$9, 100%, $E$9)</f>
        <v>6.4284999999999997</v>
      </c>
      <c r="E377" s="9">
        <f>6.1458 * CHOOSE(CONTROL!$C$32, $C$9, 100%, $E$9)</f>
        <v>6.1458000000000004</v>
      </c>
      <c r="F377" s="9">
        <f>6.1458 * CHOOSE(CONTROL!$C$32, $C$9, 100%, $E$9)</f>
        <v>6.1458000000000004</v>
      </c>
      <c r="G377" s="9">
        <f>6.1492 * CHOOSE(CONTROL!$C$32, $C$9, 100%, $E$9)</f>
        <v>6.1492000000000004</v>
      </c>
      <c r="H377" s="9">
        <f>7.8709 * CHOOSE(CONTROL!$C$32, $C$9, 100%, $E$9)</f>
        <v>7.8708999999999998</v>
      </c>
      <c r="I377" s="9">
        <f>7.8743 * CHOOSE(CONTROL!$C$32, $C$9, 100%, $E$9)</f>
        <v>7.8742999999999999</v>
      </c>
      <c r="J377" s="9">
        <f>7.8709 * CHOOSE(CONTROL!$C$32, $C$9, 100%, $E$9)</f>
        <v>7.8708999999999998</v>
      </c>
      <c r="K377" s="9">
        <f>7.8743 * CHOOSE(CONTROL!$C$32, $C$9, 100%, $E$9)</f>
        <v>7.8742999999999999</v>
      </c>
      <c r="L377" s="9">
        <f>6.1458 * CHOOSE(CONTROL!$C$32, $C$9, 100%, $E$9)</f>
        <v>6.1458000000000004</v>
      </c>
      <c r="M377" s="9">
        <f>6.1492 * CHOOSE(CONTROL!$C$32, $C$9, 100%, $E$9)</f>
        <v>6.1492000000000004</v>
      </c>
      <c r="N377" s="9">
        <f>6.1458 * CHOOSE(CONTROL!$C$32, $C$9, 100%, $E$9)</f>
        <v>6.1458000000000004</v>
      </c>
      <c r="O377" s="9">
        <f>6.1492 * CHOOSE(CONTROL!$C$32, $C$9, 100%, $E$9)</f>
        <v>6.1492000000000004</v>
      </c>
    </row>
    <row r="378" spans="1:15" ht="15.75" x14ac:dyDescent="0.25">
      <c r="A378" s="14">
        <v>52382</v>
      </c>
      <c r="B378" s="10">
        <f>6.4275 * CHOOSE(CONTROL!$C$32, $C$9, 100%, $E$9)</f>
        <v>6.4275000000000002</v>
      </c>
      <c r="C378" s="10">
        <f>6.4275 * CHOOSE(CONTROL!$C$32, $C$9, 100%, $E$9)</f>
        <v>6.4275000000000002</v>
      </c>
      <c r="D378" s="10">
        <f>6.4288 * CHOOSE(CONTROL!$C$32, $C$9, 100%, $E$9)</f>
        <v>6.4287999999999998</v>
      </c>
      <c r="E378" s="9">
        <f>6.1833 * CHOOSE(CONTROL!$C$32, $C$9, 100%, $E$9)</f>
        <v>6.1833</v>
      </c>
      <c r="F378" s="9">
        <f>6.1833 * CHOOSE(CONTROL!$C$32, $C$9, 100%, $E$9)</f>
        <v>6.1833</v>
      </c>
      <c r="G378" s="9">
        <f>6.1877 * CHOOSE(CONTROL!$C$32, $C$9, 100%, $E$9)</f>
        <v>6.1877000000000004</v>
      </c>
      <c r="H378" s="9">
        <f>7.8709 * CHOOSE(CONTROL!$C$32, $C$9, 100%, $E$9)</f>
        <v>7.8708999999999998</v>
      </c>
      <c r="I378" s="9">
        <f>7.8753 * CHOOSE(CONTROL!$C$32, $C$9, 100%, $E$9)</f>
        <v>7.8753000000000002</v>
      </c>
      <c r="J378" s="9">
        <f>7.8709 * CHOOSE(CONTROL!$C$32, $C$9, 100%, $E$9)</f>
        <v>7.8708999999999998</v>
      </c>
      <c r="K378" s="9">
        <f>7.8753 * CHOOSE(CONTROL!$C$32, $C$9, 100%, $E$9)</f>
        <v>7.8753000000000002</v>
      </c>
      <c r="L378" s="9">
        <f>6.1833 * CHOOSE(CONTROL!$C$32, $C$9, 100%, $E$9)</f>
        <v>6.1833</v>
      </c>
      <c r="M378" s="9">
        <f>6.1877 * CHOOSE(CONTROL!$C$32, $C$9, 100%, $E$9)</f>
        <v>6.1877000000000004</v>
      </c>
      <c r="N378" s="9">
        <f>6.1833 * CHOOSE(CONTROL!$C$32, $C$9, 100%, $E$9)</f>
        <v>6.1833</v>
      </c>
      <c r="O378" s="9">
        <f>6.1877 * CHOOSE(CONTROL!$C$32, $C$9, 100%, $E$9)</f>
        <v>6.1877000000000004</v>
      </c>
    </row>
    <row r="379" spans="1:15" ht="15.75" x14ac:dyDescent="0.25">
      <c r="A379" s="14">
        <v>52412</v>
      </c>
      <c r="B379" s="10">
        <f>6.4336 * CHOOSE(CONTROL!$C$32, $C$9, 100%, $E$9)</f>
        <v>6.4336000000000002</v>
      </c>
      <c r="C379" s="10">
        <f>6.4336 * CHOOSE(CONTROL!$C$32, $C$9, 100%, $E$9)</f>
        <v>6.4336000000000002</v>
      </c>
      <c r="D379" s="10">
        <f>6.4349 * CHOOSE(CONTROL!$C$32, $C$9, 100%, $E$9)</f>
        <v>6.4348999999999998</v>
      </c>
      <c r="E379" s="9">
        <f>6.1501 * CHOOSE(CONTROL!$C$32, $C$9, 100%, $E$9)</f>
        <v>6.1501000000000001</v>
      </c>
      <c r="F379" s="9">
        <f>6.1501 * CHOOSE(CONTROL!$C$32, $C$9, 100%, $E$9)</f>
        <v>6.1501000000000001</v>
      </c>
      <c r="G379" s="9">
        <f>6.1544 * CHOOSE(CONTROL!$C$32, $C$9, 100%, $E$9)</f>
        <v>6.1543999999999999</v>
      </c>
      <c r="H379" s="9">
        <f>7.8749 * CHOOSE(CONTROL!$C$32, $C$9, 100%, $E$9)</f>
        <v>7.8749000000000002</v>
      </c>
      <c r="I379" s="9">
        <f>7.8793 * CHOOSE(CONTROL!$C$32, $C$9, 100%, $E$9)</f>
        <v>7.8792999999999997</v>
      </c>
      <c r="J379" s="9">
        <f>7.8749 * CHOOSE(CONTROL!$C$32, $C$9, 100%, $E$9)</f>
        <v>7.8749000000000002</v>
      </c>
      <c r="K379" s="9">
        <f>7.8793 * CHOOSE(CONTROL!$C$32, $C$9, 100%, $E$9)</f>
        <v>7.8792999999999997</v>
      </c>
      <c r="L379" s="9">
        <f>6.1501 * CHOOSE(CONTROL!$C$32, $C$9, 100%, $E$9)</f>
        <v>6.1501000000000001</v>
      </c>
      <c r="M379" s="9">
        <f>6.1544 * CHOOSE(CONTROL!$C$32, $C$9, 100%, $E$9)</f>
        <v>6.1543999999999999</v>
      </c>
      <c r="N379" s="9">
        <f>6.1501 * CHOOSE(CONTROL!$C$32, $C$9, 100%, $E$9)</f>
        <v>6.1501000000000001</v>
      </c>
      <c r="O379" s="9">
        <f>6.1544 * CHOOSE(CONTROL!$C$32, $C$9, 100%, $E$9)</f>
        <v>6.1543999999999999</v>
      </c>
    </row>
    <row r="380" spans="1:15" ht="15.75" x14ac:dyDescent="0.25">
      <c r="A380" s="14">
        <v>52443</v>
      </c>
      <c r="B380" s="10">
        <f>6.5288 * CHOOSE(CONTROL!$C$32, $C$9, 100%, $E$9)</f>
        <v>6.5288000000000004</v>
      </c>
      <c r="C380" s="10">
        <f>6.5288 * CHOOSE(CONTROL!$C$32, $C$9, 100%, $E$9)</f>
        <v>6.5288000000000004</v>
      </c>
      <c r="D380" s="10">
        <f>6.5301 * CHOOSE(CONTROL!$C$32, $C$9, 100%, $E$9)</f>
        <v>6.5301</v>
      </c>
      <c r="E380" s="9">
        <f>6.2238 * CHOOSE(CONTROL!$C$32, $C$9, 100%, $E$9)</f>
        <v>6.2237999999999998</v>
      </c>
      <c r="F380" s="9">
        <f>6.2238 * CHOOSE(CONTROL!$C$32, $C$9, 100%, $E$9)</f>
        <v>6.2237999999999998</v>
      </c>
      <c r="G380" s="9">
        <f>6.2281 * CHOOSE(CONTROL!$C$32, $C$9, 100%, $E$9)</f>
        <v>6.2281000000000004</v>
      </c>
      <c r="H380" s="9">
        <f>7.9957 * CHOOSE(CONTROL!$C$32, $C$9, 100%, $E$9)</f>
        <v>7.9957000000000003</v>
      </c>
      <c r="I380" s="9">
        <f>8 * CHOOSE(CONTROL!$C$32, $C$9, 100%, $E$9)</f>
        <v>8</v>
      </c>
      <c r="J380" s="9">
        <f>7.9957 * CHOOSE(CONTROL!$C$32, $C$9, 100%, $E$9)</f>
        <v>7.9957000000000003</v>
      </c>
      <c r="K380" s="9">
        <f>8 * CHOOSE(CONTROL!$C$32, $C$9, 100%, $E$9)</f>
        <v>8</v>
      </c>
      <c r="L380" s="9">
        <f>6.2238 * CHOOSE(CONTROL!$C$32, $C$9, 100%, $E$9)</f>
        <v>6.2237999999999998</v>
      </c>
      <c r="M380" s="9">
        <f>6.2281 * CHOOSE(CONTROL!$C$32, $C$9, 100%, $E$9)</f>
        <v>6.2281000000000004</v>
      </c>
      <c r="N380" s="9">
        <f>6.2238 * CHOOSE(CONTROL!$C$32, $C$9, 100%, $E$9)</f>
        <v>6.2237999999999998</v>
      </c>
      <c r="O380" s="9">
        <f>6.2281 * CHOOSE(CONTROL!$C$32, $C$9, 100%, $E$9)</f>
        <v>6.2281000000000004</v>
      </c>
    </row>
    <row r="381" spans="1:15" ht="15.75" x14ac:dyDescent="0.25">
      <c r="A381" s="14">
        <v>52474</v>
      </c>
      <c r="B381" s="10">
        <f>6.5355 * CHOOSE(CONTROL!$C$32, $C$9, 100%, $E$9)</f>
        <v>6.5354999999999999</v>
      </c>
      <c r="C381" s="10">
        <f>6.5355 * CHOOSE(CONTROL!$C$32, $C$9, 100%, $E$9)</f>
        <v>6.5354999999999999</v>
      </c>
      <c r="D381" s="10">
        <f>6.5368 * CHOOSE(CONTROL!$C$32, $C$9, 100%, $E$9)</f>
        <v>6.5368000000000004</v>
      </c>
      <c r="E381" s="9">
        <f>6.116 * CHOOSE(CONTROL!$C$32, $C$9, 100%, $E$9)</f>
        <v>6.1159999999999997</v>
      </c>
      <c r="F381" s="9">
        <f>6.116 * CHOOSE(CONTROL!$C$32, $C$9, 100%, $E$9)</f>
        <v>6.1159999999999997</v>
      </c>
      <c r="G381" s="9">
        <f>6.1203 * CHOOSE(CONTROL!$C$32, $C$9, 100%, $E$9)</f>
        <v>6.1203000000000003</v>
      </c>
      <c r="H381" s="9">
        <f>8.0001 * CHOOSE(CONTROL!$C$32, $C$9, 100%, $E$9)</f>
        <v>8.0000999999999998</v>
      </c>
      <c r="I381" s="9">
        <f>8.0044 * CHOOSE(CONTROL!$C$32, $C$9, 100%, $E$9)</f>
        <v>8.0044000000000004</v>
      </c>
      <c r="J381" s="9">
        <f>8.0001 * CHOOSE(CONTROL!$C$32, $C$9, 100%, $E$9)</f>
        <v>8.0000999999999998</v>
      </c>
      <c r="K381" s="9">
        <f>8.0044 * CHOOSE(CONTROL!$C$32, $C$9, 100%, $E$9)</f>
        <v>8.0044000000000004</v>
      </c>
      <c r="L381" s="9">
        <f>6.116 * CHOOSE(CONTROL!$C$32, $C$9, 100%, $E$9)</f>
        <v>6.1159999999999997</v>
      </c>
      <c r="M381" s="9">
        <f>6.1203 * CHOOSE(CONTROL!$C$32, $C$9, 100%, $E$9)</f>
        <v>6.1203000000000003</v>
      </c>
      <c r="N381" s="9">
        <f>6.116 * CHOOSE(CONTROL!$C$32, $C$9, 100%, $E$9)</f>
        <v>6.1159999999999997</v>
      </c>
      <c r="O381" s="9">
        <f>6.1203 * CHOOSE(CONTROL!$C$32, $C$9, 100%, $E$9)</f>
        <v>6.1203000000000003</v>
      </c>
    </row>
    <row r="382" spans="1:15" ht="15.75" x14ac:dyDescent="0.25">
      <c r="A382" s="14">
        <v>52504</v>
      </c>
      <c r="B382" s="10">
        <f>6.5325 * CHOOSE(CONTROL!$C$32, $C$9, 100%, $E$9)</f>
        <v>6.5324999999999998</v>
      </c>
      <c r="C382" s="10">
        <f>6.5325 * CHOOSE(CONTROL!$C$32, $C$9, 100%, $E$9)</f>
        <v>6.5324999999999998</v>
      </c>
      <c r="D382" s="10">
        <f>6.5338 * CHOOSE(CONTROL!$C$32, $C$9, 100%, $E$9)</f>
        <v>6.5338000000000003</v>
      </c>
      <c r="E382" s="9">
        <f>6.1014 * CHOOSE(CONTROL!$C$32, $C$9, 100%, $E$9)</f>
        <v>6.1013999999999999</v>
      </c>
      <c r="F382" s="9">
        <f>6.1014 * CHOOSE(CONTROL!$C$32, $C$9, 100%, $E$9)</f>
        <v>6.1013999999999999</v>
      </c>
      <c r="G382" s="9">
        <f>6.1057 * CHOOSE(CONTROL!$C$32, $C$9, 100%, $E$9)</f>
        <v>6.1056999999999997</v>
      </c>
      <c r="H382" s="9">
        <f>7.9981 * CHOOSE(CONTROL!$C$32, $C$9, 100%, $E$9)</f>
        <v>7.9981</v>
      </c>
      <c r="I382" s="9">
        <f>8.0024 * CHOOSE(CONTROL!$C$32, $C$9, 100%, $E$9)</f>
        <v>8.0023999999999997</v>
      </c>
      <c r="J382" s="9">
        <f>7.9981 * CHOOSE(CONTROL!$C$32, $C$9, 100%, $E$9)</f>
        <v>7.9981</v>
      </c>
      <c r="K382" s="9">
        <f>8.0024 * CHOOSE(CONTROL!$C$32, $C$9, 100%, $E$9)</f>
        <v>8.0023999999999997</v>
      </c>
      <c r="L382" s="9">
        <f>6.1014 * CHOOSE(CONTROL!$C$32, $C$9, 100%, $E$9)</f>
        <v>6.1013999999999999</v>
      </c>
      <c r="M382" s="9">
        <f>6.1057 * CHOOSE(CONTROL!$C$32, $C$9, 100%, $E$9)</f>
        <v>6.1056999999999997</v>
      </c>
      <c r="N382" s="9">
        <f>6.1014 * CHOOSE(CONTROL!$C$32, $C$9, 100%, $E$9)</f>
        <v>6.1013999999999999</v>
      </c>
      <c r="O382" s="9">
        <f>6.1057 * CHOOSE(CONTROL!$C$32, $C$9, 100%, $E$9)</f>
        <v>6.1056999999999997</v>
      </c>
    </row>
    <row r="383" spans="1:15" ht="15.75" x14ac:dyDescent="0.25">
      <c r="A383" s="14">
        <v>52535</v>
      </c>
      <c r="B383" s="10">
        <f>6.5378 * CHOOSE(CONTROL!$C$32, $C$9, 100%, $E$9)</f>
        <v>6.5377999999999998</v>
      </c>
      <c r="C383" s="10">
        <f>6.5378 * CHOOSE(CONTROL!$C$32, $C$9, 100%, $E$9)</f>
        <v>6.5377999999999998</v>
      </c>
      <c r="D383" s="10">
        <f>6.5388 * CHOOSE(CONTROL!$C$32, $C$9, 100%, $E$9)</f>
        <v>6.5388000000000002</v>
      </c>
      <c r="E383" s="9">
        <f>6.1379 * CHOOSE(CONTROL!$C$32, $C$9, 100%, $E$9)</f>
        <v>6.1379000000000001</v>
      </c>
      <c r="F383" s="9">
        <f>6.1379 * CHOOSE(CONTROL!$C$32, $C$9, 100%, $E$9)</f>
        <v>6.1379000000000001</v>
      </c>
      <c r="G383" s="9">
        <f>6.1413 * CHOOSE(CONTROL!$C$32, $C$9, 100%, $E$9)</f>
        <v>6.1413000000000002</v>
      </c>
      <c r="H383" s="9">
        <f>8.0006 * CHOOSE(CONTROL!$C$32, $C$9, 100%, $E$9)</f>
        <v>8.0006000000000004</v>
      </c>
      <c r="I383" s="9">
        <f>8.004 * CHOOSE(CONTROL!$C$32, $C$9, 100%, $E$9)</f>
        <v>8.0039999999999996</v>
      </c>
      <c r="J383" s="9">
        <f>8.0006 * CHOOSE(CONTROL!$C$32, $C$9, 100%, $E$9)</f>
        <v>8.0006000000000004</v>
      </c>
      <c r="K383" s="9">
        <f>8.004 * CHOOSE(CONTROL!$C$32, $C$9, 100%, $E$9)</f>
        <v>8.0039999999999996</v>
      </c>
      <c r="L383" s="9">
        <f>6.1379 * CHOOSE(CONTROL!$C$32, $C$9, 100%, $E$9)</f>
        <v>6.1379000000000001</v>
      </c>
      <c r="M383" s="9">
        <f>6.1413 * CHOOSE(CONTROL!$C$32, $C$9, 100%, $E$9)</f>
        <v>6.1413000000000002</v>
      </c>
      <c r="N383" s="9">
        <f>6.1379 * CHOOSE(CONTROL!$C$32, $C$9, 100%, $E$9)</f>
        <v>6.1379000000000001</v>
      </c>
      <c r="O383" s="9">
        <f>6.1413 * CHOOSE(CONTROL!$C$32, $C$9, 100%, $E$9)</f>
        <v>6.1413000000000002</v>
      </c>
    </row>
    <row r="384" spans="1:15" ht="15.75" x14ac:dyDescent="0.25">
      <c r="A384" s="14">
        <v>52565</v>
      </c>
      <c r="B384" s="10">
        <f>6.5408 * CHOOSE(CONTROL!$C$32, $C$9, 100%, $E$9)</f>
        <v>6.5407999999999999</v>
      </c>
      <c r="C384" s="10">
        <f>6.5408 * CHOOSE(CONTROL!$C$32, $C$9, 100%, $E$9)</f>
        <v>6.5407999999999999</v>
      </c>
      <c r="D384" s="10">
        <f>6.5418 * CHOOSE(CONTROL!$C$32, $C$9, 100%, $E$9)</f>
        <v>6.5418000000000003</v>
      </c>
      <c r="E384" s="9">
        <f>6.165 * CHOOSE(CONTROL!$C$32, $C$9, 100%, $E$9)</f>
        <v>6.165</v>
      </c>
      <c r="F384" s="9">
        <f>6.165 * CHOOSE(CONTROL!$C$32, $C$9, 100%, $E$9)</f>
        <v>6.165</v>
      </c>
      <c r="G384" s="9">
        <f>6.1684 * CHOOSE(CONTROL!$C$32, $C$9, 100%, $E$9)</f>
        <v>6.1684000000000001</v>
      </c>
      <c r="H384" s="9">
        <f>8.0026 * CHOOSE(CONTROL!$C$32, $C$9, 100%, $E$9)</f>
        <v>8.0025999999999993</v>
      </c>
      <c r="I384" s="9">
        <f>8.006 * CHOOSE(CONTROL!$C$32, $C$9, 100%, $E$9)</f>
        <v>8.0060000000000002</v>
      </c>
      <c r="J384" s="9">
        <f>8.0026 * CHOOSE(CONTROL!$C$32, $C$9, 100%, $E$9)</f>
        <v>8.0025999999999993</v>
      </c>
      <c r="K384" s="9">
        <f>8.006 * CHOOSE(CONTROL!$C$32, $C$9, 100%, $E$9)</f>
        <v>8.0060000000000002</v>
      </c>
      <c r="L384" s="9">
        <f>6.165 * CHOOSE(CONTROL!$C$32, $C$9, 100%, $E$9)</f>
        <v>6.165</v>
      </c>
      <c r="M384" s="9">
        <f>6.1684 * CHOOSE(CONTROL!$C$32, $C$9, 100%, $E$9)</f>
        <v>6.1684000000000001</v>
      </c>
      <c r="N384" s="9">
        <f>6.165 * CHOOSE(CONTROL!$C$32, $C$9, 100%, $E$9)</f>
        <v>6.165</v>
      </c>
      <c r="O384" s="9">
        <f>6.1684 * CHOOSE(CONTROL!$C$32, $C$9, 100%, $E$9)</f>
        <v>6.1684000000000001</v>
      </c>
    </row>
    <row r="385" spans="1:15" ht="15.75" x14ac:dyDescent="0.25">
      <c r="A385" s="14">
        <v>52596</v>
      </c>
      <c r="B385" s="10">
        <f>6.5408 * CHOOSE(CONTROL!$C$32, $C$9, 100%, $E$9)</f>
        <v>6.5407999999999999</v>
      </c>
      <c r="C385" s="10">
        <f>6.5408 * CHOOSE(CONTROL!$C$32, $C$9, 100%, $E$9)</f>
        <v>6.5407999999999999</v>
      </c>
      <c r="D385" s="10">
        <f>6.5418 * CHOOSE(CONTROL!$C$32, $C$9, 100%, $E$9)</f>
        <v>6.5418000000000003</v>
      </c>
      <c r="E385" s="9">
        <f>6.1025 * CHOOSE(CONTROL!$C$32, $C$9, 100%, $E$9)</f>
        <v>6.1025</v>
      </c>
      <c r="F385" s="9">
        <f>6.1025 * CHOOSE(CONTROL!$C$32, $C$9, 100%, $E$9)</f>
        <v>6.1025</v>
      </c>
      <c r="G385" s="9">
        <f>6.1059 * CHOOSE(CONTROL!$C$32, $C$9, 100%, $E$9)</f>
        <v>6.1059000000000001</v>
      </c>
      <c r="H385" s="9">
        <f>8.0026 * CHOOSE(CONTROL!$C$32, $C$9, 100%, $E$9)</f>
        <v>8.0025999999999993</v>
      </c>
      <c r="I385" s="9">
        <f>8.006 * CHOOSE(CONTROL!$C$32, $C$9, 100%, $E$9)</f>
        <v>8.0060000000000002</v>
      </c>
      <c r="J385" s="9">
        <f>8.0026 * CHOOSE(CONTROL!$C$32, $C$9, 100%, $E$9)</f>
        <v>8.0025999999999993</v>
      </c>
      <c r="K385" s="9">
        <f>8.006 * CHOOSE(CONTROL!$C$32, $C$9, 100%, $E$9)</f>
        <v>8.0060000000000002</v>
      </c>
      <c r="L385" s="9">
        <f>6.1025 * CHOOSE(CONTROL!$C$32, $C$9, 100%, $E$9)</f>
        <v>6.1025</v>
      </c>
      <c r="M385" s="9">
        <f>6.1059 * CHOOSE(CONTROL!$C$32, $C$9, 100%, $E$9)</f>
        <v>6.1059000000000001</v>
      </c>
      <c r="N385" s="9">
        <f>6.1025 * CHOOSE(CONTROL!$C$32, $C$9, 100%, $E$9)</f>
        <v>6.1025</v>
      </c>
      <c r="O385" s="9">
        <f>6.1059 * CHOOSE(CONTROL!$C$32, $C$9, 100%, $E$9)</f>
        <v>6.1059000000000001</v>
      </c>
    </row>
    <row r="386" spans="1:15" ht="15.75" x14ac:dyDescent="0.25">
      <c r="A386" s="14">
        <v>52627</v>
      </c>
      <c r="B386" s="10">
        <f>6.596 * CHOOSE(CONTROL!$C$32, $C$9, 100%, $E$9)</f>
        <v>6.5960000000000001</v>
      </c>
      <c r="C386" s="10">
        <f>6.596 * CHOOSE(CONTROL!$C$32, $C$9, 100%, $E$9)</f>
        <v>6.5960000000000001</v>
      </c>
      <c r="D386" s="10">
        <f>6.597 * CHOOSE(CONTROL!$C$32, $C$9, 100%, $E$9)</f>
        <v>6.5970000000000004</v>
      </c>
      <c r="E386" s="9">
        <f>6.1895 * CHOOSE(CONTROL!$C$32, $C$9, 100%, $E$9)</f>
        <v>6.1894999999999998</v>
      </c>
      <c r="F386" s="9">
        <f>6.1895 * CHOOSE(CONTROL!$C$32, $C$9, 100%, $E$9)</f>
        <v>6.1894999999999998</v>
      </c>
      <c r="G386" s="9">
        <f>6.1928 * CHOOSE(CONTROL!$C$32, $C$9, 100%, $E$9)</f>
        <v>6.1928000000000001</v>
      </c>
      <c r="H386" s="9">
        <f>8.0626 * CHOOSE(CONTROL!$C$32, $C$9, 100%, $E$9)</f>
        <v>8.0625999999999998</v>
      </c>
      <c r="I386" s="9">
        <f>8.066 * CHOOSE(CONTROL!$C$32, $C$9, 100%, $E$9)</f>
        <v>8.0660000000000007</v>
      </c>
      <c r="J386" s="9">
        <f>8.0626 * CHOOSE(CONTROL!$C$32, $C$9, 100%, $E$9)</f>
        <v>8.0625999999999998</v>
      </c>
      <c r="K386" s="9">
        <f>8.066 * CHOOSE(CONTROL!$C$32, $C$9, 100%, $E$9)</f>
        <v>8.0660000000000007</v>
      </c>
      <c r="L386" s="9">
        <f>6.1895 * CHOOSE(CONTROL!$C$32, $C$9, 100%, $E$9)</f>
        <v>6.1894999999999998</v>
      </c>
      <c r="M386" s="9">
        <f>6.1928 * CHOOSE(CONTROL!$C$32, $C$9, 100%, $E$9)</f>
        <v>6.1928000000000001</v>
      </c>
      <c r="N386" s="9">
        <f>6.1895 * CHOOSE(CONTROL!$C$32, $C$9, 100%, $E$9)</f>
        <v>6.1894999999999998</v>
      </c>
      <c r="O386" s="9">
        <f>6.1928 * CHOOSE(CONTROL!$C$32, $C$9, 100%, $E$9)</f>
        <v>6.1928000000000001</v>
      </c>
    </row>
    <row r="387" spans="1:15" ht="15.75" x14ac:dyDescent="0.25">
      <c r="A387" s="14">
        <v>52655</v>
      </c>
      <c r="B387" s="10">
        <f>6.5929 * CHOOSE(CONTROL!$C$32, $C$9, 100%, $E$9)</f>
        <v>6.5929000000000002</v>
      </c>
      <c r="C387" s="10">
        <f>6.5929 * CHOOSE(CONTROL!$C$32, $C$9, 100%, $E$9)</f>
        <v>6.5929000000000002</v>
      </c>
      <c r="D387" s="10">
        <f>6.5939 * CHOOSE(CONTROL!$C$32, $C$9, 100%, $E$9)</f>
        <v>6.5938999999999997</v>
      </c>
      <c r="E387" s="9">
        <f>6.0657 * CHOOSE(CONTROL!$C$32, $C$9, 100%, $E$9)</f>
        <v>6.0656999999999996</v>
      </c>
      <c r="F387" s="9">
        <f>6.0657 * CHOOSE(CONTROL!$C$32, $C$9, 100%, $E$9)</f>
        <v>6.0656999999999996</v>
      </c>
      <c r="G387" s="9">
        <f>6.0691 * CHOOSE(CONTROL!$C$32, $C$9, 100%, $E$9)</f>
        <v>6.0690999999999997</v>
      </c>
      <c r="H387" s="9">
        <f>8.0606 * CHOOSE(CONTROL!$C$32, $C$9, 100%, $E$9)</f>
        <v>8.0606000000000009</v>
      </c>
      <c r="I387" s="9">
        <f>8.064 * CHOOSE(CONTROL!$C$32, $C$9, 100%, $E$9)</f>
        <v>8.0640000000000001</v>
      </c>
      <c r="J387" s="9">
        <f>8.0606 * CHOOSE(CONTROL!$C$32, $C$9, 100%, $E$9)</f>
        <v>8.0606000000000009</v>
      </c>
      <c r="K387" s="9">
        <f>8.064 * CHOOSE(CONTROL!$C$32, $C$9, 100%, $E$9)</f>
        <v>8.0640000000000001</v>
      </c>
      <c r="L387" s="9">
        <f>6.0657 * CHOOSE(CONTROL!$C$32, $C$9, 100%, $E$9)</f>
        <v>6.0656999999999996</v>
      </c>
      <c r="M387" s="9">
        <f>6.0691 * CHOOSE(CONTROL!$C$32, $C$9, 100%, $E$9)</f>
        <v>6.0690999999999997</v>
      </c>
      <c r="N387" s="9">
        <f>6.0657 * CHOOSE(CONTROL!$C$32, $C$9, 100%, $E$9)</f>
        <v>6.0656999999999996</v>
      </c>
      <c r="O387" s="9">
        <f>6.0691 * CHOOSE(CONTROL!$C$32, $C$9, 100%, $E$9)</f>
        <v>6.0690999999999997</v>
      </c>
    </row>
    <row r="388" spans="1:15" ht="15.75" x14ac:dyDescent="0.25">
      <c r="A388" s="14">
        <v>52687</v>
      </c>
      <c r="B388" s="10">
        <f>6.5899 * CHOOSE(CONTROL!$C$32, $C$9, 100%, $E$9)</f>
        <v>6.5899000000000001</v>
      </c>
      <c r="C388" s="10">
        <f>6.5899 * CHOOSE(CONTROL!$C$32, $C$9, 100%, $E$9)</f>
        <v>6.5899000000000001</v>
      </c>
      <c r="D388" s="10">
        <f>6.5909 * CHOOSE(CONTROL!$C$32, $C$9, 100%, $E$9)</f>
        <v>6.5909000000000004</v>
      </c>
      <c r="E388" s="9">
        <f>6.1595 * CHOOSE(CONTROL!$C$32, $C$9, 100%, $E$9)</f>
        <v>6.1595000000000004</v>
      </c>
      <c r="F388" s="9">
        <f>6.1595 * CHOOSE(CONTROL!$C$32, $C$9, 100%, $E$9)</f>
        <v>6.1595000000000004</v>
      </c>
      <c r="G388" s="9">
        <f>6.1629 * CHOOSE(CONTROL!$C$32, $C$9, 100%, $E$9)</f>
        <v>6.1628999999999996</v>
      </c>
      <c r="H388" s="9">
        <f>8.0586 * CHOOSE(CONTROL!$C$32, $C$9, 100%, $E$9)</f>
        <v>8.0586000000000002</v>
      </c>
      <c r="I388" s="9">
        <f>8.062 * CHOOSE(CONTROL!$C$32, $C$9, 100%, $E$9)</f>
        <v>8.0619999999999994</v>
      </c>
      <c r="J388" s="9">
        <f>8.0586 * CHOOSE(CONTROL!$C$32, $C$9, 100%, $E$9)</f>
        <v>8.0586000000000002</v>
      </c>
      <c r="K388" s="9">
        <f>8.062 * CHOOSE(CONTROL!$C$32, $C$9, 100%, $E$9)</f>
        <v>8.0619999999999994</v>
      </c>
      <c r="L388" s="9">
        <f>6.1595 * CHOOSE(CONTROL!$C$32, $C$9, 100%, $E$9)</f>
        <v>6.1595000000000004</v>
      </c>
      <c r="M388" s="9">
        <f>6.1629 * CHOOSE(CONTROL!$C$32, $C$9, 100%, $E$9)</f>
        <v>6.1628999999999996</v>
      </c>
      <c r="N388" s="9">
        <f>6.1595 * CHOOSE(CONTROL!$C$32, $C$9, 100%, $E$9)</f>
        <v>6.1595000000000004</v>
      </c>
      <c r="O388" s="9">
        <f>6.1629 * CHOOSE(CONTROL!$C$32, $C$9, 100%, $E$9)</f>
        <v>6.1628999999999996</v>
      </c>
    </row>
    <row r="389" spans="1:15" ht="15.75" x14ac:dyDescent="0.25">
      <c r="A389" s="14">
        <v>52717</v>
      </c>
      <c r="B389" s="10">
        <f>6.5903 * CHOOSE(CONTROL!$C$32, $C$9, 100%, $E$9)</f>
        <v>6.5903</v>
      </c>
      <c r="C389" s="10">
        <f>6.5903 * CHOOSE(CONTROL!$C$32, $C$9, 100%, $E$9)</f>
        <v>6.5903</v>
      </c>
      <c r="D389" s="10">
        <f>6.5913 * CHOOSE(CONTROL!$C$32, $C$9, 100%, $E$9)</f>
        <v>6.5913000000000004</v>
      </c>
      <c r="E389" s="9">
        <f>6.2582 * CHOOSE(CONTROL!$C$32, $C$9, 100%, $E$9)</f>
        <v>6.2582000000000004</v>
      </c>
      <c r="F389" s="9">
        <f>6.2582 * CHOOSE(CONTROL!$C$32, $C$9, 100%, $E$9)</f>
        <v>6.2582000000000004</v>
      </c>
      <c r="G389" s="9">
        <f>6.2616 * CHOOSE(CONTROL!$C$32, $C$9, 100%, $E$9)</f>
        <v>6.2615999999999996</v>
      </c>
      <c r="H389" s="9">
        <f>8.0586 * CHOOSE(CONTROL!$C$32, $C$9, 100%, $E$9)</f>
        <v>8.0586000000000002</v>
      </c>
      <c r="I389" s="9">
        <f>8.062 * CHOOSE(CONTROL!$C$32, $C$9, 100%, $E$9)</f>
        <v>8.0619999999999994</v>
      </c>
      <c r="J389" s="9">
        <f>8.0586 * CHOOSE(CONTROL!$C$32, $C$9, 100%, $E$9)</f>
        <v>8.0586000000000002</v>
      </c>
      <c r="K389" s="9">
        <f>8.062 * CHOOSE(CONTROL!$C$32, $C$9, 100%, $E$9)</f>
        <v>8.0619999999999994</v>
      </c>
      <c r="L389" s="9">
        <f>6.2582 * CHOOSE(CONTROL!$C$32, $C$9, 100%, $E$9)</f>
        <v>6.2582000000000004</v>
      </c>
      <c r="M389" s="9">
        <f>6.2616 * CHOOSE(CONTROL!$C$32, $C$9, 100%, $E$9)</f>
        <v>6.2615999999999996</v>
      </c>
      <c r="N389" s="9">
        <f>6.2582 * CHOOSE(CONTROL!$C$32, $C$9, 100%, $E$9)</f>
        <v>6.2582000000000004</v>
      </c>
      <c r="O389" s="9">
        <f>6.2616 * CHOOSE(CONTROL!$C$32, $C$9, 100%, $E$9)</f>
        <v>6.2615999999999996</v>
      </c>
    </row>
    <row r="390" spans="1:15" ht="15.75" x14ac:dyDescent="0.25">
      <c r="A390" s="14">
        <v>52748</v>
      </c>
      <c r="B390" s="10">
        <f>6.5903 * CHOOSE(CONTROL!$C$32, $C$9, 100%, $E$9)</f>
        <v>6.5903</v>
      </c>
      <c r="C390" s="10">
        <f>6.5903 * CHOOSE(CONTROL!$C$32, $C$9, 100%, $E$9)</f>
        <v>6.5903</v>
      </c>
      <c r="D390" s="10">
        <f>6.5916 * CHOOSE(CONTROL!$C$32, $C$9, 100%, $E$9)</f>
        <v>6.5915999999999997</v>
      </c>
      <c r="E390" s="9">
        <f>6.2968 * CHOOSE(CONTROL!$C$32, $C$9, 100%, $E$9)</f>
        <v>6.2968000000000002</v>
      </c>
      <c r="F390" s="9">
        <f>6.2968 * CHOOSE(CONTROL!$C$32, $C$9, 100%, $E$9)</f>
        <v>6.2968000000000002</v>
      </c>
      <c r="G390" s="9">
        <f>6.3012 * CHOOSE(CONTROL!$C$32, $C$9, 100%, $E$9)</f>
        <v>6.3011999999999997</v>
      </c>
      <c r="H390" s="9">
        <f>8.0586 * CHOOSE(CONTROL!$C$32, $C$9, 100%, $E$9)</f>
        <v>8.0586000000000002</v>
      </c>
      <c r="I390" s="9">
        <f>8.063 * CHOOSE(CONTROL!$C$32, $C$9, 100%, $E$9)</f>
        <v>8.0630000000000006</v>
      </c>
      <c r="J390" s="9">
        <f>8.0586 * CHOOSE(CONTROL!$C$32, $C$9, 100%, $E$9)</f>
        <v>8.0586000000000002</v>
      </c>
      <c r="K390" s="9">
        <f>8.063 * CHOOSE(CONTROL!$C$32, $C$9, 100%, $E$9)</f>
        <v>8.0630000000000006</v>
      </c>
      <c r="L390" s="9">
        <f>6.2968 * CHOOSE(CONTROL!$C$32, $C$9, 100%, $E$9)</f>
        <v>6.2968000000000002</v>
      </c>
      <c r="M390" s="9">
        <f>6.3012 * CHOOSE(CONTROL!$C$32, $C$9, 100%, $E$9)</f>
        <v>6.3011999999999997</v>
      </c>
      <c r="N390" s="9">
        <f>6.2968 * CHOOSE(CONTROL!$C$32, $C$9, 100%, $E$9)</f>
        <v>6.2968000000000002</v>
      </c>
      <c r="O390" s="9">
        <f>6.3012 * CHOOSE(CONTROL!$C$32, $C$9, 100%, $E$9)</f>
        <v>6.3011999999999997</v>
      </c>
    </row>
    <row r="391" spans="1:15" ht="15.75" x14ac:dyDescent="0.25">
      <c r="A391" s="14">
        <v>52778</v>
      </c>
      <c r="B391" s="10">
        <f>6.5963 * CHOOSE(CONTROL!$C$32, $C$9, 100%, $E$9)</f>
        <v>6.5963000000000003</v>
      </c>
      <c r="C391" s="10">
        <f>6.5963 * CHOOSE(CONTROL!$C$32, $C$9, 100%, $E$9)</f>
        <v>6.5963000000000003</v>
      </c>
      <c r="D391" s="10">
        <f>6.5976 * CHOOSE(CONTROL!$C$32, $C$9, 100%, $E$9)</f>
        <v>6.5975999999999999</v>
      </c>
      <c r="E391" s="9">
        <f>6.2624 * CHOOSE(CONTROL!$C$32, $C$9, 100%, $E$9)</f>
        <v>6.2624000000000004</v>
      </c>
      <c r="F391" s="9">
        <f>6.2624 * CHOOSE(CONTROL!$C$32, $C$9, 100%, $E$9)</f>
        <v>6.2624000000000004</v>
      </c>
      <c r="G391" s="9">
        <f>6.2668 * CHOOSE(CONTROL!$C$32, $C$9, 100%, $E$9)</f>
        <v>6.2667999999999999</v>
      </c>
      <c r="H391" s="9">
        <f>8.0626 * CHOOSE(CONTROL!$C$32, $C$9, 100%, $E$9)</f>
        <v>8.0625999999999998</v>
      </c>
      <c r="I391" s="9">
        <f>8.067 * CHOOSE(CONTROL!$C$32, $C$9, 100%, $E$9)</f>
        <v>8.0670000000000002</v>
      </c>
      <c r="J391" s="9">
        <f>8.0626 * CHOOSE(CONTROL!$C$32, $C$9, 100%, $E$9)</f>
        <v>8.0625999999999998</v>
      </c>
      <c r="K391" s="9">
        <f>8.067 * CHOOSE(CONTROL!$C$32, $C$9, 100%, $E$9)</f>
        <v>8.0670000000000002</v>
      </c>
      <c r="L391" s="9">
        <f>6.2624 * CHOOSE(CONTROL!$C$32, $C$9, 100%, $E$9)</f>
        <v>6.2624000000000004</v>
      </c>
      <c r="M391" s="9">
        <f>6.2668 * CHOOSE(CONTROL!$C$32, $C$9, 100%, $E$9)</f>
        <v>6.2667999999999999</v>
      </c>
      <c r="N391" s="9">
        <f>6.2624 * CHOOSE(CONTROL!$C$32, $C$9, 100%, $E$9)</f>
        <v>6.2624000000000004</v>
      </c>
      <c r="O391" s="9">
        <f>6.2668 * CHOOSE(CONTROL!$C$32, $C$9, 100%, $E$9)</f>
        <v>6.2667999999999999</v>
      </c>
    </row>
    <row r="392" spans="1:15" ht="15.75" x14ac:dyDescent="0.25">
      <c r="A392" s="14">
        <v>52809</v>
      </c>
      <c r="B392" s="10">
        <f>6.6936 * CHOOSE(CONTROL!$C$32, $C$9, 100%, $E$9)</f>
        <v>6.6936</v>
      </c>
      <c r="C392" s="10">
        <f>6.6936 * CHOOSE(CONTROL!$C$32, $C$9, 100%, $E$9)</f>
        <v>6.6936</v>
      </c>
      <c r="D392" s="10">
        <f>6.6949 * CHOOSE(CONTROL!$C$32, $C$9, 100%, $E$9)</f>
        <v>6.6948999999999996</v>
      </c>
      <c r="E392" s="9">
        <f>6.3375 * CHOOSE(CONTROL!$C$32, $C$9, 100%, $E$9)</f>
        <v>6.3375000000000004</v>
      </c>
      <c r="F392" s="9">
        <f>6.3375 * CHOOSE(CONTROL!$C$32, $C$9, 100%, $E$9)</f>
        <v>6.3375000000000004</v>
      </c>
      <c r="G392" s="9">
        <f>6.3419 * CHOOSE(CONTROL!$C$32, $C$9, 100%, $E$9)</f>
        <v>6.3418999999999999</v>
      </c>
      <c r="H392" s="9">
        <f>8.186 * CHOOSE(CONTROL!$C$32, $C$9, 100%, $E$9)</f>
        <v>8.1859999999999999</v>
      </c>
      <c r="I392" s="9">
        <f>8.1904 * CHOOSE(CONTROL!$C$32, $C$9, 100%, $E$9)</f>
        <v>8.1904000000000003</v>
      </c>
      <c r="J392" s="9">
        <f>8.186 * CHOOSE(CONTROL!$C$32, $C$9, 100%, $E$9)</f>
        <v>8.1859999999999999</v>
      </c>
      <c r="K392" s="9">
        <f>8.1904 * CHOOSE(CONTROL!$C$32, $C$9, 100%, $E$9)</f>
        <v>8.1904000000000003</v>
      </c>
      <c r="L392" s="9">
        <f>6.3375 * CHOOSE(CONTROL!$C$32, $C$9, 100%, $E$9)</f>
        <v>6.3375000000000004</v>
      </c>
      <c r="M392" s="9">
        <f>6.3419 * CHOOSE(CONTROL!$C$32, $C$9, 100%, $E$9)</f>
        <v>6.3418999999999999</v>
      </c>
      <c r="N392" s="9">
        <f>6.3375 * CHOOSE(CONTROL!$C$32, $C$9, 100%, $E$9)</f>
        <v>6.3375000000000004</v>
      </c>
      <c r="O392" s="9">
        <f>6.3419 * CHOOSE(CONTROL!$C$32, $C$9, 100%, $E$9)</f>
        <v>6.3418999999999999</v>
      </c>
    </row>
    <row r="393" spans="1:15" ht="15.75" x14ac:dyDescent="0.25">
      <c r="A393" s="14">
        <v>52840</v>
      </c>
      <c r="B393" s="10">
        <f>6.7003 * CHOOSE(CONTROL!$C$32, $C$9, 100%, $E$9)</f>
        <v>6.7003000000000004</v>
      </c>
      <c r="C393" s="10">
        <f>6.7003 * CHOOSE(CONTROL!$C$32, $C$9, 100%, $E$9)</f>
        <v>6.7003000000000004</v>
      </c>
      <c r="D393" s="10">
        <f>6.7016 * CHOOSE(CONTROL!$C$32, $C$9, 100%, $E$9)</f>
        <v>6.7016</v>
      </c>
      <c r="E393" s="9">
        <f>6.2263 * CHOOSE(CONTROL!$C$32, $C$9, 100%, $E$9)</f>
        <v>6.2263000000000002</v>
      </c>
      <c r="F393" s="9">
        <f>6.2263 * CHOOSE(CONTROL!$C$32, $C$9, 100%, $E$9)</f>
        <v>6.2263000000000002</v>
      </c>
      <c r="G393" s="9">
        <f>6.2307 * CHOOSE(CONTROL!$C$32, $C$9, 100%, $E$9)</f>
        <v>6.2306999999999997</v>
      </c>
      <c r="H393" s="9">
        <f>8.1904 * CHOOSE(CONTROL!$C$32, $C$9, 100%, $E$9)</f>
        <v>8.1904000000000003</v>
      </c>
      <c r="I393" s="9">
        <f>8.1948 * CHOOSE(CONTROL!$C$32, $C$9, 100%, $E$9)</f>
        <v>8.1948000000000008</v>
      </c>
      <c r="J393" s="9">
        <f>8.1904 * CHOOSE(CONTROL!$C$32, $C$9, 100%, $E$9)</f>
        <v>8.1904000000000003</v>
      </c>
      <c r="K393" s="9">
        <f>8.1948 * CHOOSE(CONTROL!$C$32, $C$9, 100%, $E$9)</f>
        <v>8.1948000000000008</v>
      </c>
      <c r="L393" s="9">
        <f>6.2263 * CHOOSE(CONTROL!$C$32, $C$9, 100%, $E$9)</f>
        <v>6.2263000000000002</v>
      </c>
      <c r="M393" s="9">
        <f>6.2307 * CHOOSE(CONTROL!$C$32, $C$9, 100%, $E$9)</f>
        <v>6.2306999999999997</v>
      </c>
      <c r="N393" s="9">
        <f>6.2263 * CHOOSE(CONTROL!$C$32, $C$9, 100%, $E$9)</f>
        <v>6.2263000000000002</v>
      </c>
      <c r="O393" s="9">
        <f>6.2307 * CHOOSE(CONTROL!$C$32, $C$9, 100%, $E$9)</f>
        <v>6.2306999999999997</v>
      </c>
    </row>
    <row r="394" spans="1:15" ht="15.75" x14ac:dyDescent="0.25">
      <c r="A394" s="14">
        <v>52870</v>
      </c>
      <c r="B394" s="10">
        <f>6.6973 * CHOOSE(CONTROL!$C$32, $C$9, 100%, $E$9)</f>
        <v>6.6973000000000003</v>
      </c>
      <c r="C394" s="10">
        <f>6.6973 * CHOOSE(CONTROL!$C$32, $C$9, 100%, $E$9)</f>
        <v>6.6973000000000003</v>
      </c>
      <c r="D394" s="10">
        <f>6.6986 * CHOOSE(CONTROL!$C$32, $C$9, 100%, $E$9)</f>
        <v>6.6985999999999999</v>
      </c>
      <c r="E394" s="9">
        <f>6.2113 * CHOOSE(CONTROL!$C$32, $C$9, 100%, $E$9)</f>
        <v>6.2112999999999996</v>
      </c>
      <c r="F394" s="9">
        <f>6.2113 * CHOOSE(CONTROL!$C$32, $C$9, 100%, $E$9)</f>
        <v>6.2112999999999996</v>
      </c>
      <c r="G394" s="9">
        <f>6.2157 * CHOOSE(CONTROL!$C$32, $C$9, 100%, $E$9)</f>
        <v>6.2157</v>
      </c>
      <c r="H394" s="9">
        <f>8.1884 * CHOOSE(CONTROL!$C$32, $C$9, 100%, $E$9)</f>
        <v>8.1883999999999997</v>
      </c>
      <c r="I394" s="9">
        <f>8.1928 * CHOOSE(CONTROL!$C$32, $C$9, 100%, $E$9)</f>
        <v>8.1928000000000001</v>
      </c>
      <c r="J394" s="9">
        <f>8.1884 * CHOOSE(CONTROL!$C$32, $C$9, 100%, $E$9)</f>
        <v>8.1883999999999997</v>
      </c>
      <c r="K394" s="9">
        <f>8.1928 * CHOOSE(CONTROL!$C$32, $C$9, 100%, $E$9)</f>
        <v>8.1928000000000001</v>
      </c>
      <c r="L394" s="9">
        <f>6.2113 * CHOOSE(CONTROL!$C$32, $C$9, 100%, $E$9)</f>
        <v>6.2112999999999996</v>
      </c>
      <c r="M394" s="9">
        <f>6.2157 * CHOOSE(CONTROL!$C$32, $C$9, 100%, $E$9)</f>
        <v>6.2157</v>
      </c>
      <c r="N394" s="9">
        <f>6.2113 * CHOOSE(CONTROL!$C$32, $C$9, 100%, $E$9)</f>
        <v>6.2112999999999996</v>
      </c>
      <c r="O394" s="9">
        <f>6.2157 * CHOOSE(CONTROL!$C$32, $C$9, 100%, $E$9)</f>
        <v>6.2157</v>
      </c>
    </row>
    <row r="395" spans="1:15" ht="15.75" x14ac:dyDescent="0.25">
      <c r="A395" s="14">
        <v>52901</v>
      </c>
      <c r="B395" s="10">
        <f>6.7032 * CHOOSE(CONTROL!$C$32, $C$9, 100%, $E$9)</f>
        <v>6.7031999999999998</v>
      </c>
      <c r="C395" s="10">
        <f>6.7032 * CHOOSE(CONTROL!$C$32, $C$9, 100%, $E$9)</f>
        <v>6.7031999999999998</v>
      </c>
      <c r="D395" s="10">
        <f>6.7042 * CHOOSE(CONTROL!$C$32, $C$9, 100%, $E$9)</f>
        <v>6.7042000000000002</v>
      </c>
      <c r="E395" s="9">
        <f>6.2494 * CHOOSE(CONTROL!$C$32, $C$9, 100%, $E$9)</f>
        <v>6.2493999999999996</v>
      </c>
      <c r="F395" s="9">
        <f>6.2494 * CHOOSE(CONTROL!$C$32, $C$9, 100%, $E$9)</f>
        <v>6.2493999999999996</v>
      </c>
      <c r="G395" s="9">
        <f>6.2528 * CHOOSE(CONTROL!$C$32, $C$9, 100%, $E$9)</f>
        <v>6.2527999999999997</v>
      </c>
      <c r="H395" s="9">
        <f>8.1914 * CHOOSE(CONTROL!$C$32, $C$9, 100%, $E$9)</f>
        <v>8.1913999999999998</v>
      </c>
      <c r="I395" s="9">
        <f>8.1947 * CHOOSE(CONTROL!$C$32, $C$9, 100%, $E$9)</f>
        <v>8.1946999999999992</v>
      </c>
      <c r="J395" s="9">
        <f>8.1914 * CHOOSE(CONTROL!$C$32, $C$9, 100%, $E$9)</f>
        <v>8.1913999999999998</v>
      </c>
      <c r="K395" s="9">
        <f>8.1947 * CHOOSE(CONTROL!$C$32, $C$9, 100%, $E$9)</f>
        <v>8.1946999999999992</v>
      </c>
      <c r="L395" s="9">
        <f>6.2494 * CHOOSE(CONTROL!$C$32, $C$9, 100%, $E$9)</f>
        <v>6.2493999999999996</v>
      </c>
      <c r="M395" s="9">
        <f>6.2528 * CHOOSE(CONTROL!$C$32, $C$9, 100%, $E$9)</f>
        <v>6.2527999999999997</v>
      </c>
      <c r="N395" s="9">
        <f>6.2494 * CHOOSE(CONTROL!$C$32, $C$9, 100%, $E$9)</f>
        <v>6.2493999999999996</v>
      </c>
      <c r="O395" s="9">
        <f>6.2528 * CHOOSE(CONTROL!$C$32, $C$9, 100%, $E$9)</f>
        <v>6.2527999999999997</v>
      </c>
    </row>
    <row r="396" spans="1:15" ht="15.75" x14ac:dyDescent="0.25">
      <c r="A396" s="14">
        <v>52931</v>
      </c>
      <c r="B396" s="10">
        <f>6.7063 * CHOOSE(CONTROL!$C$32, $C$9, 100%, $E$9)</f>
        <v>6.7062999999999997</v>
      </c>
      <c r="C396" s="10">
        <f>6.7063 * CHOOSE(CONTROL!$C$32, $C$9, 100%, $E$9)</f>
        <v>6.7062999999999997</v>
      </c>
      <c r="D396" s="10">
        <f>6.7073 * CHOOSE(CONTROL!$C$32, $C$9, 100%, $E$9)</f>
        <v>6.7073</v>
      </c>
      <c r="E396" s="9">
        <f>6.2773 * CHOOSE(CONTROL!$C$32, $C$9, 100%, $E$9)</f>
        <v>6.2773000000000003</v>
      </c>
      <c r="F396" s="9">
        <f>6.2773 * CHOOSE(CONTROL!$C$32, $C$9, 100%, $E$9)</f>
        <v>6.2773000000000003</v>
      </c>
      <c r="G396" s="9">
        <f>6.2806 * CHOOSE(CONTROL!$C$32, $C$9, 100%, $E$9)</f>
        <v>6.2805999999999997</v>
      </c>
      <c r="H396" s="9">
        <f>8.1934 * CHOOSE(CONTROL!$C$32, $C$9, 100%, $E$9)</f>
        <v>8.1934000000000005</v>
      </c>
      <c r="I396" s="9">
        <f>8.1967 * CHOOSE(CONTROL!$C$32, $C$9, 100%, $E$9)</f>
        <v>8.1966999999999999</v>
      </c>
      <c r="J396" s="9">
        <f>8.1934 * CHOOSE(CONTROL!$C$32, $C$9, 100%, $E$9)</f>
        <v>8.1934000000000005</v>
      </c>
      <c r="K396" s="9">
        <f>8.1967 * CHOOSE(CONTROL!$C$32, $C$9, 100%, $E$9)</f>
        <v>8.1966999999999999</v>
      </c>
      <c r="L396" s="9">
        <f>6.2773 * CHOOSE(CONTROL!$C$32, $C$9, 100%, $E$9)</f>
        <v>6.2773000000000003</v>
      </c>
      <c r="M396" s="9">
        <f>6.2806 * CHOOSE(CONTROL!$C$32, $C$9, 100%, $E$9)</f>
        <v>6.2805999999999997</v>
      </c>
      <c r="N396" s="9">
        <f>6.2773 * CHOOSE(CONTROL!$C$32, $C$9, 100%, $E$9)</f>
        <v>6.2773000000000003</v>
      </c>
      <c r="O396" s="9">
        <f>6.2806 * CHOOSE(CONTROL!$C$32, $C$9, 100%, $E$9)</f>
        <v>6.2805999999999997</v>
      </c>
    </row>
    <row r="397" spans="1:15" ht="15.75" x14ac:dyDescent="0.25">
      <c r="A397" s="14">
        <v>52962</v>
      </c>
      <c r="B397" s="10">
        <f>6.7063 * CHOOSE(CONTROL!$C$32, $C$9, 100%, $E$9)</f>
        <v>6.7062999999999997</v>
      </c>
      <c r="C397" s="10">
        <f>6.7063 * CHOOSE(CONTROL!$C$32, $C$9, 100%, $E$9)</f>
        <v>6.7062999999999997</v>
      </c>
      <c r="D397" s="10">
        <f>6.7073 * CHOOSE(CONTROL!$C$32, $C$9, 100%, $E$9)</f>
        <v>6.7073</v>
      </c>
      <c r="E397" s="9">
        <f>6.2129 * CHOOSE(CONTROL!$C$32, $C$9, 100%, $E$9)</f>
        <v>6.2129000000000003</v>
      </c>
      <c r="F397" s="9">
        <f>6.2129 * CHOOSE(CONTROL!$C$32, $C$9, 100%, $E$9)</f>
        <v>6.2129000000000003</v>
      </c>
      <c r="G397" s="9">
        <f>6.2163 * CHOOSE(CONTROL!$C$32, $C$9, 100%, $E$9)</f>
        <v>6.2163000000000004</v>
      </c>
      <c r="H397" s="9">
        <f>8.1934 * CHOOSE(CONTROL!$C$32, $C$9, 100%, $E$9)</f>
        <v>8.1934000000000005</v>
      </c>
      <c r="I397" s="9">
        <f>8.1967 * CHOOSE(CONTROL!$C$32, $C$9, 100%, $E$9)</f>
        <v>8.1966999999999999</v>
      </c>
      <c r="J397" s="9">
        <f>8.1934 * CHOOSE(CONTROL!$C$32, $C$9, 100%, $E$9)</f>
        <v>8.1934000000000005</v>
      </c>
      <c r="K397" s="9">
        <f>8.1967 * CHOOSE(CONTROL!$C$32, $C$9, 100%, $E$9)</f>
        <v>8.1966999999999999</v>
      </c>
      <c r="L397" s="9">
        <f>6.2129 * CHOOSE(CONTROL!$C$32, $C$9, 100%, $E$9)</f>
        <v>6.2129000000000003</v>
      </c>
      <c r="M397" s="9">
        <f>6.2163 * CHOOSE(CONTROL!$C$32, $C$9, 100%, $E$9)</f>
        <v>6.2163000000000004</v>
      </c>
      <c r="N397" s="9">
        <f>6.2129 * CHOOSE(CONTROL!$C$32, $C$9, 100%, $E$9)</f>
        <v>6.2129000000000003</v>
      </c>
      <c r="O397" s="9">
        <f>6.2163 * CHOOSE(CONTROL!$C$32, $C$9, 100%, $E$9)</f>
        <v>6.2163000000000004</v>
      </c>
    </row>
    <row r="398" spans="1:15" ht="15.75" x14ac:dyDescent="0.25">
      <c r="A398" s="14">
        <v>52993</v>
      </c>
      <c r="B398" s="10">
        <f>6.7627 * CHOOSE(CONTROL!$C$32, $C$9, 100%, $E$9)</f>
        <v>6.7626999999999997</v>
      </c>
      <c r="C398" s="10">
        <f>6.7627 * CHOOSE(CONTROL!$C$32, $C$9, 100%, $E$9)</f>
        <v>6.7626999999999997</v>
      </c>
      <c r="D398" s="10">
        <f>6.7637 * CHOOSE(CONTROL!$C$32, $C$9, 100%, $E$9)</f>
        <v>6.7637</v>
      </c>
      <c r="E398" s="9">
        <f>6.302 * CHOOSE(CONTROL!$C$32, $C$9, 100%, $E$9)</f>
        <v>6.3019999999999996</v>
      </c>
      <c r="F398" s="9">
        <f>6.302 * CHOOSE(CONTROL!$C$32, $C$9, 100%, $E$9)</f>
        <v>6.3019999999999996</v>
      </c>
      <c r="G398" s="9">
        <f>6.3053 * CHOOSE(CONTROL!$C$32, $C$9, 100%, $E$9)</f>
        <v>6.3052999999999999</v>
      </c>
      <c r="H398" s="9">
        <f>8.2547 * CHOOSE(CONTROL!$C$32, $C$9, 100%, $E$9)</f>
        <v>8.2546999999999997</v>
      </c>
      <c r="I398" s="9">
        <f>8.2581 * CHOOSE(CONTROL!$C$32, $C$9, 100%, $E$9)</f>
        <v>8.2581000000000007</v>
      </c>
      <c r="J398" s="9">
        <f>8.2547 * CHOOSE(CONTROL!$C$32, $C$9, 100%, $E$9)</f>
        <v>8.2546999999999997</v>
      </c>
      <c r="K398" s="9">
        <f>8.2581 * CHOOSE(CONTROL!$C$32, $C$9, 100%, $E$9)</f>
        <v>8.2581000000000007</v>
      </c>
      <c r="L398" s="9">
        <f>6.302 * CHOOSE(CONTROL!$C$32, $C$9, 100%, $E$9)</f>
        <v>6.3019999999999996</v>
      </c>
      <c r="M398" s="9">
        <f>6.3053 * CHOOSE(CONTROL!$C$32, $C$9, 100%, $E$9)</f>
        <v>6.3052999999999999</v>
      </c>
      <c r="N398" s="9">
        <f>6.302 * CHOOSE(CONTROL!$C$32, $C$9, 100%, $E$9)</f>
        <v>6.3019999999999996</v>
      </c>
      <c r="O398" s="9">
        <f>6.3053 * CHOOSE(CONTROL!$C$32, $C$9, 100%, $E$9)</f>
        <v>6.3052999999999999</v>
      </c>
    </row>
    <row r="399" spans="1:15" ht="15.75" x14ac:dyDescent="0.25">
      <c r="A399" s="14">
        <v>53021</v>
      </c>
      <c r="B399" s="10">
        <f>6.7597 * CHOOSE(CONTROL!$C$32, $C$9, 100%, $E$9)</f>
        <v>6.7596999999999996</v>
      </c>
      <c r="C399" s="10">
        <f>6.7597 * CHOOSE(CONTROL!$C$32, $C$9, 100%, $E$9)</f>
        <v>6.7596999999999996</v>
      </c>
      <c r="D399" s="10">
        <f>6.7607 * CHOOSE(CONTROL!$C$32, $C$9, 100%, $E$9)</f>
        <v>6.7606999999999999</v>
      </c>
      <c r="E399" s="9">
        <f>6.1746 * CHOOSE(CONTROL!$C$32, $C$9, 100%, $E$9)</f>
        <v>6.1745999999999999</v>
      </c>
      <c r="F399" s="9">
        <f>6.1746 * CHOOSE(CONTROL!$C$32, $C$9, 100%, $E$9)</f>
        <v>6.1745999999999999</v>
      </c>
      <c r="G399" s="9">
        <f>6.178 * CHOOSE(CONTROL!$C$32, $C$9, 100%, $E$9)</f>
        <v>6.1779999999999999</v>
      </c>
      <c r="H399" s="9">
        <f>8.2527 * CHOOSE(CONTROL!$C$32, $C$9, 100%, $E$9)</f>
        <v>8.2527000000000008</v>
      </c>
      <c r="I399" s="9">
        <f>8.2561 * CHOOSE(CONTROL!$C$32, $C$9, 100%, $E$9)</f>
        <v>8.2561</v>
      </c>
      <c r="J399" s="9">
        <f>8.2527 * CHOOSE(CONTROL!$C$32, $C$9, 100%, $E$9)</f>
        <v>8.2527000000000008</v>
      </c>
      <c r="K399" s="9">
        <f>8.2561 * CHOOSE(CONTROL!$C$32, $C$9, 100%, $E$9)</f>
        <v>8.2561</v>
      </c>
      <c r="L399" s="9">
        <f>6.1746 * CHOOSE(CONTROL!$C$32, $C$9, 100%, $E$9)</f>
        <v>6.1745999999999999</v>
      </c>
      <c r="M399" s="9">
        <f>6.178 * CHOOSE(CONTROL!$C$32, $C$9, 100%, $E$9)</f>
        <v>6.1779999999999999</v>
      </c>
      <c r="N399" s="9">
        <f>6.1746 * CHOOSE(CONTROL!$C$32, $C$9, 100%, $E$9)</f>
        <v>6.1745999999999999</v>
      </c>
      <c r="O399" s="9">
        <f>6.178 * CHOOSE(CONTROL!$C$32, $C$9, 100%, $E$9)</f>
        <v>6.1779999999999999</v>
      </c>
    </row>
    <row r="400" spans="1:15" ht="15.75" x14ac:dyDescent="0.25">
      <c r="A400" s="14">
        <v>53052</v>
      </c>
      <c r="B400" s="10">
        <f>6.7566 * CHOOSE(CONTROL!$C$32, $C$9, 100%, $E$9)</f>
        <v>6.7565999999999997</v>
      </c>
      <c r="C400" s="10">
        <f>6.7566 * CHOOSE(CONTROL!$C$32, $C$9, 100%, $E$9)</f>
        <v>6.7565999999999997</v>
      </c>
      <c r="D400" s="10">
        <f>6.7577 * CHOOSE(CONTROL!$C$32, $C$9, 100%, $E$9)</f>
        <v>6.7576999999999998</v>
      </c>
      <c r="E400" s="9">
        <f>6.2712 * CHOOSE(CONTROL!$C$32, $C$9, 100%, $E$9)</f>
        <v>6.2712000000000003</v>
      </c>
      <c r="F400" s="9">
        <f>6.2712 * CHOOSE(CONTROL!$C$32, $C$9, 100%, $E$9)</f>
        <v>6.2712000000000003</v>
      </c>
      <c r="G400" s="9">
        <f>6.2746 * CHOOSE(CONTROL!$C$32, $C$9, 100%, $E$9)</f>
        <v>6.2746000000000004</v>
      </c>
      <c r="H400" s="9">
        <f>8.2507 * CHOOSE(CONTROL!$C$32, $C$9, 100%, $E$9)</f>
        <v>8.2507000000000001</v>
      </c>
      <c r="I400" s="9">
        <f>8.2541 * CHOOSE(CONTROL!$C$32, $C$9, 100%, $E$9)</f>
        <v>8.2540999999999993</v>
      </c>
      <c r="J400" s="9">
        <f>8.2507 * CHOOSE(CONTROL!$C$32, $C$9, 100%, $E$9)</f>
        <v>8.2507000000000001</v>
      </c>
      <c r="K400" s="9">
        <f>8.2541 * CHOOSE(CONTROL!$C$32, $C$9, 100%, $E$9)</f>
        <v>8.2540999999999993</v>
      </c>
      <c r="L400" s="9">
        <f>6.2712 * CHOOSE(CONTROL!$C$32, $C$9, 100%, $E$9)</f>
        <v>6.2712000000000003</v>
      </c>
      <c r="M400" s="9">
        <f>6.2746 * CHOOSE(CONTROL!$C$32, $C$9, 100%, $E$9)</f>
        <v>6.2746000000000004</v>
      </c>
      <c r="N400" s="9">
        <f>6.2712 * CHOOSE(CONTROL!$C$32, $C$9, 100%, $E$9)</f>
        <v>6.2712000000000003</v>
      </c>
      <c r="O400" s="9">
        <f>6.2746 * CHOOSE(CONTROL!$C$32, $C$9, 100%, $E$9)</f>
        <v>6.2746000000000004</v>
      </c>
    </row>
    <row r="401" spans="1:15" ht="15.75" x14ac:dyDescent="0.25">
      <c r="A401" s="14">
        <v>53082</v>
      </c>
      <c r="B401" s="10">
        <f>6.7572 * CHOOSE(CONTROL!$C$32, $C$9, 100%, $E$9)</f>
        <v>6.7572000000000001</v>
      </c>
      <c r="C401" s="10">
        <f>6.7572 * CHOOSE(CONTROL!$C$32, $C$9, 100%, $E$9)</f>
        <v>6.7572000000000001</v>
      </c>
      <c r="D401" s="10">
        <f>6.7582 * CHOOSE(CONTROL!$C$32, $C$9, 100%, $E$9)</f>
        <v>6.7582000000000004</v>
      </c>
      <c r="E401" s="9">
        <f>6.373 * CHOOSE(CONTROL!$C$32, $C$9, 100%, $E$9)</f>
        <v>6.3730000000000002</v>
      </c>
      <c r="F401" s="9">
        <f>6.373 * CHOOSE(CONTROL!$C$32, $C$9, 100%, $E$9)</f>
        <v>6.3730000000000002</v>
      </c>
      <c r="G401" s="9">
        <f>6.3764 * CHOOSE(CONTROL!$C$32, $C$9, 100%, $E$9)</f>
        <v>6.3764000000000003</v>
      </c>
      <c r="H401" s="9">
        <f>8.2508 * CHOOSE(CONTROL!$C$32, $C$9, 100%, $E$9)</f>
        <v>8.2507999999999999</v>
      </c>
      <c r="I401" s="9">
        <f>8.2542 * CHOOSE(CONTROL!$C$32, $C$9, 100%, $E$9)</f>
        <v>8.2542000000000009</v>
      </c>
      <c r="J401" s="9">
        <f>8.2508 * CHOOSE(CONTROL!$C$32, $C$9, 100%, $E$9)</f>
        <v>8.2507999999999999</v>
      </c>
      <c r="K401" s="9">
        <f>8.2542 * CHOOSE(CONTROL!$C$32, $C$9, 100%, $E$9)</f>
        <v>8.2542000000000009</v>
      </c>
      <c r="L401" s="9">
        <f>6.373 * CHOOSE(CONTROL!$C$32, $C$9, 100%, $E$9)</f>
        <v>6.3730000000000002</v>
      </c>
      <c r="M401" s="9">
        <f>6.3764 * CHOOSE(CONTROL!$C$32, $C$9, 100%, $E$9)</f>
        <v>6.3764000000000003</v>
      </c>
      <c r="N401" s="9">
        <f>6.373 * CHOOSE(CONTROL!$C$32, $C$9, 100%, $E$9)</f>
        <v>6.3730000000000002</v>
      </c>
      <c r="O401" s="9">
        <f>6.3764 * CHOOSE(CONTROL!$C$32, $C$9, 100%, $E$9)</f>
        <v>6.3764000000000003</v>
      </c>
    </row>
    <row r="402" spans="1:15" ht="15.75" x14ac:dyDescent="0.25">
      <c r="A402" s="14">
        <v>53113</v>
      </c>
      <c r="B402" s="10">
        <f>6.7572 * CHOOSE(CONTROL!$C$32, $C$9, 100%, $E$9)</f>
        <v>6.7572000000000001</v>
      </c>
      <c r="C402" s="10">
        <f>6.7572 * CHOOSE(CONTROL!$C$32, $C$9, 100%, $E$9)</f>
        <v>6.7572000000000001</v>
      </c>
      <c r="D402" s="10">
        <f>6.7585 * CHOOSE(CONTROL!$C$32, $C$9, 100%, $E$9)</f>
        <v>6.7584999999999997</v>
      </c>
      <c r="E402" s="9">
        <f>6.4128 * CHOOSE(CONTROL!$C$32, $C$9, 100%, $E$9)</f>
        <v>6.4127999999999998</v>
      </c>
      <c r="F402" s="9">
        <f>6.4128 * CHOOSE(CONTROL!$C$32, $C$9, 100%, $E$9)</f>
        <v>6.4127999999999998</v>
      </c>
      <c r="G402" s="9">
        <f>6.4171 * CHOOSE(CONTROL!$C$32, $C$9, 100%, $E$9)</f>
        <v>6.4170999999999996</v>
      </c>
      <c r="H402" s="9">
        <f>8.2508 * CHOOSE(CONTROL!$C$32, $C$9, 100%, $E$9)</f>
        <v>8.2507999999999999</v>
      </c>
      <c r="I402" s="9">
        <f>8.2552 * CHOOSE(CONTROL!$C$32, $C$9, 100%, $E$9)</f>
        <v>8.2552000000000003</v>
      </c>
      <c r="J402" s="9">
        <f>8.2508 * CHOOSE(CONTROL!$C$32, $C$9, 100%, $E$9)</f>
        <v>8.2507999999999999</v>
      </c>
      <c r="K402" s="9">
        <f>8.2552 * CHOOSE(CONTROL!$C$32, $C$9, 100%, $E$9)</f>
        <v>8.2552000000000003</v>
      </c>
      <c r="L402" s="9">
        <f>6.4128 * CHOOSE(CONTROL!$C$32, $C$9, 100%, $E$9)</f>
        <v>6.4127999999999998</v>
      </c>
      <c r="M402" s="9">
        <f>6.4171 * CHOOSE(CONTROL!$C$32, $C$9, 100%, $E$9)</f>
        <v>6.4170999999999996</v>
      </c>
      <c r="N402" s="9">
        <f>6.4128 * CHOOSE(CONTROL!$C$32, $C$9, 100%, $E$9)</f>
        <v>6.4127999999999998</v>
      </c>
      <c r="O402" s="9">
        <f>6.4171 * CHOOSE(CONTROL!$C$32, $C$9, 100%, $E$9)</f>
        <v>6.4170999999999996</v>
      </c>
    </row>
    <row r="403" spans="1:15" ht="15.75" x14ac:dyDescent="0.25">
      <c r="A403" s="14">
        <v>53143</v>
      </c>
      <c r="B403" s="10">
        <f>6.7633 * CHOOSE(CONTROL!$C$32, $C$9, 100%, $E$9)</f>
        <v>6.7633000000000001</v>
      </c>
      <c r="C403" s="10">
        <f>6.7633 * CHOOSE(CONTROL!$C$32, $C$9, 100%, $E$9)</f>
        <v>6.7633000000000001</v>
      </c>
      <c r="D403" s="10">
        <f>6.7646 * CHOOSE(CONTROL!$C$32, $C$9, 100%, $E$9)</f>
        <v>6.7645999999999997</v>
      </c>
      <c r="E403" s="9">
        <f>6.3773 * CHOOSE(CONTROL!$C$32, $C$9, 100%, $E$9)</f>
        <v>6.3773</v>
      </c>
      <c r="F403" s="9">
        <f>6.3773 * CHOOSE(CONTROL!$C$32, $C$9, 100%, $E$9)</f>
        <v>6.3773</v>
      </c>
      <c r="G403" s="9">
        <f>6.3816 * CHOOSE(CONTROL!$C$32, $C$9, 100%, $E$9)</f>
        <v>6.3815999999999997</v>
      </c>
      <c r="H403" s="9">
        <f>8.2548 * CHOOSE(CONTROL!$C$32, $C$9, 100%, $E$9)</f>
        <v>8.2547999999999995</v>
      </c>
      <c r="I403" s="9">
        <f>8.2592 * CHOOSE(CONTROL!$C$32, $C$9, 100%, $E$9)</f>
        <v>8.2591999999999999</v>
      </c>
      <c r="J403" s="9">
        <f>8.2548 * CHOOSE(CONTROL!$C$32, $C$9, 100%, $E$9)</f>
        <v>8.2547999999999995</v>
      </c>
      <c r="K403" s="9">
        <f>8.2592 * CHOOSE(CONTROL!$C$32, $C$9, 100%, $E$9)</f>
        <v>8.2591999999999999</v>
      </c>
      <c r="L403" s="9">
        <f>6.3773 * CHOOSE(CONTROL!$C$32, $C$9, 100%, $E$9)</f>
        <v>6.3773</v>
      </c>
      <c r="M403" s="9">
        <f>6.3816 * CHOOSE(CONTROL!$C$32, $C$9, 100%, $E$9)</f>
        <v>6.3815999999999997</v>
      </c>
      <c r="N403" s="9">
        <f>6.3773 * CHOOSE(CONTROL!$C$32, $C$9, 100%, $E$9)</f>
        <v>6.3773</v>
      </c>
      <c r="O403" s="9">
        <f>6.3816 * CHOOSE(CONTROL!$C$32, $C$9, 100%, $E$9)</f>
        <v>6.3815999999999997</v>
      </c>
    </row>
    <row r="404" spans="1:15" ht="15.75" x14ac:dyDescent="0.25">
      <c r="A404" s="14">
        <v>53174</v>
      </c>
      <c r="B404" s="10">
        <f>6.8626 * CHOOSE(CONTROL!$C$32, $C$9, 100%, $E$9)</f>
        <v>6.8625999999999996</v>
      </c>
      <c r="C404" s="10">
        <f>6.8626 * CHOOSE(CONTROL!$C$32, $C$9, 100%, $E$9)</f>
        <v>6.8625999999999996</v>
      </c>
      <c r="D404" s="10">
        <f>6.8639 * CHOOSE(CONTROL!$C$32, $C$9, 100%, $E$9)</f>
        <v>6.8639000000000001</v>
      </c>
      <c r="E404" s="9">
        <f>6.4534 * CHOOSE(CONTROL!$C$32, $C$9, 100%, $E$9)</f>
        <v>6.4534000000000002</v>
      </c>
      <c r="F404" s="9">
        <f>6.4534 * CHOOSE(CONTROL!$C$32, $C$9, 100%, $E$9)</f>
        <v>6.4534000000000002</v>
      </c>
      <c r="G404" s="9">
        <f>6.4577 * CHOOSE(CONTROL!$C$32, $C$9, 100%, $E$9)</f>
        <v>6.4577</v>
      </c>
      <c r="H404" s="9">
        <f>8.3809 * CHOOSE(CONTROL!$C$32, $C$9, 100%, $E$9)</f>
        <v>8.3809000000000005</v>
      </c>
      <c r="I404" s="9">
        <f>8.3852 * CHOOSE(CONTROL!$C$32, $C$9, 100%, $E$9)</f>
        <v>8.3851999999999993</v>
      </c>
      <c r="J404" s="9">
        <f>8.3809 * CHOOSE(CONTROL!$C$32, $C$9, 100%, $E$9)</f>
        <v>8.3809000000000005</v>
      </c>
      <c r="K404" s="9">
        <f>8.3852 * CHOOSE(CONTROL!$C$32, $C$9, 100%, $E$9)</f>
        <v>8.3851999999999993</v>
      </c>
      <c r="L404" s="9">
        <f>6.4534 * CHOOSE(CONTROL!$C$32, $C$9, 100%, $E$9)</f>
        <v>6.4534000000000002</v>
      </c>
      <c r="M404" s="9">
        <f>6.4577 * CHOOSE(CONTROL!$C$32, $C$9, 100%, $E$9)</f>
        <v>6.4577</v>
      </c>
      <c r="N404" s="9">
        <f>6.4534 * CHOOSE(CONTROL!$C$32, $C$9, 100%, $E$9)</f>
        <v>6.4534000000000002</v>
      </c>
      <c r="O404" s="9">
        <f>6.4577 * CHOOSE(CONTROL!$C$32, $C$9, 100%, $E$9)</f>
        <v>6.4577</v>
      </c>
    </row>
    <row r="405" spans="1:15" ht="15.75" x14ac:dyDescent="0.25">
      <c r="A405" s="14">
        <v>53205</v>
      </c>
      <c r="B405" s="10">
        <f>6.8693 * CHOOSE(CONTROL!$C$32, $C$9, 100%, $E$9)</f>
        <v>6.8693</v>
      </c>
      <c r="C405" s="10">
        <f>6.8693 * CHOOSE(CONTROL!$C$32, $C$9, 100%, $E$9)</f>
        <v>6.8693</v>
      </c>
      <c r="D405" s="10">
        <f>6.8706 * CHOOSE(CONTROL!$C$32, $C$9, 100%, $E$9)</f>
        <v>6.8705999999999996</v>
      </c>
      <c r="E405" s="9">
        <f>6.3387 * CHOOSE(CONTROL!$C$32, $C$9, 100%, $E$9)</f>
        <v>6.3387000000000002</v>
      </c>
      <c r="F405" s="9">
        <f>6.3387 * CHOOSE(CONTROL!$C$32, $C$9, 100%, $E$9)</f>
        <v>6.3387000000000002</v>
      </c>
      <c r="G405" s="9">
        <f>6.3431 * CHOOSE(CONTROL!$C$32, $C$9, 100%, $E$9)</f>
        <v>6.3430999999999997</v>
      </c>
      <c r="H405" s="9">
        <f>8.3853 * CHOOSE(CONTROL!$C$32, $C$9, 100%, $E$9)</f>
        <v>8.3853000000000009</v>
      </c>
      <c r="I405" s="9">
        <f>8.3896 * CHOOSE(CONTROL!$C$32, $C$9, 100%, $E$9)</f>
        <v>8.3895999999999997</v>
      </c>
      <c r="J405" s="9">
        <f>8.3853 * CHOOSE(CONTROL!$C$32, $C$9, 100%, $E$9)</f>
        <v>8.3853000000000009</v>
      </c>
      <c r="K405" s="9">
        <f>8.3896 * CHOOSE(CONTROL!$C$32, $C$9, 100%, $E$9)</f>
        <v>8.3895999999999997</v>
      </c>
      <c r="L405" s="9">
        <f>6.3387 * CHOOSE(CONTROL!$C$32, $C$9, 100%, $E$9)</f>
        <v>6.3387000000000002</v>
      </c>
      <c r="M405" s="9">
        <f>6.3431 * CHOOSE(CONTROL!$C$32, $C$9, 100%, $E$9)</f>
        <v>6.3430999999999997</v>
      </c>
      <c r="N405" s="9">
        <f>6.3387 * CHOOSE(CONTROL!$C$32, $C$9, 100%, $E$9)</f>
        <v>6.3387000000000002</v>
      </c>
      <c r="O405" s="9">
        <f>6.3431 * CHOOSE(CONTROL!$C$32, $C$9, 100%, $E$9)</f>
        <v>6.3430999999999997</v>
      </c>
    </row>
    <row r="406" spans="1:15" ht="15.75" x14ac:dyDescent="0.25">
      <c r="A406" s="14">
        <v>53235</v>
      </c>
      <c r="B406" s="10">
        <f>6.8663 * CHOOSE(CONTROL!$C$32, $C$9, 100%, $E$9)</f>
        <v>6.8662999999999998</v>
      </c>
      <c r="C406" s="10">
        <f>6.8663 * CHOOSE(CONTROL!$C$32, $C$9, 100%, $E$9)</f>
        <v>6.8662999999999998</v>
      </c>
      <c r="D406" s="10">
        <f>6.8676 * CHOOSE(CONTROL!$C$32, $C$9, 100%, $E$9)</f>
        <v>6.8676000000000004</v>
      </c>
      <c r="E406" s="9">
        <f>6.3233 * CHOOSE(CONTROL!$C$32, $C$9, 100%, $E$9)</f>
        <v>6.3232999999999997</v>
      </c>
      <c r="F406" s="9">
        <f>6.3233 * CHOOSE(CONTROL!$C$32, $C$9, 100%, $E$9)</f>
        <v>6.3232999999999997</v>
      </c>
      <c r="G406" s="9">
        <f>6.3277 * CHOOSE(CONTROL!$C$32, $C$9, 100%, $E$9)</f>
        <v>6.3277000000000001</v>
      </c>
      <c r="H406" s="9">
        <f>8.3833 * CHOOSE(CONTROL!$C$32, $C$9, 100%, $E$9)</f>
        <v>8.3833000000000002</v>
      </c>
      <c r="I406" s="9">
        <f>8.3876 * CHOOSE(CONTROL!$C$32, $C$9, 100%, $E$9)</f>
        <v>8.3876000000000008</v>
      </c>
      <c r="J406" s="9">
        <f>8.3833 * CHOOSE(CONTROL!$C$32, $C$9, 100%, $E$9)</f>
        <v>8.3833000000000002</v>
      </c>
      <c r="K406" s="9">
        <f>8.3876 * CHOOSE(CONTROL!$C$32, $C$9, 100%, $E$9)</f>
        <v>8.3876000000000008</v>
      </c>
      <c r="L406" s="9">
        <f>6.3233 * CHOOSE(CONTROL!$C$32, $C$9, 100%, $E$9)</f>
        <v>6.3232999999999997</v>
      </c>
      <c r="M406" s="9">
        <f>6.3277 * CHOOSE(CONTROL!$C$32, $C$9, 100%, $E$9)</f>
        <v>6.3277000000000001</v>
      </c>
      <c r="N406" s="9">
        <f>6.3233 * CHOOSE(CONTROL!$C$32, $C$9, 100%, $E$9)</f>
        <v>6.3232999999999997</v>
      </c>
      <c r="O406" s="9">
        <f>6.3277 * CHOOSE(CONTROL!$C$32, $C$9, 100%, $E$9)</f>
        <v>6.3277000000000001</v>
      </c>
    </row>
    <row r="407" spans="1:15" ht="15.75" x14ac:dyDescent="0.25">
      <c r="A407" s="14">
        <v>53266</v>
      </c>
      <c r="B407" s="10">
        <f>6.8729 * CHOOSE(CONTROL!$C$32, $C$9, 100%, $E$9)</f>
        <v>6.8728999999999996</v>
      </c>
      <c r="C407" s="10">
        <f>6.8729 * CHOOSE(CONTROL!$C$32, $C$9, 100%, $E$9)</f>
        <v>6.8728999999999996</v>
      </c>
      <c r="D407" s="10">
        <f>6.8739 * CHOOSE(CONTROL!$C$32, $C$9, 100%, $E$9)</f>
        <v>6.8738999999999999</v>
      </c>
      <c r="E407" s="9">
        <f>6.3629 * CHOOSE(CONTROL!$C$32, $C$9, 100%, $E$9)</f>
        <v>6.3628999999999998</v>
      </c>
      <c r="F407" s="9">
        <f>6.3629 * CHOOSE(CONTROL!$C$32, $C$9, 100%, $E$9)</f>
        <v>6.3628999999999998</v>
      </c>
      <c r="G407" s="9">
        <f>6.3663 * CHOOSE(CONTROL!$C$32, $C$9, 100%, $E$9)</f>
        <v>6.3662999999999998</v>
      </c>
      <c r="H407" s="9">
        <f>8.3866 * CHOOSE(CONTROL!$C$32, $C$9, 100%, $E$9)</f>
        <v>8.3865999999999996</v>
      </c>
      <c r="I407" s="9">
        <f>8.39 * CHOOSE(CONTROL!$C$32, $C$9, 100%, $E$9)</f>
        <v>8.39</v>
      </c>
      <c r="J407" s="9">
        <f>8.3866 * CHOOSE(CONTROL!$C$32, $C$9, 100%, $E$9)</f>
        <v>8.3865999999999996</v>
      </c>
      <c r="K407" s="9">
        <f>8.39 * CHOOSE(CONTROL!$C$32, $C$9, 100%, $E$9)</f>
        <v>8.39</v>
      </c>
      <c r="L407" s="9">
        <f>6.3629 * CHOOSE(CONTROL!$C$32, $C$9, 100%, $E$9)</f>
        <v>6.3628999999999998</v>
      </c>
      <c r="M407" s="9">
        <f>6.3663 * CHOOSE(CONTROL!$C$32, $C$9, 100%, $E$9)</f>
        <v>6.3662999999999998</v>
      </c>
      <c r="N407" s="9">
        <f>6.3629 * CHOOSE(CONTROL!$C$32, $C$9, 100%, $E$9)</f>
        <v>6.3628999999999998</v>
      </c>
      <c r="O407" s="9">
        <f>6.3663 * CHOOSE(CONTROL!$C$32, $C$9, 100%, $E$9)</f>
        <v>6.3662999999999998</v>
      </c>
    </row>
    <row r="408" spans="1:15" ht="15.75" x14ac:dyDescent="0.25">
      <c r="A408" s="14">
        <v>53296</v>
      </c>
      <c r="B408" s="10">
        <f>6.8759 * CHOOSE(CONTROL!$C$32, $C$9, 100%, $E$9)</f>
        <v>6.8758999999999997</v>
      </c>
      <c r="C408" s="10">
        <f>6.8759 * CHOOSE(CONTROL!$C$32, $C$9, 100%, $E$9)</f>
        <v>6.8758999999999997</v>
      </c>
      <c r="D408" s="10">
        <f>6.8769 * CHOOSE(CONTROL!$C$32, $C$9, 100%, $E$9)</f>
        <v>6.8769</v>
      </c>
      <c r="E408" s="9">
        <f>6.3916 * CHOOSE(CONTROL!$C$32, $C$9, 100%, $E$9)</f>
        <v>6.3916000000000004</v>
      </c>
      <c r="F408" s="9">
        <f>6.3916 * CHOOSE(CONTROL!$C$32, $C$9, 100%, $E$9)</f>
        <v>6.3916000000000004</v>
      </c>
      <c r="G408" s="9">
        <f>6.395 * CHOOSE(CONTROL!$C$32, $C$9, 100%, $E$9)</f>
        <v>6.3949999999999996</v>
      </c>
      <c r="H408" s="9">
        <f>8.3886 * CHOOSE(CONTROL!$C$32, $C$9, 100%, $E$9)</f>
        <v>8.3886000000000003</v>
      </c>
      <c r="I408" s="9">
        <f>8.392 * CHOOSE(CONTROL!$C$32, $C$9, 100%, $E$9)</f>
        <v>8.3919999999999995</v>
      </c>
      <c r="J408" s="9">
        <f>8.3886 * CHOOSE(CONTROL!$C$32, $C$9, 100%, $E$9)</f>
        <v>8.3886000000000003</v>
      </c>
      <c r="K408" s="9">
        <f>8.392 * CHOOSE(CONTROL!$C$32, $C$9, 100%, $E$9)</f>
        <v>8.3919999999999995</v>
      </c>
      <c r="L408" s="9">
        <f>6.3916 * CHOOSE(CONTROL!$C$32, $C$9, 100%, $E$9)</f>
        <v>6.3916000000000004</v>
      </c>
      <c r="M408" s="9">
        <f>6.395 * CHOOSE(CONTROL!$C$32, $C$9, 100%, $E$9)</f>
        <v>6.3949999999999996</v>
      </c>
      <c r="N408" s="9">
        <f>6.3916 * CHOOSE(CONTROL!$C$32, $C$9, 100%, $E$9)</f>
        <v>6.3916000000000004</v>
      </c>
      <c r="O408" s="9">
        <f>6.395 * CHOOSE(CONTROL!$C$32, $C$9, 100%, $E$9)</f>
        <v>6.3949999999999996</v>
      </c>
    </row>
    <row r="409" spans="1:15" ht="15.75" x14ac:dyDescent="0.25">
      <c r="A409" s="14">
        <v>53327</v>
      </c>
      <c r="B409" s="10">
        <f>6.8759 * CHOOSE(CONTROL!$C$32, $C$9, 100%, $E$9)</f>
        <v>6.8758999999999997</v>
      </c>
      <c r="C409" s="10">
        <f>6.8759 * CHOOSE(CONTROL!$C$32, $C$9, 100%, $E$9)</f>
        <v>6.8758999999999997</v>
      </c>
      <c r="D409" s="10">
        <f>6.8769 * CHOOSE(CONTROL!$C$32, $C$9, 100%, $E$9)</f>
        <v>6.8769</v>
      </c>
      <c r="E409" s="9">
        <f>6.3253 * CHOOSE(CONTROL!$C$32, $C$9, 100%, $E$9)</f>
        <v>6.3253000000000004</v>
      </c>
      <c r="F409" s="9">
        <f>6.3253 * CHOOSE(CONTROL!$C$32, $C$9, 100%, $E$9)</f>
        <v>6.3253000000000004</v>
      </c>
      <c r="G409" s="9">
        <f>6.3287 * CHOOSE(CONTROL!$C$32, $C$9, 100%, $E$9)</f>
        <v>6.3287000000000004</v>
      </c>
      <c r="H409" s="9">
        <f>8.3886 * CHOOSE(CONTROL!$C$32, $C$9, 100%, $E$9)</f>
        <v>8.3886000000000003</v>
      </c>
      <c r="I409" s="9">
        <f>8.392 * CHOOSE(CONTROL!$C$32, $C$9, 100%, $E$9)</f>
        <v>8.3919999999999995</v>
      </c>
      <c r="J409" s="9">
        <f>8.3886 * CHOOSE(CONTROL!$C$32, $C$9, 100%, $E$9)</f>
        <v>8.3886000000000003</v>
      </c>
      <c r="K409" s="9">
        <f>8.392 * CHOOSE(CONTROL!$C$32, $C$9, 100%, $E$9)</f>
        <v>8.3919999999999995</v>
      </c>
      <c r="L409" s="9">
        <f>6.3253 * CHOOSE(CONTROL!$C$32, $C$9, 100%, $E$9)</f>
        <v>6.3253000000000004</v>
      </c>
      <c r="M409" s="9">
        <f>6.3287 * CHOOSE(CONTROL!$C$32, $C$9, 100%, $E$9)</f>
        <v>6.3287000000000004</v>
      </c>
      <c r="N409" s="9">
        <f>6.3253 * CHOOSE(CONTROL!$C$32, $C$9, 100%, $E$9)</f>
        <v>6.3253000000000004</v>
      </c>
      <c r="O409" s="9">
        <f>6.3287 * CHOOSE(CONTROL!$C$32, $C$9, 100%, $E$9)</f>
        <v>6.3287000000000004</v>
      </c>
    </row>
    <row r="410" spans="1:15" ht="15.75" x14ac:dyDescent="0.25">
      <c r="A410" s="14">
        <v>53358</v>
      </c>
      <c r="B410" s="10">
        <f>6.9337 * CHOOSE(CONTROL!$C$32, $C$9, 100%, $E$9)</f>
        <v>6.9337</v>
      </c>
      <c r="C410" s="10">
        <f>6.9337 * CHOOSE(CONTROL!$C$32, $C$9, 100%, $E$9)</f>
        <v>6.9337</v>
      </c>
      <c r="D410" s="10">
        <f>6.9347 * CHOOSE(CONTROL!$C$32, $C$9, 100%, $E$9)</f>
        <v>6.9347000000000003</v>
      </c>
      <c r="E410" s="9">
        <f>6.4166 * CHOOSE(CONTROL!$C$32, $C$9, 100%, $E$9)</f>
        <v>6.4165999999999999</v>
      </c>
      <c r="F410" s="9">
        <f>6.4166 * CHOOSE(CONTROL!$C$32, $C$9, 100%, $E$9)</f>
        <v>6.4165999999999999</v>
      </c>
      <c r="G410" s="9">
        <f>6.42 * CHOOSE(CONTROL!$C$32, $C$9, 100%, $E$9)</f>
        <v>6.42</v>
      </c>
      <c r="H410" s="9">
        <f>8.4514 * CHOOSE(CONTROL!$C$32, $C$9, 100%, $E$9)</f>
        <v>8.4513999999999996</v>
      </c>
      <c r="I410" s="9">
        <f>8.4548 * CHOOSE(CONTROL!$C$32, $C$9, 100%, $E$9)</f>
        <v>8.4548000000000005</v>
      </c>
      <c r="J410" s="9">
        <f>8.4514 * CHOOSE(CONTROL!$C$32, $C$9, 100%, $E$9)</f>
        <v>8.4513999999999996</v>
      </c>
      <c r="K410" s="9">
        <f>8.4548 * CHOOSE(CONTROL!$C$32, $C$9, 100%, $E$9)</f>
        <v>8.4548000000000005</v>
      </c>
      <c r="L410" s="9">
        <f>6.4166 * CHOOSE(CONTROL!$C$32, $C$9, 100%, $E$9)</f>
        <v>6.4165999999999999</v>
      </c>
      <c r="M410" s="9">
        <f>6.42 * CHOOSE(CONTROL!$C$32, $C$9, 100%, $E$9)</f>
        <v>6.42</v>
      </c>
      <c r="N410" s="9">
        <f>6.4166 * CHOOSE(CONTROL!$C$32, $C$9, 100%, $E$9)</f>
        <v>6.4165999999999999</v>
      </c>
      <c r="O410" s="9">
        <f>6.42 * CHOOSE(CONTROL!$C$32, $C$9, 100%, $E$9)</f>
        <v>6.42</v>
      </c>
    </row>
    <row r="411" spans="1:15" ht="15.75" x14ac:dyDescent="0.25">
      <c r="A411" s="14">
        <v>53386</v>
      </c>
      <c r="B411" s="10">
        <f>6.9307 * CHOOSE(CONTROL!$C$32, $C$9, 100%, $E$9)</f>
        <v>6.9306999999999999</v>
      </c>
      <c r="C411" s="10">
        <f>6.9307 * CHOOSE(CONTROL!$C$32, $C$9, 100%, $E$9)</f>
        <v>6.9306999999999999</v>
      </c>
      <c r="D411" s="10">
        <f>6.9317 * CHOOSE(CONTROL!$C$32, $C$9, 100%, $E$9)</f>
        <v>6.9317000000000002</v>
      </c>
      <c r="E411" s="9">
        <f>6.2855 * CHOOSE(CONTROL!$C$32, $C$9, 100%, $E$9)</f>
        <v>6.2854999999999999</v>
      </c>
      <c r="F411" s="9">
        <f>6.2855 * CHOOSE(CONTROL!$C$32, $C$9, 100%, $E$9)</f>
        <v>6.2854999999999999</v>
      </c>
      <c r="G411" s="9">
        <f>6.2889 * CHOOSE(CONTROL!$C$32, $C$9, 100%, $E$9)</f>
        <v>6.2888999999999999</v>
      </c>
      <c r="H411" s="9">
        <f>8.4494 * CHOOSE(CONTROL!$C$32, $C$9, 100%, $E$9)</f>
        <v>8.4494000000000007</v>
      </c>
      <c r="I411" s="9">
        <f>8.4528 * CHOOSE(CONTROL!$C$32, $C$9, 100%, $E$9)</f>
        <v>8.4527999999999999</v>
      </c>
      <c r="J411" s="9">
        <f>8.4494 * CHOOSE(CONTROL!$C$32, $C$9, 100%, $E$9)</f>
        <v>8.4494000000000007</v>
      </c>
      <c r="K411" s="9">
        <f>8.4528 * CHOOSE(CONTROL!$C$32, $C$9, 100%, $E$9)</f>
        <v>8.4527999999999999</v>
      </c>
      <c r="L411" s="9">
        <f>6.2855 * CHOOSE(CONTROL!$C$32, $C$9, 100%, $E$9)</f>
        <v>6.2854999999999999</v>
      </c>
      <c r="M411" s="9">
        <f>6.2889 * CHOOSE(CONTROL!$C$32, $C$9, 100%, $E$9)</f>
        <v>6.2888999999999999</v>
      </c>
      <c r="N411" s="9">
        <f>6.2855 * CHOOSE(CONTROL!$C$32, $C$9, 100%, $E$9)</f>
        <v>6.2854999999999999</v>
      </c>
      <c r="O411" s="9">
        <f>6.2889 * CHOOSE(CONTROL!$C$32, $C$9, 100%, $E$9)</f>
        <v>6.2888999999999999</v>
      </c>
    </row>
    <row r="412" spans="1:15" ht="15.75" x14ac:dyDescent="0.25">
      <c r="A412" s="14">
        <v>53417</v>
      </c>
      <c r="B412" s="10">
        <f>6.9276 * CHOOSE(CONTROL!$C$32, $C$9, 100%, $E$9)</f>
        <v>6.9276</v>
      </c>
      <c r="C412" s="10">
        <f>6.9276 * CHOOSE(CONTROL!$C$32, $C$9, 100%, $E$9)</f>
        <v>6.9276</v>
      </c>
      <c r="D412" s="10">
        <f>6.9286 * CHOOSE(CONTROL!$C$32, $C$9, 100%, $E$9)</f>
        <v>6.9286000000000003</v>
      </c>
      <c r="E412" s="9">
        <f>6.3851 * CHOOSE(CONTROL!$C$32, $C$9, 100%, $E$9)</f>
        <v>6.3851000000000004</v>
      </c>
      <c r="F412" s="9">
        <f>6.3851 * CHOOSE(CONTROL!$C$32, $C$9, 100%, $E$9)</f>
        <v>6.3851000000000004</v>
      </c>
      <c r="G412" s="9">
        <f>6.3885 * CHOOSE(CONTROL!$C$32, $C$9, 100%, $E$9)</f>
        <v>6.3884999999999996</v>
      </c>
      <c r="H412" s="9">
        <f>8.4474 * CHOOSE(CONTROL!$C$32, $C$9, 100%, $E$9)</f>
        <v>8.4474</v>
      </c>
      <c r="I412" s="9">
        <f>8.4508 * CHOOSE(CONTROL!$C$32, $C$9, 100%, $E$9)</f>
        <v>8.4507999999999992</v>
      </c>
      <c r="J412" s="9">
        <f>8.4474 * CHOOSE(CONTROL!$C$32, $C$9, 100%, $E$9)</f>
        <v>8.4474</v>
      </c>
      <c r="K412" s="9">
        <f>8.4508 * CHOOSE(CONTROL!$C$32, $C$9, 100%, $E$9)</f>
        <v>8.4507999999999992</v>
      </c>
      <c r="L412" s="9">
        <f>6.3851 * CHOOSE(CONTROL!$C$32, $C$9, 100%, $E$9)</f>
        <v>6.3851000000000004</v>
      </c>
      <c r="M412" s="9">
        <f>6.3885 * CHOOSE(CONTROL!$C$32, $C$9, 100%, $E$9)</f>
        <v>6.3884999999999996</v>
      </c>
      <c r="N412" s="9">
        <f>6.3851 * CHOOSE(CONTROL!$C$32, $C$9, 100%, $E$9)</f>
        <v>6.3851000000000004</v>
      </c>
      <c r="O412" s="9">
        <f>6.3885 * CHOOSE(CONTROL!$C$32, $C$9, 100%, $E$9)</f>
        <v>6.3884999999999996</v>
      </c>
    </row>
    <row r="413" spans="1:15" ht="15.75" x14ac:dyDescent="0.25">
      <c r="A413" s="14">
        <v>53447</v>
      </c>
      <c r="B413" s="10">
        <f>6.9283 * CHOOSE(CONTROL!$C$32, $C$9, 100%, $E$9)</f>
        <v>6.9283000000000001</v>
      </c>
      <c r="C413" s="10">
        <f>6.9283 * CHOOSE(CONTROL!$C$32, $C$9, 100%, $E$9)</f>
        <v>6.9283000000000001</v>
      </c>
      <c r="D413" s="10">
        <f>6.9293 * CHOOSE(CONTROL!$C$32, $C$9, 100%, $E$9)</f>
        <v>6.9292999999999996</v>
      </c>
      <c r="E413" s="9">
        <f>6.4901 * CHOOSE(CONTROL!$C$32, $C$9, 100%, $E$9)</f>
        <v>6.4901</v>
      </c>
      <c r="F413" s="9">
        <f>6.4901 * CHOOSE(CONTROL!$C$32, $C$9, 100%, $E$9)</f>
        <v>6.4901</v>
      </c>
      <c r="G413" s="9">
        <f>6.4935 * CHOOSE(CONTROL!$C$32, $C$9, 100%, $E$9)</f>
        <v>6.4935</v>
      </c>
      <c r="H413" s="9">
        <f>8.4476 * CHOOSE(CONTROL!$C$32, $C$9, 100%, $E$9)</f>
        <v>8.4475999999999996</v>
      </c>
      <c r="I413" s="9">
        <f>8.451 * CHOOSE(CONTROL!$C$32, $C$9, 100%, $E$9)</f>
        <v>8.4510000000000005</v>
      </c>
      <c r="J413" s="9">
        <f>8.4476 * CHOOSE(CONTROL!$C$32, $C$9, 100%, $E$9)</f>
        <v>8.4475999999999996</v>
      </c>
      <c r="K413" s="9">
        <f>8.451 * CHOOSE(CONTROL!$C$32, $C$9, 100%, $E$9)</f>
        <v>8.4510000000000005</v>
      </c>
      <c r="L413" s="9">
        <f>6.4901 * CHOOSE(CONTROL!$C$32, $C$9, 100%, $E$9)</f>
        <v>6.4901</v>
      </c>
      <c r="M413" s="9">
        <f>6.4935 * CHOOSE(CONTROL!$C$32, $C$9, 100%, $E$9)</f>
        <v>6.4935</v>
      </c>
      <c r="N413" s="9">
        <f>6.4901 * CHOOSE(CONTROL!$C$32, $C$9, 100%, $E$9)</f>
        <v>6.4901</v>
      </c>
      <c r="O413" s="9">
        <f>6.4935 * CHOOSE(CONTROL!$C$32, $C$9, 100%, $E$9)</f>
        <v>6.4935</v>
      </c>
    </row>
    <row r="414" spans="1:15" ht="15.75" x14ac:dyDescent="0.25">
      <c r="A414" s="14">
        <v>53478</v>
      </c>
      <c r="B414" s="10">
        <f>6.9283 * CHOOSE(CONTROL!$C$32, $C$9, 100%, $E$9)</f>
        <v>6.9283000000000001</v>
      </c>
      <c r="C414" s="10">
        <f>6.9283 * CHOOSE(CONTROL!$C$32, $C$9, 100%, $E$9)</f>
        <v>6.9283000000000001</v>
      </c>
      <c r="D414" s="10">
        <f>6.9296 * CHOOSE(CONTROL!$C$32, $C$9, 100%, $E$9)</f>
        <v>6.9295999999999998</v>
      </c>
      <c r="E414" s="9">
        <f>6.531 * CHOOSE(CONTROL!$C$32, $C$9, 100%, $E$9)</f>
        <v>6.5309999999999997</v>
      </c>
      <c r="F414" s="9">
        <f>6.531 * CHOOSE(CONTROL!$C$32, $C$9, 100%, $E$9)</f>
        <v>6.5309999999999997</v>
      </c>
      <c r="G414" s="9">
        <f>6.5354 * CHOOSE(CONTROL!$C$32, $C$9, 100%, $E$9)</f>
        <v>6.5354000000000001</v>
      </c>
      <c r="H414" s="9">
        <f>8.4476 * CHOOSE(CONTROL!$C$32, $C$9, 100%, $E$9)</f>
        <v>8.4475999999999996</v>
      </c>
      <c r="I414" s="9">
        <f>8.452 * CHOOSE(CONTROL!$C$32, $C$9, 100%, $E$9)</f>
        <v>8.452</v>
      </c>
      <c r="J414" s="9">
        <f>8.4476 * CHOOSE(CONTROL!$C$32, $C$9, 100%, $E$9)</f>
        <v>8.4475999999999996</v>
      </c>
      <c r="K414" s="9">
        <f>8.452 * CHOOSE(CONTROL!$C$32, $C$9, 100%, $E$9)</f>
        <v>8.452</v>
      </c>
      <c r="L414" s="9">
        <f>6.531 * CHOOSE(CONTROL!$C$32, $C$9, 100%, $E$9)</f>
        <v>6.5309999999999997</v>
      </c>
      <c r="M414" s="9">
        <f>6.5354 * CHOOSE(CONTROL!$C$32, $C$9, 100%, $E$9)</f>
        <v>6.5354000000000001</v>
      </c>
      <c r="N414" s="9">
        <f>6.531 * CHOOSE(CONTROL!$C$32, $C$9, 100%, $E$9)</f>
        <v>6.5309999999999997</v>
      </c>
      <c r="O414" s="9">
        <f>6.5354 * CHOOSE(CONTROL!$C$32, $C$9, 100%, $E$9)</f>
        <v>6.5354000000000001</v>
      </c>
    </row>
    <row r="415" spans="1:15" ht="15.75" x14ac:dyDescent="0.25">
      <c r="A415" s="14">
        <v>53508</v>
      </c>
      <c r="B415" s="10">
        <f>6.9344 * CHOOSE(CONTROL!$C$32, $C$9, 100%, $E$9)</f>
        <v>6.9344000000000001</v>
      </c>
      <c r="C415" s="10">
        <f>6.9344 * CHOOSE(CONTROL!$C$32, $C$9, 100%, $E$9)</f>
        <v>6.9344000000000001</v>
      </c>
      <c r="D415" s="10">
        <f>6.9357 * CHOOSE(CONTROL!$C$32, $C$9, 100%, $E$9)</f>
        <v>6.9356999999999998</v>
      </c>
      <c r="E415" s="9">
        <f>6.4943 * CHOOSE(CONTROL!$C$32, $C$9, 100%, $E$9)</f>
        <v>6.4943</v>
      </c>
      <c r="F415" s="9">
        <f>6.4943 * CHOOSE(CONTROL!$C$32, $C$9, 100%, $E$9)</f>
        <v>6.4943</v>
      </c>
      <c r="G415" s="9">
        <f>6.4987 * CHOOSE(CONTROL!$C$32, $C$9, 100%, $E$9)</f>
        <v>6.4987000000000004</v>
      </c>
      <c r="H415" s="9">
        <f>8.4516 * CHOOSE(CONTROL!$C$32, $C$9, 100%, $E$9)</f>
        <v>8.4515999999999991</v>
      </c>
      <c r="I415" s="9">
        <f>8.456 * CHOOSE(CONTROL!$C$32, $C$9, 100%, $E$9)</f>
        <v>8.4559999999999995</v>
      </c>
      <c r="J415" s="9">
        <f>8.4516 * CHOOSE(CONTROL!$C$32, $C$9, 100%, $E$9)</f>
        <v>8.4515999999999991</v>
      </c>
      <c r="K415" s="9">
        <f>8.456 * CHOOSE(CONTROL!$C$32, $C$9, 100%, $E$9)</f>
        <v>8.4559999999999995</v>
      </c>
      <c r="L415" s="9">
        <f>6.4943 * CHOOSE(CONTROL!$C$32, $C$9, 100%, $E$9)</f>
        <v>6.4943</v>
      </c>
      <c r="M415" s="9">
        <f>6.4987 * CHOOSE(CONTROL!$C$32, $C$9, 100%, $E$9)</f>
        <v>6.4987000000000004</v>
      </c>
      <c r="N415" s="9">
        <f>6.4943 * CHOOSE(CONTROL!$C$32, $C$9, 100%, $E$9)</f>
        <v>6.4943</v>
      </c>
      <c r="O415" s="9">
        <f>6.4987 * CHOOSE(CONTROL!$C$32, $C$9, 100%, $E$9)</f>
        <v>6.4987000000000004</v>
      </c>
    </row>
    <row r="416" spans="1:15" ht="15.75" x14ac:dyDescent="0.25">
      <c r="A416" s="14">
        <v>53539</v>
      </c>
      <c r="B416" s="10">
        <f>7.0359 * CHOOSE(CONTROL!$C$32, $C$9, 100%, $E$9)</f>
        <v>7.0358999999999998</v>
      </c>
      <c r="C416" s="10">
        <f>7.0359 * CHOOSE(CONTROL!$C$32, $C$9, 100%, $E$9)</f>
        <v>7.0358999999999998</v>
      </c>
      <c r="D416" s="10">
        <f>7.0372 * CHOOSE(CONTROL!$C$32, $C$9, 100%, $E$9)</f>
        <v>7.0372000000000003</v>
      </c>
      <c r="E416" s="9">
        <f>6.5717 * CHOOSE(CONTROL!$C$32, $C$9, 100%, $E$9)</f>
        <v>6.5716999999999999</v>
      </c>
      <c r="F416" s="9">
        <f>6.5717 * CHOOSE(CONTROL!$C$32, $C$9, 100%, $E$9)</f>
        <v>6.5716999999999999</v>
      </c>
      <c r="G416" s="9">
        <f>6.576 * CHOOSE(CONTROL!$C$32, $C$9, 100%, $E$9)</f>
        <v>6.5759999999999996</v>
      </c>
      <c r="H416" s="9">
        <f>8.5804 * CHOOSE(CONTROL!$C$32, $C$9, 100%, $E$9)</f>
        <v>8.5803999999999991</v>
      </c>
      <c r="I416" s="9">
        <f>8.5848 * CHOOSE(CONTROL!$C$32, $C$9, 100%, $E$9)</f>
        <v>8.5847999999999995</v>
      </c>
      <c r="J416" s="9">
        <f>8.5804 * CHOOSE(CONTROL!$C$32, $C$9, 100%, $E$9)</f>
        <v>8.5803999999999991</v>
      </c>
      <c r="K416" s="9">
        <f>8.5848 * CHOOSE(CONTROL!$C$32, $C$9, 100%, $E$9)</f>
        <v>8.5847999999999995</v>
      </c>
      <c r="L416" s="9">
        <f>6.5717 * CHOOSE(CONTROL!$C$32, $C$9, 100%, $E$9)</f>
        <v>6.5716999999999999</v>
      </c>
      <c r="M416" s="9">
        <f>6.576 * CHOOSE(CONTROL!$C$32, $C$9, 100%, $E$9)</f>
        <v>6.5759999999999996</v>
      </c>
      <c r="N416" s="9">
        <f>6.5717 * CHOOSE(CONTROL!$C$32, $C$9, 100%, $E$9)</f>
        <v>6.5716999999999999</v>
      </c>
      <c r="O416" s="9">
        <f>6.576 * CHOOSE(CONTROL!$C$32, $C$9, 100%, $E$9)</f>
        <v>6.5759999999999996</v>
      </c>
    </row>
    <row r="417" spans="1:15" ht="15.75" x14ac:dyDescent="0.25">
      <c r="A417" s="14">
        <v>53570</v>
      </c>
      <c r="B417" s="10">
        <f>7.0426 * CHOOSE(CONTROL!$C$32, $C$9, 100%, $E$9)</f>
        <v>7.0426000000000002</v>
      </c>
      <c r="C417" s="10">
        <f>7.0426 * CHOOSE(CONTROL!$C$32, $C$9, 100%, $E$9)</f>
        <v>7.0426000000000002</v>
      </c>
      <c r="D417" s="10">
        <f>7.0439 * CHOOSE(CONTROL!$C$32, $C$9, 100%, $E$9)</f>
        <v>7.0438999999999998</v>
      </c>
      <c r="E417" s="9">
        <f>6.4535 * CHOOSE(CONTROL!$C$32, $C$9, 100%, $E$9)</f>
        <v>6.4535</v>
      </c>
      <c r="F417" s="9">
        <f>6.4535 * CHOOSE(CONTROL!$C$32, $C$9, 100%, $E$9)</f>
        <v>6.4535</v>
      </c>
      <c r="G417" s="9">
        <f>6.4578 * CHOOSE(CONTROL!$C$32, $C$9, 100%, $E$9)</f>
        <v>6.4577999999999998</v>
      </c>
      <c r="H417" s="9">
        <f>8.5848 * CHOOSE(CONTROL!$C$32, $C$9, 100%, $E$9)</f>
        <v>8.5847999999999995</v>
      </c>
      <c r="I417" s="9">
        <f>8.5892 * CHOOSE(CONTROL!$C$32, $C$9, 100%, $E$9)</f>
        <v>8.5891999999999999</v>
      </c>
      <c r="J417" s="9">
        <f>8.5848 * CHOOSE(CONTROL!$C$32, $C$9, 100%, $E$9)</f>
        <v>8.5847999999999995</v>
      </c>
      <c r="K417" s="9">
        <f>8.5892 * CHOOSE(CONTROL!$C$32, $C$9, 100%, $E$9)</f>
        <v>8.5891999999999999</v>
      </c>
      <c r="L417" s="9">
        <f>6.4535 * CHOOSE(CONTROL!$C$32, $C$9, 100%, $E$9)</f>
        <v>6.4535</v>
      </c>
      <c r="M417" s="9">
        <f>6.4578 * CHOOSE(CONTROL!$C$32, $C$9, 100%, $E$9)</f>
        <v>6.4577999999999998</v>
      </c>
      <c r="N417" s="9">
        <f>6.4535 * CHOOSE(CONTROL!$C$32, $C$9, 100%, $E$9)</f>
        <v>6.4535</v>
      </c>
      <c r="O417" s="9">
        <f>6.4578 * CHOOSE(CONTROL!$C$32, $C$9, 100%, $E$9)</f>
        <v>6.4577999999999998</v>
      </c>
    </row>
    <row r="418" spans="1:15" ht="15.75" x14ac:dyDescent="0.25">
      <c r="A418" s="14">
        <v>53600</v>
      </c>
      <c r="B418" s="10">
        <f>7.0396 * CHOOSE(CONTROL!$C$32, $C$9, 100%, $E$9)</f>
        <v>7.0396000000000001</v>
      </c>
      <c r="C418" s="10">
        <f>7.0396 * CHOOSE(CONTROL!$C$32, $C$9, 100%, $E$9)</f>
        <v>7.0396000000000001</v>
      </c>
      <c r="D418" s="10">
        <f>7.0409 * CHOOSE(CONTROL!$C$32, $C$9, 100%, $E$9)</f>
        <v>7.0408999999999997</v>
      </c>
      <c r="E418" s="9">
        <f>6.4377 * CHOOSE(CONTROL!$C$32, $C$9, 100%, $E$9)</f>
        <v>6.4377000000000004</v>
      </c>
      <c r="F418" s="9">
        <f>6.4377 * CHOOSE(CONTROL!$C$32, $C$9, 100%, $E$9)</f>
        <v>6.4377000000000004</v>
      </c>
      <c r="G418" s="9">
        <f>6.4421 * CHOOSE(CONTROL!$C$32, $C$9, 100%, $E$9)</f>
        <v>6.4420999999999999</v>
      </c>
      <c r="H418" s="9">
        <f>8.5828 * CHOOSE(CONTROL!$C$32, $C$9, 100%, $E$9)</f>
        <v>8.5828000000000007</v>
      </c>
      <c r="I418" s="9">
        <f>8.5872 * CHOOSE(CONTROL!$C$32, $C$9, 100%, $E$9)</f>
        <v>8.5871999999999993</v>
      </c>
      <c r="J418" s="9">
        <f>8.5828 * CHOOSE(CONTROL!$C$32, $C$9, 100%, $E$9)</f>
        <v>8.5828000000000007</v>
      </c>
      <c r="K418" s="9">
        <f>8.5872 * CHOOSE(CONTROL!$C$32, $C$9, 100%, $E$9)</f>
        <v>8.5871999999999993</v>
      </c>
      <c r="L418" s="9">
        <f>6.4377 * CHOOSE(CONTROL!$C$32, $C$9, 100%, $E$9)</f>
        <v>6.4377000000000004</v>
      </c>
      <c r="M418" s="9">
        <f>6.4421 * CHOOSE(CONTROL!$C$32, $C$9, 100%, $E$9)</f>
        <v>6.4420999999999999</v>
      </c>
      <c r="N418" s="9">
        <f>6.4377 * CHOOSE(CONTROL!$C$32, $C$9, 100%, $E$9)</f>
        <v>6.4377000000000004</v>
      </c>
      <c r="O418" s="9">
        <f>6.4421 * CHOOSE(CONTROL!$C$32, $C$9, 100%, $E$9)</f>
        <v>6.4420999999999999</v>
      </c>
    </row>
    <row r="419" spans="1:15" ht="15.75" x14ac:dyDescent="0.25">
      <c r="A419" s="14">
        <v>53631</v>
      </c>
      <c r="B419" s="10">
        <f>7.0468 * CHOOSE(CONTROL!$C$32, $C$9, 100%, $E$9)</f>
        <v>7.0468000000000002</v>
      </c>
      <c r="C419" s="10">
        <f>7.0468 * CHOOSE(CONTROL!$C$32, $C$9, 100%, $E$9)</f>
        <v>7.0468000000000002</v>
      </c>
      <c r="D419" s="10">
        <f>7.0478 * CHOOSE(CONTROL!$C$32, $C$9, 100%, $E$9)</f>
        <v>7.0477999999999996</v>
      </c>
      <c r="E419" s="9">
        <f>6.4789 * CHOOSE(CONTROL!$C$32, $C$9, 100%, $E$9)</f>
        <v>6.4789000000000003</v>
      </c>
      <c r="F419" s="9">
        <f>6.4789 * CHOOSE(CONTROL!$C$32, $C$9, 100%, $E$9)</f>
        <v>6.4789000000000003</v>
      </c>
      <c r="G419" s="9">
        <f>6.4823 * CHOOSE(CONTROL!$C$32, $C$9, 100%, $E$9)</f>
        <v>6.4823000000000004</v>
      </c>
      <c r="H419" s="9">
        <f>8.5866 * CHOOSE(CONTROL!$C$32, $C$9, 100%, $E$9)</f>
        <v>8.5866000000000007</v>
      </c>
      <c r="I419" s="9">
        <f>8.59 * CHOOSE(CONTROL!$C$32, $C$9, 100%, $E$9)</f>
        <v>8.59</v>
      </c>
      <c r="J419" s="9">
        <f>8.5866 * CHOOSE(CONTROL!$C$32, $C$9, 100%, $E$9)</f>
        <v>8.5866000000000007</v>
      </c>
      <c r="K419" s="9">
        <f>8.59 * CHOOSE(CONTROL!$C$32, $C$9, 100%, $E$9)</f>
        <v>8.59</v>
      </c>
      <c r="L419" s="9">
        <f>6.4789 * CHOOSE(CONTROL!$C$32, $C$9, 100%, $E$9)</f>
        <v>6.4789000000000003</v>
      </c>
      <c r="M419" s="9">
        <f>6.4823 * CHOOSE(CONTROL!$C$32, $C$9, 100%, $E$9)</f>
        <v>6.4823000000000004</v>
      </c>
      <c r="N419" s="9">
        <f>6.4789 * CHOOSE(CONTROL!$C$32, $C$9, 100%, $E$9)</f>
        <v>6.4789000000000003</v>
      </c>
      <c r="O419" s="9">
        <f>6.4823 * CHOOSE(CONTROL!$C$32, $C$9, 100%, $E$9)</f>
        <v>6.4823000000000004</v>
      </c>
    </row>
    <row r="420" spans="1:15" ht="15.75" x14ac:dyDescent="0.25">
      <c r="A420" s="14">
        <v>53661</v>
      </c>
      <c r="B420" s="10">
        <f>7.0499 * CHOOSE(CONTROL!$C$32, $C$9, 100%, $E$9)</f>
        <v>7.0499000000000001</v>
      </c>
      <c r="C420" s="10">
        <f>7.0499 * CHOOSE(CONTROL!$C$32, $C$9, 100%, $E$9)</f>
        <v>7.0499000000000001</v>
      </c>
      <c r="D420" s="10">
        <f>7.0509 * CHOOSE(CONTROL!$C$32, $C$9, 100%, $E$9)</f>
        <v>7.0509000000000004</v>
      </c>
      <c r="E420" s="9">
        <f>6.5083 * CHOOSE(CONTROL!$C$32, $C$9, 100%, $E$9)</f>
        <v>6.5083000000000002</v>
      </c>
      <c r="F420" s="9">
        <f>6.5083 * CHOOSE(CONTROL!$C$32, $C$9, 100%, $E$9)</f>
        <v>6.5083000000000002</v>
      </c>
      <c r="G420" s="9">
        <f>6.5117 * CHOOSE(CONTROL!$C$32, $C$9, 100%, $E$9)</f>
        <v>6.5117000000000003</v>
      </c>
      <c r="H420" s="9">
        <f>8.5886 * CHOOSE(CONTROL!$C$32, $C$9, 100%, $E$9)</f>
        <v>8.5885999999999996</v>
      </c>
      <c r="I420" s="9">
        <f>8.592 * CHOOSE(CONTROL!$C$32, $C$9, 100%, $E$9)</f>
        <v>8.5920000000000005</v>
      </c>
      <c r="J420" s="9">
        <f>8.5886 * CHOOSE(CONTROL!$C$32, $C$9, 100%, $E$9)</f>
        <v>8.5885999999999996</v>
      </c>
      <c r="K420" s="9">
        <f>8.592 * CHOOSE(CONTROL!$C$32, $C$9, 100%, $E$9)</f>
        <v>8.5920000000000005</v>
      </c>
      <c r="L420" s="9">
        <f>6.5083 * CHOOSE(CONTROL!$C$32, $C$9, 100%, $E$9)</f>
        <v>6.5083000000000002</v>
      </c>
      <c r="M420" s="9">
        <f>6.5117 * CHOOSE(CONTROL!$C$32, $C$9, 100%, $E$9)</f>
        <v>6.5117000000000003</v>
      </c>
      <c r="N420" s="9">
        <f>6.5083 * CHOOSE(CONTROL!$C$32, $C$9, 100%, $E$9)</f>
        <v>6.5083000000000002</v>
      </c>
      <c r="O420" s="9">
        <f>6.5117 * CHOOSE(CONTROL!$C$32, $C$9, 100%, $E$9)</f>
        <v>6.5117000000000003</v>
      </c>
    </row>
    <row r="421" spans="1:15" ht="15.75" x14ac:dyDescent="0.25">
      <c r="A421" s="14">
        <v>53692</v>
      </c>
      <c r="B421" s="10">
        <f>7.0499 * CHOOSE(CONTROL!$C$32, $C$9, 100%, $E$9)</f>
        <v>7.0499000000000001</v>
      </c>
      <c r="C421" s="10">
        <f>7.0499 * CHOOSE(CONTROL!$C$32, $C$9, 100%, $E$9)</f>
        <v>7.0499000000000001</v>
      </c>
      <c r="D421" s="10">
        <f>7.0509 * CHOOSE(CONTROL!$C$32, $C$9, 100%, $E$9)</f>
        <v>7.0509000000000004</v>
      </c>
      <c r="E421" s="9">
        <f>6.44 * CHOOSE(CONTROL!$C$32, $C$9, 100%, $E$9)</f>
        <v>6.44</v>
      </c>
      <c r="F421" s="9">
        <f>6.44 * CHOOSE(CONTROL!$C$32, $C$9, 100%, $E$9)</f>
        <v>6.44</v>
      </c>
      <c r="G421" s="9">
        <f>6.4434 * CHOOSE(CONTROL!$C$32, $C$9, 100%, $E$9)</f>
        <v>6.4433999999999996</v>
      </c>
      <c r="H421" s="9">
        <f>8.5886 * CHOOSE(CONTROL!$C$32, $C$9, 100%, $E$9)</f>
        <v>8.5885999999999996</v>
      </c>
      <c r="I421" s="9">
        <f>8.592 * CHOOSE(CONTROL!$C$32, $C$9, 100%, $E$9)</f>
        <v>8.5920000000000005</v>
      </c>
      <c r="J421" s="9">
        <f>8.5886 * CHOOSE(CONTROL!$C$32, $C$9, 100%, $E$9)</f>
        <v>8.5885999999999996</v>
      </c>
      <c r="K421" s="9">
        <f>8.592 * CHOOSE(CONTROL!$C$32, $C$9, 100%, $E$9)</f>
        <v>8.5920000000000005</v>
      </c>
      <c r="L421" s="9">
        <f>6.44 * CHOOSE(CONTROL!$C$32, $C$9, 100%, $E$9)</f>
        <v>6.44</v>
      </c>
      <c r="M421" s="9">
        <f>6.4434 * CHOOSE(CONTROL!$C$32, $C$9, 100%, $E$9)</f>
        <v>6.4433999999999996</v>
      </c>
      <c r="N421" s="9">
        <f>6.44 * CHOOSE(CONTROL!$C$32, $C$9, 100%, $E$9)</f>
        <v>6.44</v>
      </c>
      <c r="O421" s="9">
        <f>6.4434 * CHOOSE(CONTROL!$C$32, $C$9, 100%, $E$9)</f>
        <v>6.4433999999999996</v>
      </c>
    </row>
    <row r="422" spans="1:15" ht="15.75" x14ac:dyDescent="0.25">
      <c r="A422" s="14">
        <v>53723</v>
      </c>
      <c r="B422" s="10">
        <f>7.109 * CHOOSE(CONTROL!$C$32, $C$9, 100%, $E$9)</f>
        <v>7.109</v>
      </c>
      <c r="C422" s="10">
        <f>7.109 * CHOOSE(CONTROL!$C$32, $C$9, 100%, $E$9)</f>
        <v>7.109</v>
      </c>
      <c r="D422" s="10">
        <f>7.11 * CHOOSE(CONTROL!$C$32, $C$9, 100%, $E$9)</f>
        <v>7.11</v>
      </c>
      <c r="E422" s="9">
        <f>6.5337 * CHOOSE(CONTROL!$C$32, $C$9, 100%, $E$9)</f>
        <v>6.5336999999999996</v>
      </c>
      <c r="F422" s="9">
        <f>6.5337 * CHOOSE(CONTROL!$C$32, $C$9, 100%, $E$9)</f>
        <v>6.5336999999999996</v>
      </c>
      <c r="G422" s="9">
        <f>6.5371 * CHOOSE(CONTROL!$C$32, $C$9, 100%, $E$9)</f>
        <v>6.5370999999999997</v>
      </c>
      <c r="H422" s="9">
        <f>8.6528 * CHOOSE(CONTROL!$C$32, $C$9, 100%, $E$9)</f>
        <v>8.6527999999999992</v>
      </c>
      <c r="I422" s="9">
        <f>8.6562 * CHOOSE(CONTROL!$C$32, $C$9, 100%, $E$9)</f>
        <v>8.6562000000000001</v>
      </c>
      <c r="J422" s="9">
        <f>8.6528 * CHOOSE(CONTROL!$C$32, $C$9, 100%, $E$9)</f>
        <v>8.6527999999999992</v>
      </c>
      <c r="K422" s="9">
        <f>8.6562 * CHOOSE(CONTROL!$C$32, $C$9, 100%, $E$9)</f>
        <v>8.6562000000000001</v>
      </c>
      <c r="L422" s="9">
        <f>6.5337 * CHOOSE(CONTROL!$C$32, $C$9, 100%, $E$9)</f>
        <v>6.5336999999999996</v>
      </c>
      <c r="M422" s="9">
        <f>6.5371 * CHOOSE(CONTROL!$C$32, $C$9, 100%, $E$9)</f>
        <v>6.5370999999999997</v>
      </c>
      <c r="N422" s="9">
        <f>6.5337 * CHOOSE(CONTROL!$C$32, $C$9, 100%, $E$9)</f>
        <v>6.5336999999999996</v>
      </c>
      <c r="O422" s="9">
        <f>6.5371 * CHOOSE(CONTROL!$C$32, $C$9, 100%, $E$9)</f>
        <v>6.5370999999999997</v>
      </c>
    </row>
    <row r="423" spans="1:15" ht="15.75" x14ac:dyDescent="0.25">
      <c r="A423" s="14">
        <v>53751</v>
      </c>
      <c r="B423" s="10">
        <f>7.106 * CHOOSE(CONTROL!$C$32, $C$9, 100%, $E$9)</f>
        <v>7.1059999999999999</v>
      </c>
      <c r="C423" s="10">
        <f>7.106 * CHOOSE(CONTROL!$C$32, $C$9, 100%, $E$9)</f>
        <v>7.1059999999999999</v>
      </c>
      <c r="D423" s="10">
        <f>7.107 * CHOOSE(CONTROL!$C$32, $C$9, 100%, $E$9)</f>
        <v>7.1070000000000002</v>
      </c>
      <c r="E423" s="9">
        <f>6.3987 * CHOOSE(CONTROL!$C$32, $C$9, 100%, $E$9)</f>
        <v>6.3986999999999998</v>
      </c>
      <c r="F423" s="9">
        <f>6.3987 * CHOOSE(CONTROL!$C$32, $C$9, 100%, $E$9)</f>
        <v>6.3986999999999998</v>
      </c>
      <c r="G423" s="9">
        <f>6.402 * CHOOSE(CONTROL!$C$32, $C$9, 100%, $E$9)</f>
        <v>6.4020000000000001</v>
      </c>
      <c r="H423" s="9">
        <f>8.6508 * CHOOSE(CONTROL!$C$32, $C$9, 100%, $E$9)</f>
        <v>8.6508000000000003</v>
      </c>
      <c r="I423" s="9">
        <f>8.6542 * CHOOSE(CONTROL!$C$32, $C$9, 100%, $E$9)</f>
        <v>8.6541999999999994</v>
      </c>
      <c r="J423" s="9">
        <f>8.6508 * CHOOSE(CONTROL!$C$32, $C$9, 100%, $E$9)</f>
        <v>8.6508000000000003</v>
      </c>
      <c r="K423" s="9">
        <f>8.6542 * CHOOSE(CONTROL!$C$32, $C$9, 100%, $E$9)</f>
        <v>8.6541999999999994</v>
      </c>
      <c r="L423" s="9">
        <f>6.3987 * CHOOSE(CONTROL!$C$32, $C$9, 100%, $E$9)</f>
        <v>6.3986999999999998</v>
      </c>
      <c r="M423" s="9">
        <f>6.402 * CHOOSE(CONTROL!$C$32, $C$9, 100%, $E$9)</f>
        <v>6.4020000000000001</v>
      </c>
      <c r="N423" s="9">
        <f>6.3987 * CHOOSE(CONTROL!$C$32, $C$9, 100%, $E$9)</f>
        <v>6.3986999999999998</v>
      </c>
      <c r="O423" s="9">
        <f>6.402 * CHOOSE(CONTROL!$C$32, $C$9, 100%, $E$9)</f>
        <v>6.4020000000000001</v>
      </c>
    </row>
    <row r="424" spans="1:15" ht="15.75" x14ac:dyDescent="0.25">
      <c r="A424" s="14">
        <v>53782</v>
      </c>
      <c r="B424" s="10">
        <f>7.1029 * CHOOSE(CONTROL!$C$32, $C$9, 100%, $E$9)</f>
        <v>7.1029</v>
      </c>
      <c r="C424" s="10">
        <f>7.1029 * CHOOSE(CONTROL!$C$32, $C$9, 100%, $E$9)</f>
        <v>7.1029</v>
      </c>
      <c r="D424" s="10">
        <f>7.1039 * CHOOSE(CONTROL!$C$32, $C$9, 100%, $E$9)</f>
        <v>7.1039000000000003</v>
      </c>
      <c r="E424" s="9">
        <f>6.5013 * CHOOSE(CONTROL!$C$32, $C$9, 100%, $E$9)</f>
        <v>6.5012999999999996</v>
      </c>
      <c r="F424" s="9">
        <f>6.5013 * CHOOSE(CONTROL!$C$32, $C$9, 100%, $E$9)</f>
        <v>6.5012999999999996</v>
      </c>
      <c r="G424" s="9">
        <f>6.5047 * CHOOSE(CONTROL!$C$32, $C$9, 100%, $E$9)</f>
        <v>6.5046999999999997</v>
      </c>
      <c r="H424" s="9">
        <f>8.6488 * CHOOSE(CONTROL!$C$32, $C$9, 100%, $E$9)</f>
        <v>8.6487999999999996</v>
      </c>
      <c r="I424" s="9">
        <f>8.6522 * CHOOSE(CONTROL!$C$32, $C$9, 100%, $E$9)</f>
        <v>8.6522000000000006</v>
      </c>
      <c r="J424" s="9">
        <f>8.6488 * CHOOSE(CONTROL!$C$32, $C$9, 100%, $E$9)</f>
        <v>8.6487999999999996</v>
      </c>
      <c r="K424" s="9">
        <f>8.6522 * CHOOSE(CONTROL!$C$32, $C$9, 100%, $E$9)</f>
        <v>8.6522000000000006</v>
      </c>
      <c r="L424" s="9">
        <f>6.5013 * CHOOSE(CONTROL!$C$32, $C$9, 100%, $E$9)</f>
        <v>6.5012999999999996</v>
      </c>
      <c r="M424" s="9">
        <f>6.5047 * CHOOSE(CONTROL!$C$32, $C$9, 100%, $E$9)</f>
        <v>6.5046999999999997</v>
      </c>
      <c r="N424" s="9">
        <f>6.5013 * CHOOSE(CONTROL!$C$32, $C$9, 100%, $E$9)</f>
        <v>6.5012999999999996</v>
      </c>
      <c r="O424" s="9">
        <f>6.5047 * CHOOSE(CONTROL!$C$32, $C$9, 100%, $E$9)</f>
        <v>6.5046999999999997</v>
      </c>
    </row>
    <row r="425" spans="1:15" ht="15.75" x14ac:dyDescent="0.25">
      <c r="A425" s="14">
        <v>53812</v>
      </c>
      <c r="B425" s="10">
        <f>7.1038 * CHOOSE(CONTROL!$C$32, $C$9, 100%, $E$9)</f>
        <v>7.1037999999999997</v>
      </c>
      <c r="C425" s="10">
        <f>7.1038 * CHOOSE(CONTROL!$C$32, $C$9, 100%, $E$9)</f>
        <v>7.1037999999999997</v>
      </c>
      <c r="D425" s="10">
        <f>7.1048 * CHOOSE(CONTROL!$C$32, $C$9, 100%, $E$9)</f>
        <v>7.1048</v>
      </c>
      <c r="E425" s="9">
        <f>6.6096 * CHOOSE(CONTROL!$C$32, $C$9, 100%, $E$9)</f>
        <v>6.6096000000000004</v>
      </c>
      <c r="F425" s="9">
        <f>6.6096 * CHOOSE(CONTROL!$C$32, $C$9, 100%, $E$9)</f>
        <v>6.6096000000000004</v>
      </c>
      <c r="G425" s="9">
        <f>6.613 * CHOOSE(CONTROL!$C$32, $C$9, 100%, $E$9)</f>
        <v>6.6130000000000004</v>
      </c>
      <c r="H425" s="9">
        <f>8.6491 * CHOOSE(CONTROL!$C$32, $C$9, 100%, $E$9)</f>
        <v>8.6491000000000007</v>
      </c>
      <c r="I425" s="9">
        <f>8.6525 * CHOOSE(CONTROL!$C$32, $C$9, 100%, $E$9)</f>
        <v>8.6524999999999999</v>
      </c>
      <c r="J425" s="9">
        <f>8.6491 * CHOOSE(CONTROL!$C$32, $C$9, 100%, $E$9)</f>
        <v>8.6491000000000007</v>
      </c>
      <c r="K425" s="9">
        <f>8.6525 * CHOOSE(CONTROL!$C$32, $C$9, 100%, $E$9)</f>
        <v>8.6524999999999999</v>
      </c>
      <c r="L425" s="9">
        <f>6.6096 * CHOOSE(CONTROL!$C$32, $C$9, 100%, $E$9)</f>
        <v>6.6096000000000004</v>
      </c>
      <c r="M425" s="9">
        <f>6.613 * CHOOSE(CONTROL!$C$32, $C$9, 100%, $E$9)</f>
        <v>6.6130000000000004</v>
      </c>
      <c r="N425" s="9">
        <f>6.6096 * CHOOSE(CONTROL!$C$32, $C$9, 100%, $E$9)</f>
        <v>6.6096000000000004</v>
      </c>
      <c r="O425" s="9">
        <f>6.613 * CHOOSE(CONTROL!$C$32, $C$9, 100%, $E$9)</f>
        <v>6.6130000000000004</v>
      </c>
    </row>
    <row r="426" spans="1:15" ht="15.75" x14ac:dyDescent="0.25">
      <c r="A426" s="14">
        <v>53843</v>
      </c>
      <c r="B426" s="10">
        <f>7.1038 * CHOOSE(CONTROL!$C$32, $C$9, 100%, $E$9)</f>
        <v>7.1037999999999997</v>
      </c>
      <c r="C426" s="10">
        <f>7.1038 * CHOOSE(CONTROL!$C$32, $C$9, 100%, $E$9)</f>
        <v>7.1037999999999997</v>
      </c>
      <c r="D426" s="10">
        <f>7.1051 * CHOOSE(CONTROL!$C$32, $C$9, 100%, $E$9)</f>
        <v>7.1051000000000002</v>
      </c>
      <c r="E426" s="9">
        <f>6.6518 * CHOOSE(CONTROL!$C$32, $C$9, 100%, $E$9)</f>
        <v>6.6517999999999997</v>
      </c>
      <c r="F426" s="9">
        <f>6.6518 * CHOOSE(CONTROL!$C$32, $C$9, 100%, $E$9)</f>
        <v>6.6517999999999997</v>
      </c>
      <c r="G426" s="9">
        <f>6.6561 * CHOOSE(CONTROL!$C$32, $C$9, 100%, $E$9)</f>
        <v>6.6561000000000003</v>
      </c>
      <c r="H426" s="9">
        <f>8.6491 * CHOOSE(CONTROL!$C$32, $C$9, 100%, $E$9)</f>
        <v>8.6491000000000007</v>
      </c>
      <c r="I426" s="9">
        <f>8.6535 * CHOOSE(CONTROL!$C$32, $C$9, 100%, $E$9)</f>
        <v>8.6534999999999993</v>
      </c>
      <c r="J426" s="9">
        <f>8.6491 * CHOOSE(CONTROL!$C$32, $C$9, 100%, $E$9)</f>
        <v>8.6491000000000007</v>
      </c>
      <c r="K426" s="9">
        <f>8.6535 * CHOOSE(CONTROL!$C$32, $C$9, 100%, $E$9)</f>
        <v>8.6534999999999993</v>
      </c>
      <c r="L426" s="9">
        <f>6.6518 * CHOOSE(CONTROL!$C$32, $C$9, 100%, $E$9)</f>
        <v>6.6517999999999997</v>
      </c>
      <c r="M426" s="9">
        <f>6.6561 * CHOOSE(CONTROL!$C$32, $C$9, 100%, $E$9)</f>
        <v>6.6561000000000003</v>
      </c>
      <c r="N426" s="9">
        <f>6.6518 * CHOOSE(CONTROL!$C$32, $C$9, 100%, $E$9)</f>
        <v>6.6517999999999997</v>
      </c>
      <c r="O426" s="9">
        <f>6.6561 * CHOOSE(CONTROL!$C$32, $C$9, 100%, $E$9)</f>
        <v>6.6561000000000003</v>
      </c>
    </row>
    <row r="427" spans="1:15" ht="15.75" x14ac:dyDescent="0.25">
      <c r="A427" s="14">
        <v>53873</v>
      </c>
      <c r="B427" s="10">
        <f>7.1099 * CHOOSE(CONTROL!$C$32, $C$9, 100%, $E$9)</f>
        <v>7.1098999999999997</v>
      </c>
      <c r="C427" s="10">
        <f>7.1099 * CHOOSE(CONTROL!$C$32, $C$9, 100%, $E$9)</f>
        <v>7.1098999999999997</v>
      </c>
      <c r="D427" s="10">
        <f>7.1112 * CHOOSE(CONTROL!$C$32, $C$9, 100%, $E$9)</f>
        <v>7.1112000000000002</v>
      </c>
      <c r="E427" s="9">
        <f>6.6138 * CHOOSE(CONTROL!$C$32, $C$9, 100%, $E$9)</f>
        <v>6.6138000000000003</v>
      </c>
      <c r="F427" s="9">
        <f>6.6138 * CHOOSE(CONTROL!$C$32, $C$9, 100%, $E$9)</f>
        <v>6.6138000000000003</v>
      </c>
      <c r="G427" s="9">
        <f>6.6182 * CHOOSE(CONTROL!$C$32, $C$9, 100%, $E$9)</f>
        <v>6.6181999999999999</v>
      </c>
      <c r="H427" s="9">
        <f>8.6531 * CHOOSE(CONTROL!$C$32, $C$9, 100%, $E$9)</f>
        <v>8.6531000000000002</v>
      </c>
      <c r="I427" s="9">
        <f>8.6575 * CHOOSE(CONTROL!$C$32, $C$9, 100%, $E$9)</f>
        <v>8.6575000000000006</v>
      </c>
      <c r="J427" s="9">
        <f>8.6531 * CHOOSE(CONTROL!$C$32, $C$9, 100%, $E$9)</f>
        <v>8.6531000000000002</v>
      </c>
      <c r="K427" s="9">
        <f>8.6575 * CHOOSE(CONTROL!$C$32, $C$9, 100%, $E$9)</f>
        <v>8.6575000000000006</v>
      </c>
      <c r="L427" s="9">
        <f>6.6138 * CHOOSE(CONTROL!$C$32, $C$9, 100%, $E$9)</f>
        <v>6.6138000000000003</v>
      </c>
      <c r="M427" s="9">
        <f>6.6182 * CHOOSE(CONTROL!$C$32, $C$9, 100%, $E$9)</f>
        <v>6.6181999999999999</v>
      </c>
      <c r="N427" s="9">
        <f>6.6138 * CHOOSE(CONTROL!$C$32, $C$9, 100%, $E$9)</f>
        <v>6.6138000000000003</v>
      </c>
      <c r="O427" s="9">
        <f>6.6182 * CHOOSE(CONTROL!$C$32, $C$9, 100%, $E$9)</f>
        <v>6.6181999999999999</v>
      </c>
    </row>
    <row r="428" spans="1:15" ht="15.75" x14ac:dyDescent="0.25">
      <c r="A428" s="14">
        <v>53904</v>
      </c>
      <c r="B428" s="10">
        <f>7.2136 * CHOOSE(CONTROL!$C$32, $C$9, 100%, $E$9)</f>
        <v>7.2135999999999996</v>
      </c>
      <c r="C428" s="10">
        <f>7.2136 * CHOOSE(CONTROL!$C$32, $C$9, 100%, $E$9)</f>
        <v>7.2135999999999996</v>
      </c>
      <c r="D428" s="10">
        <f>7.2149 * CHOOSE(CONTROL!$C$32, $C$9, 100%, $E$9)</f>
        <v>7.2149000000000001</v>
      </c>
      <c r="E428" s="9">
        <f>6.6924 * CHOOSE(CONTROL!$C$32, $C$9, 100%, $E$9)</f>
        <v>6.6924000000000001</v>
      </c>
      <c r="F428" s="9">
        <f>6.6924 * CHOOSE(CONTROL!$C$32, $C$9, 100%, $E$9)</f>
        <v>6.6924000000000001</v>
      </c>
      <c r="G428" s="9">
        <f>6.6967 * CHOOSE(CONTROL!$C$32, $C$9, 100%, $E$9)</f>
        <v>6.6966999999999999</v>
      </c>
      <c r="H428" s="9">
        <f>8.7847 * CHOOSE(CONTROL!$C$32, $C$9, 100%, $E$9)</f>
        <v>8.7847000000000008</v>
      </c>
      <c r="I428" s="9">
        <f>8.7891 * CHOOSE(CONTROL!$C$32, $C$9, 100%, $E$9)</f>
        <v>8.7890999999999995</v>
      </c>
      <c r="J428" s="9">
        <f>8.7847 * CHOOSE(CONTROL!$C$32, $C$9, 100%, $E$9)</f>
        <v>8.7847000000000008</v>
      </c>
      <c r="K428" s="9">
        <f>8.7891 * CHOOSE(CONTROL!$C$32, $C$9, 100%, $E$9)</f>
        <v>8.7890999999999995</v>
      </c>
      <c r="L428" s="9">
        <f>6.6924 * CHOOSE(CONTROL!$C$32, $C$9, 100%, $E$9)</f>
        <v>6.6924000000000001</v>
      </c>
      <c r="M428" s="9">
        <f>6.6967 * CHOOSE(CONTROL!$C$32, $C$9, 100%, $E$9)</f>
        <v>6.6966999999999999</v>
      </c>
      <c r="N428" s="9">
        <f>6.6924 * CHOOSE(CONTROL!$C$32, $C$9, 100%, $E$9)</f>
        <v>6.6924000000000001</v>
      </c>
      <c r="O428" s="9">
        <f>6.6967 * CHOOSE(CONTROL!$C$32, $C$9, 100%, $E$9)</f>
        <v>6.6966999999999999</v>
      </c>
    </row>
    <row r="429" spans="1:15" ht="15.75" x14ac:dyDescent="0.25">
      <c r="A429" s="14">
        <v>53935</v>
      </c>
      <c r="B429" s="10">
        <f>7.2203 * CHOOSE(CONTROL!$C$32, $C$9, 100%, $E$9)</f>
        <v>7.2202999999999999</v>
      </c>
      <c r="C429" s="10">
        <f>7.2203 * CHOOSE(CONTROL!$C$32, $C$9, 100%, $E$9)</f>
        <v>7.2202999999999999</v>
      </c>
      <c r="D429" s="10">
        <f>7.2216 * CHOOSE(CONTROL!$C$32, $C$9, 100%, $E$9)</f>
        <v>7.2215999999999996</v>
      </c>
      <c r="E429" s="9">
        <f>6.5705 * CHOOSE(CONTROL!$C$32, $C$9, 100%, $E$9)</f>
        <v>6.5705</v>
      </c>
      <c r="F429" s="9">
        <f>6.5705 * CHOOSE(CONTROL!$C$32, $C$9, 100%, $E$9)</f>
        <v>6.5705</v>
      </c>
      <c r="G429" s="9">
        <f>6.5748 * CHOOSE(CONTROL!$C$32, $C$9, 100%, $E$9)</f>
        <v>6.5747999999999998</v>
      </c>
      <c r="H429" s="9">
        <f>8.7891 * CHOOSE(CONTROL!$C$32, $C$9, 100%, $E$9)</f>
        <v>8.7890999999999995</v>
      </c>
      <c r="I429" s="9">
        <f>8.7935 * CHOOSE(CONTROL!$C$32, $C$9, 100%, $E$9)</f>
        <v>8.7934999999999999</v>
      </c>
      <c r="J429" s="9">
        <f>8.7891 * CHOOSE(CONTROL!$C$32, $C$9, 100%, $E$9)</f>
        <v>8.7890999999999995</v>
      </c>
      <c r="K429" s="9">
        <f>8.7935 * CHOOSE(CONTROL!$C$32, $C$9, 100%, $E$9)</f>
        <v>8.7934999999999999</v>
      </c>
      <c r="L429" s="9">
        <f>6.5705 * CHOOSE(CONTROL!$C$32, $C$9, 100%, $E$9)</f>
        <v>6.5705</v>
      </c>
      <c r="M429" s="9">
        <f>6.5748 * CHOOSE(CONTROL!$C$32, $C$9, 100%, $E$9)</f>
        <v>6.5747999999999998</v>
      </c>
      <c r="N429" s="9">
        <f>6.5705 * CHOOSE(CONTROL!$C$32, $C$9, 100%, $E$9)</f>
        <v>6.5705</v>
      </c>
      <c r="O429" s="9">
        <f>6.5748 * CHOOSE(CONTROL!$C$32, $C$9, 100%, $E$9)</f>
        <v>6.5747999999999998</v>
      </c>
    </row>
    <row r="430" spans="1:15" ht="15.75" x14ac:dyDescent="0.25">
      <c r="A430" s="14">
        <v>53965</v>
      </c>
      <c r="B430" s="10">
        <f>7.2173 * CHOOSE(CONTROL!$C$32, $C$9, 100%, $E$9)</f>
        <v>7.2172999999999998</v>
      </c>
      <c r="C430" s="10">
        <f>7.2173 * CHOOSE(CONTROL!$C$32, $C$9, 100%, $E$9)</f>
        <v>7.2172999999999998</v>
      </c>
      <c r="D430" s="10">
        <f>7.2186 * CHOOSE(CONTROL!$C$32, $C$9, 100%, $E$9)</f>
        <v>7.2186000000000003</v>
      </c>
      <c r="E430" s="9">
        <f>6.5543 * CHOOSE(CONTROL!$C$32, $C$9, 100%, $E$9)</f>
        <v>6.5542999999999996</v>
      </c>
      <c r="F430" s="9">
        <f>6.5543 * CHOOSE(CONTROL!$C$32, $C$9, 100%, $E$9)</f>
        <v>6.5542999999999996</v>
      </c>
      <c r="G430" s="9">
        <f>6.5586 * CHOOSE(CONTROL!$C$32, $C$9, 100%, $E$9)</f>
        <v>6.5586000000000002</v>
      </c>
      <c r="H430" s="9">
        <f>8.7871 * CHOOSE(CONTROL!$C$32, $C$9, 100%, $E$9)</f>
        <v>8.7871000000000006</v>
      </c>
      <c r="I430" s="9">
        <f>8.7915 * CHOOSE(CONTROL!$C$32, $C$9, 100%, $E$9)</f>
        <v>8.7914999999999992</v>
      </c>
      <c r="J430" s="9">
        <f>8.7871 * CHOOSE(CONTROL!$C$32, $C$9, 100%, $E$9)</f>
        <v>8.7871000000000006</v>
      </c>
      <c r="K430" s="9">
        <f>8.7915 * CHOOSE(CONTROL!$C$32, $C$9, 100%, $E$9)</f>
        <v>8.7914999999999992</v>
      </c>
      <c r="L430" s="9">
        <f>6.5543 * CHOOSE(CONTROL!$C$32, $C$9, 100%, $E$9)</f>
        <v>6.5542999999999996</v>
      </c>
      <c r="M430" s="9">
        <f>6.5586 * CHOOSE(CONTROL!$C$32, $C$9, 100%, $E$9)</f>
        <v>6.5586000000000002</v>
      </c>
      <c r="N430" s="9">
        <f>6.5543 * CHOOSE(CONTROL!$C$32, $C$9, 100%, $E$9)</f>
        <v>6.5542999999999996</v>
      </c>
      <c r="O430" s="9">
        <f>6.5586 * CHOOSE(CONTROL!$C$32, $C$9, 100%, $E$9)</f>
        <v>6.5586000000000002</v>
      </c>
    </row>
    <row r="431" spans="1:15" ht="15.75" x14ac:dyDescent="0.25">
      <c r="A431" s="14">
        <v>53996</v>
      </c>
      <c r="B431" s="10">
        <f>7.2252 * CHOOSE(CONTROL!$C$32, $C$9, 100%, $E$9)</f>
        <v>7.2252000000000001</v>
      </c>
      <c r="C431" s="10">
        <f>7.2252 * CHOOSE(CONTROL!$C$32, $C$9, 100%, $E$9)</f>
        <v>7.2252000000000001</v>
      </c>
      <c r="D431" s="10">
        <f>7.2262 * CHOOSE(CONTROL!$C$32, $C$9, 100%, $E$9)</f>
        <v>7.2262000000000004</v>
      </c>
      <c r="E431" s="9">
        <f>6.5971 * CHOOSE(CONTROL!$C$32, $C$9, 100%, $E$9)</f>
        <v>6.5971000000000002</v>
      </c>
      <c r="F431" s="9">
        <f>6.5971 * CHOOSE(CONTROL!$C$32, $C$9, 100%, $E$9)</f>
        <v>6.5971000000000002</v>
      </c>
      <c r="G431" s="9">
        <f>6.6005 * CHOOSE(CONTROL!$C$32, $C$9, 100%, $E$9)</f>
        <v>6.6005000000000003</v>
      </c>
      <c r="H431" s="9">
        <f>8.7913 * CHOOSE(CONTROL!$C$32, $C$9, 100%, $E$9)</f>
        <v>8.7912999999999997</v>
      </c>
      <c r="I431" s="9">
        <f>8.7947 * CHOOSE(CONTROL!$C$32, $C$9, 100%, $E$9)</f>
        <v>8.7947000000000006</v>
      </c>
      <c r="J431" s="9">
        <f>8.7913 * CHOOSE(CONTROL!$C$32, $C$9, 100%, $E$9)</f>
        <v>8.7912999999999997</v>
      </c>
      <c r="K431" s="9">
        <f>8.7947 * CHOOSE(CONTROL!$C$32, $C$9, 100%, $E$9)</f>
        <v>8.7947000000000006</v>
      </c>
      <c r="L431" s="9">
        <f>6.5971 * CHOOSE(CONTROL!$C$32, $C$9, 100%, $E$9)</f>
        <v>6.5971000000000002</v>
      </c>
      <c r="M431" s="9">
        <f>6.6005 * CHOOSE(CONTROL!$C$32, $C$9, 100%, $E$9)</f>
        <v>6.6005000000000003</v>
      </c>
      <c r="N431" s="9">
        <f>6.5971 * CHOOSE(CONTROL!$C$32, $C$9, 100%, $E$9)</f>
        <v>6.5971000000000002</v>
      </c>
      <c r="O431" s="9">
        <f>6.6005 * CHOOSE(CONTROL!$C$32, $C$9, 100%, $E$9)</f>
        <v>6.6005000000000003</v>
      </c>
    </row>
    <row r="432" spans="1:15" ht="15.75" x14ac:dyDescent="0.25">
      <c r="A432" s="14">
        <v>54026</v>
      </c>
      <c r="B432" s="10">
        <f>7.2282 * CHOOSE(CONTROL!$C$32, $C$9, 100%, $E$9)</f>
        <v>7.2282000000000002</v>
      </c>
      <c r="C432" s="10">
        <f>7.2282 * CHOOSE(CONTROL!$C$32, $C$9, 100%, $E$9)</f>
        <v>7.2282000000000002</v>
      </c>
      <c r="D432" s="10">
        <f>7.2292 * CHOOSE(CONTROL!$C$32, $C$9, 100%, $E$9)</f>
        <v>7.2291999999999996</v>
      </c>
      <c r="E432" s="9">
        <f>6.6274 * CHOOSE(CONTROL!$C$32, $C$9, 100%, $E$9)</f>
        <v>6.6273999999999997</v>
      </c>
      <c r="F432" s="9">
        <f>6.6274 * CHOOSE(CONTROL!$C$32, $C$9, 100%, $E$9)</f>
        <v>6.6273999999999997</v>
      </c>
      <c r="G432" s="9">
        <f>6.6307 * CHOOSE(CONTROL!$C$32, $C$9, 100%, $E$9)</f>
        <v>6.6307</v>
      </c>
      <c r="H432" s="9">
        <f>8.7933 * CHOOSE(CONTROL!$C$32, $C$9, 100%, $E$9)</f>
        <v>8.7933000000000003</v>
      </c>
      <c r="I432" s="9">
        <f>8.7967 * CHOOSE(CONTROL!$C$32, $C$9, 100%, $E$9)</f>
        <v>8.7966999999999995</v>
      </c>
      <c r="J432" s="9">
        <f>8.7933 * CHOOSE(CONTROL!$C$32, $C$9, 100%, $E$9)</f>
        <v>8.7933000000000003</v>
      </c>
      <c r="K432" s="9">
        <f>8.7967 * CHOOSE(CONTROL!$C$32, $C$9, 100%, $E$9)</f>
        <v>8.7966999999999995</v>
      </c>
      <c r="L432" s="9">
        <f>6.6274 * CHOOSE(CONTROL!$C$32, $C$9, 100%, $E$9)</f>
        <v>6.6273999999999997</v>
      </c>
      <c r="M432" s="9">
        <f>6.6307 * CHOOSE(CONTROL!$C$32, $C$9, 100%, $E$9)</f>
        <v>6.6307</v>
      </c>
      <c r="N432" s="9">
        <f>6.6274 * CHOOSE(CONTROL!$C$32, $C$9, 100%, $E$9)</f>
        <v>6.6273999999999997</v>
      </c>
      <c r="O432" s="9">
        <f>6.6307 * CHOOSE(CONTROL!$C$32, $C$9, 100%, $E$9)</f>
        <v>6.6307</v>
      </c>
    </row>
    <row r="433" spans="1:15" ht="15.75" x14ac:dyDescent="0.25">
      <c r="A433" s="14">
        <v>54057</v>
      </c>
      <c r="B433" s="10">
        <f>7.2282 * CHOOSE(CONTROL!$C$32, $C$9, 100%, $E$9)</f>
        <v>7.2282000000000002</v>
      </c>
      <c r="C433" s="10">
        <f>7.2282 * CHOOSE(CONTROL!$C$32, $C$9, 100%, $E$9)</f>
        <v>7.2282000000000002</v>
      </c>
      <c r="D433" s="10">
        <f>7.2292 * CHOOSE(CONTROL!$C$32, $C$9, 100%, $E$9)</f>
        <v>7.2291999999999996</v>
      </c>
      <c r="E433" s="9">
        <f>6.557 * CHOOSE(CONTROL!$C$32, $C$9, 100%, $E$9)</f>
        <v>6.5570000000000004</v>
      </c>
      <c r="F433" s="9">
        <f>6.557 * CHOOSE(CONTROL!$C$32, $C$9, 100%, $E$9)</f>
        <v>6.5570000000000004</v>
      </c>
      <c r="G433" s="9">
        <f>6.5604 * CHOOSE(CONTROL!$C$32, $C$9, 100%, $E$9)</f>
        <v>6.5603999999999996</v>
      </c>
      <c r="H433" s="9">
        <f>8.7933 * CHOOSE(CONTROL!$C$32, $C$9, 100%, $E$9)</f>
        <v>8.7933000000000003</v>
      </c>
      <c r="I433" s="9">
        <f>8.7967 * CHOOSE(CONTROL!$C$32, $C$9, 100%, $E$9)</f>
        <v>8.7966999999999995</v>
      </c>
      <c r="J433" s="9">
        <f>8.7933 * CHOOSE(CONTROL!$C$32, $C$9, 100%, $E$9)</f>
        <v>8.7933000000000003</v>
      </c>
      <c r="K433" s="9">
        <f>8.7967 * CHOOSE(CONTROL!$C$32, $C$9, 100%, $E$9)</f>
        <v>8.7966999999999995</v>
      </c>
      <c r="L433" s="9">
        <f>6.557 * CHOOSE(CONTROL!$C$32, $C$9, 100%, $E$9)</f>
        <v>6.5570000000000004</v>
      </c>
      <c r="M433" s="9">
        <f>6.5604 * CHOOSE(CONTROL!$C$32, $C$9, 100%, $E$9)</f>
        <v>6.5603999999999996</v>
      </c>
      <c r="N433" s="9">
        <f>6.557 * CHOOSE(CONTROL!$C$32, $C$9, 100%, $E$9)</f>
        <v>6.5570000000000004</v>
      </c>
      <c r="O433" s="9">
        <f>6.5604 * CHOOSE(CONTROL!$C$32, $C$9, 100%, $E$9)</f>
        <v>6.5603999999999996</v>
      </c>
    </row>
    <row r="434" spans="1:15" ht="15.75" x14ac:dyDescent="0.25">
      <c r="A434" s="14">
        <v>54088</v>
      </c>
      <c r="B434" s="10">
        <f>7.2887 * CHOOSE(CONTROL!$C$32, $C$9, 100%, $E$9)</f>
        <v>7.2887000000000004</v>
      </c>
      <c r="C434" s="10">
        <f>7.2887 * CHOOSE(CONTROL!$C$32, $C$9, 100%, $E$9)</f>
        <v>7.2887000000000004</v>
      </c>
      <c r="D434" s="10">
        <f>7.2897 * CHOOSE(CONTROL!$C$32, $C$9, 100%, $E$9)</f>
        <v>7.2896999999999998</v>
      </c>
      <c r="E434" s="9">
        <f>6.653 * CHOOSE(CONTROL!$C$32, $C$9, 100%, $E$9)</f>
        <v>6.6529999999999996</v>
      </c>
      <c r="F434" s="9">
        <f>6.653 * CHOOSE(CONTROL!$C$32, $C$9, 100%, $E$9)</f>
        <v>6.6529999999999996</v>
      </c>
      <c r="G434" s="9">
        <f>6.6564 * CHOOSE(CONTROL!$C$32, $C$9, 100%, $E$9)</f>
        <v>6.6563999999999997</v>
      </c>
      <c r="H434" s="9">
        <f>8.859 * CHOOSE(CONTROL!$C$32, $C$9, 100%, $E$9)</f>
        <v>8.859</v>
      </c>
      <c r="I434" s="9">
        <f>8.8624 * CHOOSE(CONTROL!$C$32, $C$9, 100%, $E$9)</f>
        <v>8.8623999999999992</v>
      </c>
      <c r="J434" s="9">
        <f>8.859 * CHOOSE(CONTROL!$C$32, $C$9, 100%, $E$9)</f>
        <v>8.859</v>
      </c>
      <c r="K434" s="9">
        <f>8.8624 * CHOOSE(CONTROL!$C$32, $C$9, 100%, $E$9)</f>
        <v>8.8623999999999992</v>
      </c>
      <c r="L434" s="9">
        <f>6.653 * CHOOSE(CONTROL!$C$32, $C$9, 100%, $E$9)</f>
        <v>6.6529999999999996</v>
      </c>
      <c r="M434" s="9">
        <f>6.6564 * CHOOSE(CONTROL!$C$32, $C$9, 100%, $E$9)</f>
        <v>6.6563999999999997</v>
      </c>
      <c r="N434" s="9">
        <f>6.653 * CHOOSE(CONTROL!$C$32, $C$9, 100%, $E$9)</f>
        <v>6.6529999999999996</v>
      </c>
      <c r="O434" s="9">
        <f>6.6564 * CHOOSE(CONTROL!$C$32, $C$9, 100%, $E$9)</f>
        <v>6.6563999999999997</v>
      </c>
    </row>
    <row r="435" spans="1:15" ht="15.75" x14ac:dyDescent="0.25">
      <c r="A435" s="14">
        <v>54116</v>
      </c>
      <c r="B435" s="10">
        <f>7.2857 * CHOOSE(CONTROL!$C$32, $C$9, 100%, $E$9)</f>
        <v>7.2857000000000003</v>
      </c>
      <c r="C435" s="10">
        <f>7.2857 * CHOOSE(CONTROL!$C$32, $C$9, 100%, $E$9)</f>
        <v>7.2857000000000003</v>
      </c>
      <c r="D435" s="10">
        <f>7.2867 * CHOOSE(CONTROL!$C$32, $C$9, 100%, $E$9)</f>
        <v>7.2866999999999997</v>
      </c>
      <c r="E435" s="9">
        <f>6.5141 * CHOOSE(CONTROL!$C$32, $C$9, 100%, $E$9)</f>
        <v>6.5141</v>
      </c>
      <c r="F435" s="9">
        <f>6.5141 * CHOOSE(CONTROL!$C$32, $C$9, 100%, $E$9)</f>
        <v>6.5141</v>
      </c>
      <c r="G435" s="9">
        <f>6.5174 * CHOOSE(CONTROL!$C$32, $C$9, 100%, $E$9)</f>
        <v>6.5174000000000003</v>
      </c>
      <c r="H435" s="9">
        <f>8.857 * CHOOSE(CONTROL!$C$32, $C$9, 100%, $E$9)</f>
        <v>8.8569999999999993</v>
      </c>
      <c r="I435" s="9">
        <f>8.8604 * CHOOSE(CONTROL!$C$32, $C$9, 100%, $E$9)</f>
        <v>8.8604000000000003</v>
      </c>
      <c r="J435" s="9">
        <f>8.857 * CHOOSE(CONTROL!$C$32, $C$9, 100%, $E$9)</f>
        <v>8.8569999999999993</v>
      </c>
      <c r="K435" s="9">
        <f>8.8604 * CHOOSE(CONTROL!$C$32, $C$9, 100%, $E$9)</f>
        <v>8.8604000000000003</v>
      </c>
      <c r="L435" s="9">
        <f>6.5141 * CHOOSE(CONTROL!$C$32, $C$9, 100%, $E$9)</f>
        <v>6.5141</v>
      </c>
      <c r="M435" s="9">
        <f>6.5174 * CHOOSE(CONTROL!$C$32, $C$9, 100%, $E$9)</f>
        <v>6.5174000000000003</v>
      </c>
      <c r="N435" s="9">
        <f>6.5141 * CHOOSE(CONTROL!$C$32, $C$9, 100%, $E$9)</f>
        <v>6.5141</v>
      </c>
      <c r="O435" s="9">
        <f>6.5174 * CHOOSE(CONTROL!$C$32, $C$9, 100%, $E$9)</f>
        <v>6.5174000000000003</v>
      </c>
    </row>
    <row r="436" spans="1:15" ht="15.75" x14ac:dyDescent="0.25">
      <c r="A436" s="14">
        <v>54148</v>
      </c>
      <c r="B436" s="10">
        <f>7.2827 * CHOOSE(CONTROL!$C$32, $C$9, 100%, $E$9)</f>
        <v>7.2827000000000002</v>
      </c>
      <c r="C436" s="10">
        <f>7.2827 * CHOOSE(CONTROL!$C$32, $C$9, 100%, $E$9)</f>
        <v>7.2827000000000002</v>
      </c>
      <c r="D436" s="10">
        <f>7.2837 * CHOOSE(CONTROL!$C$32, $C$9, 100%, $E$9)</f>
        <v>7.2836999999999996</v>
      </c>
      <c r="E436" s="9">
        <f>6.6198 * CHOOSE(CONTROL!$C$32, $C$9, 100%, $E$9)</f>
        <v>6.6197999999999997</v>
      </c>
      <c r="F436" s="9">
        <f>6.6198 * CHOOSE(CONTROL!$C$32, $C$9, 100%, $E$9)</f>
        <v>6.6197999999999997</v>
      </c>
      <c r="G436" s="9">
        <f>6.6232 * CHOOSE(CONTROL!$C$32, $C$9, 100%, $E$9)</f>
        <v>6.6231999999999998</v>
      </c>
      <c r="H436" s="9">
        <f>8.855 * CHOOSE(CONTROL!$C$32, $C$9, 100%, $E$9)</f>
        <v>8.8550000000000004</v>
      </c>
      <c r="I436" s="9">
        <f>8.8584 * CHOOSE(CONTROL!$C$32, $C$9, 100%, $E$9)</f>
        <v>8.8583999999999996</v>
      </c>
      <c r="J436" s="9">
        <f>8.855 * CHOOSE(CONTROL!$C$32, $C$9, 100%, $E$9)</f>
        <v>8.8550000000000004</v>
      </c>
      <c r="K436" s="9">
        <f>8.8584 * CHOOSE(CONTROL!$C$32, $C$9, 100%, $E$9)</f>
        <v>8.8583999999999996</v>
      </c>
      <c r="L436" s="9">
        <f>6.6198 * CHOOSE(CONTROL!$C$32, $C$9, 100%, $E$9)</f>
        <v>6.6197999999999997</v>
      </c>
      <c r="M436" s="9">
        <f>6.6232 * CHOOSE(CONTROL!$C$32, $C$9, 100%, $E$9)</f>
        <v>6.6231999999999998</v>
      </c>
      <c r="N436" s="9">
        <f>6.6198 * CHOOSE(CONTROL!$C$32, $C$9, 100%, $E$9)</f>
        <v>6.6197999999999997</v>
      </c>
      <c r="O436" s="9">
        <f>6.6232 * CHOOSE(CONTROL!$C$32, $C$9, 100%, $E$9)</f>
        <v>6.6231999999999998</v>
      </c>
    </row>
    <row r="437" spans="1:15" ht="15.75" x14ac:dyDescent="0.25">
      <c r="A437" s="14">
        <v>54178</v>
      </c>
      <c r="B437" s="10">
        <f>7.2837 * CHOOSE(CONTROL!$C$32, $C$9, 100%, $E$9)</f>
        <v>7.2836999999999996</v>
      </c>
      <c r="C437" s="10">
        <f>7.2837 * CHOOSE(CONTROL!$C$32, $C$9, 100%, $E$9)</f>
        <v>7.2836999999999996</v>
      </c>
      <c r="D437" s="10">
        <f>7.2847 * CHOOSE(CONTROL!$C$32, $C$9, 100%, $E$9)</f>
        <v>7.2847</v>
      </c>
      <c r="E437" s="9">
        <f>6.7315 * CHOOSE(CONTROL!$C$32, $C$9, 100%, $E$9)</f>
        <v>6.7314999999999996</v>
      </c>
      <c r="F437" s="9">
        <f>6.7315 * CHOOSE(CONTROL!$C$32, $C$9, 100%, $E$9)</f>
        <v>6.7314999999999996</v>
      </c>
      <c r="G437" s="9">
        <f>6.7349 * CHOOSE(CONTROL!$C$32, $C$9, 100%, $E$9)</f>
        <v>6.7348999999999997</v>
      </c>
      <c r="H437" s="9">
        <f>8.8554 * CHOOSE(CONTROL!$C$32, $C$9, 100%, $E$9)</f>
        <v>8.8553999999999995</v>
      </c>
      <c r="I437" s="9">
        <f>8.8588 * CHOOSE(CONTROL!$C$32, $C$9, 100%, $E$9)</f>
        <v>8.8588000000000005</v>
      </c>
      <c r="J437" s="9">
        <f>8.8554 * CHOOSE(CONTROL!$C$32, $C$9, 100%, $E$9)</f>
        <v>8.8553999999999995</v>
      </c>
      <c r="K437" s="9">
        <f>8.8588 * CHOOSE(CONTROL!$C$32, $C$9, 100%, $E$9)</f>
        <v>8.8588000000000005</v>
      </c>
      <c r="L437" s="9">
        <f>6.7315 * CHOOSE(CONTROL!$C$32, $C$9, 100%, $E$9)</f>
        <v>6.7314999999999996</v>
      </c>
      <c r="M437" s="9">
        <f>6.7349 * CHOOSE(CONTROL!$C$32, $C$9, 100%, $E$9)</f>
        <v>6.7348999999999997</v>
      </c>
      <c r="N437" s="9">
        <f>6.7315 * CHOOSE(CONTROL!$C$32, $C$9, 100%, $E$9)</f>
        <v>6.7314999999999996</v>
      </c>
      <c r="O437" s="9">
        <f>6.7349 * CHOOSE(CONTROL!$C$32, $C$9, 100%, $E$9)</f>
        <v>6.7348999999999997</v>
      </c>
    </row>
    <row r="438" spans="1:15" ht="15.75" x14ac:dyDescent="0.25">
      <c r="A438" s="14">
        <v>54209</v>
      </c>
      <c r="B438" s="10">
        <f>7.2837 * CHOOSE(CONTROL!$C$32, $C$9, 100%, $E$9)</f>
        <v>7.2836999999999996</v>
      </c>
      <c r="C438" s="10">
        <f>7.2837 * CHOOSE(CONTROL!$C$32, $C$9, 100%, $E$9)</f>
        <v>7.2836999999999996</v>
      </c>
      <c r="D438" s="10">
        <f>7.285 * CHOOSE(CONTROL!$C$32, $C$9, 100%, $E$9)</f>
        <v>7.2850000000000001</v>
      </c>
      <c r="E438" s="9">
        <f>6.7749 * CHOOSE(CONTROL!$C$32, $C$9, 100%, $E$9)</f>
        <v>6.7748999999999997</v>
      </c>
      <c r="F438" s="9">
        <f>6.7749 * CHOOSE(CONTROL!$C$32, $C$9, 100%, $E$9)</f>
        <v>6.7748999999999997</v>
      </c>
      <c r="G438" s="9">
        <f>6.7793 * CHOOSE(CONTROL!$C$32, $C$9, 100%, $E$9)</f>
        <v>6.7793000000000001</v>
      </c>
      <c r="H438" s="9">
        <f>8.8554 * CHOOSE(CONTROL!$C$32, $C$9, 100%, $E$9)</f>
        <v>8.8553999999999995</v>
      </c>
      <c r="I438" s="9">
        <f>8.8598 * CHOOSE(CONTROL!$C$32, $C$9, 100%, $E$9)</f>
        <v>8.8597999999999999</v>
      </c>
      <c r="J438" s="9">
        <f>8.8554 * CHOOSE(CONTROL!$C$32, $C$9, 100%, $E$9)</f>
        <v>8.8553999999999995</v>
      </c>
      <c r="K438" s="9">
        <f>8.8598 * CHOOSE(CONTROL!$C$32, $C$9, 100%, $E$9)</f>
        <v>8.8597999999999999</v>
      </c>
      <c r="L438" s="9">
        <f>6.7749 * CHOOSE(CONTROL!$C$32, $C$9, 100%, $E$9)</f>
        <v>6.7748999999999997</v>
      </c>
      <c r="M438" s="9">
        <f>6.7793 * CHOOSE(CONTROL!$C$32, $C$9, 100%, $E$9)</f>
        <v>6.7793000000000001</v>
      </c>
      <c r="N438" s="9">
        <f>6.7749 * CHOOSE(CONTROL!$C$32, $C$9, 100%, $E$9)</f>
        <v>6.7748999999999997</v>
      </c>
      <c r="O438" s="9">
        <f>6.7793 * CHOOSE(CONTROL!$C$32, $C$9, 100%, $E$9)</f>
        <v>6.7793000000000001</v>
      </c>
    </row>
    <row r="439" spans="1:15" ht="15.75" x14ac:dyDescent="0.25">
      <c r="A439" s="14">
        <v>54239</v>
      </c>
      <c r="B439" s="10">
        <f>7.2898 * CHOOSE(CONTROL!$C$32, $C$9, 100%, $E$9)</f>
        <v>7.2897999999999996</v>
      </c>
      <c r="C439" s="10">
        <f>7.2898 * CHOOSE(CONTROL!$C$32, $C$9, 100%, $E$9)</f>
        <v>7.2897999999999996</v>
      </c>
      <c r="D439" s="10">
        <f>7.2911 * CHOOSE(CONTROL!$C$32, $C$9, 100%, $E$9)</f>
        <v>7.2911000000000001</v>
      </c>
      <c r="E439" s="9">
        <f>6.7357 * CHOOSE(CONTROL!$C$32, $C$9, 100%, $E$9)</f>
        <v>6.7356999999999996</v>
      </c>
      <c r="F439" s="9">
        <f>6.7357 * CHOOSE(CONTROL!$C$32, $C$9, 100%, $E$9)</f>
        <v>6.7356999999999996</v>
      </c>
      <c r="G439" s="9">
        <f>6.7401 * CHOOSE(CONTROL!$C$32, $C$9, 100%, $E$9)</f>
        <v>6.7401</v>
      </c>
      <c r="H439" s="9">
        <f>8.8594 * CHOOSE(CONTROL!$C$32, $C$9, 100%, $E$9)</f>
        <v>8.8594000000000008</v>
      </c>
      <c r="I439" s="9">
        <f>8.8638 * CHOOSE(CONTROL!$C$32, $C$9, 100%, $E$9)</f>
        <v>8.8637999999999995</v>
      </c>
      <c r="J439" s="9">
        <f>8.8594 * CHOOSE(CONTROL!$C$32, $C$9, 100%, $E$9)</f>
        <v>8.8594000000000008</v>
      </c>
      <c r="K439" s="9">
        <f>8.8638 * CHOOSE(CONTROL!$C$32, $C$9, 100%, $E$9)</f>
        <v>8.8637999999999995</v>
      </c>
      <c r="L439" s="9">
        <f>6.7357 * CHOOSE(CONTROL!$C$32, $C$9, 100%, $E$9)</f>
        <v>6.7356999999999996</v>
      </c>
      <c r="M439" s="9">
        <f>6.7401 * CHOOSE(CONTROL!$C$32, $C$9, 100%, $E$9)</f>
        <v>6.7401</v>
      </c>
      <c r="N439" s="9">
        <f>6.7357 * CHOOSE(CONTROL!$C$32, $C$9, 100%, $E$9)</f>
        <v>6.7356999999999996</v>
      </c>
      <c r="O439" s="9">
        <f>6.7401 * CHOOSE(CONTROL!$C$32, $C$9, 100%, $E$9)</f>
        <v>6.7401</v>
      </c>
    </row>
    <row r="440" spans="1:15" ht="15.75" x14ac:dyDescent="0.25">
      <c r="A440" s="14">
        <v>54270</v>
      </c>
      <c r="B440" s="10">
        <f>7.3958 * CHOOSE(CONTROL!$C$32, $C$9, 100%, $E$9)</f>
        <v>7.3958000000000004</v>
      </c>
      <c r="C440" s="10">
        <f>7.3958 * CHOOSE(CONTROL!$C$32, $C$9, 100%, $E$9)</f>
        <v>7.3958000000000004</v>
      </c>
      <c r="D440" s="10">
        <f>7.3971 * CHOOSE(CONTROL!$C$32, $C$9, 100%, $E$9)</f>
        <v>7.3971</v>
      </c>
      <c r="E440" s="9">
        <f>6.8156 * CHOOSE(CONTROL!$C$32, $C$9, 100%, $E$9)</f>
        <v>6.8155999999999999</v>
      </c>
      <c r="F440" s="9">
        <f>6.8156 * CHOOSE(CONTROL!$C$32, $C$9, 100%, $E$9)</f>
        <v>6.8155999999999999</v>
      </c>
      <c r="G440" s="9">
        <f>6.8199 * CHOOSE(CONTROL!$C$32, $C$9, 100%, $E$9)</f>
        <v>6.8198999999999996</v>
      </c>
      <c r="H440" s="9">
        <f>8.9939 * CHOOSE(CONTROL!$C$32, $C$9, 100%, $E$9)</f>
        <v>8.9939</v>
      </c>
      <c r="I440" s="9">
        <f>8.9983 * CHOOSE(CONTROL!$C$32, $C$9, 100%, $E$9)</f>
        <v>8.9983000000000004</v>
      </c>
      <c r="J440" s="9">
        <f>8.9939 * CHOOSE(CONTROL!$C$32, $C$9, 100%, $E$9)</f>
        <v>8.9939</v>
      </c>
      <c r="K440" s="9">
        <f>8.9983 * CHOOSE(CONTROL!$C$32, $C$9, 100%, $E$9)</f>
        <v>8.9983000000000004</v>
      </c>
      <c r="L440" s="9">
        <f>6.8156 * CHOOSE(CONTROL!$C$32, $C$9, 100%, $E$9)</f>
        <v>6.8155999999999999</v>
      </c>
      <c r="M440" s="9">
        <f>6.8199 * CHOOSE(CONTROL!$C$32, $C$9, 100%, $E$9)</f>
        <v>6.8198999999999996</v>
      </c>
      <c r="N440" s="9">
        <f>6.8156 * CHOOSE(CONTROL!$C$32, $C$9, 100%, $E$9)</f>
        <v>6.8155999999999999</v>
      </c>
      <c r="O440" s="9">
        <f>6.8199 * CHOOSE(CONTROL!$C$32, $C$9, 100%, $E$9)</f>
        <v>6.8198999999999996</v>
      </c>
    </row>
    <row r="441" spans="1:15" ht="15.75" x14ac:dyDescent="0.25">
      <c r="A441" s="14">
        <v>54301</v>
      </c>
      <c r="B441" s="10">
        <f>7.4025 * CHOOSE(CONTROL!$C$32, $C$9, 100%, $E$9)</f>
        <v>7.4024999999999999</v>
      </c>
      <c r="C441" s="10">
        <f>7.4025 * CHOOSE(CONTROL!$C$32, $C$9, 100%, $E$9)</f>
        <v>7.4024999999999999</v>
      </c>
      <c r="D441" s="10">
        <f>7.4038 * CHOOSE(CONTROL!$C$32, $C$9, 100%, $E$9)</f>
        <v>7.4038000000000004</v>
      </c>
      <c r="E441" s="9">
        <f>6.6899 * CHOOSE(CONTROL!$C$32, $C$9, 100%, $E$9)</f>
        <v>6.6898999999999997</v>
      </c>
      <c r="F441" s="9">
        <f>6.6899 * CHOOSE(CONTROL!$C$32, $C$9, 100%, $E$9)</f>
        <v>6.6898999999999997</v>
      </c>
      <c r="G441" s="9">
        <f>6.6942 * CHOOSE(CONTROL!$C$32, $C$9, 100%, $E$9)</f>
        <v>6.6942000000000004</v>
      </c>
      <c r="H441" s="9">
        <f>8.9983 * CHOOSE(CONTROL!$C$32, $C$9, 100%, $E$9)</f>
        <v>8.9983000000000004</v>
      </c>
      <c r="I441" s="9">
        <f>9.0027 * CHOOSE(CONTROL!$C$32, $C$9, 100%, $E$9)</f>
        <v>9.0027000000000008</v>
      </c>
      <c r="J441" s="9">
        <f>8.9983 * CHOOSE(CONTROL!$C$32, $C$9, 100%, $E$9)</f>
        <v>8.9983000000000004</v>
      </c>
      <c r="K441" s="9">
        <f>9.0027 * CHOOSE(CONTROL!$C$32, $C$9, 100%, $E$9)</f>
        <v>9.0027000000000008</v>
      </c>
      <c r="L441" s="9">
        <f>6.6899 * CHOOSE(CONTROL!$C$32, $C$9, 100%, $E$9)</f>
        <v>6.6898999999999997</v>
      </c>
      <c r="M441" s="9">
        <f>6.6942 * CHOOSE(CONTROL!$C$32, $C$9, 100%, $E$9)</f>
        <v>6.6942000000000004</v>
      </c>
      <c r="N441" s="9">
        <f>6.6899 * CHOOSE(CONTROL!$C$32, $C$9, 100%, $E$9)</f>
        <v>6.6898999999999997</v>
      </c>
      <c r="O441" s="9">
        <f>6.6942 * CHOOSE(CONTROL!$C$32, $C$9, 100%, $E$9)</f>
        <v>6.6942000000000004</v>
      </c>
    </row>
    <row r="442" spans="1:15" ht="15.75" x14ac:dyDescent="0.25">
      <c r="A442" s="14">
        <v>54331</v>
      </c>
      <c r="B442" s="10">
        <f>7.3994 * CHOOSE(CONTROL!$C$32, $C$9, 100%, $E$9)</f>
        <v>7.3994</v>
      </c>
      <c r="C442" s="10">
        <f>7.3994 * CHOOSE(CONTROL!$C$32, $C$9, 100%, $E$9)</f>
        <v>7.3994</v>
      </c>
      <c r="D442" s="10">
        <f>7.4007 * CHOOSE(CONTROL!$C$32, $C$9, 100%, $E$9)</f>
        <v>7.4006999999999996</v>
      </c>
      <c r="E442" s="9">
        <f>6.6732 * CHOOSE(CONTROL!$C$32, $C$9, 100%, $E$9)</f>
        <v>6.6731999999999996</v>
      </c>
      <c r="F442" s="9">
        <f>6.6732 * CHOOSE(CONTROL!$C$32, $C$9, 100%, $E$9)</f>
        <v>6.6731999999999996</v>
      </c>
      <c r="G442" s="9">
        <f>6.6776 * CHOOSE(CONTROL!$C$32, $C$9, 100%, $E$9)</f>
        <v>6.6776</v>
      </c>
      <c r="H442" s="9">
        <f>8.9963 * CHOOSE(CONTROL!$C$32, $C$9, 100%, $E$9)</f>
        <v>8.9962999999999997</v>
      </c>
      <c r="I442" s="9">
        <f>9.0007 * CHOOSE(CONTROL!$C$32, $C$9, 100%, $E$9)</f>
        <v>9.0007000000000001</v>
      </c>
      <c r="J442" s="9">
        <f>8.9963 * CHOOSE(CONTROL!$C$32, $C$9, 100%, $E$9)</f>
        <v>8.9962999999999997</v>
      </c>
      <c r="K442" s="9">
        <f>9.0007 * CHOOSE(CONTROL!$C$32, $C$9, 100%, $E$9)</f>
        <v>9.0007000000000001</v>
      </c>
      <c r="L442" s="9">
        <f>6.6732 * CHOOSE(CONTROL!$C$32, $C$9, 100%, $E$9)</f>
        <v>6.6731999999999996</v>
      </c>
      <c r="M442" s="9">
        <f>6.6776 * CHOOSE(CONTROL!$C$32, $C$9, 100%, $E$9)</f>
        <v>6.6776</v>
      </c>
      <c r="N442" s="9">
        <f>6.6732 * CHOOSE(CONTROL!$C$32, $C$9, 100%, $E$9)</f>
        <v>6.6731999999999996</v>
      </c>
      <c r="O442" s="9">
        <f>6.6776 * CHOOSE(CONTROL!$C$32, $C$9, 100%, $E$9)</f>
        <v>6.6776</v>
      </c>
    </row>
    <row r="443" spans="1:15" ht="15.75" x14ac:dyDescent="0.25">
      <c r="A443" s="14">
        <v>54362</v>
      </c>
      <c r="B443" s="10">
        <f>7.4081 * CHOOSE(CONTROL!$C$32, $C$9, 100%, $E$9)</f>
        <v>7.4081000000000001</v>
      </c>
      <c r="C443" s="10">
        <f>7.4081 * CHOOSE(CONTROL!$C$32, $C$9, 100%, $E$9)</f>
        <v>7.4081000000000001</v>
      </c>
      <c r="D443" s="10">
        <f>7.4091 * CHOOSE(CONTROL!$C$32, $C$9, 100%, $E$9)</f>
        <v>7.4090999999999996</v>
      </c>
      <c r="E443" s="9">
        <f>6.7178 * CHOOSE(CONTROL!$C$32, $C$9, 100%, $E$9)</f>
        <v>6.7178000000000004</v>
      </c>
      <c r="F443" s="9">
        <f>6.7178 * CHOOSE(CONTROL!$C$32, $C$9, 100%, $E$9)</f>
        <v>6.7178000000000004</v>
      </c>
      <c r="G443" s="9">
        <f>6.7212 * CHOOSE(CONTROL!$C$32, $C$9, 100%, $E$9)</f>
        <v>6.7211999999999996</v>
      </c>
      <c r="H443" s="9">
        <f>9.001 * CHOOSE(CONTROL!$C$32, $C$9, 100%, $E$9)</f>
        <v>9.0009999999999994</v>
      </c>
      <c r="I443" s="9">
        <f>9.0044 * CHOOSE(CONTROL!$C$32, $C$9, 100%, $E$9)</f>
        <v>9.0044000000000004</v>
      </c>
      <c r="J443" s="9">
        <f>9.001 * CHOOSE(CONTROL!$C$32, $C$9, 100%, $E$9)</f>
        <v>9.0009999999999994</v>
      </c>
      <c r="K443" s="9">
        <f>9.0044 * CHOOSE(CONTROL!$C$32, $C$9, 100%, $E$9)</f>
        <v>9.0044000000000004</v>
      </c>
      <c r="L443" s="9">
        <f>6.7178 * CHOOSE(CONTROL!$C$32, $C$9, 100%, $E$9)</f>
        <v>6.7178000000000004</v>
      </c>
      <c r="M443" s="9">
        <f>6.7212 * CHOOSE(CONTROL!$C$32, $C$9, 100%, $E$9)</f>
        <v>6.7211999999999996</v>
      </c>
      <c r="N443" s="9">
        <f>6.7178 * CHOOSE(CONTROL!$C$32, $C$9, 100%, $E$9)</f>
        <v>6.7178000000000004</v>
      </c>
      <c r="O443" s="9">
        <f>6.7212 * CHOOSE(CONTROL!$C$32, $C$9, 100%, $E$9)</f>
        <v>6.7211999999999996</v>
      </c>
    </row>
    <row r="444" spans="1:15" ht="15.75" x14ac:dyDescent="0.25">
      <c r="A444" s="14">
        <v>54392</v>
      </c>
      <c r="B444" s="10">
        <f>7.4111 * CHOOSE(CONTROL!$C$32, $C$9, 100%, $E$9)</f>
        <v>7.4111000000000002</v>
      </c>
      <c r="C444" s="10">
        <f>7.4111 * CHOOSE(CONTROL!$C$32, $C$9, 100%, $E$9)</f>
        <v>7.4111000000000002</v>
      </c>
      <c r="D444" s="10">
        <f>7.4121 * CHOOSE(CONTROL!$C$32, $C$9, 100%, $E$9)</f>
        <v>7.4120999999999997</v>
      </c>
      <c r="E444" s="9">
        <f>6.7489 * CHOOSE(CONTROL!$C$32, $C$9, 100%, $E$9)</f>
        <v>6.7488999999999999</v>
      </c>
      <c r="F444" s="9">
        <f>6.7489 * CHOOSE(CONTROL!$C$32, $C$9, 100%, $E$9)</f>
        <v>6.7488999999999999</v>
      </c>
      <c r="G444" s="9">
        <f>6.7522 * CHOOSE(CONTROL!$C$32, $C$9, 100%, $E$9)</f>
        <v>6.7522000000000002</v>
      </c>
      <c r="H444" s="9">
        <f>9.003 * CHOOSE(CONTROL!$C$32, $C$9, 100%, $E$9)</f>
        <v>9.0030000000000001</v>
      </c>
      <c r="I444" s="9">
        <f>9.0064 * CHOOSE(CONTROL!$C$32, $C$9, 100%, $E$9)</f>
        <v>9.0063999999999993</v>
      </c>
      <c r="J444" s="9">
        <f>9.003 * CHOOSE(CONTROL!$C$32, $C$9, 100%, $E$9)</f>
        <v>9.0030000000000001</v>
      </c>
      <c r="K444" s="9">
        <f>9.0064 * CHOOSE(CONTROL!$C$32, $C$9, 100%, $E$9)</f>
        <v>9.0063999999999993</v>
      </c>
      <c r="L444" s="9">
        <f>6.7489 * CHOOSE(CONTROL!$C$32, $C$9, 100%, $E$9)</f>
        <v>6.7488999999999999</v>
      </c>
      <c r="M444" s="9">
        <f>6.7522 * CHOOSE(CONTROL!$C$32, $C$9, 100%, $E$9)</f>
        <v>6.7522000000000002</v>
      </c>
      <c r="N444" s="9">
        <f>6.7489 * CHOOSE(CONTROL!$C$32, $C$9, 100%, $E$9)</f>
        <v>6.7488999999999999</v>
      </c>
      <c r="O444" s="9">
        <f>6.7522 * CHOOSE(CONTROL!$C$32, $C$9, 100%, $E$9)</f>
        <v>6.7522000000000002</v>
      </c>
    </row>
    <row r="445" spans="1:15" ht="15.75" x14ac:dyDescent="0.25">
      <c r="A445" s="14">
        <v>54423</v>
      </c>
      <c r="B445" s="10">
        <f>7.4111 * CHOOSE(CONTROL!$C$32, $C$9, 100%, $E$9)</f>
        <v>7.4111000000000002</v>
      </c>
      <c r="C445" s="10">
        <f>7.4111 * CHOOSE(CONTROL!$C$32, $C$9, 100%, $E$9)</f>
        <v>7.4111000000000002</v>
      </c>
      <c r="D445" s="10">
        <f>7.4121 * CHOOSE(CONTROL!$C$32, $C$9, 100%, $E$9)</f>
        <v>7.4120999999999997</v>
      </c>
      <c r="E445" s="9">
        <f>6.6764 * CHOOSE(CONTROL!$C$32, $C$9, 100%, $E$9)</f>
        <v>6.6764000000000001</v>
      </c>
      <c r="F445" s="9">
        <f>6.6764 * CHOOSE(CONTROL!$C$32, $C$9, 100%, $E$9)</f>
        <v>6.6764000000000001</v>
      </c>
      <c r="G445" s="9">
        <f>6.6798 * CHOOSE(CONTROL!$C$32, $C$9, 100%, $E$9)</f>
        <v>6.6798000000000002</v>
      </c>
      <c r="H445" s="9">
        <f>9.003 * CHOOSE(CONTROL!$C$32, $C$9, 100%, $E$9)</f>
        <v>9.0030000000000001</v>
      </c>
      <c r="I445" s="9">
        <f>9.0064 * CHOOSE(CONTROL!$C$32, $C$9, 100%, $E$9)</f>
        <v>9.0063999999999993</v>
      </c>
      <c r="J445" s="9">
        <f>9.003 * CHOOSE(CONTROL!$C$32, $C$9, 100%, $E$9)</f>
        <v>9.0030000000000001</v>
      </c>
      <c r="K445" s="9">
        <f>9.0064 * CHOOSE(CONTROL!$C$32, $C$9, 100%, $E$9)</f>
        <v>9.0063999999999993</v>
      </c>
      <c r="L445" s="9">
        <f>6.6764 * CHOOSE(CONTROL!$C$32, $C$9, 100%, $E$9)</f>
        <v>6.6764000000000001</v>
      </c>
      <c r="M445" s="9">
        <f>6.6798 * CHOOSE(CONTROL!$C$32, $C$9, 100%, $E$9)</f>
        <v>6.6798000000000002</v>
      </c>
      <c r="N445" s="9">
        <f>6.6764 * CHOOSE(CONTROL!$C$32, $C$9, 100%, $E$9)</f>
        <v>6.6764000000000001</v>
      </c>
      <c r="O445" s="9">
        <f>6.6798 * CHOOSE(CONTROL!$C$32, $C$9, 100%, $E$9)</f>
        <v>6.6798000000000002</v>
      </c>
    </row>
    <row r="446" spans="1:15" ht="15.75" x14ac:dyDescent="0.25">
      <c r="A446" s="14">
        <v>54454</v>
      </c>
      <c r="B446" s="10">
        <f>7.473 * CHOOSE(CONTROL!$C$32, $C$9, 100%, $E$9)</f>
        <v>7.4729999999999999</v>
      </c>
      <c r="C446" s="10">
        <f>7.473 * CHOOSE(CONTROL!$C$32, $C$9, 100%, $E$9)</f>
        <v>7.4729999999999999</v>
      </c>
      <c r="D446" s="10">
        <f>7.474 * CHOOSE(CONTROL!$C$32, $C$9, 100%, $E$9)</f>
        <v>7.4740000000000002</v>
      </c>
      <c r="E446" s="9">
        <f>6.7749 * CHOOSE(CONTROL!$C$32, $C$9, 100%, $E$9)</f>
        <v>6.7748999999999997</v>
      </c>
      <c r="F446" s="9">
        <f>6.7749 * CHOOSE(CONTROL!$C$32, $C$9, 100%, $E$9)</f>
        <v>6.7748999999999997</v>
      </c>
      <c r="G446" s="9">
        <f>6.7783 * CHOOSE(CONTROL!$C$32, $C$9, 100%, $E$9)</f>
        <v>6.7782999999999998</v>
      </c>
      <c r="H446" s="9">
        <f>9.0701 * CHOOSE(CONTROL!$C$32, $C$9, 100%, $E$9)</f>
        <v>9.0701000000000001</v>
      </c>
      <c r="I446" s="9">
        <f>9.0735 * CHOOSE(CONTROL!$C$32, $C$9, 100%, $E$9)</f>
        <v>9.0734999999999992</v>
      </c>
      <c r="J446" s="9">
        <f>9.0701 * CHOOSE(CONTROL!$C$32, $C$9, 100%, $E$9)</f>
        <v>9.0701000000000001</v>
      </c>
      <c r="K446" s="9">
        <f>9.0735 * CHOOSE(CONTROL!$C$32, $C$9, 100%, $E$9)</f>
        <v>9.0734999999999992</v>
      </c>
      <c r="L446" s="9">
        <f>6.7749 * CHOOSE(CONTROL!$C$32, $C$9, 100%, $E$9)</f>
        <v>6.7748999999999997</v>
      </c>
      <c r="M446" s="9">
        <f>6.7783 * CHOOSE(CONTROL!$C$32, $C$9, 100%, $E$9)</f>
        <v>6.7782999999999998</v>
      </c>
      <c r="N446" s="9">
        <f>6.7749 * CHOOSE(CONTROL!$C$32, $C$9, 100%, $E$9)</f>
        <v>6.7748999999999997</v>
      </c>
      <c r="O446" s="9">
        <f>6.7783 * CHOOSE(CONTROL!$C$32, $C$9, 100%, $E$9)</f>
        <v>6.7782999999999998</v>
      </c>
    </row>
    <row r="447" spans="1:15" ht="15.75" x14ac:dyDescent="0.25">
      <c r="A447" s="14">
        <v>54482</v>
      </c>
      <c r="B447" s="10">
        <f>7.47 * CHOOSE(CONTROL!$C$32, $C$9, 100%, $E$9)</f>
        <v>7.47</v>
      </c>
      <c r="C447" s="10">
        <f>7.47 * CHOOSE(CONTROL!$C$32, $C$9, 100%, $E$9)</f>
        <v>7.47</v>
      </c>
      <c r="D447" s="10">
        <f>7.471 * CHOOSE(CONTROL!$C$32, $C$9, 100%, $E$9)</f>
        <v>7.4710000000000001</v>
      </c>
      <c r="E447" s="9">
        <f>6.6318 * CHOOSE(CONTROL!$C$32, $C$9, 100%, $E$9)</f>
        <v>6.6318000000000001</v>
      </c>
      <c r="F447" s="9">
        <f>6.6318 * CHOOSE(CONTROL!$C$32, $C$9, 100%, $E$9)</f>
        <v>6.6318000000000001</v>
      </c>
      <c r="G447" s="9">
        <f>6.6352 * CHOOSE(CONTROL!$C$32, $C$9, 100%, $E$9)</f>
        <v>6.6352000000000002</v>
      </c>
      <c r="H447" s="9">
        <f>9.0681 * CHOOSE(CONTROL!$C$32, $C$9, 100%, $E$9)</f>
        <v>9.0680999999999994</v>
      </c>
      <c r="I447" s="9">
        <f>9.0715 * CHOOSE(CONTROL!$C$32, $C$9, 100%, $E$9)</f>
        <v>9.0715000000000003</v>
      </c>
      <c r="J447" s="9">
        <f>9.0681 * CHOOSE(CONTROL!$C$32, $C$9, 100%, $E$9)</f>
        <v>9.0680999999999994</v>
      </c>
      <c r="K447" s="9">
        <f>9.0715 * CHOOSE(CONTROL!$C$32, $C$9, 100%, $E$9)</f>
        <v>9.0715000000000003</v>
      </c>
      <c r="L447" s="9">
        <f>6.6318 * CHOOSE(CONTROL!$C$32, $C$9, 100%, $E$9)</f>
        <v>6.6318000000000001</v>
      </c>
      <c r="M447" s="9">
        <f>6.6352 * CHOOSE(CONTROL!$C$32, $C$9, 100%, $E$9)</f>
        <v>6.6352000000000002</v>
      </c>
      <c r="N447" s="9">
        <f>6.6318 * CHOOSE(CONTROL!$C$32, $C$9, 100%, $E$9)</f>
        <v>6.6318000000000001</v>
      </c>
      <c r="O447" s="9">
        <f>6.6352 * CHOOSE(CONTROL!$C$32, $C$9, 100%, $E$9)</f>
        <v>6.6352000000000002</v>
      </c>
    </row>
    <row r="448" spans="1:15" ht="15.75" x14ac:dyDescent="0.25">
      <c r="A448" s="14">
        <v>54513</v>
      </c>
      <c r="B448" s="10">
        <f>7.467 * CHOOSE(CONTROL!$C$32, $C$9, 100%, $E$9)</f>
        <v>7.4669999999999996</v>
      </c>
      <c r="C448" s="10">
        <f>7.467 * CHOOSE(CONTROL!$C$32, $C$9, 100%, $E$9)</f>
        <v>7.4669999999999996</v>
      </c>
      <c r="D448" s="10">
        <f>7.468 * CHOOSE(CONTROL!$C$32, $C$9, 100%, $E$9)</f>
        <v>7.468</v>
      </c>
      <c r="E448" s="9">
        <f>6.7408 * CHOOSE(CONTROL!$C$32, $C$9, 100%, $E$9)</f>
        <v>6.7408000000000001</v>
      </c>
      <c r="F448" s="9">
        <f>6.7408 * CHOOSE(CONTROL!$C$32, $C$9, 100%, $E$9)</f>
        <v>6.7408000000000001</v>
      </c>
      <c r="G448" s="9">
        <f>6.7442 * CHOOSE(CONTROL!$C$32, $C$9, 100%, $E$9)</f>
        <v>6.7442000000000002</v>
      </c>
      <c r="H448" s="9">
        <f>9.0661 * CHOOSE(CONTROL!$C$32, $C$9, 100%, $E$9)</f>
        <v>9.0661000000000005</v>
      </c>
      <c r="I448" s="9">
        <f>9.0695 * CHOOSE(CONTROL!$C$32, $C$9, 100%, $E$9)</f>
        <v>9.0694999999999997</v>
      </c>
      <c r="J448" s="9">
        <f>9.0661 * CHOOSE(CONTROL!$C$32, $C$9, 100%, $E$9)</f>
        <v>9.0661000000000005</v>
      </c>
      <c r="K448" s="9">
        <f>9.0695 * CHOOSE(CONTROL!$C$32, $C$9, 100%, $E$9)</f>
        <v>9.0694999999999997</v>
      </c>
      <c r="L448" s="9">
        <f>6.7408 * CHOOSE(CONTROL!$C$32, $C$9, 100%, $E$9)</f>
        <v>6.7408000000000001</v>
      </c>
      <c r="M448" s="9">
        <f>6.7442 * CHOOSE(CONTROL!$C$32, $C$9, 100%, $E$9)</f>
        <v>6.7442000000000002</v>
      </c>
      <c r="N448" s="9">
        <f>6.7408 * CHOOSE(CONTROL!$C$32, $C$9, 100%, $E$9)</f>
        <v>6.7408000000000001</v>
      </c>
      <c r="O448" s="9">
        <f>6.7442 * CHOOSE(CONTROL!$C$32, $C$9, 100%, $E$9)</f>
        <v>6.7442000000000002</v>
      </c>
    </row>
    <row r="449" spans="1:15" ht="15.75" x14ac:dyDescent="0.25">
      <c r="A449" s="14">
        <v>54543</v>
      </c>
      <c r="B449" s="10">
        <f>7.4682 * CHOOSE(CONTROL!$C$32, $C$9, 100%, $E$9)</f>
        <v>7.4682000000000004</v>
      </c>
      <c r="C449" s="10">
        <f>7.4682 * CHOOSE(CONTROL!$C$32, $C$9, 100%, $E$9)</f>
        <v>7.4682000000000004</v>
      </c>
      <c r="D449" s="10">
        <f>7.4692 * CHOOSE(CONTROL!$C$32, $C$9, 100%, $E$9)</f>
        <v>7.4691999999999998</v>
      </c>
      <c r="E449" s="9">
        <f>6.8559 * CHOOSE(CONTROL!$C$32, $C$9, 100%, $E$9)</f>
        <v>6.8559000000000001</v>
      </c>
      <c r="F449" s="9">
        <f>6.8559 * CHOOSE(CONTROL!$C$32, $C$9, 100%, $E$9)</f>
        <v>6.8559000000000001</v>
      </c>
      <c r="G449" s="9">
        <f>6.8593 * CHOOSE(CONTROL!$C$32, $C$9, 100%, $E$9)</f>
        <v>6.8593000000000002</v>
      </c>
      <c r="H449" s="9">
        <f>9.0667 * CHOOSE(CONTROL!$C$32, $C$9, 100%, $E$9)</f>
        <v>9.0667000000000009</v>
      </c>
      <c r="I449" s="9">
        <f>9.0701 * CHOOSE(CONTROL!$C$32, $C$9, 100%, $E$9)</f>
        <v>9.0701000000000001</v>
      </c>
      <c r="J449" s="9">
        <f>9.0667 * CHOOSE(CONTROL!$C$32, $C$9, 100%, $E$9)</f>
        <v>9.0667000000000009</v>
      </c>
      <c r="K449" s="9">
        <f>9.0701 * CHOOSE(CONTROL!$C$32, $C$9, 100%, $E$9)</f>
        <v>9.0701000000000001</v>
      </c>
      <c r="L449" s="9">
        <f>6.8559 * CHOOSE(CONTROL!$C$32, $C$9, 100%, $E$9)</f>
        <v>6.8559000000000001</v>
      </c>
      <c r="M449" s="9">
        <f>6.8593 * CHOOSE(CONTROL!$C$32, $C$9, 100%, $E$9)</f>
        <v>6.8593000000000002</v>
      </c>
      <c r="N449" s="9">
        <f>6.8559 * CHOOSE(CONTROL!$C$32, $C$9, 100%, $E$9)</f>
        <v>6.8559000000000001</v>
      </c>
      <c r="O449" s="9">
        <f>6.8593 * CHOOSE(CONTROL!$C$32, $C$9, 100%, $E$9)</f>
        <v>6.8593000000000002</v>
      </c>
    </row>
    <row r="450" spans="1:15" ht="15.75" x14ac:dyDescent="0.25">
      <c r="A450" s="14">
        <v>54574</v>
      </c>
      <c r="B450" s="10">
        <f>7.4682 * CHOOSE(CONTROL!$C$32, $C$9, 100%, $E$9)</f>
        <v>7.4682000000000004</v>
      </c>
      <c r="C450" s="10">
        <f>7.4682 * CHOOSE(CONTROL!$C$32, $C$9, 100%, $E$9)</f>
        <v>7.4682000000000004</v>
      </c>
      <c r="D450" s="10">
        <f>7.4695 * CHOOSE(CONTROL!$C$32, $C$9, 100%, $E$9)</f>
        <v>7.4695</v>
      </c>
      <c r="E450" s="9">
        <f>6.9007 * CHOOSE(CONTROL!$C$32, $C$9, 100%, $E$9)</f>
        <v>6.9006999999999996</v>
      </c>
      <c r="F450" s="9">
        <f>6.9007 * CHOOSE(CONTROL!$C$32, $C$9, 100%, $E$9)</f>
        <v>6.9006999999999996</v>
      </c>
      <c r="G450" s="9">
        <f>6.905 * CHOOSE(CONTROL!$C$32, $C$9, 100%, $E$9)</f>
        <v>6.9050000000000002</v>
      </c>
      <c r="H450" s="9">
        <f>9.0667 * CHOOSE(CONTROL!$C$32, $C$9, 100%, $E$9)</f>
        <v>9.0667000000000009</v>
      </c>
      <c r="I450" s="9">
        <f>9.071 * CHOOSE(CONTROL!$C$32, $C$9, 100%, $E$9)</f>
        <v>9.0709999999999997</v>
      </c>
      <c r="J450" s="9">
        <f>9.0667 * CHOOSE(CONTROL!$C$32, $C$9, 100%, $E$9)</f>
        <v>9.0667000000000009</v>
      </c>
      <c r="K450" s="9">
        <f>9.071 * CHOOSE(CONTROL!$C$32, $C$9, 100%, $E$9)</f>
        <v>9.0709999999999997</v>
      </c>
      <c r="L450" s="9">
        <f>6.9007 * CHOOSE(CONTROL!$C$32, $C$9, 100%, $E$9)</f>
        <v>6.9006999999999996</v>
      </c>
      <c r="M450" s="9">
        <f>6.905 * CHOOSE(CONTROL!$C$32, $C$9, 100%, $E$9)</f>
        <v>6.9050000000000002</v>
      </c>
      <c r="N450" s="9">
        <f>6.9007 * CHOOSE(CONTROL!$C$32, $C$9, 100%, $E$9)</f>
        <v>6.9006999999999996</v>
      </c>
      <c r="O450" s="9">
        <f>6.905 * CHOOSE(CONTROL!$C$32, $C$9, 100%, $E$9)</f>
        <v>6.9050000000000002</v>
      </c>
    </row>
    <row r="451" spans="1:15" ht="15.75" x14ac:dyDescent="0.25">
      <c r="A451" s="14">
        <v>54604</v>
      </c>
      <c r="B451" s="10">
        <f>7.4743 * CHOOSE(CONTROL!$C$32, $C$9, 100%, $E$9)</f>
        <v>7.4743000000000004</v>
      </c>
      <c r="C451" s="10">
        <f>7.4743 * CHOOSE(CONTROL!$C$32, $C$9, 100%, $E$9)</f>
        <v>7.4743000000000004</v>
      </c>
      <c r="D451" s="10">
        <f>7.4756 * CHOOSE(CONTROL!$C$32, $C$9, 100%, $E$9)</f>
        <v>7.4756</v>
      </c>
      <c r="E451" s="9">
        <f>6.8601 * CHOOSE(CONTROL!$C$32, $C$9, 100%, $E$9)</f>
        <v>6.8601000000000001</v>
      </c>
      <c r="F451" s="9">
        <f>6.8601 * CHOOSE(CONTROL!$C$32, $C$9, 100%, $E$9)</f>
        <v>6.8601000000000001</v>
      </c>
      <c r="G451" s="9">
        <f>6.8645 * CHOOSE(CONTROL!$C$32, $C$9, 100%, $E$9)</f>
        <v>6.8644999999999996</v>
      </c>
      <c r="H451" s="9">
        <f>9.0707 * CHOOSE(CONTROL!$C$32, $C$9, 100%, $E$9)</f>
        <v>9.0707000000000004</v>
      </c>
      <c r="I451" s="9">
        <f>9.075 * CHOOSE(CONTROL!$C$32, $C$9, 100%, $E$9)</f>
        <v>9.0749999999999993</v>
      </c>
      <c r="J451" s="9">
        <f>9.0707 * CHOOSE(CONTROL!$C$32, $C$9, 100%, $E$9)</f>
        <v>9.0707000000000004</v>
      </c>
      <c r="K451" s="9">
        <f>9.075 * CHOOSE(CONTROL!$C$32, $C$9, 100%, $E$9)</f>
        <v>9.0749999999999993</v>
      </c>
      <c r="L451" s="9">
        <f>6.8601 * CHOOSE(CONTROL!$C$32, $C$9, 100%, $E$9)</f>
        <v>6.8601000000000001</v>
      </c>
      <c r="M451" s="9">
        <f>6.8645 * CHOOSE(CONTROL!$C$32, $C$9, 100%, $E$9)</f>
        <v>6.8644999999999996</v>
      </c>
      <c r="N451" s="9">
        <f>6.8601 * CHOOSE(CONTROL!$C$32, $C$9, 100%, $E$9)</f>
        <v>6.8601000000000001</v>
      </c>
      <c r="O451" s="9">
        <f>6.8645 * CHOOSE(CONTROL!$C$32, $C$9, 100%, $E$9)</f>
        <v>6.8644999999999996</v>
      </c>
    </row>
    <row r="452" spans="1:15" ht="15.75" x14ac:dyDescent="0.25">
      <c r="A452" s="14">
        <v>54635</v>
      </c>
      <c r="B452" s="10">
        <f>7.5826 * CHOOSE(CONTROL!$C$32, $C$9, 100%, $E$9)</f>
        <v>7.5826000000000002</v>
      </c>
      <c r="C452" s="10">
        <f>7.5826 * CHOOSE(CONTROL!$C$32, $C$9, 100%, $E$9)</f>
        <v>7.5826000000000002</v>
      </c>
      <c r="D452" s="10">
        <f>7.5839 * CHOOSE(CONTROL!$C$32, $C$9, 100%, $E$9)</f>
        <v>7.5838999999999999</v>
      </c>
      <c r="E452" s="9">
        <f>6.9412 * CHOOSE(CONTROL!$C$32, $C$9, 100%, $E$9)</f>
        <v>6.9412000000000003</v>
      </c>
      <c r="F452" s="9">
        <f>6.9412 * CHOOSE(CONTROL!$C$32, $C$9, 100%, $E$9)</f>
        <v>6.9412000000000003</v>
      </c>
      <c r="G452" s="9">
        <f>6.9456 * CHOOSE(CONTROL!$C$32, $C$9, 100%, $E$9)</f>
        <v>6.9455999999999998</v>
      </c>
      <c r="H452" s="9">
        <f>9.2082 * CHOOSE(CONTROL!$C$32, $C$9, 100%, $E$9)</f>
        <v>9.2081999999999997</v>
      </c>
      <c r="I452" s="9">
        <f>9.2125 * CHOOSE(CONTROL!$C$32, $C$9, 100%, $E$9)</f>
        <v>9.2125000000000004</v>
      </c>
      <c r="J452" s="9">
        <f>9.2082 * CHOOSE(CONTROL!$C$32, $C$9, 100%, $E$9)</f>
        <v>9.2081999999999997</v>
      </c>
      <c r="K452" s="9">
        <f>9.2125 * CHOOSE(CONTROL!$C$32, $C$9, 100%, $E$9)</f>
        <v>9.2125000000000004</v>
      </c>
      <c r="L452" s="9">
        <f>6.9412 * CHOOSE(CONTROL!$C$32, $C$9, 100%, $E$9)</f>
        <v>6.9412000000000003</v>
      </c>
      <c r="M452" s="9">
        <f>6.9456 * CHOOSE(CONTROL!$C$32, $C$9, 100%, $E$9)</f>
        <v>6.9455999999999998</v>
      </c>
      <c r="N452" s="9">
        <f>6.9412 * CHOOSE(CONTROL!$C$32, $C$9, 100%, $E$9)</f>
        <v>6.9412000000000003</v>
      </c>
      <c r="O452" s="9">
        <f>6.9456 * CHOOSE(CONTROL!$C$32, $C$9, 100%, $E$9)</f>
        <v>6.9455999999999998</v>
      </c>
    </row>
    <row r="453" spans="1:15" ht="15.75" x14ac:dyDescent="0.25">
      <c r="A453" s="14">
        <v>54666</v>
      </c>
      <c r="B453" s="10">
        <f>7.5893 * CHOOSE(CONTROL!$C$32, $C$9, 100%, $E$9)</f>
        <v>7.5892999999999997</v>
      </c>
      <c r="C453" s="10">
        <f>7.5893 * CHOOSE(CONTROL!$C$32, $C$9, 100%, $E$9)</f>
        <v>7.5892999999999997</v>
      </c>
      <c r="D453" s="10">
        <f>7.5906 * CHOOSE(CONTROL!$C$32, $C$9, 100%, $E$9)</f>
        <v>7.5906000000000002</v>
      </c>
      <c r="E453" s="9">
        <f>6.8116 * CHOOSE(CONTROL!$C$32, $C$9, 100%, $E$9)</f>
        <v>6.8116000000000003</v>
      </c>
      <c r="F453" s="9">
        <f>6.8116 * CHOOSE(CONTROL!$C$32, $C$9, 100%, $E$9)</f>
        <v>6.8116000000000003</v>
      </c>
      <c r="G453" s="9">
        <f>6.816 * CHOOSE(CONTROL!$C$32, $C$9, 100%, $E$9)</f>
        <v>6.8159999999999998</v>
      </c>
      <c r="H453" s="9">
        <f>9.2126 * CHOOSE(CONTROL!$C$32, $C$9, 100%, $E$9)</f>
        <v>9.2126000000000001</v>
      </c>
      <c r="I453" s="9">
        <f>9.2169 * CHOOSE(CONTROL!$C$32, $C$9, 100%, $E$9)</f>
        <v>9.2169000000000008</v>
      </c>
      <c r="J453" s="9">
        <f>9.2126 * CHOOSE(CONTROL!$C$32, $C$9, 100%, $E$9)</f>
        <v>9.2126000000000001</v>
      </c>
      <c r="K453" s="9">
        <f>9.2169 * CHOOSE(CONTROL!$C$32, $C$9, 100%, $E$9)</f>
        <v>9.2169000000000008</v>
      </c>
      <c r="L453" s="9">
        <f>6.8116 * CHOOSE(CONTROL!$C$32, $C$9, 100%, $E$9)</f>
        <v>6.8116000000000003</v>
      </c>
      <c r="M453" s="9">
        <f>6.816 * CHOOSE(CONTROL!$C$32, $C$9, 100%, $E$9)</f>
        <v>6.8159999999999998</v>
      </c>
      <c r="N453" s="9">
        <f>6.8116 * CHOOSE(CONTROL!$C$32, $C$9, 100%, $E$9)</f>
        <v>6.8116000000000003</v>
      </c>
      <c r="O453" s="9">
        <f>6.816 * CHOOSE(CONTROL!$C$32, $C$9, 100%, $E$9)</f>
        <v>6.8159999999999998</v>
      </c>
    </row>
    <row r="454" spans="1:15" ht="15.75" x14ac:dyDescent="0.25">
      <c r="A454" s="14">
        <v>54696</v>
      </c>
      <c r="B454" s="10">
        <f>7.5862 * CHOOSE(CONTROL!$C$32, $C$9, 100%, $E$9)</f>
        <v>7.5861999999999998</v>
      </c>
      <c r="C454" s="10">
        <f>7.5862 * CHOOSE(CONTROL!$C$32, $C$9, 100%, $E$9)</f>
        <v>7.5861999999999998</v>
      </c>
      <c r="D454" s="10">
        <f>7.5875 * CHOOSE(CONTROL!$C$32, $C$9, 100%, $E$9)</f>
        <v>7.5875000000000004</v>
      </c>
      <c r="E454" s="9">
        <f>6.7946 * CHOOSE(CONTROL!$C$32, $C$9, 100%, $E$9)</f>
        <v>6.7946</v>
      </c>
      <c r="F454" s="9">
        <f>6.7946 * CHOOSE(CONTROL!$C$32, $C$9, 100%, $E$9)</f>
        <v>6.7946</v>
      </c>
      <c r="G454" s="9">
        <f>6.799 * CHOOSE(CONTROL!$C$32, $C$9, 100%, $E$9)</f>
        <v>6.7990000000000004</v>
      </c>
      <c r="H454" s="9">
        <f>9.2106 * CHOOSE(CONTROL!$C$32, $C$9, 100%, $E$9)</f>
        <v>9.2105999999999995</v>
      </c>
      <c r="I454" s="9">
        <f>9.2149 * CHOOSE(CONTROL!$C$32, $C$9, 100%, $E$9)</f>
        <v>9.2149000000000001</v>
      </c>
      <c r="J454" s="9">
        <f>9.2106 * CHOOSE(CONTROL!$C$32, $C$9, 100%, $E$9)</f>
        <v>9.2105999999999995</v>
      </c>
      <c r="K454" s="9">
        <f>9.2149 * CHOOSE(CONTROL!$C$32, $C$9, 100%, $E$9)</f>
        <v>9.2149000000000001</v>
      </c>
      <c r="L454" s="9">
        <f>6.7946 * CHOOSE(CONTROL!$C$32, $C$9, 100%, $E$9)</f>
        <v>6.7946</v>
      </c>
      <c r="M454" s="9">
        <f>6.799 * CHOOSE(CONTROL!$C$32, $C$9, 100%, $E$9)</f>
        <v>6.7990000000000004</v>
      </c>
      <c r="N454" s="9">
        <f>6.7946 * CHOOSE(CONTROL!$C$32, $C$9, 100%, $E$9)</f>
        <v>6.7946</v>
      </c>
      <c r="O454" s="9">
        <f>6.799 * CHOOSE(CONTROL!$C$32, $C$9, 100%, $E$9)</f>
        <v>6.7990000000000004</v>
      </c>
    </row>
    <row r="455" spans="1:15" ht="15.75" x14ac:dyDescent="0.25">
      <c r="A455" s="14">
        <v>54727</v>
      </c>
      <c r="B455" s="10">
        <f>7.5956 * CHOOSE(CONTROL!$C$32, $C$9, 100%, $E$9)</f>
        <v>7.5956000000000001</v>
      </c>
      <c r="C455" s="10">
        <f>7.5956 * CHOOSE(CONTROL!$C$32, $C$9, 100%, $E$9)</f>
        <v>7.5956000000000001</v>
      </c>
      <c r="D455" s="10">
        <f>7.5966 * CHOOSE(CONTROL!$C$32, $C$9, 100%, $E$9)</f>
        <v>7.5965999999999996</v>
      </c>
      <c r="E455" s="9">
        <f>6.8409 * CHOOSE(CONTROL!$C$32, $C$9, 100%, $E$9)</f>
        <v>6.8409000000000004</v>
      </c>
      <c r="F455" s="9">
        <f>6.8409 * CHOOSE(CONTROL!$C$32, $C$9, 100%, $E$9)</f>
        <v>6.8409000000000004</v>
      </c>
      <c r="G455" s="9">
        <f>6.8442 * CHOOSE(CONTROL!$C$32, $C$9, 100%, $E$9)</f>
        <v>6.8441999999999998</v>
      </c>
      <c r="H455" s="9">
        <f>9.2157 * CHOOSE(CONTROL!$C$32, $C$9, 100%, $E$9)</f>
        <v>9.2157</v>
      </c>
      <c r="I455" s="9">
        <f>9.219 * CHOOSE(CONTROL!$C$32, $C$9, 100%, $E$9)</f>
        <v>9.2189999999999994</v>
      </c>
      <c r="J455" s="9">
        <f>9.2157 * CHOOSE(CONTROL!$C$32, $C$9, 100%, $E$9)</f>
        <v>9.2157</v>
      </c>
      <c r="K455" s="9">
        <f>9.219 * CHOOSE(CONTROL!$C$32, $C$9, 100%, $E$9)</f>
        <v>9.2189999999999994</v>
      </c>
      <c r="L455" s="9">
        <f>6.8409 * CHOOSE(CONTROL!$C$32, $C$9, 100%, $E$9)</f>
        <v>6.8409000000000004</v>
      </c>
      <c r="M455" s="9">
        <f>6.8442 * CHOOSE(CONTROL!$C$32, $C$9, 100%, $E$9)</f>
        <v>6.8441999999999998</v>
      </c>
      <c r="N455" s="9">
        <f>6.8409 * CHOOSE(CONTROL!$C$32, $C$9, 100%, $E$9)</f>
        <v>6.8409000000000004</v>
      </c>
      <c r="O455" s="9">
        <f>6.8442 * CHOOSE(CONTROL!$C$32, $C$9, 100%, $E$9)</f>
        <v>6.8441999999999998</v>
      </c>
    </row>
    <row r="456" spans="1:15" ht="15.75" x14ac:dyDescent="0.25">
      <c r="A456" s="14">
        <v>54757</v>
      </c>
      <c r="B456" s="10">
        <f>7.5986 * CHOOSE(CONTROL!$C$32, $C$9, 100%, $E$9)</f>
        <v>7.5986000000000002</v>
      </c>
      <c r="C456" s="10">
        <f>7.5986 * CHOOSE(CONTROL!$C$32, $C$9, 100%, $E$9)</f>
        <v>7.5986000000000002</v>
      </c>
      <c r="D456" s="10">
        <f>7.5997 * CHOOSE(CONTROL!$C$32, $C$9, 100%, $E$9)</f>
        <v>7.5997000000000003</v>
      </c>
      <c r="E456" s="9">
        <f>6.8728 * CHOOSE(CONTROL!$C$32, $C$9, 100%, $E$9)</f>
        <v>6.8727999999999998</v>
      </c>
      <c r="F456" s="9">
        <f>6.8728 * CHOOSE(CONTROL!$C$32, $C$9, 100%, $E$9)</f>
        <v>6.8727999999999998</v>
      </c>
      <c r="G456" s="9">
        <f>6.8762 * CHOOSE(CONTROL!$C$32, $C$9, 100%, $E$9)</f>
        <v>6.8761999999999999</v>
      </c>
      <c r="H456" s="9">
        <f>9.2177 * CHOOSE(CONTROL!$C$32, $C$9, 100%, $E$9)</f>
        <v>9.2177000000000007</v>
      </c>
      <c r="I456" s="9">
        <f>9.221 * CHOOSE(CONTROL!$C$32, $C$9, 100%, $E$9)</f>
        <v>9.2210000000000001</v>
      </c>
      <c r="J456" s="9">
        <f>9.2177 * CHOOSE(CONTROL!$C$32, $C$9, 100%, $E$9)</f>
        <v>9.2177000000000007</v>
      </c>
      <c r="K456" s="9">
        <f>9.221 * CHOOSE(CONTROL!$C$32, $C$9, 100%, $E$9)</f>
        <v>9.2210000000000001</v>
      </c>
      <c r="L456" s="9">
        <f>6.8728 * CHOOSE(CONTROL!$C$32, $C$9, 100%, $E$9)</f>
        <v>6.8727999999999998</v>
      </c>
      <c r="M456" s="9">
        <f>6.8762 * CHOOSE(CONTROL!$C$32, $C$9, 100%, $E$9)</f>
        <v>6.8761999999999999</v>
      </c>
      <c r="N456" s="9">
        <f>6.8728 * CHOOSE(CONTROL!$C$32, $C$9, 100%, $E$9)</f>
        <v>6.8727999999999998</v>
      </c>
      <c r="O456" s="9">
        <f>6.8762 * CHOOSE(CONTROL!$C$32, $C$9, 100%, $E$9)</f>
        <v>6.8761999999999999</v>
      </c>
    </row>
    <row r="457" spans="1:15" ht="15.75" x14ac:dyDescent="0.25">
      <c r="A457" s="14">
        <v>54788</v>
      </c>
      <c r="B457" s="10">
        <f>7.5986 * CHOOSE(CONTROL!$C$32, $C$9, 100%, $E$9)</f>
        <v>7.5986000000000002</v>
      </c>
      <c r="C457" s="10">
        <f>7.5986 * CHOOSE(CONTROL!$C$32, $C$9, 100%, $E$9)</f>
        <v>7.5986000000000002</v>
      </c>
      <c r="D457" s="10">
        <f>7.5997 * CHOOSE(CONTROL!$C$32, $C$9, 100%, $E$9)</f>
        <v>7.5997000000000003</v>
      </c>
      <c r="E457" s="9">
        <f>6.7982 * CHOOSE(CONTROL!$C$32, $C$9, 100%, $E$9)</f>
        <v>6.7981999999999996</v>
      </c>
      <c r="F457" s="9">
        <f>6.7982 * CHOOSE(CONTROL!$C$32, $C$9, 100%, $E$9)</f>
        <v>6.7981999999999996</v>
      </c>
      <c r="G457" s="9">
        <f>6.8016 * CHOOSE(CONTROL!$C$32, $C$9, 100%, $E$9)</f>
        <v>6.8015999999999996</v>
      </c>
      <c r="H457" s="9">
        <f>9.2177 * CHOOSE(CONTROL!$C$32, $C$9, 100%, $E$9)</f>
        <v>9.2177000000000007</v>
      </c>
      <c r="I457" s="9">
        <f>9.221 * CHOOSE(CONTROL!$C$32, $C$9, 100%, $E$9)</f>
        <v>9.2210000000000001</v>
      </c>
      <c r="J457" s="9">
        <f>9.2177 * CHOOSE(CONTROL!$C$32, $C$9, 100%, $E$9)</f>
        <v>9.2177000000000007</v>
      </c>
      <c r="K457" s="9">
        <f>9.221 * CHOOSE(CONTROL!$C$32, $C$9, 100%, $E$9)</f>
        <v>9.2210000000000001</v>
      </c>
      <c r="L457" s="9">
        <f>6.7982 * CHOOSE(CONTROL!$C$32, $C$9, 100%, $E$9)</f>
        <v>6.7981999999999996</v>
      </c>
      <c r="M457" s="9">
        <f>6.8016 * CHOOSE(CONTROL!$C$32, $C$9, 100%, $E$9)</f>
        <v>6.8015999999999996</v>
      </c>
      <c r="N457" s="9">
        <f>6.7982 * CHOOSE(CONTROL!$C$32, $C$9, 100%, $E$9)</f>
        <v>6.7981999999999996</v>
      </c>
      <c r="O457" s="9">
        <f>6.8016 * CHOOSE(CONTROL!$C$32, $C$9, 100%, $E$9)</f>
        <v>6.8015999999999996</v>
      </c>
    </row>
    <row r="458" spans="1:15" ht="15.75" x14ac:dyDescent="0.25">
      <c r="A458" s="14">
        <v>54819</v>
      </c>
      <c r="B458" s="10">
        <f>7.662 * CHOOSE(CONTROL!$C$32, $C$9, 100%, $E$9)</f>
        <v>7.6619999999999999</v>
      </c>
      <c r="C458" s="10">
        <f>7.662 * CHOOSE(CONTROL!$C$32, $C$9, 100%, $E$9)</f>
        <v>7.6619999999999999</v>
      </c>
      <c r="D458" s="10">
        <f>7.663 * CHOOSE(CONTROL!$C$32, $C$9, 100%, $E$9)</f>
        <v>7.6630000000000003</v>
      </c>
      <c r="E458" s="9">
        <f>6.8992 * CHOOSE(CONTROL!$C$32, $C$9, 100%, $E$9)</f>
        <v>6.8992000000000004</v>
      </c>
      <c r="F458" s="9">
        <f>6.8992 * CHOOSE(CONTROL!$C$32, $C$9, 100%, $E$9)</f>
        <v>6.8992000000000004</v>
      </c>
      <c r="G458" s="9">
        <f>6.9026 * CHOOSE(CONTROL!$C$32, $C$9, 100%, $E$9)</f>
        <v>6.9025999999999996</v>
      </c>
      <c r="H458" s="9">
        <f>9.2863 * CHOOSE(CONTROL!$C$32, $C$9, 100%, $E$9)</f>
        <v>9.2863000000000007</v>
      </c>
      <c r="I458" s="9">
        <f>9.2897 * CHOOSE(CONTROL!$C$32, $C$9, 100%, $E$9)</f>
        <v>9.2896999999999998</v>
      </c>
      <c r="J458" s="9">
        <f>9.2863 * CHOOSE(CONTROL!$C$32, $C$9, 100%, $E$9)</f>
        <v>9.2863000000000007</v>
      </c>
      <c r="K458" s="9">
        <f>9.2897 * CHOOSE(CONTROL!$C$32, $C$9, 100%, $E$9)</f>
        <v>9.2896999999999998</v>
      </c>
      <c r="L458" s="9">
        <f>6.8992 * CHOOSE(CONTROL!$C$32, $C$9, 100%, $E$9)</f>
        <v>6.8992000000000004</v>
      </c>
      <c r="M458" s="9">
        <f>6.9026 * CHOOSE(CONTROL!$C$32, $C$9, 100%, $E$9)</f>
        <v>6.9025999999999996</v>
      </c>
      <c r="N458" s="9">
        <f>6.8992 * CHOOSE(CONTROL!$C$32, $C$9, 100%, $E$9)</f>
        <v>6.8992000000000004</v>
      </c>
      <c r="O458" s="9">
        <f>6.9026 * CHOOSE(CONTROL!$C$32, $C$9, 100%, $E$9)</f>
        <v>6.9025999999999996</v>
      </c>
    </row>
    <row r="459" spans="1:15" ht="15.75" x14ac:dyDescent="0.25">
      <c r="A459" s="14">
        <v>54847</v>
      </c>
      <c r="B459" s="10">
        <f>7.659 * CHOOSE(CONTROL!$C$32, $C$9, 100%, $E$9)</f>
        <v>7.6589999999999998</v>
      </c>
      <c r="C459" s="10">
        <f>7.659 * CHOOSE(CONTROL!$C$32, $C$9, 100%, $E$9)</f>
        <v>7.6589999999999998</v>
      </c>
      <c r="D459" s="10">
        <f>7.66 * CHOOSE(CONTROL!$C$32, $C$9, 100%, $E$9)</f>
        <v>7.66</v>
      </c>
      <c r="E459" s="9">
        <f>6.7518 * CHOOSE(CONTROL!$C$32, $C$9, 100%, $E$9)</f>
        <v>6.7518000000000002</v>
      </c>
      <c r="F459" s="9">
        <f>6.7518 * CHOOSE(CONTROL!$C$32, $C$9, 100%, $E$9)</f>
        <v>6.7518000000000002</v>
      </c>
      <c r="G459" s="9">
        <f>6.7552 * CHOOSE(CONTROL!$C$32, $C$9, 100%, $E$9)</f>
        <v>6.7552000000000003</v>
      </c>
      <c r="H459" s="9">
        <f>9.2843 * CHOOSE(CONTROL!$C$32, $C$9, 100%, $E$9)</f>
        <v>9.2843</v>
      </c>
      <c r="I459" s="9">
        <f>9.2877 * CHOOSE(CONTROL!$C$32, $C$9, 100%, $E$9)</f>
        <v>9.2876999999999992</v>
      </c>
      <c r="J459" s="9">
        <f>9.2843 * CHOOSE(CONTROL!$C$32, $C$9, 100%, $E$9)</f>
        <v>9.2843</v>
      </c>
      <c r="K459" s="9">
        <f>9.2877 * CHOOSE(CONTROL!$C$32, $C$9, 100%, $E$9)</f>
        <v>9.2876999999999992</v>
      </c>
      <c r="L459" s="9">
        <f>6.7518 * CHOOSE(CONTROL!$C$32, $C$9, 100%, $E$9)</f>
        <v>6.7518000000000002</v>
      </c>
      <c r="M459" s="9">
        <f>6.7552 * CHOOSE(CONTROL!$C$32, $C$9, 100%, $E$9)</f>
        <v>6.7552000000000003</v>
      </c>
      <c r="N459" s="9">
        <f>6.7518 * CHOOSE(CONTROL!$C$32, $C$9, 100%, $E$9)</f>
        <v>6.7518000000000002</v>
      </c>
      <c r="O459" s="9">
        <f>6.7552 * CHOOSE(CONTROL!$C$32, $C$9, 100%, $E$9)</f>
        <v>6.7552000000000003</v>
      </c>
    </row>
    <row r="460" spans="1:15" ht="15.75" x14ac:dyDescent="0.25">
      <c r="A460" s="14">
        <v>54878</v>
      </c>
      <c r="B460" s="10">
        <f>7.6559 * CHOOSE(CONTROL!$C$32, $C$9, 100%, $E$9)</f>
        <v>7.6558999999999999</v>
      </c>
      <c r="C460" s="10">
        <f>7.6559 * CHOOSE(CONTROL!$C$32, $C$9, 100%, $E$9)</f>
        <v>7.6558999999999999</v>
      </c>
      <c r="D460" s="10">
        <f>7.6569 * CHOOSE(CONTROL!$C$32, $C$9, 100%, $E$9)</f>
        <v>7.6569000000000003</v>
      </c>
      <c r="E460" s="9">
        <f>6.8642 * CHOOSE(CONTROL!$C$32, $C$9, 100%, $E$9)</f>
        <v>6.8642000000000003</v>
      </c>
      <c r="F460" s="9">
        <f>6.8642 * CHOOSE(CONTROL!$C$32, $C$9, 100%, $E$9)</f>
        <v>6.8642000000000003</v>
      </c>
      <c r="G460" s="9">
        <f>6.8676 * CHOOSE(CONTROL!$C$32, $C$9, 100%, $E$9)</f>
        <v>6.8676000000000004</v>
      </c>
      <c r="H460" s="9">
        <f>9.2823 * CHOOSE(CONTROL!$C$32, $C$9, 100%, $E$9)</f>
        <v>9.2822999999999993</v>
      </c>
      <c r="I460" s="9">
        <f>9.2857 * CHOOSE(CONTROL!$C$32, $C$9, 100%, $E$9)</f>
        <v>9.2857000000000003</v>
      </c>
      <c r="J460" s="9">
        <f>9.2823 * CHOOSE(CONTROL!$C$32, $C$9, 100%, $E$9)</f>
        <v>9.2822999999999993</v>
      </c>
      <c r="K460" s="9">
        <f>9.2857 * CHOOSE(CONTROL!$C$32, $C$9, 100%, $E$9)</f>
        <v>9.2857000000000003</v>
      </c>
      <c r="L460" s="9">
        <f>6.8642 * CHOOSE(CONTROL!$C$32, $C$9, 100%, $E$9)</f>
        <v>6.8642000000000003</v>
      </c>
      <c r="M460" s="9">
        <f>6.8676 * CHOOSE(CONTROL!$C$32, $C$9, 100%, $E$9)</f>
        <v>6.8676000000000004</v>
      </c>
      <c r="N460" s="9">
        <f>6.8642 * CHOOSE(CONTROL!$C$32, $C$9, 100%, $E$9)</f>
        <v>6.8642000000000003</v>
      </c>
      <c r="O460" s="9">
        <f>6.8676 * CHOOSE(CONTROL!$C$32, $C$9, 100%, $E$9)</f>
        <v>6.8676000000000004</v>
      </c>
    </row>
    <row r="461" spans="1:15" ht="15.75" x14ac:dyDescent="0.25">
      <c r="A461" s="14">
        <v>54908</v>
      </c>
      <c r="B461" s="10">
        <f>7.6574 * CHOOSE(CONTROL!$C$32, $C$9, 100%, $E$9)</f>
        <v>7.6574</v>
      </c>
      <c r="C461" s="10">
        <f>7.6574 * CHOOSE(CONTROL!$C$32, $C$9, 100%, $E$9)</f>
        <v>7.6574</v>
      </c>
      <c r="D461" s="10">
        <f>7.6584 * CHOOSE(CONTROL!$C$32, $C$9, 100%, $E$9)</f>
        <v>7.6584000000000003</v>
      </c>
      <c r="E461" s="9">
        <f>6.9829 * CHOOSE(CONTROL!$C$32, $C$9, 100%, $E$9)</f>
        <v>6.9828999999999999</v>
      </c>
      <c r="F461" s="9">
        <f>6.9829 * CHOOSE(CONTROL!$C$32, $C$9, 100%, $E$9)</f>
        <v>6.9828999999999999</v>
      </c>
      <c r="G461" s="9">
        <f>6.9863 * CHOOSE(CONTROL!$C$32, $C$9, 100%, $E$9)</f>
        <v>6.9863</v>
      </c>
      <c r="H461" s="9">
        <f>9.283 * CHOOSE(CONTROL!$C$32, $C$9, 100%, $E$9)</f>
        <v>9.2829999999999995</v>
      </c>
      <c r="I461" s="9">
        <f>9.2864 * CHOOSE(CONTROL!$C$32, $C$9, 100%, $E$9)</f>
        <v>9.2864000000000004</v>
      </c>
      <c r="J461" s="9">
        <f>9.283 * CHOOSE(CONTROL!$C$32, $C$9, 100%, $E$9)</f>
        <v>9.2829999999999995</v>
      </c>
      <c r="K461" s="9">
        <f>9.2864 * CHOOSE(CONTROL!$C$32, $C$9, 100%, $E$9)</f>
        <v>9.2864000000000004</v>
      </c>
      <c r="L461" s="9">
        <f>6.9829 * CHOOSE(CONTROL!$C$32, $C$9, 100%, $E$9)</f>
        <v>6.9828999999999999</v>
      </c>
      <c r="M461" s="9">
        <f>6.9863 * CHOOSE(CONTROL!$C$32, $C$9, 100%, $E$9)</f>
        <v>6.9863</v>
      </c>
      <c r="N461" s="9">
        <f>6.9829 * CHOOSE(CONTROL!$C$32, $C$9, 100%, $E$9)</f>
        <v>6.9828999999999999</v>
      </c>
      <c r="O461" s="9">
        <f>6.9863 * CHOOSE(CONTROL!$C$32, $C$9, 100%, $E$9)</f>
        <v>6.9863</v>
      </c>
    </row>
    <row r="462" spans="1:15" ht="15.75" x14ac:dyDescent="0.25">
      <c r="A462" s="14">
        <v>54939</v>
      </c>
      <c r="B462" s="10">
        <f>7.6574 * CHOOSE(CONTROL!$C$32, $C$9, 100%, $E$9)</f>
        <v>7.6574</v>
      </c>
      <c r="C462" s="10">
        <f>7.6574 * CHOOSE(CONTROL!$C$32, $C$9, 100%, $E$9)</f>
        <v>7.6574</v>
      </c>
      <c r="D462" s="10">
        <f>7.6587 * CHOOSE(CONTROL!$C$32, $C$9, 100%, $E$9)</f>
        <v>7.6586999999999996</v>
      </c>
      <c r="E462" s="9">
        <f>7.029 * CHOOSE(CONTROL!$C$32, $C$9, 100%, $E$9)</f>
        <v>7.0289999999999999</v>
      </c>
      <c r="F462" s="9">
        <f>7.029 * CHOOSE(CONTROL!$C$32, $C$9, 100%, $E$9)</f>
        <v>7.0289999999999999</v>
      </c>
      <c r="G462" s="9">
        <f>7.0334 * CHOOSE(CONTROL!$C$32, $C$9, 100%, $E$9)</f>
        <v>7.0334000000000003</v>
      </c>
      <c r="H462" s="9">
        <f>9.283 * CHOOSE(CONTROL!$C$32, $C$9, 100%, $E$9)</f>
        <v>9.2829999999999995</v>
      </c>
      <c r="I462" s="9">
        <f>9.2874 * CHOOSE(CONTROL!$C$32, $C$9, 100%, $E$9)</f>
        <v>9.2873999999999999</v>
      </c>
      <c r="J462" s="9">
        <f>9.283 * CHOOSE(CONTROL!$C$32, $C$9, 100%, $E$9)</f>
        <v>9.2829999999999995</v>
      </c>
      <c r="K462" s="9">
        <f>9.2874 * CHOOSE(CONTROL!$C$32, $C$9, 100%, $E$9)</f>
        <v>9.2873999999999999</v>
      </c>
      <c r="L462" s="9">
        <f>7.029 * CHOOSE(CONTROL!$C$32, $C$9, 100%, $E$9)</f>
        <v>7.0289999999999999</v>
      </c>
      <c r="M462" s="9">
        <f>7.0334 * CHOOSE(CONTROL!$C$32, $C$9, 100%, $E$9)</f>
        <v>7.0334000000000003</v>
      </c>
      <c r="N462" s="9">
        <f>7.029 * CHOOSE(CONTROL!$C$32, $C$9, 100%, $E$9)</f>
        <v>7.0289999999999999</v>
      </c>
      <c r="O462" s="9">
        <f>7.0334 * CHOOSE(CONTROL!$C$32, $C$9, 100%, $E$9)</f>
        <v>7.0334000000000003</v>
      </c>
    </row>
    <row r="463" spans="1:15" ht="15.75" x14ac:dyDescent="0.25">
      <c r="A463" s="14">
        <v>54969</v>
      </c>
      <c r="B463" s="10">
        <f>7.6635 * CHOOSE(CONTROL!$C$32, $C$9, 100%, $E$9)</f>
        <v>7.6635</v>
      </c>
      <c r="C463" s="10">
        <f>7.6635 * CHOOSE(CONTROL!$C$32, $C$9, 100%, $E$9)</f>
        <v>7.6635</v>
      </c>
      <c r="D463" s="10">
        <f>7.6648 * CHOOSE(CONTROL!$C$32, $C$9, 100%, $E$9)</f>
        <v>7.6647999999999996</v>
      </c>
      <c r="E463" s="9">
        <f>6.9871 * CHOOSE(CONTROL!$C$32, $C$9, 100%, $E$9)</f>
        <v>6.9870999999999999</v>
      </c>
      <c r="F463" s="9">
        <f>6.9871 * CHOOSE(CONTROL!$C$32, $C$9, 100%, $E$9)</f>
        <v>6.9870999999999999</v>
      </c>
      <c r="G463" s="9">
        <f>6.9915 * CHOOSE(CONTROL!$C$32, $C$9, 100%, $E$9)</f>
        <v>6.9915000000000003</v>
      </c>
      <c r="H463" s="9">
        <f>9.287 * CHOOSE(CONTROL!$C$32, $C$9, 100%, $E$9)</f>
        <v>9.2870000000000008</v>
      </c>
      <c r="I463" s="9">
        <f>9.2914 * CHOOSE(CONTROL!$C$32, $C$9, 100%, $E$9)</f>
        <v>9.2913999999999994</v>
      </c>
      <c r="J463" s="9">
        <f>9.287 * CHOOSE(CONTROL!$C$32, $C$9, 100%, $E$9)</f>
        <v>9.2870000000000008</v>
      </c>
      <c r="K463" s="9">
        <f>9.2914 * CHOOSE(CONTROL!$C$32, $C$9, 100%, $E$9)</f>
        <v>9.2913999999999994</v>
      </c>
      <c r="L463" s="9">
        <f>6.9871 * CHOOSE(CONTROL!$C$32, $C$9, 100%, $E$9)</f>
        <v>6.9870999999999999</v>
      </c>
      <c r="M463" s="9">
        <f>6.9915 * CHOOSE(CONTROL!$C$32, $C$9, 100%, $E$9)</f>
        <v>6.9915000000000003</v>
      </c>
      <c r="N463" s="9">
        <f>6.9871 * CHOOSE(CONTROL!$C$32, $C$9, 100%, $E$9)</f>
        <v>6.9870999999999999</v>
      </c>
      <c r="O463" s="9">
        <f>6.9915 * CHOOSE(CONTROL!$C$32, $C$9, 100%, $E$9)</f>
        <v>6.9915000000000003</v>
      </c>
    </row>
    <row r="464" spans="1:15" ht="15.75" x14ac:dyDescent="0.25">
      <c r="A464" s="14">
        <v>55000</v>
      </c>
      <c r="B464" s="10">
        <f>7.7741 * CHOOSE(CONTROL!$C$32, $C$9, 100%, $E$9)</f>
        <v>7.7740999999999998</v>
      </c>
      <c r="C464" s="10">
        <f>7.7741 * CHOOSE(CONTROL!$C$32, $C$9, 100%, $E$9)</f>
        <v>7.7740999999999998</v>
      </c>
      <c r="D464" s="10">
        <f>7.7754 * CHOOSE(CONTROL!$C$32, $C$9, 100%, $E$9)</f>
        <v>7.7754000000000003</v>
      </c>
      <c r="E464" s="9">
        <f>7.0695 * CHOOSE(CONTROL!$C$32, $C$9, 100%, $E$9)</f>
        <v>7.0694999999999997</v>
      </c>
      <c r="F464" s="9">
        <f>7.0695 * CHOOSE(CONTROL!$C$32, $C$9, 100%, $E$9)</f>
        <v>7.0694999999999997</v>
      </c>
      <c r="G464" s="9">
        <f>7.0739 * CHOOSE(CONTROL!$C$32, $C$9, 100%, $E$9)</f>
        <v>7.0739000000000001</v>
      </c>
      <c r="H464" s="9">
        <f>9.4275 * CHOOSE(CONTROL!$C$32, $C$9, 100%, $E$9)</f>
        <v>9.4275000000000002</v>
      </c>
      <c r="I464" s="9">
        <f>9.4319 * CHOOSE(CONTROL!$C$32, $C$9, 100%, $E$9)</f>
        <v>9.4319000000000006</v>
      </c>
      <c r="J464" s="9">
        <f>9.4275 * CHOOSE(CONTROL!$C$32, $C$9, 100%, $E$9)</f>
        <v>9.4275000000000002</v>
      </c>
      <c r="K464" s="9">
        <f>9.4319 * CHOOSE(CONTROL!$C$32, $C$9, 100%, $E$9)</f>
        <v>9.4319000000000006</v>
      </c>
      <c r="L464" s="9">
        <f>7.0695 * CHOOSE(CONTROL!$C$32, $C$9, 100%, $E$9)</f>
        <v>7.0694999999999997</v>
      </c>
      <c r="M464" s="9">
        <f>7.0739 * CHOOSE(CONTROL!$C$32, $C$9, 100%, $E$9)</f>
        <v>7.0739000000000001</v>
      </c>
      <c r="N464" s="9">
        <f>7.0695 * CHOOSE(CONTROL!$C$32, $C$9, 100%, $E$9)</f>
        <v>7.0694999999999997</v>
      </c>
      <c r="O464" s="9">
        <f>7.0739 * CHOOSE(CONTROL!$C$32, $C$9, 100%, $E$9)</f>
        <v>7.0739000000000001</v>
      </c>
    </row>
    <row r="465" spans="1:15" ht="15.75" x14ac:dyDescent="0.25">
      <c r="A465" s="14">
        <v>55031</v>
      </c>
      <c r="B465" s="10">
        <f>7.7808 * CHOOSE(CONTROL!$C$32, $C$9, 100%, $E$9)</f>
        <v>7.7808000000000002</v>
      </c>
      <c r="C465" s="10">
        <f>7.7808 * CHOOSE(CONTROL!$C$32, $C$9, 100%, $E$9)</f>
        <v>7.7808000000000002</v>
      </c>
      <c r="D465" s="10">
        <f>7.7821 * CHOOSE(CONTROL!$C$32, $C$9, 100%, $E$9)</f>
        <v>7.7820999999999998</v>
      </c>
      <c r="E465" s="9">
        <f>6.9359 * CHOOSE(CONTROL!$C$32, $C$9, 100%, $E$9)</f>
        <v>6.9359000000000002</v>
      </c>
      <c r="F465" s="9">
        <f>6.9359 * CHOOSE(CONTROL!$C$32, $C$9, 100%, $E$9)</f>
        <v>6.9359000000000002</v>
      </c>
      <c r="G465" s="9">
        <f>6.9403 * CHOOSE(CONTROL!$C$32, $C$9, 100%, $E$9)</f>
        <v>6.9402999999999997</v>
      </c>
      <c r="H465" s="9">
        <f>9.4319 * CHOOSE(CONTROL!$C$32, $C$9, 100%, $E$9)</f>
        <v>9.4319000000000006</v>
      </c>
      <c r="I465" s="9">
        <f>9.4363 * CHOOSE(CONTROL!$C$32, $C$9, 100%, $E$9)</f>
        <v>9.4362999999999992</v>
      </c>
      <c r="J465" s="9">
        <f>9.4319 * CHOOSE(CONTROL!$C$32, $C$9, 100%, $E$9)</f>
        <v>9.4319000000000006</v>
      </c>
      <c r="K465" s="9">
        <f>9.4363 * CHOOSE(CONTROL!$C$32, $C$9, 100%, $E$9)</f>
        <v>9.4362999999999992</v>
      </c>
      <c r="L465" s="9">
        <f>6.9359 * CHOOSE(CONTROL!$C$32, $C$9, 100%, $E$9)</f>
        <v>6.9359000000000002</v>
      </c>
      <c r="M465" s="9">
        <f>6.9403 * CHOOSE(CONTROL!$C$32, $C$9, 100%, $E$9)</f>
        <v>6.9402999999999997</v>
      </c>
      <c r="N465" s="9">
        <f>6.9359 * CHOOSE(CONTROL!$C$32, $C$9, 100%, $E$9)</f>
        <v>6.9359000000000002</v>
      </c>
      <c r="O465" s="9">
        <f>6.9403 * CHOOSE(CONTROL!$C$32, $C$9, 100%, $E$9)</f>
        <v>6.9402999999999997</v>
      </c>
    </row>
    <row r="466" spans="1:15" ht="15.75" x14ac:dyDescent="0.25">
      <c r="A466" s="14">
        <v>55061</v>
      </c>
      <c r="B466" s="10">
        <f>7.7778 * CHOOSE(CONTROL!$C$32, $C$9, 100%, $E$9)</f>
        <v>7.7778</v>
      </c>
      <c r="C466" s="10">
        <f>7.7778 * CHOOSE(CONTROL!$C$32, $C$9, 100%, $E$9)</f>
        <v>7.7778</v>
      </c>
      <c r="D466" s="10">
        <f>7.7791 * CHOOSE(CONTROL!$C$32, $C$9, 100%, $E$9)</f>
        <v>7.7790999999999997</v>
      </c>
      <c r="E466" s="9">
        <f>6.9184 * CHOOSE(CONTROL!$C$32, $C$9, 100%, $E$9)</f>
        <v>6.9184000000000001</v>
      </c>
      <c r="F466" s="9">
        <f>6.9184 * CHOOSE(CONTROL!$C$32, $C$9, 100%, $E$9)</f>
        <v>6.9184000000000001</v>
      </c>
      <c r="G466" s="9">
        <f>6.9228 * CHOOSE(CONTROL!$C$32, $C$9, 100%, $E$9)</f>
        <v>6.9227999999999996</v>
      </c>
      <c r="H466" s="9">
        <f>9.4299 * CHOOSE(CONTROL!$C$32, $C$9, 100%, $E$9)</f>
        <v>9.4298999999999999</v>
      </c>
      <c r="I466" s="9">
        <f>9.4343 * CHOOSE(CONTROL!$C$32, $C$9, 100%, $E$9)</f>
        <v>9.4343000000000004</v>
      </c>
      <c r="J466" s="9">
        <f>9.4299 * CHOOSE(CONTROL!$C$32, $C$9, 100%, $E$9)</f>
        <v>9.4298999999999999</v>
      </c>
      <c r="K466" s="9">
        <f>9.4343 * CHOOSE(CONTROL!$C$32, $C$9, 100%, $E$9)</f>
        <v>9.4343000000000004</v>
      </c>
      <c r="L466" s="9">
        <f>6.9184 * CHOOSE(CONTROL!$C$32, $C$9, 100%, $E$9)</f>
        <v>6.9184000000000001</v>
      </c>
      <c r="M466" s="9">
        <f>6.9228 * CHOOSE(CONTROL!$C$32, $C$9, 100%, $E$9)</f>
        <v>6.9227999999999996</v>
      </c>
      <c r="N466" s="9">
        <f>6.9184 * CHOOSE(CONTROL!$C$32, $C$9, 100%, $E$9)</f>
        <v>6.9184000000000001</v>
      </c>
      <c r="O466" s="9">
        <f>6.9228 * CHOOSE(CONTROL!$C$32, $C$9, 100%, $E$9)</f>
        <v>6.9227999999999996</v>
      </c>
    </row>
    <row r="467" spans="1:15" ht="15.75" x14ac:dyDescent="0.25">
      <c r="A467" s="14">
        <v>55092</v>
      </c>
      <c r="B467" s="10">
        <f>7.7879 * CHOOSE(CONTROL!$C$32, $C$9, 100%, $E$9)</f>
        <v>7.7878999999999996</v>
      </c>
      <c r="C467" s="10">
        <f>7.7879 * CHOOSE(CONTROL!$C$32, $C$9, 100%, $E$9)</f>
        <v>7.7878999999999996</v>
      </c>
      <c r="D467" s="10">
        <f>7.7889 * CHOOSE(CONTROL!$C$32, $C$9, 100%, $E$9)</f>
        <v>7.7888999999999999</v>
      </c>
      <c r="E467" s="9">
        <f>6.9665 * CHOOSE(CONTROL!$C$32, $C$9, 100%, $E$9)</f>
        <v>6.9664999999999999</v>
      </c>
      <c r="F467" s="9">
        <f>6.9665 * CHOOSE(CONTROL!$C$32, $C$9, 100%, $E$9)</f>
        <v>6.9664999999999999</v>
      </c>
      <c r="G467" s="9">
        <f>6.9698 * CHOOSE(CONTROL!$C$32, $C$9, 100%, $E$9)</f>
        <v>6.9698000000000002</v>
      </c>
      <c r="H467" s="9">
        <f>9.4355 * CHOOSE(CONTROL!$C$32, $C$9, 100%, $E$9)</f>
        <v>9.4354999999999993</v>
      </c>
      <c r="I467" s="9">
        <f>9.4389 * CHOOSE(CONTROL!$C$32, $C$9, 100%, $E$9)</f>
        <v>9.4389000000000003</v>
      </c>
      <c r="J467" s="9">
        <f>9.4355 * CHOOSE(CONTROL!$C$32, $C$9, 100%, $E$9)</f>
        <v>9.4354999999999993</v>
      </c>
      <c r="K467" s="9">
        <f>9.4389 * CHOOSE(CONTROL!$C$32, $C$9, 100%, $E$9)</f>
        <v>9.4389000000000003</v>
      </c>
      <c r="L467" s="9">
        <f>6.9665 * CHOOSE(CONTROL!$C$32, $C$9, 100%, $E$9)</f>
        <v>6.9664999999999999</v>
      </c>
      <c r="M467" s="9">
        <f>6.9698 * CHOOSE(CONTROL!$C$32, $C$9, 100%, $E$9)</f>
        <v>6.9698000000000002</v>
      </c>
      <c r="N467" s="9">
        <f>6.9665 * CHOOSE(CONTROL!$C$32, $C$9, 100%, $E$9)</f>
        <v>6.9664999999999999</v>
      </c>
      <c r="O467" s="9">
        <f>6.9698 * CHOOSE(CONTROL!$C$32, $C$9, 100%, $E$9)</f>
        <v>6.9698000000000002</v>
      </c>
    </row>
    <row r="468" spans="1:15" ht="15.75" x14ac:dyDescent="0.25">
      <c r="A468" s="14">
        <v>55122</v>
      </c>
      <c r="B468" s="10">
        <f>7.7909 * CHOOSE(CONTROL!$C$32, $C$9, 100%, $E$9)</f>
        <v>7.7908999999999997</v>
      </c>
      <c r="C468" s="10">
        <f>7.7909 * CHOOSE(CONTROL!$C$32, $C$9, 100%, $E$9)</f>
        <v>7.7908999999999997</v>
      </c>
      <c r="D468" s="10">
        <f>7.7919 * CHOOSE(CONTROL!$C$32, $C$9, 100%, $E$9)</f>
        <v>7.7919</v>
      </c>
      <c r="E468" s="9">
        <f>6.9993 * CHOOSE(CONTROL!$C$32, $C$9, 100%, $E$9)</f>
        <v>6.9992999999999999</v>
      </c>
      <c r="F468" s="9">
        <f>6.9993 * CHOOSE(CONTROL!$C$32, $C$9, 100%, $E$9)</f>
        <v>6.9992999999999999</v>
      </c>
      <c r="G468" s="9">
        <f>7.0027 * CHOOSE(CONTROL!$C$32, $C$9, 100%, $E$9)</f>
        <v>7.0026999999999999</v>
      </c>
      <c r="H468" s="9">
        <f>9.4375 * CHOOSE(CONTROL!$C$32, $C$9, 100%, $E$9)</f>
        <v>9.4375</v>
      </c>
      <c r="I468" s="9">
        <f>9.4409 * CHOOSE(CONTROL!$C$32, $C$9, 100%, $E$9)</f>
        <v>9.4408999999999992</v>
      </c>
      <c r="J468" s="9">
        <f>9.4375 * CHOOSE(CONTROL!$C$32, $C$9, 100%, $E$9)</f>
        <v>9.4375</v>
      </c>
      <c r="K468" s="9">
        <f>9.4409 * CHOOSE(CONTROL!$C$32, $C$9, 100%, $E$9)</f>
        <v>9.4408999999999992</v>
      </c>
      <c r="L468" s="9">
        <f>6.9993 * CHOOSE(CONTROL!$C$32, $C$9, 100%, $E$9)</f>
        <v>6.9992999999999999</v>
      </c>
      <c r="M468" s="9">
        <f>7.0027 * CHOOSE(CONTROL!$C$32, $C$9, 100%, $E$9)</f>
        <v>7.0026999999999999</v>
      </c>
      <c r="N468" s="9">
        <f>6.9993 * CHOOSE(CONTROL!$C$32, $C$9, 100%, $E$9)</f>
        <v>6.9992999999999999</v>
      </c>
      <c r="O468" s="9">
        <f>7.0027 * CHOOSE(CONTROL!$C$32, $C$9, 100%, $E$9)</f>
        <v>7.0026999999999999</v>
      </c>
    </row>
    <row r="469" spans="1:15" ht="15.75" x14ac:dyDescent="0.25">
      <c r="A469" s="14">
        <v>55153</v>
      </c>
      <c r="B469" s="10">
        <f>7.7909 * CHOOSE(CONTROL!$C$32, $C$9, 100%, $E$9)</f>
        <v>7.7908999999999997</v>
      </c>
      <c r="C469" s="10">
        <f>7.7909 * CHOOSE(CONTROL!$C$32, $C$9, 100%, $E$9)</f>
        <v>7.7908999999999997</v>
      </c>
      <c r="D469" s="10">
        <f>7.7919 * CHOOSE(CONTROL!$C$32, $C$9, 100%, $E$9)</f>
        <v>7.7919</v>
      </c>
      <c r="E469" s="9">
        <f>6.9225 * CHOOSE(CONTROL!$C$32, $C$9, 100%, $E$9)</f>
        <v>6.9225000000000003</v>
      </c>
      <c r="F469" s="9">
        <f>6.9225 * CHOOSE(CONTROL!$C$32, $C$9, 100%, $E$9)</f>
        <v>6.9225000000000003</v>
      </c>
      <c r="G469" s="9">
        <f>6.9259 * CHOOSE(CONTROL!$C$32, $C$9, 100%, $E$9)</f>
        <v>6.9259000000000004</v>
      </c>
      <c r="H469" s="9">
        <f>9.4375 * CHOOSE(CONTROL!$C$32, $C$9, 100%, $E$9)</f>
        <v>9.4375</v>
      </c>
      <c r="I469" s="9">
        <f>9.4409 * CHOOSE(CONTROL!$C$32, $C$9, 100%, $E$9)</f>
        <v>9.4408999999999992</v>
      </c>
      <c r="J469" s="9">
        <f>9.4375 * CHOOSE(CONTROL!$C$32, $C$9, 100%, $E$9)</f>
        <v>9.4375</v>
      </c>
      <c r="K469" s="9">
        <f>9.4409 * CHOOSE(CONTROL!$C$32, $C$9, 100%, $E$9)</f>
        <v>9.4408999999999992</v>
      </c>
      <c r="L469" s="9">
        <f>6.9225 * CHOOSE(CONTROL!$C$32, $C$9, 100%, $E$9)</f>
        <v>6.9225000000000003</v>
      </c>
      <c r="M469" s="9">
        <f>6.9259 * CHOOSE(CONTROL!$C$32, $C$9, 100%, $E$9)</f>
        <v>6.9259000000000004</v>
      </c>
      <c r="N469" s="9">
        <f>6.9225 * CHOOSE(CONTROL!$C$32, $C$9, 100%, $E$9)</f>
        <v>6.9225000000000003</v>
      </c>
      <c r="O469" s="9">
        <f>6.9259 * CHOOSE(CONTROL!$C$32, $C$9, 100%, $E$9)</f>
        <v>6.9259000000000004</v>
      </c>
    </row>
    <row r="470" spans="1:15" ht="15.75" x14ac:dyDescent="0.25">
      <c r="A470" s="14">
        <v>55184</v>
      </c>
      <c r="B470" s="10">
        <f>7.8558 * CHOOSE(CONTROL!$C$32, $C$9, 100%, $E$9)</f>
        <v>7.8558000000000003</v>
      </c>
      <c r="C470" s="10">
        <f>7.8558 * CHOOSE(CONTROL!$C$32, $C$9, 100%, $E$9)</f>
        <v>7.8558000000000003</v>
      </c>
      <c r="D470" s="10">
        <f>7.8568 * CHOOSE(CONTROL!$C$32, $C$9, 100%, $E$9)</f>
        <v>7.8567999999999998</v>
      </c>
      <c r="E470" s="9">
        <f>7.026 * CHOOSE(CONTROL!$C$32, $C$9, 100%, $E$9)</f>
        <v>7.0259999999999998</v>
      </c>
      <c r="F470" s="9">
        <f>7.026 * CHOOSE(CONTROL!$C$32, $C$9, 100%, $E$9)</f>
        <v>7.0259999999999998</v>
      </c>
      <c r="G470" s="9">
        <f>7.0294 * CHOOSE(CONTROL!$C$32, $C$9, 100%, $E$9)</f>
        <v>7.0293999999999999</v>
      </c>
      <c r="H470" s="9">
        <f>9.5077 * CHOOSE(CONTROL!$C$32, $C$9, 100%, $E$9)</f>
        <v>9.5076999999999998</v>
      </c>
      <c r="I470" s="9">
        <f>9.5111 * CHOOSE(CONTROL!$C$32, $C$9, 100%, $E$9)</f>
        <v>9.5111000000000008</v>
      </c>
      <c r="J470" s="9">
        <f>9.5077 * CHOOSE(CONTROL!$C$32, $C$9, 100%, $E$9)</f>
        <v>9.5076999999999998</v>
      </c>
      <c r="K470" s="9">
        <f>9.5111 * CHOOSE(CONTROL!$C$32, $C$9, 100%, $E$9)</f>
        <v>9.5111000000000008</v>
      </c>
      <c r="L470" s="9">
        <f>7.026 * CHOOSE(CONTROL!$C$32, $C$9, 100%, $E$9)</f>
        <v>7.0259999999999998</v>
      </c>
      <c r="M470" s="9">
        <f>7.0294 * CHOOSE(CONTROL!$C$32, $C$9, 100%, $E$9)</f>
        <v>7.0293999999999999</v>
      </c>
      <c r="N470" s="9">
        <f>7.026 * CHOOSE(CONTROL!$C$32, $C$9, 100%, $E$9)</f>
        <v>7.0259999999999998</v>
      </c>
      <c r="O470" s="9">
        <f>7.0294 * CHOOSE(CONTROL!$C$32, $C$9, 100%, $E$9)</f>
        <v>7.0293999999999999</v>
      </c>
    </row>
    <row r="471" spans="1:15" ht="15.75" x14ac:dyDescent="0.25">
      <c r="A471" s="14">
        <v>55212</v>
      </c>
      <c r="B471" s="10">
        <f>7.8527 * CHOOSE(CONTROL!$C$32, $C$9, 100%, $E$9)</f>
        <v>7.8526999999999996</v>
      </c>
      <c r="C471" s="10">
        <f>7.8527 * CHOOSE(CONTROL!$C$32, $C$9, 100%, $E$9)</f>
        <v>7.8526999999999996</v>
      </c>
      <c r="D471" s="10">
        <f>7.8537 * CHOOSE(CONTROL!$C$32, $C$9, 100%, $E$9)</f>
        <v>7.8536999999999999</v>
      </c>
      <c r="E471" s="9">
        <f>6.8743 * CHOOSE(CONTROL!$C$32, $C$9, 100%, $E$9)</f>
        <v>6.8742999999999999</v>
      </c>
      <c r="F471" s="9">
        <f>6.8743 * CHOOSE(CONTROL!$C$32, $C$9, 100%, $E$9)</f>
        <v>6.8742999999999999</v>
      </c>
      <c r="G471" s="9">
        <f>6.8777 * CHOOSE(CONTROL!$C$32, $C$9, 100%, $E$9)</f>
        <v>6.8776999999999999</v>
      </c>
      <c r="H471" s="9">
        <f>9.5057 * CHOOSE(CONTROL!$C$32, $C$9, 100%, $E$9)</f>
        <v>9.5056999999999992</v>
      </c>
      <c r="I471" s="9">
        <f>9.5091 * CHOOSE(CONTROL!$C$32, $C$9, 100%, $E$9)</f>
        <v>9.5091000000000001</v>
      </c>
      <c r="J471" s="9">
        <f>9.5057 * CHOOSE(CONTROL!$C$32, $C$9, 100%, $E$9)</f>
        <v>9.5056999999999992</v>
      </c>
      <c r="K471" s="9">
        <f>9.5091 * CHOOSE(CONTROL!$C$32, $C$9, 100%, $E$9)</f>
        <v>9.5091000000000001</v>
      </c>
      <c r="L471" s="9">
        <f>6.8743 * CHOOSE(CONTROL!$C$32, $C$9, 100%, $E$9)</f>
        <v>6.8742999999999999</v>
      </c>
      <c r="M471" s="9">
        <f>6.8777 * CHOOSE(CONTROL!$C$32, $C$9, 100%, $E$9)</f>
        <v>6.8776999999999999</v>
      </c>
      <c r="N471" s="9">
        <f>6.8743 * CHOOSE(CONTROL!$C$32, $C$9, 100%, $E$9)</f>
        <v>6.8742999999999999</v>
      </c>
      <c r="O471" s="9">
        <f>6.8777 * CHOOSE(CONTROL!$C$32, $C$9, 100%, $E$9)</f>
        <v>6.8776999999999999</v>
      </c>
    </row>
    <row r="472" spans="1:15" ht="15.75" x14ac:dyDescent="0.25">
      <c r="A472" s="14">
        <v>55243</v>
      </c>
      <c r="B472" s="10">
        <f>7.8497 * CHOOSE(CONTROL!$C$32, $C$9, 100%, $E$9)</f>
        <v>7.8497000000000003</v>
      </c>
      <c r="C472" s="10">
        <f>7.8497 * CHOOSE(CONTROL!$C$32, $C$9, 100%, $E$9)</f>
        <v>7.8497000000000003</v>
      </c>
      <c r="D472" s="10">
        <f>7.8507 * CHOOSE(CONTROL!$C$32, $C$9, 100%, $E$9)</f>
        <v>7.8506999999999998</v>
      </c>
      <c r="E472" s="9">
        <f>6.9901 * CHOOSE(CONTROL!$C$32, $C$9, 100%, $E$9)</f>
        <v>6.9901</v>
      </c>
      <c r="F472" s="9">
        <f>6.9901 * CHOOSE(CONTROL!$C$32, $C$9, 100%, $E$9)</f>
        <v>6.9901</v>
      </c>
      <c r="G472" s="9">
        <f>6.9935 * CHOOSE(CONTROL!$C$32, $C$9, 100%, $E$9)</f>
        <v>6.9935</v>
      </c>
      <c r="H472" s="9">
        <f>9.5037 * CHOOSE(CONTROL!$C$32, $C$9, 100%, $E$9)</f>
        <v>9.5037000000000003</v>
      </c>
      <c r="I472" s="9">
        <f>9.5071 * CHOOSE(CONTROL!$C$32, $C$9, 100%, $E$9)</f>
        <v>9.5070999999999994</v>
      </c>
      <c r="J472" s="9">
        <f>9.5037 * CHOOSE(CONTROL!$C$32, $C$9, 100%, $E$9)</f>
        <v>9.5037000000000003</v>
      </c>
      <c r="K472" s="9">
        <f>9.5071 * CHOOSE(CONTROL!$C$32, $C$9, 100%, $E$9)</f>
        <v>9.5070999999999994</v>
      </c>
      <c r="L472" s="9">
        <f>6.9901 * CHOOSE(CONTROL!$C$32, $C$9, 100%, $E$9)</f>
        <v>6.9901</v>
      </c>
      <c r="M472" s="9">
        <f>6.9935 * CHOOSE(CONTROL!$C$32, $C$9, 100%, $E$9)</f>
        <v>6.9935</v>
      </c>
      <c r="N472" s="9">
        <f>6.9901 * CHOOSE(CONTROL!$C$32, $C$9, 100%, $E$9)</f>
        <v>6.9901</v>
      </c>
      <c r="O472" s="9">
        <f>6.9935 * CHOOSE(CONTROL!$C$32, $C$9, 100%, $E$9)</f>
        <v>6.9935</v>
      </c>
    </row>
    <row r="473" spans="1:15" ht="15.75" x14ac:dyDescent="0.25">
      <c r="A473" s="14">
        <v>55273</v>
      </c>
      <c r="B473" s="10">
        <f>7.8513 * CHOOSE(CONTROL!$C$32, $C$9, 100%, $E$9)</f>
        <v>7.8513000000000002</v>
      </c>
      <c r="C473" s="10">
        <f>7.8513 * CHOOSE(CONTROL!$C$32, $C$9, 100%, $E$9)</f>
        <v>7.8513000000000002</v>
      </c>
      <c r="D473" s="10">
        <f>7.8523 * CHOOSE(CONTROL!$C$32, $C$9, 100%, $E$9)</f>
        <v>7.8522999999999996</v>
      </c>
      <c r="E473" s="9">
        <f>7.1125 * CHOOSE(CONTROL!$C$32, $C$9, 100%, $E$9)</f>
        <v>7.1124999999999998</v>
      </c>
      <c r="F473" s="9">
        <f>7.1125 * CHOOSE(CONTROL!$C$32, $C$9, 100%, $E$9)</f>
        <v>7.1124999999999998</v>
      </c>
      <c r="G473" s="9">
        <f>7.1159 * CHOOSE(CONTROL!$C$32, $C$9, 100%, $E$9)</f>
        <v>7.1158999999999999</v>
      </c>
      <c r="H473" s="9">
        <f>9.5045 * CHOOSE(CONTROL!$C$32, $C$9, 100%, $E$9)</f>
        <v>9.5045000000000002</v>
      </c>
      <c r="I473" s="9">
        <f>9.5079 * CHOOSE(CONTROL!$C$32, $C$9, 100%, $E$9)</f>
        <v>9.5078999999999994</v>
      </c>
      <c r="J473" s="9">
        <f>9.5045 * CHOOSE(CONTROL!$C$32, $C$9, 100%, $E$9)</f>
        <v>9.5045000000000002</v>
      </c>
      <c r="K473" s="9">
        <f>9.5079 * CHOOSE(CONTROL!$C$32, $C$9, 100%, $E$9)</f>
        <v>9.5078999999999994</v>
      </c>
      <c r="L473" s="9">
        <f>7.1125 * CHOOSE(CONTROL!$C$32, $C$9, 100%, $E$9)</f>
        <v>7.1124999999999998</v>
      </c>
      <c r="M473" s="9">
        <f>7.1159 * CHOOSE(CONTROL!$C$32, $C$9, 100%, $E$9)</f>
        <v>7.1158999999999999</v>
      </c>
      <c r="N473" s="9">
        <f>7.1125 * CHOOSE(CONTROL!$C$32, $C$9, 100%, $E$9)</f>
        <v>7.1124999999999998</v>
      </c>
      <c r="O473" s="9">
        <f>7.1159 * CHOOSE(CONTROL!$C$32, $C$9, 100%, $E$9)</f>
        <v>7.1158999999999999</v>
      </c>
    </row>
    <row r="474" spans="1:15" ht="15.75" x14ac:dyDescent="0.25">
      <c r="A474" s="14">
        <v>55304</v>
      </c>
      <c r="B474" s="10">
        <f>7.8513 * CHOOSE(CONTROL!$C$32, $C$9, 100%, $E$9)</f>
        <v>7.8513000000000002</v>
      </c>
      <c r="C474" s="10">
        <f>7.8513 * CHOOSE(CONTROL!$C$32, $C$9, 100%, $E$9)</f>
        <v>7.8513000000000002</v>
      </c>
      <c r="D474" s="10">
        <f>7.8526 * CHOOSE(CONTROL!$C$32, $C$9, 100%, $E$9)</f>
        <v>7.8525999999999998</v>
      </c>
      <c r="E474" s="9">
        <f>7.16 * CHOOSE(CONTROL!$C$32, $C$9, 100%, $E$9)</f>
        <v>7.16</v>
      </c>
      <c r="F474" s="9">
        <f>7.16 * CHOOSE(CONTROL!$C$32, $C$9, 100%, $E$9)</f>
        <v>7.16</v>
      </c>
      <c r="G474" s="9">
        <f>7.1643 * CHOOSE(CONTROL!$C$32, $C$9, 100%, $E$9)</f>
        <v>7.1642999999999999</v>
      </c>
      <c r="H474" s="9">
        <f>9.5045 * CHOOSE(CONTROL!$C$32, $C$9, 100%, $E$9)</f>
        <v>9.5045000000000002</v>
      </c>
      <c r="I474" s="9">
        <f>9.5089 * CHOOSE(CONTROL!$C$32, $C$9, 100%, $E$9)</f>
        <v>9.5089000000000006</v>
      </c>
      <c r="J474" s="9">
        <f>9.5045 * CHOOSE(CONTROL!$C$32, $C$9, 100%, $E$9)</f>
        <v>9.5045000000000002</v>
      </c>
      <c r="K474" s="9">
        <f>9.5089 * CHOOSE(CONTROL!$C$32, $C$9, 100%, $E$9)</f>
        <v>9.5089000000000006</v>
      </c>
      <c r="L474" s="9">
        <f>7.16 * CHOOSE(CONTROL!$C$32, $C$9, 100%, $E$9)</f>
        <v>7.16</v>
      </c>
      <c r="M474" s="9">
        <f>7.1643 * CHOOSE(CONTROL!$C$32, $C$9, 100%, $E$9)</f>
        <v>7.1642999999999999</v>
      </c>
      <c r="N474" s="9">
        <f>7.16 * CHOOSE(CONTROL!$C$32, $C$9, 100%, $E$9)</f>
        <v>7.16</v>
      </c>
      <c r="O474" s="9">
        <f>7.1643 * CHOOSE(CONTROL!$C$32, $C$9, 100%, $E$9)</f>
        <v>7.1642999999999999</v>
      </c>
    </row>
    <row r="475" spans="1:15" ht="15.75" x14ac:dyDescent="0.25">
      <c r="A475" s="14">
        <v>55334</v>
      </c>
      <c r="B475" s="10">
        <f>7.8574 * CHOOSE(CONTROL!$C$32, $C$9, 100%, $E$9)</f>
        <v>7.8574000000000002</v>
      </c>
      <c r="C475" s="10">
        <f>7.8574 * CHOOSE(CONTROL!$C$32, $C$9, 100%, $E$9)</f>
        <v>7.8574000000000002</v>
      </c>
      <c r="D475" s="10">
        <f>7.8587 * CHOOSE(CONTROL!$C$32, $C$9, 100%, $E$9)</f>
        <v>7.8586999999999998</v>
      </c>
      <c r="E475" s="9">
        <f>7.1167 * CHOOSE(CONTROL!$C$32, $C$9, 100%, $E$9)</f>
        <v>7.1166999999999998</v>
      </c>
      <c r="F475" s="9">
        <f>7.1167 * CHOOSE(CONTROL!$C$32, $C$9, 100%, $E$9)</f>
        <v>7.1166999999999998</v>
      </c>
      <c r="G475" s="9">
        <f>7.1211 * CHOOSE(CONTROL!$C$32, $C$9, 100%, $E$9)</f>
        <v>7.1211000000000002</v>
      </c>
      <c r="H475" s="9">
        <f>9.5085 * CHOOSE(CONTROL!$C$32, $C$9, 100%, $E$9)</f>
        <v>9.5084999999999997</v>
      </c>
      <c r="I475" s="9">
        <f>9.5129 * CHOOSE(CONTROL!$C$32, $C$9, 100%, $E$9)</f>
        <v>9.5129000000000001</v>
      </c>
      <c r="J475" s="9">
        <f>9.5085 * CHOOSE(CONTROL!$C$32, $C$9, 100%, $E$9)</f>
        <v>9.5084999999999997</v>
      </c>
      <c r="K475" s="9">
        <f>9.5129 * CHOOSE(CONTROL!$C$32, $C$9, 100%, $E$9)</f>
        <v>9.5129000000000001</v>
      </c>
      <c r="L475" s="9">
        <f>7.1167 * CHOOSE(CONTROL!$C$32, $C$9, 100%, $E$9)</f>
        <v>7.1166999999999998</v>
      </c>
      <c r="M475" s="9">
        <f>7.1211 * CHOOSE(CONTROL!$C$32, $C$9, 100%, $E$9)</f>
        <v>7.1211000000000002</v>
      </c>
      <c r="N475" s="9">
        <f>7.1167 * CHOOSE(CONTROL!$C$32, $C$9, 100%, $E$9)</f>
        <v>7.1166999999999998</v>
      </c>
      <c r="O475" s="9">
        <f>7.1211 * CHOOSE(CONTROL!$C$32, $C$9, 100%, $E$9)</f>
        <v>7.1211000000000002</v>
      </c>
    </row>
    <row r="476" spans="1:15" ht="15.75" x14ac:dyDescent="0.25">
      <c r="A476" s="14">
        <v>55365</v>
      </c>
      <c r="B476" s="10">
        <f>7.9705 * CHOOSE(CONTROL!$C$32, $C$9, 100%, $E$9)</f>
        <v>7.9705000000000004</v>
      </c>
      <c r="C476" s="10">
        <f>7.9705 * CHOOSE(CONTROL!$C$32, $C$9, 100%, $E$9)</f>
        <v>7.9705000000000004</v>
      </c>
      <c r="D476" s="10">
        <f>7.9718 * CHOOSE(CONTROL!$C$32, $C$9, 100%, $E$9)</f>
        <v>7.9718</v>
      </c>
      <c r="E476" s="9">
        <f>7.2005 * CHOOSE(CONTROL!$C$32, $C$9, 100%, $E$9)</f>
        <v>7.2004999999999999</v>
      </c>
      <c r="F476" s="9">
        <f>7.2005 * CHOOSE(CONTROL!$C$32, $C$9, 100%, $E$9)</f>
        <v>7.2004999999999999</v>
      </c>
      <c r="G476" s="9">
        <f>7.2048 * CHOOSE(CONTROL!$C$32, $C$9, 100%, $E$9)</f>
        <v>7.2047999999999996</v>
      </c>
      <c r="H476" s="9">
        <f>9.6521 * CHOOSE(CONTROL!$C$32, $C$9, 100%, $E$9)</f>
        <v>9.6521000000000008</v>
      </c>
      <c r="I476" s="9">
        <f>9.6565 * CHOOSE(CONTROL!$C$32, $C$9, 100%, $E$9)</f>
        <v>9.6564999999999994</v>
      </c>
      <c r="J476" s="9">
        <f>9.6521 * CHOOSE(CONTROL!$C$32, $C$9, 100%, $E$9)</f>
        <v>9.6521000000000008</v>
      </c>
      <c r="K476" s="9">
        <f>9.6565 * CHOOSE(CONTROL!$C$32, $C$9, 100%, $E$9)</f>
        <v>9.6564999999999994</v>
      </c>
      <c r="L476" s="9">
        <f>7.2005 * CHOOSE(CONTROL!$C$32, $C$9, 100%, $E$9)</f>
        <v>7.2004999999999999</v>
      </c>
      <c r="M476" s="9">
        <f>7.2048 * CHOOSE(CONTROL!$C$32, $C$9, 100%, $E$9)</f>
        <v>7.2047999999999996</v>
      </c>
      <c r="N476" s="9">
        <f>7.2005 * CHOOSE(CONTROL!$C$32, $C$9, 100%, $E$9)</f>
        <v>7.2004999999999999</v>
      </c>
      <c r="O476" s="9">
        <f>7.2048 * CHOOSE(CONTROL!$C$32, $C$9, 100%, $E$9)</f>
        <v>7.2047999999999996</v>
      </c>
    </row>
    <row r="477" spans="1:15" ht="15.75" x14ac:dyDescent="0.25">
      <c r="A477" s="14">
        <v>55396</v>
      </c>
      <c r="B477" s="10">
        <f>7.9772 * CHOOSE(CONTROL!$C$32, $C$9, 100%, $E$9)</f>
        <v>7.9771999999999998</v>
      </c>
      <c r="C477" s="10">
        <f>7.9772 * CHOOSE(CONTROL!$C$32, $C$9, 100%, $E$9)</f>
        <v>7.9771999999999998</v>
      </c>
      <c r="D477" s="10">
        <f>7.9785 * CHOOSE(CONTROL!$C$32, $C$9, 100%, $E$9)</f>
        <v>7.9785000000000004</v>
      </c>
      <c r="E477" s="9">
        <f>7.0627 * CHOOSE(CONTROL!$C$32, $C$9, 100%, $E$9)</f>
        <v>7.0627000000000004</v>
      </c>
      <c r="F477" s="9">
        <f>7.0627 * CHOOSE(CONTROL!$C$32, $C$9, 100%, $E$9)</f>
        <v>7.0627000000000004</v>
      </c>
      <c r="G477" s="9">
        <f>7.067 * CHOOSE(CONTROL!$C$32, $C$9, 100%, $E$9)</f>
        <v>7.0670000000000002</v>
      </c>
      <c r="H477" s="9">
        <f>9.6565 * CHOOSE(CONTROL!$C$32, $C$9, 100%, $E$9)</f>
        <v>9.6564999999999994</v>
      </c>
      <c r="I477" s="9">
        <f>9.6609 * CHOOSE(CONTROL!$C$32, $C$9, 100%, $E$9)</f>
        <v>9.6608999999999998</v>
      </c>
      <c r="J477" s="9">
        <f>9.6565 * CHOOSE(CONTROL!$C$32, $C$9, 100%, $E$9)</f>
        <v>9.6564999999999994</v>
      </c>
      <c r="K477" s="9">
        <f>9.6609 * CHOOSE(CONTROL!$C$32, $C$9, 100%, $E$9)</f>
        <v>9.6608999999999998</v>
      </c>
      <c r="L477" s="9">
        <f>7.0627 * CHOOSE(CONTROL!$C$32, $C$9, 100%, $E$9)</f>
        <v>7.0627000000000004</v>
      </c>
      <c r="M477" s="9">
        <f>7.067 * CHOOSE(CONTROL!$C$32, $C$9, 100%, $E$9)</f>
        <v>7.0670000000000002</v>
      </c>
      <c r="N477" s="9">
        <f>7.0627 * CHOOSE(CONTROL!$C$32, $C$9, 100%, $E$9)</f>
        <v>7.0627000000000004</v>
      </c>
      <c r="O477" s="9">
        <f>7.067 * CHOOSE(CONTROL!$C$32, $C$9, 100%, $E$9)</f>
        <v>7.0670000000000002</v>
      </c>
    </row>
    <row r="478" spans="1:15" ht="15.75" x14ac:dyDescent="0.25">
      <c r="A478" s="14">
        <v>55426</v>
      </c>
      <c r="B478" s="10">
        <f>7.9742 * CHOOSE(CONTROL!$C$32, $C$9, 100%, $E$9)</f>
        <v>7.9741999999999997</v>
      </c>
      <c r="C478" s="10">
        <f>7.9742 * CHOOSE(CONTROL!$C$32, $C$9, 100%, $E$9)</f>
        <v>7.9741999999999997</v>
      </c>
      <c r="D478" s="10">
        <f>7.9755 * CHOOSE(CONTROL!$C$32, $C$9, 100%, $E$9)</f>
        <v>7.9755000000000003</v>
      </c>
      <c r="E478" s="9">
        <f>7.0447 * CHOOSE(CONTROL!$C$32, $C$9, 100%, $E$9)</f>
        <v>7.0446999999999997</v>
      </c>
      <c r="F478" s="9">
        <f>7.0447 * CHOOSE(CONTROL!$C$32, $C$9, 100%, $E$9)</f>
        <v>7.0446999999999997</v>
      </c>
      <c r="G478" s="9">
        <f>7.0491 * CHOOSE(CONTROL!$C$32, $C$9, 100%, $E$9)</f>
        <v>7.0491000000000001</v>
      </c>
      <c r="H478" s="9">
        <f>9.6545 * CHOOSE(CONTROL!$C$32, $C$9, 100%, $E$9)</f>
        <v>9.6545000000000005</v>
      </c>
      <c r="I478" s="9">
        <f>9.6589 * CHOOSE(CONTROL!$C$32, $C$9, 100%, $E$9)</f>
        <v>9.6588999999999992</v>
      </c>
      <c r="J478" s="9">
        <f>9.6545 * CHOOSE(CONTROL!$C$32, $C$9, 100%, $E$9)</f>
        <v>9.6545000000000005</v>
      </c>
      <c r="K478" s="9">
        <f>9.6589 * CHOOSE(CONTROL!$C$32, $C$9, 100%, $E$9)</f>
        <v>9.6588999999999992</v>
      </c>
      <c r="L478" s="9">
        <f>7.0447 * CHOOSE(CONTROL!$C$32, $C$9, 100%, $E$9)</f>
        <v>7.0446999999999997</v>
      </c>
      <c r="M478" s="9">
        <f>7.0491 * CHOOSE(CONTROL!$C$32, $C$9, 100%, $E$9)</f>
        <v>7.0491000000000001</v>
      </c>
      <c r="N478" s="9">
        <f>7.0447 * CHOOSE(CONTROL!$C$32, $C$9, 100%, $E$9)</f>
        <v>7.0446999999999997</v>
      </c>
      <c r="O478" s="9">
        <f>7.0491 * CHOOSE(CONTROL!$C$32, $C$9, 100%, $E$9)</f>
        <v>7.0491000000000001</v>
      </c>
    </row>
    <row r="479" spans="1:15" ht="15.75" x14ac:dyDescent="0.25">
      <c r="A479" s="14">
        <v>55457</v>
      </c>
      <c r="B479" s="10">
        <f>7.985 * CHOOSE(CONTROL!$C$32, $C$9, 100%, $E$9)</f>
        <v>7.9850000000000003</v>
      </c>
      <c r="C479" s="10">
        <f>7.985 * CHOOSE(CONTROL!$C$32, $C$9, 100%, $E$9)</f>
        <v>7.9850000000000003</v>
      </c>
      <c r="D479" s="10">
        <f>7.986 * CHOOSE(CONTROL!$C$32, $C$9, 100%, $E$9)</f>
        <v>7.9859999999999998</v>
      </c>
      <c r="E479" s="9">
        <f>7.0946 * CHOOSE(CONTROL!$C$32, $C$9, 100%, $E$9)</f>
        <v>7.0945999999999998</v>
      </c>
      <c r="F479" s="9">
        <f>7.0946 * CHOOSE(CONTROL!$C$32, $C$9, 100%, $E$9)</f>
        <v>7.0945999999999998</v>
      </c>
      <c r="G479" s="9">
        <f>7.098 * CHOOSE(CONTROL!$C$32, $C$9, 100%, $E$9)</f>
        <v>7.0979999999999999</v>
      </c>
      <c r="H479" s="9">
        <f>9.6606 * CHOOSE(CONTROL!$C$32, $C$9, 100%, $E$9)</f>
        <v>9.6606000000000005</v>
      </c>
      <c r="I479" s="9">
        <f>9.6639 * CHOOSE(CONTROL!$C$32, $C$9, 100%, $E$9)</f>
        <v>9.6638999999999999</v>
      </c>
      <c r="J479" s="9">
        <f>9.6606 * CHOOSE(CONTROL!$C$32, $C$9, 100%, $E$9)</f>
        <v>9.6606000000000005</v>
      </c>
      <c r="K479" s="9">
        <f>9.6639 * CHOOSE(CONTROL!$C$32, $C$9, 100%, $E$9)</f>
        <v>9.6638999999999999</v>
      </c>
      <c r="L479" s="9">
        <f>7.0946 * CHOOSE(CONTROL!$C$32, $C$9, 100%, $E$9)</f>
        <v>7.0945999999999998</v>
      </c>
      <c r="M479" s="9">
        <f>7.098 * CHOOSE(CONTROL!$C$32, $C$9, 100%, $E$9)</f>
        <v>7.0979999999999999</v>
      </c>
      <c r="N479" s="9">
        <f>7.0946 * CHOOSE(CONTROL!$C$32, $C$9, 100%, $E$9)</f>
        <v>7.0945999999999998</v>
      </c>
      <c r="O479" s="9">
        <f>7.098 * CHOOSE(CONTROL!$C$32, $C$9, 100%, $E$9)</f>
        <v>7.0979999999999999</v>
      </c>
    </row>
    <row r="480" spans="1:15" ht="15.75" x14ac:dyDescent="0.25">
      <c r="A480" s="14">
        <v>55487</v>
      </c>
      <c r="B480" s="10">
        <f>7.9881 * CHOOSE(CONTROL!$C$32, $C$9, 100%, $E$9)</f>
        <v>7.9881000000000002</v>
      </c>
      <c r="C480" s="10">
        <f>7.9881 * CHOOSE(CONTROL!$C$32, $C$9, 100%, $E$9)</f>
        <v>7.9881000000000002</v>
      </c>
      <c r="D480" s="10">
        <f>7.9891 * CHOOSE(CONTROL!$C$32, $C$9, 100%, $E$9)</f>
        <v>7.9890999999999996</v>
      </c>
      <c r="E480" s="9">
        <f>7.1284 * CHOOSE(CONTROL!$C$32, $C$9, 100%, $E$9)</f>
        <v>7.1284000000000001</v>
      </c>
      <c r="F480" s="9">
        <f>7.1284 * CHOOSE(CONTROL!$C$32, $C$9, 100%, $E$9)</f>
        <v>7.1284000000000001</v>
      </c>
      <c r="G480" s="9">
        <f>7.1318 * CHOOSE(CONTROL!$C$32, $C$9, 100%, $E$9)</f>
        <v>7.1318000000000001</v>
      </c>
      <c r="H480" s="9">
        <f>9.6626 * CHOOSE(CONTROL!$C$32, $C$9, 100%, $E$9)</f>
        <v>9.6625999999999994</v>
      </c>
      <c r="I480" s="9">
        <f>9.6659 * CHOOSE(CONTROL!$C$32, $C$9, 100%, $E$9)</f>
        <v>9.6659000000000006</v>
      </c>
      <c r="J480" s="9">
        <f>9.6626 * CHOOSE(CONTROL!$C$32, $C$9, 100%, $E$9)</f>
        <v>9.6625999999999994</v>
      </c>
      <c r="K480" s="9">
        <f>9.6659 * CHOOSE(CONTROL!$C$32, $C$9, 100%, $E$9)</f>
        <v>9.6659000000000006</v>
      </c>
      <c r="L480" s="9">
        <f>7.1284 * CHOOSE(CONTROL!$C$32, $C$9, 100%, $E$9)</f>
        <v>7.1284000000000001</v>
      </c>
      <c r="M480" s="9">
        <f>7.1318 * CHOOSE(CONTROL!$C$32, $C$9, 100%, $E$9)</f>
        <v>7.1318000000000001</v>
      </c>
      <c r="N480" s="9">
        <f>7.1284 * CHOOSE(CONTROL!$C$32, $C$9, 100%, $E$9)</f>
        <v>7.1284000000000001</v>
      </c>
      <c r="O480" s="9">
        <f>7.1318 * CHOOSE(CONTROL!$C$32, $C$9, 100%, $E$9)</f>
        <v>7.1318000000000001</v>
      </c>
    </row>
    <row r="481" spans="1:15" ht="15.75" x14ac:dyDescent="0.25">
      <c r="A481" s="14">
        <v>55518</v>
      </c>
      <c r="B481" s="10">
        <f>7.9881 * CHOOSE(CONTROL!$C$32, $C$9, 100%, $E$9)</f>
        <v>7.9881000000000002</v>
      </c>
      <c r="C481" s="10">
        <f>7.9881 * CHOOSE(CONTROL!$C$32, $C$9, 100%, $E$9)</f>
        <v>7.9881000000000002</v>
      </c>
      <c r="D481" s="10">
        <f>7.9891 * CHOOSE(CONTROL!$C$32, $C$9, 100%, $E$9)</f>
        <v>7.9890999999999996</v>
      </c>
      <c r="E481" s="9">
        <f>7.0493 * CHOOSE(CONTROL!$C$32, $C$9, 100%, $E$9)</f>
        <v>7.0492999999999997</v>
      </c>
      <c r="F481" s="9">
        <f>7.0493 * CHOOSE(CONTROL!$C$32, $C$9, 100%, $E$9)</f>
        <v>7.0492999999999997</v>
      </c>
      <c r="G481" s="9">
        <f>7.0526 * CHOOSE(CONTROL!$C$32, $C$9, 100%, $E$9)</f>
        <v>7.0526</v>
      </c>
      <c r="H481" s="9">
        <f>9.6626 * CHOOSE(CONTROL!$C$32, $C$9, 100%, $E$9)</f>
        <v>9.6625999999999994</v>
      </c>
      <c r="I481" s="9">
        <f>9.6659 * CHOOSE(CONTROL!$C$32, $C$9, 100%, $E$9)</f>
        <v>9.6659000000000006</v>
      </c>
      <c r="J481" s="9">
        <f>9.6626 * CHOOSE(CONTROL!$C$32, $C$9, 100%, $E$9)</f>
        <v>9.6625999999999994</v>
      </c>
      <c r="K481" s="9">
        <f>9.6659 * CHOOSE(CONTROL!$C$32, $C$9, 100%, $E$9)</f>
        <v>9.6659000000000006</v>
      </c>
      <c r="L481" s="9">
        <f>7.0493 * CHOOSE(CONTROL!$C$32, $C$9, 100%, $E$9)</f>
        <v>7.0492999999999997</v>
      </c>
      <c r="M481" s="9">
        <f>7.0526 * CHOOSE(CONTROL!$C$32, $C$9, 100%, $E$9)</f>
        <v>7.0526</v>
      </c>
      <c r="N481" s="9">
        <f>7.0493 * CHOOSE(CONTROL!$C$32, $C$9, 100%, $E$9)</f>
        <v>7.0492999999999997</v>
      </c>
      <c r="O481" s="9">
        <f>7.0526 * CHOOSE(CONTROL!$C$32, $C$9, 100%, $E$9)</f>
        <v>7.0526</v>
      </c>
    </row>
    <row r="482" spans="1:15" ht="15.75" x14ac:dyDescent="0.25">
      <c r="A482" s="14">
        <v>55549</v>
      </c>
      <c r="B482" s="10">
        <f>8.0544 * CHOOSE(CONTROL!$C$32, $C$9, 100%, $E$9)</f>
        <v>8.0543999999999993</v>
      </c>
      <c r="C482" s="10">
        <f>8.0544 * CHOOSE(CONTROL!$C$32, $C$9, 100%, $E$9)</f>
        <v>8.0543999999999993</v>
      </c>
      <c r="D482" s="10">
        <f>8.0555 * CHOOSE(CONTROL!$C$32, $C$9, 100%, $E$9)</f>
        <v>8.0555000000000003</v>
      </c>
      <c r="E482" s="9">
        <f>7.1554 * CHOOSE(CONTROL!$C$32, $C$9, 100%, $E$9)</f>
        <v>7.1554000000000002</v>
      </c>
      <c r="F482" s="9">
        <f>7.1554 * CHOOSE(CONTROL!$C$32, $C$9, 100%, $E$9)</f>
        <v>7.1554000000000002</v>
      </c>
      <c r="G482" s="9">
        <f>7.1588 * CHOOSE(CONTROL!$C$32, $C$9, 100%, $E$9)</f>
        <v>7.1588000000000003</v>
      </c>
      <c r="H482" s="9">
        <f>9.7344 * CHOOSE(CONTROL!$C$32, $C$9, 100%, $E$9)</f>
        <v>9.7344000000000008</v>
      </c>
      <c r="I482" s="9">
        <f>9.7378 * CHOOSE(CONTROL!$C$32, $C$9, 100%, $E$9)</f>
        <v>9.7378</v>
      </c>
      <c r="J482" s="9">
        <f>9.7344 * CHOOSE(CONTROL!$C$32, $C$9, 100%, $E$9)</f>
        <v>9.7344000000000008</v>
      </c>
      <c r="K482" s="9">
        <f>9.7378 * CHOOSE(CONTROL!$C$32, $C$9, 100%, $E$9)</f>
        <v>9.7378</v>
      </c>
      <c r="L482" s="9">
        <f>7.1554 * CHOOSE(CONTROL!$C$32, $C$9, 100%, $E$9)</f>
        <v>7.1554000000000002</v>
      </c>
      <c r="M482" s="9">
        <f>7.1588 * CHOOSE(CONTROL!$C$32, $C$9, 100%, $E$9)</f>
        <v>7.1588000000000003</v>
      </c>
      <c r="N482" s="9">
        <f>7.1554 * CHOOSE(CONTROL!$C$32, $C$9, 100%, $E$9)</f>
        <v>7.1554000000000002</v>
      </c>
      <c r="O482" s="9">
        <f>7.1588 * CHOOSE(CONTROL!$C$32, $C$9, 100%, $E$9)</f>
        <v>7.1588000000000003</v>
      </c>
    </row>
    <row r="483" spans="1:15" ht="15.75" x14ac:dyDescent="0.25">
      <c r="A483" s="14">
        <v>55577</v>
      </c>
      <c r="B483" s="10">
        <f>8.0514 * CHOOSE(CONTROL!$C$32, $C$9, 100%, $E$9)</f>
        <v>8.0513999999999992</v>
      </c>
      <c r="C483" s="10">
        <f>8.0514 * CHOOSE(CONTROL!$C$32, $C$9, 100%, $E$9)</f>
        <v>8.0513999999999992</v>
      </c>
      <c r="D483" s="10">
        <f>8.0524 * CHOOSE(CONTROL!$C$32, $C$9, 100%, $E$9)</f>
        <v>8.0524000000000004</v>
      </c>
      <c r="E483" s="9">
        <f>6.9993 * CHOOSE(CONTROL!$C$32, $C$9, 100%, $E$9)</f>
        <v>6.9992999999999999</v>
      </c>
      <c r="F483" s="9">
        <f>6.9993 * CHOOSE(CONTROL!$C$32, $C$9, 100%, $E$9)</f>
        <v>6.9992999999999999</v>
      </c>
      <c r="G483" s="9">
        <f>7.0027 * CHOOSE(CONTROL!$C$32, $C$9, 100%, $E$9)</f>
        <v>7.0026999999999999</v>
      </c>
      <c r="H483" s="9">
        <f>9.7324 * CHOOSE(CONTROL!$C$32, $C$9, 100%, $E$9)</f>
        <v>9.7324000000000002</v>
      </c>
      <c r="I483" s="9">
        <f>9.7358 * CHOOSE(CONTROL!$C$32, $C$9, 100%, $E$9)</f>
        <v>9.7357999999999993</v>
      </c>
      <c r="J483" s="9">
        <f>9.7324 * CHOOSE(CONTROL!$C$32, $C$9, 100%, $E$9)</f>
        <v>9.7324000000000002</v>
      </c>
      <c r="K483" s="9">
        <f>9.7358 * CHOOSE(CONTROL!$C$32, $C$9, 100%, $E$9)</f>
        <v>9.7357999999999993</v>
      </c>
      <c r="L483" s="9">
        <f>6.9993 * CHOOSE(CONTROL!$C$32, $C$9, 100%, $E$9)</f>
        <v>6.9992999999999999</v>
      </c>
      <c r="M483" s="9">
        <f>7.0027 * CHOOSE(CONTROL!$C$32, $C$9, 100%, $E$9)</f>
        <v>7.0026999999999999</v>
      </c>
      <c r="N483" s="9">
        <f>6.9993 * CHOOSE(CONTROL!$C$32, $C$9, 100%, $E$9)</f>
        <v>6.9992999999999999</v>
      </c>
      <c r="O483" s="9">
        <f>7.0027 * CHOOSE(CONTROL!$C$32, $C$9, 100%, $E$9)</f>
        <v>7.0026999999999999</v>
      </c>
    </row>
    <row r="484" spans="1:15" ht="15.75" x14ac:dyDescent="0.25">
      <c r="A484" s="14">
        <v>55609</v>
      </c>
      <c r="B484" s="10">
        <f>8.0484 * CHOOSE(CONTROL!$C$32, $C$9, 100%, $E$9)</f>
        <v>8.0484000000000009</v>
      </c>
      <c r="C484" s="10">
        <f>8.0484 * CHOOSE(CONTROL!$C$32, $C$9, 100%, $E$9)</f>
        <v>8.0484000000000009</v>
      </c>
      <c r="D484" s="10">
        <f>8.0494 * CHOOSE(CONTROL!$C$32, $C$9, 100%, $E$9)</f>
        <v>8.0494000000000003</v>
      </c>
      <c r="E484" s="9">
        <f>7.1186 * CHOOSE(CONTROL!$C$32, $C$9, 100%, $E$9)</f>
        <v>7.1185999999999998</v>
      </c>
      <c r="F484" s="9">
        <f>7.1186 * CHOOSE(CONTROL!$C$32, $C$9, 100%, $E$9)</f>
        <v>7.1185999999999998</v>
      </c>
      <c r="G484" s="9">
        <f>7.122 * CHOOSE(CONTROL!$C$32, $C$9, 100%, $E$9)</f>
        <v>7.1219999999999999</v>
      </c>
      <c r="H484" s="9">
        <f>9.7304 * CHOOSE(CONTROL!$C$32, $C$9, 100%, $E$9)</f>
        <v>9.7303999999999995</v>
      </c>
      <c r="I484" s="9">
        <f>9.7338 * CHOOSE(CONTROL!$C$32, $C$9, 100%, $E$9)</f>
        <v>9.7338000000000005</v>
      </c>
      <c r="J484" s="9">
        <f>9.7304 * CHOOSE(CONTROL!$C$32, $C$9, 100%, $E$9)</f>
        <v>9.7303999999999995</v>
      </c>
      <c r="K484" s="9">
        <f>9.7338 * CHOOSE(CONTROL!$C$32, $C$9, 100%, $E$9)</f>
        <v>9.7338000000000005</v>
      </c>
      <c r="L484" s="9">
        <f>7.1186 * CHOOSE(CONTROL!$C$32, $C$9, 100%, $E$9)</f>
        <v>7.1185999999999998</v>
      </c>
      <c r="M484" s="9">
        <f>7.122 * CHOOSE(CONTROL!$C$32, $C$9, 100%, $E$9)</f>
        <v>7.1219999999999999</v>
      </c>
      <c r="N484" s="9">
        <f>7.1186 * CHOOSE(CONTROL!$C$32, $C$9, 100%, $E$9)</f>
        <v>7.1185999999999998</v>
      </c>
      <c r="O484" s="9">
        <f>7.122 * CHOOSE(CONTROL!$C$32, $C$9, 100%, $E$9)</f>
        <v>7.1219999999999999</v>
      </c>
    </row>
    <row r="485" spans="1:15" ht="15.75" x14ac:dyDescent="0.25">
      <c r="A485" s="14">
        <v>55639</v>
      </c>
      <c r="B485" s="10">
        <f>8.0502 * CHOOSE(CONTROL!$C$32, $C$9, 100%, $E$9)</f>
        <v>8.0502000000000002</v>
      </c>
      <c r="C485" s="10">
        <f>8.0502 * CHOOSE(CONTROL!$C$32, $C$9, 100%, $E$9)</f>
        <v>8.0502000000000002</v>
      </c>
      <c r="D485" s="10">
        <f>8.0512 * CHOOSE(CONTROL!$C$32, $C$9, 100%, $E$9)</f>
        <v>8.0511999999999997</v>
      </c>
      <c r="E485" s="9">
        <f>7.2448 * CHOOSE(CONTROL!$C$32, $C$9, 100%, $E$9)</f>
        <v>7.2447999999999997</v>
      </c>
      <c r="F485" s="9">
        <f>7.2448 * CHOOSE(CONTROL!$C$32, $C$9, 100%, $E$9)</f>
        <v>7.2447999999999997</v>
      </c>
      <c r="G485" s="9">
        <f>7.2482 * CHOOSE(CONTROL!$C$32, $C$9, 100%, $E$9)</f>
        <v>7.2481999999999998</v>
      </c>
      <c r="H485" s="9">
        <f>9.7313 * CHOOSE(CONTROL!$C$32, $C$9, 100%, $E$9)</f>
        <v>9.7312999999999992</v>
      </c>
      <c r="I485" s="9">
        <f>9.7347 * CHOOSE(CONTROL!$C$32, $C$9, 100%, $E$9)</f>
        <v>9.7347000000000001</v>
      </c>
      <c r="J485" s="9">
        <f>9.7313 * CHOOSE(CONTROL!$C$32, $C$9, 100%, $E$9)</f>
        <v>9.7312999999999992</v>
      </c>
      <c r="K485" s="9">
        <f>9.7347 * CHOOSE(CONTROL!$C$32, $C$9, 100%, $E$9)</f>
        <v>9.7347000000000001</v>
      </c>
      <c r="L485" s="9">
        <f>7.2448 * CHOOSE(CONTROL!$C$32, $C$9, 100%, $E$9)</f>
        <v>7.2447999999999997</v>
      </c>
      <c r="M485" s="9">
        <f>7.2482 * CHOOSE(CONTROL!$C$32, $C$9, 100%, $E$9)</f>
        <v>7.2481999999999998</v>
      </c>
      <c r="N485" s="9">
        <f>7.2448 * CHOOSE(CONTROL!$C$32, $C$9, 100%, $E$9)</f>
        <v>7.2447999999999997</v>
      </c>
      <c r="O485" s="9">
        <f>7.2482 * CHOOSE(CONTROL!$C$32, $C$9, 100%, $E$9)</f>
        <v>7.2481999999999998</v>
      </c>
    </row>
    <row r="486" spans="1:15" ht="15.75" x14ac:dyDescent="0.25">
      <c r="A486" s="14">
        <v>55670</v>
      </c>
      <c r="B486" s="10">
        <f>8.0502 * CHOOSE(CONTROL!$C$32, $C$9, 100%, $E$9)</f>
        <v>8.0502000000000002</v>
      </c>
      <c r="C486" s="10">
        <f>8.0502 * CHOOSE(CONTROL!$C$32, $C$9, 100%, $E$9)</f>
        <v>8.0502000000000002</v>
      </c>
      <c r="D486" s="10">
        <f>8.0515 * CHOOSE(CONTROL!$C$32, $C$9, 100%, $E$9)</f>
        <v>8.0515000000000008</v>
      </c>
      <c r="E486" s="9">
        <f>7.2937 * CHOOSE(CONTROL!$C$32, $C$9, 100%, $E$9)</f>
        <v>7.2937000000000003</v>
      </c>
      <c r="F486" s="9">
        <f>7.2937 * CHOOSE(CONTROL!$C$32, $C$9, 100%, $E$9)</f>
        <v>7.2937000000000003</v>
      </c>
      <c r="G486" s="9">
        <f>7.298 * CHOOSE(CONTROL!$C$32, $C$9, 100%, $E$9)</f>
        <v>7.298</v>
      </c>
      <c r="H486" s="9">
        <f>9.7313 * CHOOSE(CONTROL!$C$32, $C$9, 100%, $E$9)</f>
        <v>9.7312999999999992</v>
      </c>
      <c r="I486" s="9">
        <f>9.7357 * CHOOSE(CONTROL!$C$32, $C$9, 100%, $E$9)</f>
        <v>9.7356999999999996</v>
      </c>
      <c r="J486" s="9">
        <f>9.7313 * CHOOSE(CONTROL!$C$32, $C$9, 100%, $E$9)</f>
        <v>9.7312999999999992</v>
      </c>
      <c r="K486" s="9">
        <f>9.7357 * CHOOSE(CONTROL!$C$32, $C$9, 100%, $E$9)</f>
        <v>9.7356999999999996</v>
      </c>
      <c r="L486" s="9">
        <f>7.2937 * CHOOSE(CONTROL!$C$32, $C$9, 100%, $E$9)</f>
        <v>7.2937000000000003</v>
      </c>
      <c r="M486" s="9">
        <f>7.298 * CHOOSE(CONTROL!$C$32, $C$9, 100%, $E$9)</f>
        <v>7.298</v>
      </c>
      <c r="N486" s="9">
        <f>7.2937 * CHOOSE(CONTROL!$C$32, $C$9, 100%, $E$9)</f>
        <v>7.2937000000000003</v>
      </c>
      <c r="O486" s="9">
        <f>7.298 * CHOOSE(CONTROL!$C$32, $C$9, 100%, $E$9)</f>
        <v>7.298</v>
      </c>
    </row>
    <row r="487" spans="1:15" ht="15.75" x14ac:dyDescent="0.25">
      <c r="A487" s="14">
        <v>55700</v>
      </c>
      <c r="B487" s="10">
        <f>8.0563 * CHOOSE(CONTROL!$C$32, $C$9, 100%, $E$9)</f>
        <v>8.0563000000000002</v>
      </c>
      <c r="C487" s="10">
        <f>8.0563 * CHOOSE(CONTROL!$C$32, $C$9, 100%, $E$9)</f>
        <v>8.0563000000000002</v>
      </c>
      <c r="D487" s="10">
        <f>8.0576 * CHOOSE(CONTROL!$C$32, $C$9, 100%, $E$9)</f>
        <v>8.0576000000000008</v>
      </c>
      <c r="E487" s="9">
        <f>7.249 * CHOOSE(CONTROL!$C$32, $C$9, 100%, $E$9)</f>
        <v>7.2489999999999997</v>
      </c>
      <c r="F487" s="9">
        <f>7.249 * CHOOSE(CONTROL!$C$32, $C$9, 100%, $E$9)</f>
        <v>7.2489999999999997</v>
      </c>
      <c r="G487" s="9">
        <f>7.2534 * CHOOSE(CONTROL!$C$32, $C$9, 100%, $E$9)</f>
        <v>7.2534000000000001</v>
      </c>
      <c r="H487" s="9">
        <f>9.7353 * CHOOSE(CONTROL!$C$32, $C$9, 100%, $E$9)</f>
        <v>9.7353000000000005</v>
      </c>
      <c r="I487" s="9">
        <f>9.7397 * CHOOSE(CONTROL!$C$32, $C$9, 100%, $E$9)</f>
        <v>9.7396999999999991</v>
      </c>
      <c r="J487" s="9">
        <f>9.7353 * CHOOSE(CONTROL!$C$32, $C$9, 100%, $E$9)</f>
        <v>9.7353000000000005</v>
      </c>
      <c r="K487" s="9">
        <f>9.7397 * CHOOSE(CONTROL!$C$32, $C$9, 100%, $E$9)</f>
        <v>9.7396999999999991</v>
      </c>
      <c r="L487" s="9">
        <f>7.249 * CHOOSE(CONTROL!$C$32, $C$9, 100%, $E$9)</f>
        <v>7.2489999999999997</v>
      </c>
      <c r="M487" s="9">
        <f>7.2534 * CHOOSE(CONTROL!$C$32, $C$9, 100%, $E$9)</f>
        <v>7.2534000000000001</v>
      </c>
      <c r="N487" s="9">
        <f>7.249 * CHOOSE(CONTROL!$C$32, $C$9, 100%, $E$9)</f>
        <v>7.2489999999999997</v>
      </c>
      <c r="O487" s="9">
        <f>7.2534 * CHOOSE(CONTROL!$C$32, $C$9, 100%, $E$9)</f>
        <v>7.2534000000000001</v>
      </c>
    </row>
    <row r="488" spans="1:15" ht="15.75" x14ac:dyDescent="0.25">
      <c r="A488" s="14">
        <v>55731</v>
      </c>
      <c r="B488" s="10">
        <f>8.1719 * CHOOSE(CONTROL!$C$32, $C$9, 100%, $E$9)</f>
        <v>8.1719000000000008</v>
      </c>
      <c r="C488" s="10">
        <f>8.1719 * CHOOSE(CONTROL!$C$32, $C$9, 100%, $E$9)</f>
        <v>8.1719000000000008</v>
      </c>
      <c r="D488" s="10">
        <f>8.1732 * CHOOSE(CONTROL!$C$32, $C$9, 100%, $E$9)</f>
        <v>8.1731999999999996</v>
      </c>
      <c r="E488" s="9">
        <f>7.3341 * CHOOSE(CONTROL!$C$32, $C$9, 100%, $E$9)</f>
        <v>7.3341000000000003</v>
      </c>
      <c r="F488" s="9">
        <f>7.3341 * CHOOSE(CONTROL!$C$32, $C$9, 100%, $E$9)</f>
        <v>7.3341000000000003</v>
      </c>
      <c r="G488" s="9">
        <f>7.3385 * CHOOSE(CONTROL!$C$32, $C$9, 100%, $E$9)</f>
        <v>7.3384999999999998</v>
      </c>
      <c r="H488" s="9">
        <f>9.8821 * CHOOSE(CONTROL!$C$32, $C$9, 100%, $E$9)</f>
        <v>9.8820999999999994</v>
      </c>
      <c r="I488" s="9">
        <f>9.8865 * CHOOSE(CONTROL!$C$32, $C$9, 100%, $E$9)</f>
        <v>9.8864999999999998</v>
      </c>
      <c r="J488" s="9">
        <f>9.8821 * CHOOSE(CONTROL!$C$32, $C$9, 100%, $E$9)</f>
        <v>9.8820999999999994</v>
      </c>
      <c r="K488" s="9">
        <f>9.8865 * CHOOSE(CONTROL!$C$32, $C$9, 100%, $E$9)</f>
        <v>9.8864999999999998</v>
      </c>
      <c r="L488" s="9">
        <f>7.3341 * CHOOSE(CONTROL!$C$32, $C$9, 100%, $E$9)</f>
        <v>7.3341000000000003</v>
      </c>
      <c r="M488" s="9">
        <f>7.3385 * CHOOSE(CONTROL!$C$32, $C$9, 100%, $E$9)</f>
        <v>7.3384999999999998</v>
      </c>
      <c r="N488" s="9">
        <f>7.3341 * CHOOSE(CONTROL!$C$32, $C$9, 100%, $E$9)</f>
        <v>7.3341000000000003</v>
      </c>
      <c r="O488" s="9">
        <f>7.3385 * CHOOSE(CONTROL!$C$32, $C$9, 100%, $E$9)</f>
        <v>7.3384999999999998</v>
      </c>
    </row>
    <row r="489" spans="1:15" ht="15.75" x14ac:dyDescent="0.25">
      <c r="A489" s="14">
        <v>55762</v>
      </c>
      <c r="B489" s="10">
        <f>8.1786 * CHOOSE(CONTROL!$C$32, $C$9, 100%, $E$9)</f>
        <v>8.1785999999999994</v>
      </c>
      <c r="C489" s="10">
        <f>8.1786 * CHOOSE(CONTROL!$C$32, $C$9, 100%, $E$9)</f>
        <v>8.1785999999999994</v>
      </c>
      <c r="D489" s="10">
        <f>8.1799 * CHOOSE(CONTROL!$C$32, $C$9, 100%, $E$9)</f>
        <v>8.1798999999999999</v>
      </c>
      <c r="E489" s="9">
        <f>7.192 * CHOOSE(CONTROL!$C$32, $C$9, 100%, $E$9)</f>
        <v>7.1920000000000002</v>
      </c>
      <c r="F489" s="9">
        <f>7.192 * CHOOSE(CONTROL!$C$32, $C$9, 100%, $E$9)</f>
        <v>7.1920000000000002</v>
      </c>
      <c r="G489" s="9">
        <f>7.1964 * CHOOSE(CONTROL!$C$32, $C$9, 100%, $E$9)</f>
        <v>7.1963999999999997</v>
      </c>
      <c r="H489" s="9">
        <f>9.8865 * CHOOSE(CONTROL!$C$32, $C$9, 100%, $E$9)</f>
        <v>9.8864999999999998</v>
      </c>
      <c r="I489" s="9">
        <f>9.8909 * CHOOSE(CONTROL!$C$32, $C$9, 100%, $E$9)</f>
        <v>9.8909000000000002</v>
      </c>
      <c r="J489" s="9">
        <f>9.8865 * CHOOSE(CONTROL!$C$32, $C$9, 100%, $E$9)</f>
        <v>9.8864999999999998</v>
      </c>
      <c r="K489" s="9">
        <f>9.8909 * CHOOSE(CONTROL!$C$32, $C$9, 100%, $E$9)</f>
        <v>9.8909000000000002</v>
      </c>
      <c r="L489" s="9">
        <f>7.192 * CHOOSE(CONTROL!$C$32, $C$9, 100%, $E$9)</f>
        <v>7.1920000000000002</v>
      </c>
      <c r="M489" s="9">
        <f>7.1964 * CHOOSE(CONTROL!$C$32, $C$9, 100%, $E$9)</f>
        <v>7.1963999999999997</v>
      </c>
      <c r="N489" s="9">
        <f>7.192 * CHOOSE(CONTROL!$C$32, $C$9, 100%, $E$9)</f>
        <v>7.1920000000000002</v>
      </c>
      <c r="O489" s="9">
        <f>7.1964 * CHOOSE(CONTROL!$C$32, $C$9, 100%, $E$9)</f>
        <v>7.1963999999999997</v>
      </c>
    </row>
    <row r="490" spans="1:15" ht="15.75" x14ac:dyDescent="0.25">
      <c r="A490" s="14">
        <v>55792</v>
      </c>
      <c r="B490" s="10">
        <f>8.1755 * CHOOSE(CONTROL!$C$32, $C$9, 100%, $E$9)</f>
        <v>8.1754999999999995</v>
      </c>
      <c r="C490" s="10">
        <f>8.1755 * CHOOSE(CONTROL!$C$32, $C$9, 100%, $E$9)</f>
        <v>8.1754999999999995</v>
      </c>
      <c r="D490" s="10">
        <f>8.1768 * CHOOSE(CONTROL!$C$32, $C$9, 100%, $E$9)</f>
        <v>8.1768000000000001</v>
      </c>
      <c r="E490" s="9">
        <f>7.1736 * CHOOSE(CONTROL!$C$32, $C$9, 100%, $E$9)</f>
        <v>7.1736000000000004</v>
      </c>
      <c r="F490" s="9">
        <f>7.1736 * CHOOSE(CONTROL!$C$32, $C$9, 100%, $E$9)</f>
        <v>7.1736000000000004</v>
      </c>
      <c r="G490" s="9">
        <f>7.178 * CHOOSE(CONTROL!$C$32, $C$9, 100%, $E$9)</f>
        <v>7.1779999999999999</v>
      </c>
      <c r="H490" s="9">
        <f>9.8845 * CHOOSE(CONTROL!$C$32, $C$9, 100%, $E$9)</f>
        <v>9.8844999999999992</v>
      </c>
      <c r="I490" s="9">
        <f>9.8889 * CHOOSE(CONTROL!$C$32, $C$9, 100%, $E$9)</f>
        <v>9.8888999999999996</v>
      </c>
      <c r="J490" s="9">
        <f>9.8845 * CHOOSE(CONTROL!$C$32, $C$9, 100%, $E$9)</f>
        <v>9.8844999999999992</v>
      </c>
      <c r="K490" s="9">
        <f>9.8889 * CHOOSE(CONTROL!$C$32, $C$9, 100%, $E$9)</f>
        <v>9.8888999999999996</v>
      </c>
      <c r="L490" s="9">
        <f>7.1736 * CHOOSE(CONTROL!$C$32, $C$9, 100%, $E$9)</f>
        <v>7.1736000000000004</v>
      </c>
      <c r="M490" s="9">
        <f>7.178 * CHOOSE(CONTROL!$C$32, $C$9, 100%, $E$9)</f>
        <v>7.1779999999999999</v>
      </c>
      <c r="N490" s="9">
        <f>7.1736 * CHOOSE(CONTROL!$C$32, $C$9, 100%, $E$9)</f>
        <v>7.1736000000000004</v>
      </c>
      <c r="O490" s="9">
        <f>7.178 * CHOOSE(CONTROL!$C$32, $C$9, 100%, $E$9)</f>
        <v>7.1779999999999999</v>
      </c>
    </row>
    <row r="491" spans="1:15" ht="15.75" x14ac:dyDescent="0.25">
      <c r="A491" s="14">
        <v>55823</v>
      </c>
      <c r="B491" s="10">
        <f>8.1872 * CHOOSE(CONTROL!$C$32, $C$9, 100%, $E$9)</f>
        <v>8.1872000000000007</v>
      </c>
      <c r="C491" s="10">
        <f>8.1872 * CHOOSE(CONTROL!$C$32, $C$9, 100%, $E$9)</f>
        <v>8.1872000000000007</v>
      </c>
      <c r="D491" s="10">
        <f>8.1882 * CHOOSE(CONTROL!$C$32, $C$9, 100%, $E$9)</f>
        <v>8.1882000000000001</v>
      </c>
      <c r="E491" s="9">
        <f>7.2254 * CHOOSE(CONTROL!$C$32, $C$9, 100%, $E$9)</f>
        <v>7.2253999999999996</v>
      </c>
      <c r="F491" s="9">
        <f>7.2254 * CHOOSE(CONTROL!$C$32, $C$9, 100%, $E$9)</f>
        <v>7.2253999999999996</v>
      </c>
      <c r="G491" s="9">
        <f>7.2288 * CHOOSE(CONTROL!$C$32, $C$9, 100%, $E$9)</f>
        <v>7.2287999999999997</v>
      </c>
      <c r="H491" s="9">
        <f>9.891 * CHOOSE(CONTROL!$C$32, $C$9, 100%, $E$9)</f>
        <v>9.891</v>
      </c>
      <c r="I491" s="9">
        <f>9.8944 * CHOOSE(CONTROL!$C$32, $C$9, 100%, $E$9)</f>
        <v>9.8943999999999992</v>
      </c>
      <c r="J491" s="9">
        <f>9.891 * CHOOSE(CONTROL!$C$32, $C$9, 100%, $E$9)</f>
        <v>9.891</v>
      </c>
      <c r="K491" s="9">
        <f>9.8944 * CHOOSE(CONTROL!$C$32, $C$9, 100%, $E$9)</f>
        <v>9.8943999999999992</v>
      </c>
      <c r="L491" s="9">
        <f>7.2254 * CHOOSE(CONTROL!$C$32, $C$9, 100%, $E$9)</f>
        <v>7.2253999999999996</v>
      </c>
      <c r="M491" s="9">
        <f>7.2288 * CHOOSE(CONTROL!$C$32, $C$9, 100%, $E$9)</f>
        <v>7.2287999999999997</v>
      </c>
      <c r="N491" s="9">
        <f>7.2254 * CHOOSE(CONTROL!$C$32, $C$9, 100%, $E$9)</f>
        <v>7.2253999999999996</v>
      </c>
      <c r="O491" s="9">
        <f>7.2288 * CHOOSE(CONTROL!$C$32, $C$9, 100%, $E$9)</f>
        <v>7.2287999999999997</v>
      </c>
    </row>
    <row r="492" spans="1:15" ht="15.75" x14ac:dyDescent="0.25">
      <c r="A492" s="14">
        <v>55853</v>
      </c>
      <c r="B492" s="10">
        <f>8.1902 * CHOOSE(CONTROL!$C$32, $C$9, 100%, $E$9)</f>
        <v>8.1902000000000008</v>
      </c>
      <c r="C492" s="10">
        <f>8.1902 * CHOOSE(CONTROL!$C$32, $C$9, 100%, $E$9)</f>
        <v>8.1902000000000008</v>
      </c>
      <c r="D492" s="10">
        <f>8.1912 * CHOOSE(CONTROL!$C$32, $C$9, 100%, $E$9)</f>
        <v>8.1912000000000003</v>
      </c>
      <c r="E492" s="9">
        <f>7.2601 * CHOOSE(CONTROL!$C$32, $C$9, 100%, $E$9)</f>
        <v>7.2601000000000004</v>
      </c>
      <c r="F492" s="9">
        <f>7.2601 * CHOOSE(CONTROL!$C$32, $C$9, 100%, $E$9)</f>
        <v>7.2601000000000004</v>
      </c>
      <c r="G492" s="9">
        <f>7.2635 * CHOOSE(CONTROL!$C$32, $C$9, 100%, $E$9)</f>
        <v>7.2634999999999996</v>
      </c>
      <c r="H492" s="9">
        <f>9.893 * CHOOSE(CONTROL!$C$32, $C$9, 100%, $E$9)</f>
        <v>9.8930000000000007</v>
      </c>
      <c r="I492" s="9">
        <f>9.8964 * CHOOSE(CONTROL!$C$32, $C$9, 100%, $E$9)</f>
        <v>9.8963999999999999</v>
      </c>
      <c r="J492" s="9">
        <f>9.893 * CHOOSE(CONTROL!$C$32, $C$9, 100%, $E$9)</f>
        <v>9.8930000000000007</v>
      </c>
      <c r="K492" s="9">
        <f>9.8964 * CHOOSE(CONTROL!$C$32, $C$9, 100%, $E$9)</f>
        <v>9.8963999999999999</v>
      </c>
      <c r="L492" s="9">
        <f>7.2601 * CHOOSE(CONTROL!$C$32, $C$9, 100%, $E$9)</f>
        <v>7.2601000000000004</v>
      </c>
      <c r="M492" s="9">
        <f>7.2635 * CHOOSE(CONTROL!$C$32, $C$9, 100%, $E$9)</f>
        <v>7.2634999999999996</v>
      </c>
      <c r="N492" s="9">
        <f>7.2601 * CHOOSE(CONTROL!$C$32, $C$9, 100%, $E$9)</f>
        <v>7.2601000000000004</v>
      </c>
      <c r="O492" s="9">
        <f>7.2635 * CHOOSE(CONTROL!$C$32, $C$9, 100%, $E$9)</f>
        <v>7.2634999999999996</v>
      </c>
    </row>
    <row r="493" spans="1:15" ht="15.75" x14ac:dyDescent="0.25">
      <c r="A493" s="14">
        <v>55884</v>
      </c>
      <c r="B493" s="10">
        <f>8.1902 * CHOOSE(CONTROL!$C$32, $C$9, 100%, $E$9)</f>
        <v>8.1902000000000008</v>
      </c>
      <c r="C493" s="10">
        <f>8.1902 * CHOOSE(CONTROL!$C$32, $C$9, 100%, $E$9)</f>
        <v>8.1902000000000008</v>
      </c>
      <c r="D493" s="10">
        <f>8.1912 * CHOOSE(CONTROL!$C$32, $C$9, 100%, $E$9)</f>
        <v>8.1912000000000003</v>
      </c>
      <c r="E493" s="9">
        <f>7.1786 * CHOOSE(CONTROL!$C$32, $C$9, 100%, $E$9)</f>
        <v>7.1786000000000003</v>
      </c>
      <c r="F493" s="9">
        <f>7.1786 * CHOOSE(CONTROL!$C$32, $C$9, 100%, $E$9)</f>
        <v>7.1786000000000003</v>
      </c>
      <c r="G493" s="9">
        <f>7.182 * CHOOSE(CONTROL!$C$32, $C$9, 100%, $E$9)</f>
        <v>7.1820000000000004</v>
      </c>
      <c r="H493" s="9">
        <f>9.893 * CHOOSE(CONTROL!$C$32, $C$9, 100%, $E$9)</f>
        <v>9.8930000000000007</v>
      </c>
      <c r="I493" s="9">
        <f>9.8964 * CHOOSE(CONTROL!$C$32, $C$9, 100%, $E$9)</f>
        <v>9.8963999999999999</v>
      </c>
      <c r="J493" s="9">
        <f>9.893 * CHOOSE(CONTROL!$C$32, $C$9, 100%, $E$9)</f>
        <v>9.8930000000000007</v>
      </c>
      <c r="K493" s="9">
        <f>9.8964 * CHOOSE(CONTROL!$C$32, $C$9, 100%, $E$9)</f>
        <v>9.8963999999999999</v>
      </c>
      <c r="L493" s="9">
        <f>7.1786 * CHOOSE(CONTROL!$C$32, $C$9, 100%, $E$9)</f>
        <v>7.1786000000000003</v>
      </c>
      <c r="M493" s="9">
        <f>7.182 * CHOOSE(CONTROL!$C$32, $C$9, 100%, $E$9)</f>
        <v>7.1820000000000004</v>
      </c>
      <c r="N493" s="9">
        <f>7.1786 * CHOOSE(CONTROL!$C$32, $C$9, 100%, $E$9)</f>
        <v>7.1786000000000003</v>
      </c>
      <c r="O493" s="9">
        <f>7.182 * CHOOSE(CONTROL!$C$32, $C$9, 100%, $E$9)</f>
        <v>7.1820000000000004</v>
      </c>
    </row>
    <row r="494" spans="1:15" ht="15.75" x14ac:dyDescent="0.25">
      <c r="A494" s="14">
        <v>55915</v>
      </c>
      <c r="B494" s="10">
        <f>8.2582 * CHOOSE(CONTROL!$C$32, $C$9, 100%, $E$9)</f>
        <v>8.2582000000000004</v>
      </c>
      <c r="C494" s="10">
        <f>8.2582 * CHOOSE(CONTROL!$C$32, $C$9, 100%, $E$9)</f>
        <v>8.2582000000000004</v>
      </c>
      <c r="D494" s="10">
        <f>8.2592 * CHOOSE(CONTROL!$C$32, $C$9, 100%, $E$9)</f>
        <v>8.2591999999999999</v>
      </c>
      <c r="E494" s="9">
        <f>7.2875 * CHOOSE(CONTROL!$C$32, $C$9, 100%, $E$9)</f>
        <v>7.2874999999999996</v>
      </c>
      <c r="F494" s="9">
        <f>7.2875 * CHOOSE(CONTROL!$C$32, $C$9, 100%, $E$9)</f>
        <v>7.2874999999999996</v>
      </c>
      <c r="G494" s="9">
        <f>7.2909 * CHOOSE(CONTROL!$C$32, $C$9, 100%, $E$9)</f>
        <v>7.2908999999999997</v>
      </c>
      <c r="H494" s="9">
        <f>9.9665 * CHOOSE(CONTROL!$C$32, $C$9, 100%, $E$9)</f>
        <v>9.9664999999999999</v>
      </c>
      <c r="I494" s="9">
        <f>9.9699 * CHOOSE(CONTROL!$C$32, $C$9, 100%, $E$9)</f>
        <v>9.9699000000000009</v>
      </c>
      <c r="J494" s="9">
        <f>9.9665 * CHOOSE(CONTROL!$C$32, $C$9, 100%, $E$9)</f>
        <v>9.9664999999999999</v>
      </c>
      <c r="K494" s="9">
        <f>9.9699 * CHOOSE(CONTROL!$C$32, $C$9, 100%, $E$9)</f>
        <v>9.9699000000000009</v>
      </c>
      <c r="L494" s="9">
        <f>7.2875 * CHOOSE(CONTROL!$C$32, $C$9, 100%, $E$9)</f>
        <v>7.2874999999999996</v>
      </c>
      <c r="M494" s="9">
        <f>7.2909 * CHOOSE(CONTROL!$C$32, $C$9, 100%, $E$9)</f>
        <v>7.2908999999999997</v>
      </c>
      <c r="N494" s="9">
        <f>7.2875 * CHOOSE(CONTROL!$C$32, $C$9, 100%, $E$9)</f>
        <v>7.2874999999999996</v>
      </c>
      <c r="O494" s="9">
        <f>7.2909 * CHOOSE(CONTROL!$C$32, $C$9, 100%, $E$9)</f>
        <v>7.2908999999999997</v>
      </c>
    </row>
    <row r="495" spans="1:15" ht="15.75" x14ac:dyDescent="0.25">
      <c r="A495" s="14">
        <v>55943</v>
      </c>
      <c r="B495" s="10">
        <f>8.2551 * CHOOSE(CONTROL!$C$32, $C$9, 100%, $E$9)</f>
        <v>8.2551000000000005</v>
      </c>
      <c r="C495" s="10">
        <f>8.2551 * CHOOSE(CONTROL!$C$32, $C$9, 100%, $E$9)</f>
        <v>8.2551000000000005</v>
      </c>
      <c r="D495" s="10">
        <f>8.2561 * CHOOSE(CONTROL!$C$32, $C$9, 100%, $E$9)</f>
        <v>8.2561</v>
      </c>
      <c r="E495" s="9">
        <f>7.1267 * CHOOSE(CONTROL!$C$32, $C$9, 100%, $E$9)</f>
        <v>7.1266999999999996</v>
      </c>
      <c r="F495" s="9">
        <f>7.1267 * CHOOSE(CONTROL!$C$32, $C$9, 100%, $E$9)</f>
        <v>7.1266999999999996</v>
      </c>
      <c r="G495" s="9">
        <f>7.1301 * CHOOSE(CONTROL!$C$32, $C$9, 100%, $E$9)</f>
        <v>7.1300999999999997</v>
      </c>
      <c r="H495" s="9">
        <f>9.9645 * CHOOSE(CONTROL!$C$32, $C$9, 100%, $E$9)</f>
        <v>9.9644999999999992</v>
      </c>
      <c r="I495" s="9">
        <f>9.9679 * CHOOSE(CONTROL!$C$32, $C$9, 100%, $E$9)</f>
        <v>9.9679000000000002</v>
      </c>
      <c r="J495" s="9">
        <f>9.9645 * CHOOSE(CONTROL!$C$32, $C$9, 100%, $E$9)</f>
        <v>9.9644999999999992</v>
      </c>
      <c r="K495" s="9">
        <f>9.9679 * CHOOSE(CONTROL!$C$32, $C$9, 100%, $E$9)</f>
        <v>9.9679000000000002</v>
      </c>
      <c r="L495" s="9">
        <f>7.1267 * CHOOSE(CONTROL!$C$32, $C$9, 100%, $E$9)</f>
        <v>7.1266999999999996</v>
      </c>
      <c r="M495" s="9">
        <f>7.1301 * CHOOSE(CONTROL!$C$32, $C$9, 100%, $E$9)</f>
        <v>7.1300999999999997</v>
      </c>
      <c r="N495" s="9">
        <f>7.1267 * CHOOSE(CONTROL!$C$32, $C$9, 100%, $E$9)</f>
        <v>7.1266999999999996</v>
      </c>
      <c r="O495" s="9">
        <f>7.1301 * CHOOSE(CONTROL!$C$32, $C$9, 100%, $E$9)</f>
        <v>7.1300999999999997</v>
      </c>
    </row>
    <row r="496" spans="1:15" ht="15.75" x14ac:dyDescent="0.25">
      <c r="A496" s="14">
        <v>55974</v>
      </c>
      <c r="B496" s="10">
        <f>8.2521 * CHOOSE(CONTROL!$C$32, $C$9, 100%, $E$9)</f>
        <v>8.2521000000000004</v>
      </c>
      <c r="C496" s="10">
        <f>8.2521 * CHOOSE(CONTROL!$C$32, $C$9, 100%, $E$9)</f>
        <v>8.2521000000000004</v>
      </c>
      <c r="D496" s="10">
        <f>8.2531 * CHOOSE(CONTROL!$C$32, $C$9, 100%, $E$9)</f>
        <v>8.2530999999999999</v>
      </c>
      <c r="E496" s="9">
        <f>7.2497 * CHOOSE(CONTROL!$C$32, $C$9, 100%, $E$9)</f>
        <v>7.2496999999999998</v>
      </c>
      <c r="F496" s="9">
        <f>7.2497 * CHOOSE(CONTROL!$C$32, $C$9, 100%, $E$9)</f>
        <v>7.2496999999999998</v>
      </c>
      <c r="G496" s="9">
        <f>7.2531 * CHOOSE(CONTROL!$C$32, $C$9, 100%, $E$9)</f>
        <v>7.2530999999999999</v>
      </c>
      <c r="H496" s="9">
        <f>9.9625 * CHOOSE(CONTROL!$C$32, $C$9, 100%, $E$9)</f>
        <v>9.9625000000000004</v>
      </c>
      <c r="I496" s="9">
        <f>9.9659 * CHOOSE(CONTROL!$C$32, $C$9, 100%, $E$9)</f>
        <v>9.9658999999999995</v>
      </c>
      <c r="J496" s="9">
        <f>9.9625 * CHOOSE(CONTROL!$C$32, $C$9, 100%, $E$9)</f>
        <v>9.9625000000000004</v>
      </c>
      <c r="K496" s="9">
        <f>9.9659 * CHOOSE(CONTROL!$C$32, $C$9, 100%, $E$9)</f>
        <v>9.9658999999999995</v>
      </c>
      <c r="L496" s="9">
        <f>7.2497 * CHOOSE(CONTROL!$C$32, $C$9, 100%, $E$9)</f>
        <v>7.2496999999999998</v>
      </c>
      <c r="M496" s="9">
        <f>7.2531 * CHOOSE(CONTROL!$C$32, $C$9, 100%, $E$9)</f>
        <v>7.2530999999999999</v>
      </c>
      <c r="N496" s="9">
        <f>7.2497 * CHOOSE(CONTROL!$C$32, $C$9, 100%, $E$9)</f>
        <v>7.2496999999999998</v>
      </c>
      <c r="O496" s="9">
        <f>7.2531 * CHOOSE(CONTROL!$C$32, $C$9, 100%, $E$9)</f>
        <v>7.2530999999999999</v>
      </c>
    </row>
    <row r="497" spans="1:15" ht="15.75" x14ac:dyDescent="0.25">
      <c r="A497" s="14">
        <v>56004</v>
      </c>
      <c r="B497" s="10">
        <f>8.2541 * CHOOSE(CONTROL!$C$32, $C$9, 100%, $E$9)</f>
        <v>8.2540999999999993</v>
      </c>
      <c r="C497" s="10">
        <f>8.2541 * CHOOSE(CONTROL!$C$32, $C$9, 100%, $E$9)</f>
        <v>8.2540999999999993</v>
      </c>
      <c r="D497" s="10">
        <f>8.2551 * CHOOSE(CONTROL!$C$32, $C$9, 100%, $E$9)</f>
        <v>8.2551000000000005</v>
      </c>
      <c r="E497" s="9">
        <f>7.3798 * CHOOSE(CONTROL!$C$32, $C$9, 100%, $E$9)</f>
        <v>7.3798000000000004</v>
      </c>
      <c r="F497" s="9">
        <f>7.3798 * CHOOSE(CONTROL!$C$32, $C$9, 100%, $E$9)</f>
        <v>7.3798000000000004</v>
      </c>
      <c r="G497" s="9">
        <f>7.3832 * CHOOSE(CONTROL!$C$32, $C$9, 100%, $E$9)</f>
        <v>7.3832000000000004</v>
      </c>
      <c r="H497" s="9">
        <f>9.9636 * CHOOSE(CONTROL!$C$32, $C$9, 100%, $E$9)</f>
        <v>9.9635999999999996</v>
      </c>
      <c r="I497" s="9">
        <f>9.967 * CHOOSE(CONTROL!$C$32, $C$9, 100%, $E$9)</f>
        <v>9.9670000000000005</v>
      </c>
      <c r="J497" s="9">
        <f>9.9636 * CHOOSE(CONTROL!$C$32, $C$9, 100%, $E$9)</f>
        <v>9.9635999999999996</v>
      </c>
      <c r="K497" s="9">
        <f>9.967 * CHOOSE(CONTROL!$C$32, $C$9, 100%, $E$9)</f>
        <v>9.9670000000000005</v>
      </c>
      <c r="L497" s="9">
        <f>7.3798 * CHOOSE(CONTROL!$C$32, $C$9, 100%, $E$9)</f>
        <v>7.3798000000000004</v>
      </c>
      <c r="M497" s="9">
        <f>7.3832 * CHOOSE(CONTROL!$C$32, $C$9, 100%, $E$9)</f>
        <v>7.3832000000000004</v>
      </c>
      <c r="N497" s="9">
        <f>7.3798 * CHOOSE(CONTROL!$C$32, $C$9, 100%, $E$9)</f>
        <v>7.3798000000000004</v>
      </c>
      <c r="O497" s="9">
        <f>7.3832 * CHOOSE(CONTROL!$C$32, $C$9, 100%, $E$9)</f>
        <v>7.3832000000000004</v>
      </c>
    </row>
    <row r="498" spans="1:15" ht="15.75" x14ac:dyDescent="0.25">
      <c r="A498" s="14">
        <v>56035</v>
      </c>
      <c r="B498" s="10">
        <f>8.2541 * CHOOSE(CONTROL!$C$32, $C$9, 100%, $E$9)</f>
        <v>8.2540999999999993</v>
      </c>
      <c r="C498" s="10">
        <f>8.2541 * CHOOSE(CONTROL!$C$32, $C$9, 100%, $E$9)</f>
        <v>8.2540999999999993</v>
      </c>
      <c r="D498" s="10">
        <f>8.2554 * CHOOSE(CONTROL!$C$32, $C$9, 100%, $E$9)</f>
        <v>8.2553999999999998</v>
      </c>
      <c r="E498" s="9">
        <f>7.4302 * CHOOSE(CONTROL!$C$32, $C$9, 100%, $E$9)</f>
        <v>7.4302000000000001</v>
      </c>
      <c r="F498" s="9">
        <f>7.4302 * CHOOSE(CONTROL!$C$32, $C$9, 100%, $E$9)</f>
        <v>7.4302000000000001</v>
      </c>
      <c r="G498" s="9">
        <f>7.4345 * CHOOSE(CONTROL!$C$32, $C$9, 100%, $E$9)</f>
        <v>7.4344999999999999</v>
      </c>
      <c r="H498" s="9">
        <f>9.9636 * CHOOSE(CONTROL!$C$32, $C$9, 100%, $E$9)</f>
        <v>9.9635999999999996</v>
      </c>
      <c r="I498" s="9">
        <f>9.9679 * CHOOSE(CONTROL!$C$32, $C$9, 100%, $E$9)</f>
        <v>9.9679000000000002</v>
      </c>
      <c r="J498" s="9">
        <f>9.9636 * CHOOSE(CONTROL!$C$32, $C$9, 100%, $E$9)</f>
        <v>9.9635999999999996</v>
      </c>
      <c r="K498" s="9">
        <f>9.9679 * CHOOSE(CONTROL!$C$32, $C$9, 100%, $E$9)</f>
        <v>9.9679000000000002</v>
      </c>
      <c r="L498" s="9">
        <f>7.4302 * CHOOSE(CONTROL!$C$32, $C$9, 100%, $E$9)</f>
        <v>7.4302000000000001</v>
      </c>
      <c r="M498" s="9">
        <f>7.4345 * CHOOSE(CONTROL!$C$32, $C$9, 100%, $E$9)</f>
        <v>7.4344999999999999</v>
      </c>
      <c r="N498" s="9">
        <f>7.4302 * CHOOSE(CONTROL!$C$32, $C$9, 100%, $E$9)</f>
        <v>7.4302000000000001</v>
      </c>
      <c r="O498" s="9">
        <f>7.4345 * CHOOSE(CONTROL!$C$32, $C$9, 100%, $E$9)</f>
        <v>7.4344999999999999</v>
      </c>
    </row>
    <row r="499" spans="1:15" ht="15.75" x14ac:dyDescent="0.25">
      <c r="A499" s="14">
        <v>56065</v>
      </c>
      <c r="B499" s="10">
        <f>8.2602 * CHOOSE(CONTROL!$C$32, $C$9, 100%, $E$9)</f>
        <v>8.2601999999999993</v>
      </c>
      <c r="C499" s="10">
        <f>8.2602 * CHOOSE(CONTROL!$C$32, $C$9, 100%, $E$9)</f>
        <v>8.2601999999999993</v>
      </c>
      <c r="D499" s="10">
        <f>8.2615 * CHOOSE(CONTROL!$C$32, $C$9, 100%, $E$9)</f>
        <v>8.2614999999999998</v>
      </c>
      <c r="E499" s="9">
        <f>7.384 * CHOOSE(CONTROL!$C$32, $C$9, 100%, $E$9)</f>
        <v>7.3840000000000003</v>
      </c>
      <c r="F499" s="9">
        <f>7.384 * CHOOSE(CONTROL!$C$32, $C$9, 100%, $E$9)</f>
        <v>7.3840000000000003</v>
      </c>
      <c r="G499" s="9">
        <f>7.3884 * CHOOSE(CONTROL!$C$32, $C$9, 100%, $E$9)</f>
        <v>7.3883999999999999</v>
      </c>
      <c r="H499" s="9">
        <f>9.9676 * CHOOSE(CONTROL!$C$32, $C$9, 100%, $E$9)</f>
        <v>9.9675999999999991</v>
      </c>
      <c r="I499" s="9">
        <f>9.9719 * CHOOSE(CONTROL!$C$32, $C$9, 100%, $E$9)</f>
        <v>9.9718999999999998</v>
      </c>
      <c r="J499" s="9">
        <f>9.9676 * CHOOSE(CONTROL!$C$32, $C$9, 100%, $E$9)</f>
        <v>9.9675999999999991</v>
      </c>
      <c r="K499" s="9">
        <f>9.9719 * CHOOSE(CONTROL!$C$32, $C$9, 100%, $E$9)</f>
        <v>9.9718999999999998</v>
      </c>
      <c r="L499" s="9">
        <f>7.384 * CHOOSE(CONTROL!$C$32, $C$9, 100%, $E$9)</f>
        <v>7.3840000000000003</v>
      </c>
      <c r="M499" s="9">
        <f>7.3884 * CHOOSE(CONTROL!$C$32, $C$9, 100%, $E$9)</f>
        <v>7.3883999999999999</v>
      </c>
      <c r="N499" s="9">
        <f>7.384 * CHOOSE(CONTROL!$C$32, $C$9, 100%, $E$9)</f>
        <v>7.3840000000000003</v>
      </c>
      <c r="O499" s="9">
        <f>7.3884 * CHOOSE(CONTROL!$C$32, $C$9, 100%, $E$9)</f>
        <v>7.3883999999999999</v>
      </c>
    </row>
    <row r="500" spans="1:15" ht="15.75" x14ac:dyDescent="0.25">
      <c r="A500" s="14">
        <v>56096</v>
      </c>
      <c r="B500" s="10">
        <f>8.3783 * CHOOSE(CONTROL!$C$32, $C$9, 100%, $E$9)</f>
        <v>8.3782999999999994</v>
      </c>
      <c r="C500" s="10">
        <f>8.3783 * CHOOSE(CONTROL!$C$32, $C$9, 100%, $E$9)</f>
        <v>8.3782999999999994</v>
      </c>
      <c r="D500" s="10">
        <f>8.3796 * CHOOSE(CONTROL!$C$32, $C$9, 100%, $E$9)</f>
        <v>8.3795999999999999</v>
      </c>
      <c r="E500" s="9">
        <f>7.4705 * CHOOSE(CONTROL!$C$32, $C$9, 100%, $E$9)</f>
        <v>7.4705000000000004</v>
      </c>
      <c r="F500" s="9">
        <f>7.4705 * CHOOSE(CONTROL!$C$32, $C$9, 100%, $E$9)</f>
        <v>7.4705000000000004</v>
      </c>
      <c r="G500" s="9">
        <f>7.4749 * CHOOSE(CONTROL!$C$32, $C$9, 100%, $E$9)</f>
        <v>7.4748999999999999</v>
      </c>
      <c r="H500" s="9">
        <f>10.1176 * CHOOSE(CONTROL!$C$32, $C$9, 100%, $E$9)</f>
        <v>10.117599999999999</v>
      </c>
      <c r="I500" s="9">
        <f>10.122 * CHOOSE(CONTROL!$C$32, $C$9, 100%, $E$9)</f>
        <v>10.122</v>
      </c>
      <c r="J500" s="9">
        <f>10.1176 * CHOOSE(CONTROL!$C$32, $C$9, 100%, $E$9)</f>
        <v>10.117599999999999</v>
      </c>
      <c r="K500" s="9">
        <f>10.122 * CHOOSE(CONTROL!$C$32, $C$9, 100%, $E$9)</f>
        <v>10.122</v>
      </c>
      <c r="L500" s="9">
        <f>7.4705 * CHOOSE(CONTROL!$C$32, $C$9, 100%, $E$9)</f>
        <v>7.4705000000000004</v>
      </c>
      <c r="M500" s="9">
        <f>7.4749 * CHOOSE(CONTROL!$C$32, $C$9, 100%, $E$9)</f>
        <v>7.4748999999999999</v>
      </c>
      <c r="N500" s="9">
        <f>7.4705 * CHOOSE(CONTROL!$C$32, $C$9, 100%, $E$9)</f>
        <v>7.4705000000000004</v>
      </c>
      <c r="O500" s="9">
        <f>7.4749 * CHOOSE(CONTROL!$C$32, $C$9, 100%, $E$9)</f>
        <v>7.4748999999999999</v>
      </c>
    </row>
    <row r="501" spans="1:15" ht="15.75" x14ac:dyDescent="0.25">
      <c r="A501" s="14">
        <v>56127</v>
      </c>
      <c r="B501" s="10">
        <f>8.385 * CHOOSE(CONTROL!$C$32, $C$9, 100%, $E$9)</f>
        <v>8.3849999999999998</v>
      </c>
      <c r="C501" s="10">
        <f>8.385 * CHOOSE(CONTROL!$C$32, $C$9, 100%, $E$9)</f>
        <v>8.3849999999999998</v>
      </c>
      <c r="D501" s="10">
        <f>8.3863 * CHOOSE(CONTROL!$C$32, $C$9, 100%, $E$9)</f>
        <v>8.3863000000000003</v>
      </c>
      <c r="E501" s="9">
        <f>7.324 * CHOOSE(CONTROL!$C$32, $C$9, 100%, $E$9)</f>
        <v>7.3239999999999998</v>
      </c>
      <c r="F501" s="9">
        <f>7.324 * CHOOSE(CONTROL!$C$32, $C$9, 100%, $E$9)</f>
        <v>7.3239999999999998</v>
      </c>
      <c r="G501" s="9">
        <f>7.3284 * CHOOSE(CONTROL!$C$32, $C$9, 100%, $E$9)</f>
        <v>7.3284000000000002</v>
      </c>
      <c r="H501" s="9">
        <f>10.122 * CHOOSE(CONTROL!$C$32, $C$9, 100%, $E$9)</f>
        <v>10.122</v>
      </c>
      <c r="I501" s="9">
        <f>10.1264 * CHOOSE(CONTROL!$C$32, $C$9, 100%, $E$9)</f>
        <v>10.1264</v>
      </c>
      <c r="J501" s="9">
        <f>10.122 * CHOOSE(CONTROL!$C$32, $C$9, 100%, $E$9)</f>
        <v>10.122</v>
      </c>
      <c r="K501" s="9">
        <f>10.1264 * CHOOSE(CONTROL!$C$32, $C$9, 100%, $E$9)</f>
        <v>10.1264</v>
      </c>
      <c r="L501" s="9">
        <f>7.324 * CHOOSE(CONTROL!$C$32, $C$9, 100%, $E$9)</f>
        <v>7.3239999999999998</v>
      </c>
      <c r="M501" s="9">
        <f>7.3284 * CHOOSE(CONTROL!$C$32, $C$9, 100%, $E$9)</f>
        <v>7.3284000000000002</v>
      </c>
      <c r="N501" s="9">
        <f>7.324 * CHOOSE(CONTROL!$C$32, $C$9, 100%, $E$9)</f>
        <v>7.3239999999999998</v>
      </c>
      <c r="O501" s="9">
        <f>7.3284 * CHOOSE(CONTROL!$C$32, $C$9, 100%, $E$9)</f>
        <v>7.3284000000000002</v>
      </c>
    </row>
    <row r="502" spans="1:15" ht="15.75" x14ac:dyDescent="0.25">
      <c r="A502" s="14">
        <v>56157</v>
      </c>
      <c r="B502" s="10">
        <f>8.382 * CHOOSE(CONTROL!$C$32, $C$9, 100%, $E$9)</f>
        <v>8.3819999999999997</v>
      </c>
      <c r="C502" s="10">
        <f>8.382 * CHOOSE(CONTROL!$C$32, $C$9, 100%, $E$9)</f>
        <v>8.3819999999999997</v>
      </c>
      <c r="D502" s="10">
        <f>8.3833 * CHOOSE(CONTROL!$C$32, $C$9, 100%, $E$9)</f>
        <v>8.3833000000000002</v>
      </c>
      <c r="E502" s="9">
        <f>7.3051 * CHOOSE(CONTROL!$C$32, $C$9, 100%, $E$9)</f>
        <v>7.3051000000000004</v>
      </c>
      <c r="F502" s="9">
        <f>7.3051 * CHOOSE(CONTROL!$C$32, $C$9, 100%, $E$9)</f>
        <v>7.3051000000000004</v>
      </c>
      <c r="G502" s="9">
        <f>7.3095 * CHOOSE(CONTROL!$C$32, $C$9, 100%, $E$9)</f>
        <v>7.3094999999999999</v>
      </c>
      <c r="H502" s="9">
        <f>10.12 * CHOOSE(CONTROL!$C$32, $C$9, 100%, $E$9)</f>
        <v>10.119999999999999</v>
      </c>
      <c r="I502" s="9">
        <f>10.1244 * CHOOSE(CONTROL!$C$32, $C$9, 100%, $E$9)</f>
        <v>10.1244</v>
      </c>
      <c r="J502" s="9">
        <f>10.12 * CHOOSE(CONTROL!$C$32, $C$9, 100%, $E$9)</f>
        <v>10.119999999999999</v>
      </c>
      <c r="K502" s="9">
        <f>10.1244 * CHOOSE(CONTROL!$C$32, $C$9, 100%, $E$9)</f>
        <v>10.1244</v>
      </c>
      <c r="L502" s="9">
        <f>7.3051 * CHOOSE(CONTROL!$C$32, $C$9, 100%, $E$9)</f>
        <v>7.3051000000000004</v>
      </c>
      <c r="M502" s="9">
        <f>7.3095 * CHOOSE(CONTROL!$C$32, $C$9, 100%, $E$9)</f>
        <v>7.3094999999999999</v>
      </c>
      <c r="N502" s="9">
        <f>7.3051 * CHOOSE(CONTROL!$C$32, $C$9, 100%, $E$9)</f>
        <v>7.3051000000000004</v>
      </c>
      <c r="O502" s="9">
        <f>7.3095 * CHOOSE(CONTROL!$C$32, $C$9, 100%, $E$9)</f>
        <v>7.3094999999999999</v>
      </c>
    </row>
    <row r="503" spans="1:15" ht="15.75" x14ac:dyDescent="0.25">
      <c r="A503" s="14">
        <v>56188</v>
      </c>
      <c r="B503" s="10">
        <f>8.3944 * CHOOSE(CONTROL!$C$32, $C$9, 100%, $E$9)</f>
        <v>8.3943999999999992</v>
      </c>
      <c r="C503" s="10">
        <f>8.3944 * CHOOSE(CONTROL!$C$32, $C$9, 100%, $E$9)</f>
        <v>8.3943999999999992</v>
      </c>
      <c r="D503" s="10">
        <f>8.3955 * CHOOSE(CONTROL!$C$32, $C$9, 100%, $E$9)</f>
        <v>8.3955000000000002</v>
      </c>
      <c r="E503" s="9">
        <f>7.3589 * CHOOSE(CONTROL!$C$32, $C$9, 100%, $E$9)</f>
        <v>7.3589000000000002</v>
      </c>
      <c r="F503" s="9">
        <f>7.3589 * CHOOSE(CONTROL!$C$32, $C$9, 100%, $E$9)</f>
        <v>7.3589000000000002</v>
      </c>
      <c r="G503" s="9">
        <f>7.3623 * CHOOSE(CONTROL!$C$32, $C$9, 100%, $E$9)</f>
        <v>7.3623000000000003</v>
      </c>
      <c r="H503" s="9">
        <f>10.127 * CHOOSE(CONTROL!$C$32, $C$9, 100%, $E$9)</f>
        <v>10.127000000000001</v>
      </c>
      <c r="I503" s="9">
        <f>10.1304 * CHOOSE(CONTROL!$C$32, $C$9, 100%, $E$9)</f>
        <v>10.1304</v>
      </c>
      <c r="J503" s="9">
        <f>10.127 * CHOOSE(CONTROL!$C$32, $C$9, 100%, $E$9)</f>
        <v>10.127000000000001</v>
      </c>
      <c r="K503" s="9">
        <f>10.1304 * CHOOSE(CONTROL!$C$32, $C$9, 100%, $E$9)</f>
        <v>10.1304</v>
      </c>
      <c r="L503" s="9">
        <f>7.3589 * CHOOSE(CONTROL!$C$32, $C$9, 100%, $E$9)</f>
        <v>7.3589000000000002</v>
      </c>
      <c r="M503" s="9">
        <f>7.3623 * CHOOSE(CONTROL!$C$32, $C$9, 100%, $E$9)</f>
        <v>7.3623000000000003</v>
      </c>
      <c r="N503" s="9">
        <f>7.3589 * CHOOSE(CONTROL!$C$32, $C$9, 100%, $E$9)</f>
        <v>7.3589000000000002</v>
      </c>
      <c r="O503" s="9">
        <f>7.3623 * CHOOSE(CONTROL!$C$32, $C$9, 100%, $E$9)</f>
        <v>7.3623000000000003</v>
      </c>
    </row>
    <row r="504" spans="1:15" ht="15.75" x14ac:dyDescent="0.25">
      <c r="A504" s="14">
        <v>56218</v>
      </c>
      <c r="B504" s="10">
        <f>8.3975 * CHOOSE(CONTROL!$C$32, $C$9, 100%, $E$9)</f>
        <v>8.3975000000000009</v>
      </c>
      <c r="C504" s="10">
        <f>8.3975 * CHOOSE(CONTROL!$C$32, $C$9, 100%, $E$9)</f>
        <v>8.3975000000000009</v>
      </c>
      <c r="D504" s="10">
        <f>8.3985 * CHOOSE(CONTROL!$C$32, $C$9, 100%, $E$9)</f>
        <v>8.3985000000000003</v>
      </c>
      <c r="E504" s="9">
        <f>7.3946 * CHOOSE(CONTROL!$C$32, $C$9, 100%, $E$9)</f>
        <v>7.3945999999999996</v>
      </c>
      <c r="F504" s="9">
        <f>7.3946 * CHOOSE(CONTROL!$C$32, $C$9, 100%, $E$9)</f>
        <v>7.3945999999999996</v>
      </c>
      <c r="G504" s="9">
        <f>7.398 * CHOOSE(CONTROL!$C$32, $C$9, 100%, $E$9)</f>
        <v>7.3979999999999997</v>
      </c>
      <c r="H504" s="9">
        <f>10.129 * CHOOSE(CONTROL!$C$32, $C$9, 100%, $E$9)</f>
        <v>10.129</v>
      </c>
      <c r="I504" s="9">
        <f>10.1324 * CHOOSE(CONTROL!$C$32, $C$9, 100%, $E$9)</f>
        <v>10.132400000000001</v>
      </c>
      <c r="J504" s="9">
        <f>10.129 * CHOOSE(CONTROL!$C$32, $C$9, 100%, $E$9)</f>
        <v>10.129</v>
      </c>
      <c r="K504" s="9">
        <f>10.1324 * CHOOSE(CONTROL!$C$32, $C$9, 100%, $E$9)</f>
        <v>10.132400000000001</v>
      </c>
      <c r="L504" s="9">
        <f>7.3946 * CHOOSE(CONTROL!$C$32, $C$9, 100%, $E$9)</f>
        <v>7.3945999999999996</v>
      </c>
      <c r="M504" s="9">
        <f>7.398 * CHOOSE(CONTROL!$C$32, $C$9, 100%, $E$9)</f>
        <v>7.3979999999999997</v>
      </c>
      <c r="N504" s="9">
        <f>7.3946 * CHOOSE(CONTROL!$C$32, $C$9, 100%, $E$9)</f>
        <v>7.3945999999999996</v>
      </c>
      <c r="O504" s="9">
        <f>7.398 * CHOOSE(CONTROL!$C$32, $C$9, 100%, $E$9)</f>
        <v>7.3979999999999997</v>
      </c>
    </row>
    <row r="505" spans="1:15" ht="15.75" x14ac:dyDescent="0.25">
      <c r="A505" s="14">
        <v>56249</v>
      </c>
      <c r="B505" s="10">
        <f>8.3975 * CHOOSE(CONTROL!$C$32, $C$9, 100%, $E$9)</f>
        <v>8.3975000000000009</v>
      </c>
      <c r="C505" s="10">
        <f>8.3975 * CHOOSE(CONTROL!$C$32, $C$9, 100%, $E$9)</f>
        <v>8.3975000000000009</v>
      </c>
      <c r="D505" s="10">
        <f>8.3985 * CHOOSE(CONTROL!$C$32, $C$9, 100%, $E$9)</f>
        <v>8.3985000000000003</v>
      </c>
      <c r="E505" s="9">
        <f>7.3106 * CHOOSE(CONTROL!$C$32, $C$9, 100%, $E$9)</f>
        <v>7.3106</v>
      </c>
      <c r="F505" s="9">
        <f>7.3106 * CHOOSE(CONTROL!$C$32, $C$9, 100%, $E$9)</f>
        <v>7.3106</v>
      </c>
      <c r="G505" s="9">
        <f>7.314 * CHOOSE(CONTROL!$C$32, $C$9, 100%, $E$9)</f>
        <v>7.3140000000000001</v>
      </c>
      <c r="H505" s="9">
        <f>10.129 * CHOOSE(CONTROL!$C$32, $C$9, 100%, $E$9)</f>
        <v>10.129</v>
      </c>
      <c r="I505" s="9">
        <f>10.1324 * CHOOSE(CONTROL!$C$32, $C$9, 100%, $E$9)</f>
        <v>10.132400000000001</v>
      </c>
      <c r="J505" s="9">
        <f>10.129 * CHOOSE(CONTROL!$C$32, $C$9, 100%, $E$9)</f>
        <v>10.129</v>
      </c>
      <c r="K505" s="9">
        <f>10.1324 * CHOOSE(CONTROL!$C$32, $C$9, 100%, $E$9)</f>
        <v>10.132400000000001</v>
      </c>
      <c r="L505" s="9">
        <f>7.3106 * CHOOSE(CONTROL!$C$32, $C$9, 100%, $E$9)</f>
        <v>7.3106</v>
      </c>
      <c r="M505" s="9">
        <f>7.314 * CHOOSE(CONTROL!$C$32, $C$9, 100%, $E$9)</f>
        <v>7.3140000000000001</v>
      </c>
      <c r="N505" s="9">
        <f>7.3106 * CHOOSE(CONTROL!$C$32, $C$9, 100%, $E$9)</f>
        <v>7.3106</v>
      </c>
      <c r="O505" s="9">
        <f>7.314 * CHOOSE(CONTROL!$C$32, $C$9, 100%, $E$9)</f>
        <v>7.3140000000000001</v>
      </c>
    </row>
    <row r="506" spans="1:15" ht="15.75" x14ac:dyDescent="0.25">
      <c r="A506" s="14">
        <v>56280</v>
      </c>
      <c r="B506" s="10">
        <f>8.467 * CHOOSE(CONTROL!$C$32, $C$9, 100%, $E$9)</f>
        <v>8.4670000000000005</v>
      </c>
      <c r="C506" s="10">
        <f>8.467 * CHOOSE(CONTROL!$C$32, $C$9, 100%, $E$9)</f>
        <v>8.4670000000000005</v>
      </c>
      <c r="D506" s="10">
        <f>8.468 * CHOOSE(CONTROL!$C$32, $C$9, 100%, $E$9)</f>
        <v>8.468</v>
      </c>
      <c r="E506" s="9">
        <f>7.4223 * CHOOSE(CONTROL!$C$32, $C$9, 100%, $E$9)</f>
        <v>7.4222999999999999</v>
      </c>
      <c r="F506" s="9">
        <f>7.4223 * CHOOSE(CONTROL!$C$32, $C$9, 100%, $E$9)</f>
        <v>7.4222999999999999</v>
      </c>
      <c r="G506" s="9">
        <f>7.4257 * CHOOSE(CONTROL!$C$32, $C$9, 100%, $E$9)</f>
        <v>7.4257</v>
      </c>
      <c r="H506" s="9">
        <f>10.2042 * CHOOSE(CONTROL!$C$32, $C$9, 100%, $E$9)</f>
        <v>10.2042</v>
      </c>
      <c r="I506" s="9">
        <f>10.2076 * CHOOSE(CONTROL!$C$32, $C$9, 100%, $E$9)</f>
        <v>10.207599999999999</v>
      </c>
      <c r="J506" s="9">
        <f>10.2042 * CHOOSE(CONTROL!$C$32, $C$9, 100%, $E$9)</f>
        <v>10.2042</v>
      </c>
      <c r="K506" s="9">
        <f>10.2076 * CHOOSE(CONTROL!$C$32, $C$9, 100%, $E$9)</f>
        <v>10.207599999999999</v>
      </c>
      <c r="L506" s="9">
        <f>7.4223 * CHOOSE(CONTROL!$C$32, $C$9, 100%, $E$9)</f>
        <v>7.4222999999999999</v>
      </c>
      <c r="M506" s="9">
        <f>7.4257 * CHOOSE(CONTROL!$C$32, $C$9, 100%, $E$9)</f>
        <v>7.4257</v>
      </c>
      <c r="N506" s="9">
        <f>7.4223 * CHOOSE(CONTROL!$C$32, $C$9, 100%, $E$9)</f>
        <v>7.4222999999999999</v>
      </c>
      <c r="O506" s="9">
        <f>7.4257 * CHOOSE(CONTROL!$C$32, $C$9, 100%, $E$9)</f>
        <v>7.4257</v>
      </c>
    </row>
    <row r="507" spans="1:15" ht="15.75" x14ac:dyDescent="0.25">
      <c r="A507" s="14">
        <v>56308</v>
      </c>
      <c r="B507" s="10">
        <f>8.464 * CHOOSE(CONTROL!$C$32, $C$9, 100%, $E$9)</f>
        <v>8.4640000000000004</v>
      </c>
      <c r="C507" s="10">
        <f>8.464 * CHOOSE(CONTROL!$C$32, $C$9, 100%, $E$9)</f>
        <v>8.4640000000000004</v>
      </c>
      <c r="D507" s="10">
        <f>8.465 * CHOOSE(CONTROL!$C$32, $C$9, 100%, $E$9)</f>
        <v>8.4649999999999999</v>
      </c>
      <c r="E507" s="9">
        <f>7.2568 * CHOOSE(CONTROL!$C$32, $C$9, 100%, $E$9)</f>
        <v>7.2568000000000001</v>
      </c>
      <c r="F507" s="9">
        <f>7.2568 * CHOOSE(CONTROL!$C$32, $C$9, 100%, $E$9)</f>
        <v>7.2568000000000001</v>
      </c>
      <c r="G507" s="9">
        <f>7.2602 * CHOOSE(CONTROL!$C$32, $C$9, 100%, $E$9)</f>
        <v>7.2602000000000002</v>
      </c>
      <c r="H507" s="9">
        <f>10.2022 * CHOOSE(CONTROL!$C$32, $C$9, 100%, $E$9)</f>
        <v>10.202199999999999</v>
      </c>
      <c r="I507" s="9">
        <f>10.2056 * CHOOSE(CONTROL!$C$32, $C$9, 100%, $E$9)</f>
        <v>10.2056</v>
      </c>
      <c r="J507" s="9">
        <f>10.2022 * CHOOSE(CONTROL!$C$32, $C$9, 100%, $E$9)</f>
        <v>10.202199999999999</v>
      </c>
      <c r="K507" s="9">
        <f>10.2056 * CHOOSE(CONTROL!$C$32, $C$9, 100%, $E$9)</f>
        <v>10.2056</v>
      </c>
      <c r="L507" s="9">
        <f>7.2568 * CHOOSE(CONTROL!$C$32, $C$9, 100%, $E$9)</f>
        <v>7.2568000000000001</v>
      </c>
      <c r="M507" s="9">
        <f>7.2602 * CHOOSE(CONTROL!$C$32, $C$9, 100%, $E$9)</f>
        <v>7.2602000000000002</v>
      </c>
      <c r="N507" s="9">
        <f>7.2568 * CHOOSE(CONTROL!$C$32, $C$9, 100%, $E$9)</f>
        <v>7.2568000000000001</v>
      </c>
      <c r="O507" s="9">
        <f>7.2602 * CHOOSE(CONTROL!$C$32, $C$9, 100%, $E$9)</f>
        <v>7.2602000000000002</v>
      </c>
    </row>
    <row r="508" spans="1:15" ht="15.75" x14ac:dyDescent="0.25">
      <c r="A508" s="14">
        <v>56339</v>
      </c>
      <c r="B508" s="10">
        <f>8.4609 * CHOOSE(CONTROL!$C$32, $C$9, 100%, $E$9)</f>
        <v>8.4609000000000005</v>
      </c>
      <c r="C508" s="10">
        <f>8.4609 * CHOOSE(CONTROL!$C$32, $C$9, 100%, $E$9)</f>
        <v>8.4609000000000005</v>
      </c>
      <c r="D508" s="10">
        <f>8.462 * CHOOSE(CONTROL!$C$32, $C$9, 100%, $E$9)</f>
        <v>8.4619999999999997</v>
      </c>
      <c r="E508" s="9">
        <f>7.3835 * CHOOSE(CONTROL!$C$32, $C$9, 100%, $E$9)</f>
        <v>7.3834999999999997</v>
      </c>
      <c r="F508" s="9">
        <f>7.3835 * CHOOSE(CONTROL!$C$32, $C$9, 100%, $E$9)</f>
        <v>7.3834999999999997</v>
      </c>
      <c r="G508" s="9">
        <f>7.3869 * CHOOSE(CONTROL!$C$32, $C$9, 100%, $E$9)</f>
        <v>7.3868999999999998</v>
      </c>
      <c r="H508" s="9">
        <f>10.2002 * CHOOSE(CONTROL!$C$32, $C$9, 100%, $E$9)</f>
        <v>10.200200000000001</v>
      </c>
      <c r="I508" s="9">
        <f>10.2036 * CHOOSE(CONTROL!$C$32, $C$9, 100%, $E$9)</f>
        <v>10.2036</v>
      </c>
      <c r="J508" s="9">
        <f>10.2002 * CHOOSE(CONTROL!$C$32, $C$9, 100%, $E$9)</f>
        <v>10.200200000000001</v>
      </c>
      <c r="K508" s="9">
        <f>10.2036 * CHOOSE(CONTROL!$C$32, $C$9, 100%, $E$9)</f>
        <v>10.2036</v>
      </c>
      <c r="L508" s="9">
        <f>7.3835 * CHOOSE(CONTROL!$C$32, $C$9, 100%, $E$9)</f>
        <v>7.3834999999999997</v>
      </c>
      <c r="M508" s="9">
        <f>7.3869 * CHOOSE(CONTROL!$C$32, $C$9, 100%, $E$9)</f>
        <v>7.3868999999999998</v>
      </c>
      <c r="N508" s="9">
        <f>7.3835 * CHOOSE(CONTROL!$C$32, $C$9, 100%, $E$9)</f>
        <v>7.3834999999999997</v>
      </c>
      <c r="O508" s="9">
        <f>7.3869 * CHOOSE(CONTROL!$C$32, $C$9, 100%, $E$9)</f>
        <v>7.3868999999999998</v>
      </c>
    </row>
    <row r="509" spans="1:15" ht="15.75" x14ac:dyDescent="0.25">
      <c r="A509" s="14">
        <v>56369</v>
      </c>
      <c r="B509" s="10">
        <f>8.4632 * CHOOSE(CONTROL!$C$32, $C$9, 100%, $E$9)</f>
        <v>8.4632000000000005</v>
      </c>
      <c r="C509" s="10">
        <f>8.4632 * CHOOSE(CONTROL!$C$32, $C$9, 100%, $E$9)</f>
        <v>8.4632000000000005</v>
      </c>
      <c r="D509" s="10">
        <f>8.4642 * CHOOSE(CONTROL!$C$32, $C$9, 100%, $E$9)</f>
        <v>8.4641999999999999</v>
      </c>
      <c r="E509" s="9">
        <f>7.5176 * CHOOSE(CONTROL!$C$32, $C$9, 100%, $E$9)</f>
        <v>7.5175999999999998</v>
      </c>
      <c r="F509" s="9">
        <f>7.5176 * CHOOSE(CONTROL!$C$32, $C$9, 100%, $E$9)</f>
        <v>7.5175999999999998</v>
      </c>
      <c r="G509" s="9">
        <f>7.521 * CHOOSE(CONTROL!$C$32, $C$9, 100%, $E$9)</f>
        <v>7.5209999999999999</v>
      </c>
      <c r="H509" s="9">
        <f>10.2014 * CHOOSE(CONTROL!$C$32, $C$9, 100%, $E$9)</f>
        <v>10.2014</v>
      </c>
      <c r="I509" s="9">
        <f>10.2048 * CHOOSE(CONTROL!$C$32, $C$9, 100%, $E$9)</f>
        <v>10.204800000000001</v>
      </c>
      <c r="J509" s="9">
        <f>10.2014 * CHOOSE(CONTROL!$C$32, $C$9, 100%, $E$9)</f>
        <v>10.2014</v>
      </c>
      <c r="K509" s="9">
        <f>10.2048 * CHOOSE(CONTROL!$C$32, $C$9, 100%, $E$9)</f>
        <v>10.204800000000001</v>
      </c>
      <c r="L509" s="9">
        <f>7.5176 * CHOOSE(CONTROL!$C$32, $C$9, 100%, $E$9)</f>
        <v>7.5175999999999998</v>
      </c>
      <c r="M509" s="9">
        <f>7.521 * CHOOSE(CONTROL!$C$32, $C$9, 100%, $E$9)</f>
        <v>7.5209999999999999</v>
      </c>
      <c r="N509" s="9">
        <f>7.5176 * CHOOSE(CONTROL!$C$32, $C$9, 100%, $E$9)</f>
        <v>7.5175999999999998</v>
      </c>
      <c r="O509" s="9">
        <f>7.521 * CHOOSE(CONTROL!$C$32, $C$9, 100%, $E$9)</f>
        <v>7.5209999999999999</v>
      </c>
    </row>
    <row r="510" spans="1:15" ht="15.75" x14ac:dyDescent="0.25">
      <c r="A510" s="14">
        <v>56400</v>
      </c>
      <c r="B510" s="10">
        <f>8.4632 * CHOOSE(CONTROL!$C$32, $C$9, 100%, $E$9)</f>
        <v>8.4632000000000005</v>
      </c>
      <c r="C510" s="10">
        <f>8.4632 * CHOOSE(CONTROL!$C$32, $C$9, 100%, $E$9)</f>
        <v>8.4632000000000005</v>
      </c>
      <c r="D510" s="10">
        <f>8.4645 * CHOOSE(CONTROL!$C$32, $C$9, 100%, $E$9)</f>
        <v>8.4644999999999992</v>
      </c>
      <c r="E510" s="9">
        <f>7.5695 * CHOOSE(CONTROL!$C$32, $C$9, 100%, $E$9)</f>
        <v>7.5694999999999997</v>
      </c>
      <c r="F510" s="9">
        <f>7.5695 * CHOOSE(CONTROL!$C$32, $C$9, 100%, $E$9)</f>
        <v>7.5694999999999997</v>
      </c>
      <c r="G510" s="9">
        <f>7.5739 * CHOOSE(CONTROL!$C$32, $C$9, 100%, $E$9)</f>
        <v>7.5739000000000001</v>
      </c>
      <c r="H510" s="9">
        <f>10.2014 * CHOOSE(CONTROL!$C$32, $C$9, 100%, $E$9)</f>
        <v>10.2014</v>
      </c>
      <c r="I510" s="9">
        <f>10.2058 * CHOOSE(CONTROL!$C$32, $C$9, 100%, $E$9)</f>
        <v>10.2058</v>
      </c>
      <c r="J510" s="9">
        <f>10.2014 * CHOOSE(CONTROL!$C$32, $C$9, 100%, $E$9)</f>
        <v>10.2014</v>
      </c>
      <c r="K510" s="9">
        <f>10.2058 * CHOOSE(CONTROL!$C$32, $C$9, 100%, $E$9)</f>
        <v>10.2058</v>
      </c>
      <c r="L510" s="9">
        <f>7.5695 * CHOOSE(CONTROL!$C$32, $C$9, 100%, $E$9)</f>
        <v>7.5694999999999997</v>
      </c>
      <c r="M510" s="9">
        <f>7.5739 * CHOOSE(CONTROL!$C$32, $C$9, 100%, $E$9)</f>
        <v>7.5739000000000001</v>
      </c>
      <c r="N510" s="9">
        <f>7.5695 * CHOOSE(CONTROL!$C$32, $C$9, 100%, $E$9)</f>
        <v>7.5694999999999997</v>
      </c>
      <c r="O510" s="9">
        <f>7.5739 * CHOOSE(CONTROL!$C$32, $C$9, 100%, $E$9)</f>
        <v>7.5739000000000001</v>
      </c>
    </row>
    <row r="511" spans="1:15" ht="15.75" x14ac:dyDescent="0.25">
      <c r="A511" s="14">
        <v>56430</v>
      </c>
      <c r="B511" s="10">
        <f>8.4693 * CHOOSE(CONTROL!$C$32, $C$9, 100%, $E$9)</f>
        <v>8.4693000000000005</v>
      </c>
      <c r="C511" s="10">
        <f>8.4693 * CHOOSE(CONTROL!$C$32, $C$9, 100%, $E$9)</f>
        <v>8.4693000000000005</v>
      </c>
      <c r="D511" s="10">
        <f>8.4706 * CHOOSE(CONTROL!$C$32, $C$9, 100%, $E$9)</f>
        <v>8.4705999999999992</v>
      </c>
      <c r="E511" s="9">
        <f>7.5219 * CHOOSE(CONTROL!$C$32, $C$9, 100%, $E$9)</f>
        <v>7.5218999999999996</v>
      </c>
      <c r="F511" s="9">
        <f>7.5219 * CHOOSE(CONTROL!$C$32, $C$9, 100%, $E$9)</f>
        <v>7.5218999999999996</v>
      </c>
      <c r="G511" s="9">
        <f>7.5262 * CHOOSE(CONTROL!$C$32, $C$9, 100%, $E$9)</f>
        <v>7.5262000000000002</v>
      </c>
      <c r="H511" s="9">
        <f>10.2054 * CHOOSE(CONTROL!$C$32, $C$9, 100%, $E$9)</f>
        <v>10.205399999999999</v>
      </c>
      <c r="I511" s="9">
        <f>10.2098 * CHOOSE(CONTROL!$C$32, $C$9, 100%, $E$9)</f>
        <v>10.2098</v>
      </c>
      <c r="J511" s="9">
        <f>10.2054 * CHOOSE(CONTROL!$C$32, $C$9, 100%, $E$9)</f>
        <v>10.205399999999999</v>
      </c>
      <c r="K511" s="9">
        <f>10.2098 * CHOOSE(CONTROL!$C$32, $C$9, 100%, $E$9)</f>
        <v>10.2098</v>
      </c>
      <c r="L511" s="9">
        <f>7.5219 * CHOOSE(CONTROL!$C$32, $C$9, 100%, $E$9)</f>
        <v>7.5218999999999996</v>
      </c>
      <c r="M511" s="9">
        <f>7.5262 * CHOOSE(CONTROL!$C$32, $C$9, 100%, $E$9)</f>
        <v>7.5262000000000002</v>
      </c>
      <c r="N511" s="9">
        <f>7.5219 * CHOOSE(CONTROL!$C$32, $C$9, 100%, $E$9)</f>
        <v>7.5218999999999996</v>
      </c>
      <c r="O511" s="9">
        <f>7.5262 * CHOOSE(CONTROL!$C$32, $C$9, 100%, $E$9)</f>
        <v>7.5262000000000002</v>
      </c>
    </row>
    <row r="512" spans="1:15" ht="15.75" x14ac:dyDescent="0.25">
      <c r="A512" s="14">
        <v>56461</v>
      </c>
      <c r="B512" s="10">
        <f>8.59 * CHOOSE(CONTROL!$C$32, $C$9, 100%, $E$9)</f>
        <v>8.59</v>
      </c>
      <c r="C512" s="10">
        <f>8.59 * CHOOSE(CONTROL!$C$32, $C$9, 100%, $E$9)</f>
        <v>8.59</v>
      </c>
      <c r="D512" s="10">
        <f>8.5913 * CHOOSE(CONTROL!$C$32, $C$9, 100%, $E$9)</f>
        <v>8.5913000000000004</v>
      </c>
      <c r="E512" s="9">
        <f>7.6097 * CHOOSE(CONTROL!$C$32, $C$9, 100%, $E$9)</f>
        <v>7.6097000000000001</v>
      </c>
      <c r="F512" s="9">
        <f>7.6097 * CHOOSE(CONTROL!$C$32, $C$9, 100%, $E$9)</f>
        <v>7.6097000000000001</v>
      </c>
      <c r="G512" s="9">
        <f>7.6141 * CHOOSE(CONTROL!$C$32, $C$9, 100%, $E$9)</f>
        <v>7.6140999999999996</v>
      </c>
      <c r="H512" s="9">
        <f>10.3588 * CHOOSE(CONTROL!$C$32, $C$9, 100%, $E$9)</f>
        <v>10.3588</v>
      </c>
      <c r="I512" s="9">
        <f>10.3631 * CHOOSE(CONTROL!$C$32, $C$9, 100%, $E$9)</f>
        <v>10.363099999999999</v>
      </c>
      <c r="J512" s="9">
        <f>10.3588 * CHOOSE(CONTROL!$C$32, $C$9, 100%, $E$9)</f>
        <v>10.3588</v>
      </c>
      <c r="K512" s="9">
        <f>10.3631 * CHOOSE(CONTROL!$C$32, $C$9, 100%, $E$9)</f>
        <v>10.363099999999999</v>
      </c>
      <c r="L512" s="9">
        <f>7.6097 * CHOOSE(CONTROL!$C$32, $C$9, 100%, $E$9)</f>
        <v>7.6097000000000001</v>
      </c>
      <c r="M512" s="9">
        <f>7.6141 * CHOOSE(CONTROL!$C$32, $C$9, 100%, $E$9)</f>
        <v>7.6140999999999996</v>
      </c>
      <c r="N512" s="9">
        <f>7.6097 * CHOOSE(CONTROL!$C$32, $C$9, 100%, $E$9)</f>
        <v>7.6097000000000001</v>
      </c>
      <c r="O512" s="9">
        <f>7.6141 * CHOOSE(CONTROL!$C$32, $C$9, 100%, $E$9)</f>
        <v>7.6140999999999996</v>
      </c>
    </row>
    <row r="513" spans="1:15" ht="15.75" x14ac:dyDescent="0.25">
      <c r="A513" s="14">
        <v>56492</v>
      </c>
      <c r="B513" s="10">
        <f>8.5967 * CHOOSE(CONTROL!$C$32, $C$9, 100%, $E$9)</f>
        <v>8.5967000000000002</v>
      </c>
      <c r="C513" s="10">
        <f>8.5967 * CHOOSE(CONTROL!$C$32, $C$9, 100%, $E$9)</f>
        <v>8.5967000000000002</v>
      </c>
      <c r="D513" s="10">
        <f>8.598 * CHOOSE(CONTROL!$C$32, $C$9, 100%, $E$9)</f>
        <v>8.5980000000000008</v>
      </c>
      <c r="E513" s="9">
        <f>7.4587 * CHOOSE(CONTROL!$C$32, $C$9, 100%, $E$9)</f>
        <v>7.4587000000000003</v>
      </c>
      <c r="F513" s="9">
        <f>7.4587 * CHOOSE(CONTROL!$C$32, $C$9, 100%, $E$9)</f>
        <v>7.4587000000000003</v>
      </c>
      <c r="G513" s="9">
        <f>7.4631 * CHOOSE(CONTROL!$C$32, $C$9, 100%, $E$9)</f>
        <v>7.4630999999999998</v>
      </c>
      <c r="H513" s="9">
        <f>10.3632 * CHOOSE(CONTROL!$C$32, $C$9, 100%, $E$9)</f>
        <v>10.363200000000001</v>
      </c>
      <c r="I513" s="9">
        <f>10.3675 * CHOOSE(CONTROL!$C$32, $C$9, 100%, $E$9)</f>
        <v>10.3675</v>
      </c>
      <c r="J513" s="9">
        <f>10.3632 * CHOOSE(CONTROL!$C$32, $C$9, 100%, $E$9)</f>
        <v>10.363200000000001</v>
      </c>
      <c r="K513" s="9">
        <f>10.3675 * CHOOSE(CONTROL!$C$32, $C$9, 100%, $E$9)</f>
        <v>10.3675</v>
      </c>
      <c r="L513" s="9">
        <f>7.4587 * CHOOSE(CONTROL!$C$32, $C$9, 100%, $E$9)</f>
        <v>7.4587000000000003</v>
      </c>
      <c r="M513" s="9">
        <f>7.4631 * CHOOSE(CONTROL!$C$32, $C$9, 100%, $E$9)</f>
        <v>7.4630999999999998</v>
      </c>
      <c r="N513" s="9">
        <f>7.4587 * CHOOSE(CONTROL!$C$32, $C$9, 100%, $E$9)</f>
        <v>7.4587000000000003</v>
      </c>
      <c r="O513" s="9">
        <f>7.4631 * CHOOSE(CONTROL!$C$32, $C$9, 100%, $E$9)</f>
        <v>7.4630999999999998</v>
      </c>
    </row>
    <row r="514" spans="1:15" ht="15.75" x14ac:dyDescent="0.25">
      <c r="A514" s="14">
        <v>56522</v>
      </c>
      <c r="B514" s="10">
        <f>8.5937 * CHOOSE(CONTROL!$C$32, $C$9, 100%, $E$9)</f>
        <v>8.5937000000000001</v>
      </c>
      <c r="C514" s="10">
        <f>8.5937 * CHOOSE(CONTROL!$C$32, $C$9, 100%, $E$9)</f>
        <v>8.5937000000000001</v>
      </c>
      <c r="D514" s="10">
        <f>8.595 * CHOOSE(CONTROL!$C$32, $C$9, 100%, $E$9)</f>
        <v>8.5950000000000006</v>
      </c>
      <c r="E514" s="9">
        <f>7.4393 * CHOOSE(CONTROL!$C$32, $C$9, 100%, $E$9)</f>
        <v>7.4393000000000002</v>
      </c>
      <c r="F514" s="9">
        <f>7.4393 * CHOOSE(CONTROL!$C$32, $C$9, 100%, $E$9)</f>
        <v>7.4393000000000002</v>
      </c>
      <c r="G514" s="9">
        <f>7.4437 * CHOOSE(CONTROL!$C$32, $C$9, 100%, $E$9)</f>
        <v>7.4436999999999998</v>
      </c>
      <c r="H514" s="9">
        <f>10.3612 * CHOOSE(CONTROL!$C$32, $C$9, 100%, $E$9)</f>
        <v>10.3612</v>
      </c>
      <c r="I514" s="9">
        <f>10.3655 * CHOOSE(CONTROL!$C$32, $C$9, 100%, $E$9)</f>
        <v>10.365500000000001</v>
      </c>
      <c r="J514" s="9">
        <f>10.3612 * CHOOSE(CONTROL!$C$32, $C$9, 100%, $E$9)</f>
        <v>10.3612</v>
      </c>
      <c r="K514" s="9">
        <f>10.3655 * CHOOSE(CONTROL!$C$32, $C$9, 100%, $E$9)</f>
        <v>10.365500000000001</v>
      </c>
      <c r="L514" s="9">
        <f>7.4393 * CHOOSE(CONTROL!$C$32, $C$9, 100%, $E$9)</f>
        <v>7.4393000000000002</v>
      </c>
      <c r="M514" s="9">
        <f>7.4437 * CHOOSE(CONTROL!$C$32, $C$9, 100%, $E$9)</f>
        <v>7.4436999999999998</v>
      </c>
      <c r="N514" s="9">
        <f>7.4393 * CHOOSE(CONTROL!$C$32, $C$9, 100%, $E$9)</f>
        <v>7.4393000000000002</v>
      </c>
      <c r="O514" s="9">
        <f>7.4437 * CHOOSE(CONTROL!$C$32, $C$9, 100%, $E$9)</f>
        <v>7.4436999999999998</v>
      </c>
    </row>
    <row r="515" spans="1:15" ht="15.75" x14ac:dyDescent="0.25">
      <c r="A515" s="14">
        <v>56553</v>
      </c>
      <c r="B515" s="10">
        <f>8.607 * CHOOSE(CONTROL!$C$32, $C$9, 100%, $E$9)</f>
        <v>8.6069999999999993</v>
      </c>
      <c r="C515" s="10">
        <f>8.607 * CHOOSE(CONTROL!$C$32, $C$9, 100%, $E$9)</f>
        <v>8.6069999999999993</v>
      </c>
      <c r="D515" s="10">
        <f>8.608 * CHOOSE(CONTROL!$C$32, $C$9, 100%, $E$9)</f>
        <v>8.6080000000000005</v>
      </c>
      <c r="E515" s="9">
        <f>7.4951 * CHOOSE(CONTROL!$C$32, $C$9, 100%, $E$9)</f>
        <v>7.4950999999999999</v>
      </c>
      <c r="F515" s="9">
        <f>7.4951 * CHOOSE(CONTROL!$C$32, $C$9, 100%, $E$9)</f>
        <v>7.4950999999999999</v>
      </c>
      <c r="G515" s="9">
        <f>7.4985 * CHOOSE(CONTROL!$C$32, $C$9, 100%, $E$9)</f>
        <v>7.4984999999999999</v>
      </c>
      <c r="H515" s="9">
        <f>10.3687 * CHOOSE(CONTROL!$C$32, $C$9, 100%, $E$9)</f>
        <v>10.3687</v>
      </c>
      <c r="I515" s="9">
        <f>10.3721 * CHOOSE(CONTROL!$C$32, $C$9, 100%, $E$9)</f>
        <v>10.3721</v>
      </c>
      <c r="J515" s="9">
        <f>10.3687 * CHOOSE(CONTROL!$C$32, $C$9, 100%, $E$9)</f>
        <v>10.3687</v>
      </c>
      <c r="K515" s="9">
        <f>10.3721 * CHOOSE(CONTROL!$C$32, $C$9, 100%, $E$9)</f>
        <v>10.3721</v>
      </c>
      <c r="L515" s="9">
        <f>7.4951 * CHOOSE(CONTROL!$C$32, $C$9, 100%, $E$9)</f>
        <v>7.4950999999999999</v>
      </c>
      <c r="M515" s="9">
        <f>7.4985 * CHOOSE(CONTROL!$C$32, $C$9, 100%, $E$9)</f>
        <v>7.4984999999999999</v>
      </c>
      <c r="N515" s="9">
        <f>7.4951 * CHOOSE(CONTROL!$C$32, $C$9, 100%, $E$9)</f>
        <v>7.4950999999999999</v>
      </c>
      <c r="O515" s="9">
        <f>7.4985 * CHOOSE(CONTROL!$C$32, $C$9, 100%, $E$9)</f>
        <v>7.4984999999999999</v>
      </c>
    </row>
    <row r="516" spans="1:15" ht="15.75" x14ac:dyDescent="0.25">
      <c r="A516" s="14">
        <v>56583</v>
      </c>
      <c r="B516" s="10">
        <f>8.61 * CHOOSE(CONTROL!$C$32, $C$9, 100%, $E$9)</f>
        <v>8.61</v>
      </c>
      <c r="C516" s="10">
        <f>8.61 * CHOOSE(CONTROL!$C$32, $C$9, 100%, $E$9)</f>
        <v>8.61</v>
      </c>
      <c r="D516" s="10">
        <f>8.611 * CHOOSE(CONTROL!$C$32, $C$9, 100%, $E$9)</f>
        <v>8.6110000000000007</v>
      </c>
      <c r="E516" s="9">
        <f>7.5318 * CHOOSE(CONTROL!$C$32, $C$9, 100%, $E$9)</f>
        <v>7.5317999999999996</v>
      </c>
      <c r="F516" s="9">
        <f>7.5318 * CHOOSE(CONTROL!$C$32, $C$9, 100%, $E$9)</f>
        <v>7.5317999999999996</v>
      </c>
      <c r="G516" s="9">
        <f>7.5352 * CHOOSE(CONTROL!$C$32, $C$9, 100%, $E$9)</f>
        <v>7.5351999999999997</v>
      </c>
      <c r="H516" s="9">
        <f>10.3707 * CHOOSE(CONTROL!$C$32, $C$9, 100%, $E$9)</f>
        <v>10.370699999999999</v>
      </c>
      <c r="I516" s="9">
        <f>10.3741 * CHOOSE(CONTROL!$C$32, $C$9, 100%, $E$9)</f>
        <v>10.3741</v>
      </c>
      <c r="J516" s="9">
        <f>10.3707 * CHOOSE(CONTROL!$C$32, $C$9, 100%, $E$9)</f>
        <v>10.370699999999999</v>
      </c>
      <c r="K516" s="9">
        <f>10.3741 * CHOOSE(CONTROL!$C$32, $C$9, 100%, $E$9)</f>
        <v>10.3741</v>
      </c>
      <c r="L516" s="9">
        <f>7.5318 * CHOOSE(CONTROL!$C$32, $C$9, 100%, $E$9)</f>
        <v>7.5317999999999996</v>
      </c>
      <c r="M516" s="9">
        <f>7.5352 * CHOOSE(CONTROL!$C$32, $C$9, 100%, $E$9)</f>
        <v>7.5351999999999997</v>
      </c>
      <c r="N516" s="9">
        <f>7.5318 * CHOOSE(CONTROL!$C$32, $C$9, 100%, $E$9)</f>
        <v>7.5317999999999996</v>
      </c>
      <c r="O516" s="9">
        <f>7.5352 * CHOOSE(CONTROL!$C$32, $C$9, 100%, $E$9)</f>
        <v>7.5351999999999997</v>
      </c>
    </row>
    <row r="517" spans="1:15" ht="15.75" x14ac:dyDescent="0.25">
      <c r="A517" s="14">
        <v>56614</v>
      </c>
      <c r="B517" s="10">
        <f>8.61 * CHOOSE(CONTROL!$C$32, $C$9, 100%, $E$9)</f>
        <v>8.61</v>
      </c>
      <c r="C517" s="10">
        <f>8.61 * CHOOSE(CONTROL!$C$32, $C$9, 100%, $E$9)</f>
        <v>8.61</v>
      </c>
      <c r="D517" s="10">
        <f>8.611 * CHOOSE(CONTROL!$C$32, $C$9, 100%, $E$9)</f>
        <v>8.6110000000000007</v>
      </c>
      <c r="E517" s="9">
        <f>7.4453 * CHOOSE(CONTROL!$C$32, $C$9, 100%, $E$9)</f>
        <v>7.4452999999999996</v>
      </c>
      <c r="F517" s="9">
        <f>7.4453 * CHOOSE(CONTROL!$C$32, $C$9, 100%, $E$9)</f>
        <v>7.4452999999999996</v>
      </c>
      <c r="G517" s="9">
        <f>7.4487 * CHOOSE(CONTROL!$C$32, $C$9, 100%, $E$9)</f>
        <v>7.4486999999999997</v>
      </c>
      <c r="H517" s="9">
        <f>10.3707 * CHOOSE(CONTROL!$C$32, $C$9, 100%, $E$9)</f>
        <v>10.370699999999999</v>
      </c>
      <c r="I517" s="9">
        <f>10.3741 * CHOOSE(CONTROL!$C$32, $C$9, 100%, $E$9)</f>
        <v>10.3741</v>
      </c>
      <c r="J517" s="9">
        <f>10.3707 * CHOOSE(CONTROL!$C$32, $C$9, 100%, $E$9)</f>
        <v>10.370699999999999</v>
      </c>
      <c r="K517" s="9">
        <f>10.3741 * CHOOSE(CONTROL!$C$32, $C$9, 100%, $E$9)</f>
        <v>10.3741</v>
      </c>
      <c r="L517" s="9">
        <f>7.4453 * CHOOSE(CONTROL!$C$32, $C$9, 100%, $E$9)</f>
        <v>7.4452999999999996</v>
      </c>
      <c r="M517" s="9">
        <f>7.4487 * CHOOSE(CONTROL!$C$32, $C$9, 100%, $E$9)</f>
        <v>7.4486999999999997</v>
      </c>
      <c r="N517" s="9">
        <f>7.4453 * CHOOSE(CONTROL!$C$32, $C$9, 100%, $E$9)</f>
        <v>7.4452999999999996</v>
      </c>
      <c r="O517" s="9">
        <f>7.4487 * CHOOSE(CONTROL!$C$32, $C$9, 100%, $E$9)</f>
        <v>7.4486999999999997</v>
      </c>
    </row>
    <row r="518" spans="1:15" ht="15.75" x14ac:dyDescent="0.25">
      <c r="A518" s="13">
        <v>56645</v>
      </c>
      <c r="B518" s="10">
        <f>8.6812 * CHOOSE(CONTROL!$C$32, $C$9, 100%, $E$9)</f>
        <v>8.6812000000000005</v>
      </c>
      <c r="C518" s="10">
        <f>8.6812 * CHOOSE(CONTROL!$C$32, $C$9, 100%, $E$9)</f>
        <v>8.6812000000000005</v>
      </c>
      <c r="D518" s="10">
        <f>8.6822 * CHOOSE(CONTROL!$C$32, $C$9, 100%, $E$9)</f>
        <v>8.6821999999999999</v>
      </c>
      <c r="E518" s="9">
        <f>7.5599 * CHOOSE(CONTROL!$C$32, $C$9, 100%, $E$9)</f>
        <v>7.5598999999999998</v>
      </c>
      <c r="F518" s="9">
        <f>7.5599 * CHOOSE(CONTROL!$C$32, $C$9, 100%, $E$9)</f>
        <v>7.5598999999999998</v>
      </c>
      <c r="G518" s="9">
        <f>7.5633 * CHOOSE(CONTROL!$C$32, $C$9, 100%, $E$9)</f>
        <v>7.5632999999999999</v>
      </c>
      <c r="H518" s="9">
        <f>10.4476 * CHOOSE(CONTROL!$C$32, $C$9, 100%, $E$9)</f>
        <v>10.4476</v>
      </c>
      <c r="I518" s="9">
        <f>10.451 * CHOOSE(CONTROL!$C$32, $C$9, 100%, $E$9)</f>
        <v>10.451000000000001</v>
      </c>
      <c r="J518" s="9">
        <f>10.4476 * CHOOSE(CONTROL!$C$32, $C$9, 100%, $E$9)</f>
        <v>10.4476</v>
      </c>
      <c r="K518" s="9">
        <f>10.451 * CHOOSE(CONTROL!$C$32, $C$9, 100%, $E$9)</f>
        <v>10.451000000000001</v>
      </c>
      <c r="L518" s="9">
        <f>7.5599 * CHOOSE(CONTROL!$C$32, $C$9, 100%, $E$9)</f>
        <v>7.5598999999999998</v>
      </c>
      <c r="M518" s="9">
        <f>7.5633 * CHOOSE(CONTROL!$C$32, $C$9, 100%, $E$9)</f>
        <v>7.5632999999999999</v>
      </c>
      <c r="N518" s="9">
        <f>7.5599 * CHOOSE(CONTROL!$C$32, $C$9, 100%, $E$9)</f>
        <v>7.5598999999999998</v>
      </c>
      <c r="O518" s="9">
        <f>7.5633 * CHOOSE(CONTROL!$C$32, $C$9, 100%, $E$9)</f>
        <v>7.5632999999999999</v>
      </c>
    </row>
    <row r="519" spans="1:15" ht="15.75" x14ac:dyDescent="0.25">
      <c r="A519" s="13">
        <v>56673</v>
      </c>
      <c r="B519" s="10">
        <f>8.6782 * CHOOSE(CONTROL!$C$32, $C$9, 100%, $E$9)</f>
        <v>8.6782000000000004</v>
      </c>
      <c r="C519" s="10">
        <f>8.6782 * CHOOSE(CONTROL!$C$32, $C$9, 100%, $E$9)</f>
        <v>8.6782000000000004</v>
      </c>
      <c r="D519" s="10">
        <f>8.6792 * CHOOSE(CONTROL!$C$32, $C$9, 100%, $E$9)</f>
        <v>8.6791999999999998</v>
      </c>
      <c r="E519" s="9">
        <f>7.3895 * CHOOSE(CONTROL!$C$32, $C$9, 100%, $E$9)</f>
        <v>7.3895</v>
      </c>
      <c r="F519" s="9">
        <f>7.3895 * CHOOSE(CONTROL!$C$32, $C$9, 100%, $E$9)</f>
        <v>7.3895</v>
      </c>
      <c r="G519" s="9">
        <f>7.3928 * CHOOSE(CONTROL!$C$32, $C$9, 100%, $E$9)</f>
        <v>7.3928000000000003</v>
      </c>
      <c r="H519" s="9">
        <f>10.4456 * CHOOSE(CONTROL!$C$32, $C$9, 100%, $E$9)</f>
        <v>10.445600000000001</v>
      </c>
      <c r="I519" s="9">
        <f>10.449 * CHOOSE(CONTROL!$C$32, $C$9, 100%, $E$9)</f>
        <v>10.449</v>
      </c>
      <c r="J519" s="9">
        <f>10.4456 * CHOOSE(CONTROL!$C$32, $C$9, 100%, $E$9)</f>
        <v>10.445600000000001</v>
      </c>
      <c r="K519" s="9">
        <f>10.449 * CHOOSE(CONTROL!$C$32, $C$9, 100%, $E$9)</f>
        <v>10.449</v>
      </c>
      <c r="L519" s="9">
        <f>7.3895 * CHOOSE(CONTROL!$C$32, $C$9, 100%, $E$9)</f>
        <v>7.3895</v>
      </c>
      <c r="M519" s="9">
        <f>7.3928 * CHOOSE(CONTROL!$C$32, $C$9, 100%, $E$9)</f>
        <v>7.3928000000000003</v>
      </c>
      <c r="N519" s="9">
        <f>7.3895 * CHOOSE(CONTROL!$C$32, $C$9, 100%, $E$9)</f>
        <v>7.3895</v>
      </c>
      <c r="O519" s="9">
        <f>7.3928 * CHOOSE(CONTROL!$C$32, $C$9, 100%, $E$9)</f>
        <v>7.3928000000000003</v>
      </c>
    </row>
    <row r="520" spans="1:15" ht="15.75" x14ac:dyDescent="0.25">
      <c r="A520" s="13">
        <v>56704</v>
      </c>
      <c r="B520" s="10">
        <f>8.6751 * CHOOSE(CONTROL!$C$32, $C$9, 100%, $E$9)</f>
        <v>8.6751000000000005</v>
      </c>
      <c r="C520" s="10">
        <f>8.6751 * CHOOSE(CONTROL!$C$32, $C$9, 100%, $E$9)</f>
        <v>8.6751000000000005</v>
      </c>
      <c r="D520" s="10">
        <f>8.6761 * CHOOSE(CONTROL!$C$32, $C$9, 100%, $E$9)</f>
        <v>8.6760999999999999</v>
      </c>
      <c r="E520" s="9">
        <f>7.52 * CHOOSE(CONTROL!$C$32, $C$9, 100%, $E$9)</f>
        <v>7.52</v>
      </c>
      <c r="F520" s="9">
        <f>7.52 * CHOOSE(CONTROL!$C$32, $C$9, 100%, $E$9)</f>
        <v>7.52</v>
      </c>
      <c r="G520" s="9">
        <f>7.5234 * CHOOSE(CONTROL!$C$32, $C$9, 100%, $E$9)</f>
        <v>7.5233999999999996</v>
      </c>
      <c r="H520" s="9">
        <f>10.4436 * CHOOSE(CONTROL!$C$32, $C$9, 100%, $E$9)</f>
        <v>10.4436</v>
      </c>
      <c r="I520" s="9">
        <f>10.447 * CHOOSE(CONTROL!$C$32, $C$9, 100%, $E$9)</f>
        <v>10.446999999999999</v>
      </c>
      <c r="J520" s="9">
        <f>10.4436 * CHOOSE(CONTROL!$C$32, $C$9, 100%, $E$9)</f>
        <v>10.4436</v>
      </c>
      <c r="K520" s="9">
        <f>10.447 * CHOOSE(CONTROL!$C$32, $C$9, 100%, $E$9)</f>
        <v>10.446999999999999</v>
      </c>
      <c r="L520" s="9">
        <f>7.52 * CHOOSE(CONTROL!$C$32, $C$9, 100%, $E$9)</f>
        <v>7.52</v>
      </c>
      <c r="M520" s="9">
        <f>7.5234 * CHOOSE(CONTROL!$C$32, $C$9, 100%, $E$9)</f>
        <v>7.5233999999999996</v>
      </c>
      <c r="N520" s="9">
        <f>7.52 * CHOOSE(CONTROL!$C$32, $C$9, 100%, $E$9)</f>
        <v>7.52</v>
      </c>
      <c r="O520" s="9">
        <f>7.5234 * CHOOSE(CONTROL!$C$32, $C$9, 100%, $E$9)</f>
        <v>7.5233999999999996</v>
      </c>
    </row>
    <row r="521" spans="1:15" ht="15.75" x14ac:dyDescent="0.25">
      <c r="A521" s="13">
        <v>56734</v>
      </c>
      <c r="B521" s="10">
        <f>8.6776 * CHOOSE(CONTROL!$C$32, $C$9, 100%, $E$9)</f>
        <v>8.6776</v>
      </c>
      <c r="C521" s="10">
        <f>8.6776 * CHOOSE(CONTROL!$C$32, $C$9, 100%, $E$9)</f>
        <v>8.6776</v>
      </c>
      <c r="D521" s="10">
        <f>8.6786 * CHOOSE(CONTROL!$C$32, $C$9, 100%, $E$9)</f>
        <v>8.6785999999999994</v>
      </c>
      <c r="E521" s="9">
        <f>7.6583 * CHOOSE(CONTROL!$C$32, $C$9, 100%, $E$9)</f>
        <v>7.6582999999999997</v>
      </c>
      <c r="F521" s="9">
        <f>7.6583 * CHOOSE(CONTROL!$C$32, $C$9, 100%, $E$9)</f>
        <v>7.6582999999999997</v>
      </c>
      <c r="G521" s="9">
        <f>7.6617 * CHOOSE(CONTROL!$C$32, $C$9, 100%, $E$9)</f>
        <v>7.6616999999999997</v>
      </c>
      <c r="H521" s="9">
        <f>10.4449 * CHOOSE(CONTROL!$C$32, $C$9, 100%, $E$9)</f>
        <v>10.444900000000001</v>
      </c>
      <c r="I521" s="9">
        <f>10.4483 * CHOOSE(CONTROL!$C$32, $C$9, 100%, $E$9)</f>
        <v>10.4483</v>
      </c>
      <c r="J521" s="9">
        <f>10.4449 * CHOOSE(CONTROL!$C$32, $C$9, 100%, $E$9)</f>
        <v>10.444900000000001</v>
      </c>
      <c r="K521" s="9">
        <f>10.4483 * CHOOSE(CONTROL!$C$32, $C$9, 100%, $E$9)</f>
        <v>10.4483</v>
      </c>
      <c r="L521" s="9">
        <f>7.6583 * CHOOSE(CONTROL!$C$32, $C$9, 100%, $E$9)</f>
        <v>7.6582999999999997</v>
      </c>
      <c r="M521" s="9">
        <f>7.6617 * CHOOSE(CONTROL!$C$32, $C$9, 100%, $E$9)</f>
        <v>7.6616999999999997</v>
      </c>
      <c r="N521" s="9">
        <f>7.6583 * CHOOSE(CONTROL!$C$32, $C$9, 100%, $E$9)</f>
        <v>7.6582999999999997</v>
      </c>
      <c r="O521" s="9">
        <f>7.6617 * CHOOSE(CONTROL!$C$32, $C$9, 100%, $E$9)</f>
        <v>7.6616999999999997</v>
      </c>
    </row>
    <row r="522" spans="1:15" ht="15.75" x14ac:dyDescent="0.25">
      <c r="A522" s="13">
        <v>56765</v>
      </c>
      <c r="B522" s="10">
        <f>8.6776 * CHOOSE(CONTROL!$C$32, $C$9, 100%, $E$9)</f>
        <v>8.6776</v>
      </c>
      <c r="C522" s="10">
        <f>8.6776 * CHOOSE(CONTROL!$C$32, $C$9, 100%, $E$9)</f>
        <v>8.6776</v>
      </c>
      <c r="D522" s="10">
        <f>8.6789 * CHOOSE(CONTROL!$C$32, $C$9, 100%, $E$9)</f>
        <v>8.6789000000000005</v>
      </c>
      <c r="E522" s="9">
        <f>7.7118 * CHOOSE(CONTROL!$C$32, $C$9, 100%, $E$9)</f>
        <v>7.7118000000000002</v>
      </c>
      <c r="F522" s="9">
        <f>7.7118 * CHOOSE(CONTROL!$C$32, $C$9, 100%, $E$9)</f>
        <v>7.7118000000000002</v>
      </c>
      <c r="G522" s="9">
        <f>7.7161 * CHOOSE(CONTROL!$C$32, $C$9, 100%, $E$9)</f>
        <v>7.7161</v>
      </c>
      <c r="H522" s="9">
        <f>10.4449 * CHOOSE(CONTROL!$C$32, $C$9, 100%, $E$9)</f>
        <v>10.444900000000001</v>
      </c>
      <c r="I522" s="9">
        <f>10.4493 * CHOOSE(CONTROL!$C$32, $C$9, 100%, $E$9)</f>
        <v>10.449299999999999</v>
      </c>
      <c r="J522" s="9">
        <f>10.4449 * CHOOSE(CONTROL!$C$32, $C$9, 100%, $E$9)</f>
        <v>10.444900000000001</v>
      </c>
      <c r="K522" s="9">
        <f>10.4493 * CHOOSE(CONTROL!$C$32, $C$9, 100%, $E$9)</f>
        <v>10.449299999999999</v>
      </c>
      <c r="L522" s="9">
        <f>7.7118 * CHOOSE(CONTROL!$C$32, $C$9, 100%, $E$9)</f>
        <v>7.7118000000000002</v>
      </c>
      <c r="M522" s="9">
        <f>7.7161 * CHOOSE(CONTROL!$C$32, $C$9, 100%, $E$9)</f>
        <v>7.7161</v>
      </c>
      <c r="N522" s="9">
        <f>7.7118 * CHOOSE(CONTROL!$C$32, $C$9, 100%, $E$9)</f>
        <v>7.7118000000000002</v>
      </c>
      <c r="O522" s="9">
        <f>7.7161 * CHOOSE(CONTROL!$C$32, $C$9, 100%, $E$9)</f>
        <v>7.7161</v>
      </c>
    </row>
    <row r="523" spans="1:15" ht="15.75" x14ac:dyDescent="0.25">
      <c r="A523" s="13">
        <v>56795</v>
      </c>
      <c r="B523" s="10">
        <f>8.6837 * CHOOSE(CONTROL!$C$32, $C$9, 100%, $E$9)</f>
        <v>8.6837</v>
      </c>
      <c r="C523" s="10">
        <f>8.6837 * CHOOSE(CONTROL!$C$32, $C$9, 100%, $E$9)</f>
        <v>8.6837</v>
      </c>
      <c r="D523" s="10">
        <f>8.685 * CHOOSE(CONTROL!$C$32, $C$9, 100%, $E$9)</f>
        <v>8.6850000000000005</v>
      </c>
      <c r="E523" s="9">
        <f>7.6626 * CHOOSE(CONTROL!$C$32, $C$9, 100%, $E$9)</f>
        <v>7.6626000000000003</v>
      </c>
      <c r="F523" s="9">
        <f>7.6626 * CHOOSE(CONTROL!$C$32, $C$9, 100%, $E$9)</f>
        <v>7.6626000000000003</v>
      </c>
      <c r="G523" s="9">
        <f>7.6669 * CHOOSE(CONTROL!$C$32, $C$9, 100%, $E$9)</f>
        <v>7.6669</v>
      </c>
      <c r="H523" s="9">
        <f>10.4489 * CHOOSE(CONTROL!$C$32, $C$9, 100%, $E$9)</f>
        <v>10.4489</v>
      </c>
      <c r="I523" s="9">
        <f>10.4533 * CHOOSE(CONTROL!$C$32, $C$9, 100%, $E$9)</f>
        <v>10.4533</v>
      </c>
      <c r="J523" s="9">
        <f>10.4489 * CHOOSE(CONTROL!$C$32, $C$9, 100%, $E$9)</f>
        <v>10.4489</v>
      </c>
      <c r="K523" s="9">
        <f>10.4533 * CHOOSE(CONTROL!$C$32, $C$9, 100%, $E$9)</f>
        <v>10.4533</v>
      </c>
      <c r="L523" s="9">
        <f>7.6626 * CHOOSE(CONTROL!$C$32, $C$9, 100%, $E$9)</f>
        <v>7.6626000000000003</v>
      </c>
      <c r="M523" s="9">
        <f>7.6669 * CHOOSE(CONTROL!$C$32, $C$9, 100%, $E$9)</f>
        <v>7.6669</v>
      </c>
      <c r="N523" s="9">
        <f>7.6626 * CHOOSE(CONTROL!$C$32, $C$9, 100%, $E$9)</f>
        <v>7.6626000000000003</v>
      </c>
      <c r="O523" s="9">
        <f>7.6669 * CHOOSE(CONTROL!$C$32, $C$9, 100%, $E$9)</f>
        <v>7.6669</v>
      </c>
    </row>
    <row r="524" spans="1:15" ht="15.75" x14ac:dyDescent="0.25">
      <c r="A524" s="13">
        <v>56826</v>
      </c>
      <c r="B524" s="10">
        <f>8.8071 * CHOOSE(CONTROL!$C$32, $C$9, 100%, $E$9)</f>
        <v>8.8071000000000002</v>
      </c>
      <c r="C524" s="10">
        <f>8.8071 * CHOOSE(CONTROL!$C$32, $C$9, 100%, $E$9)</f>
        <v>8.8071000000000002</v>
      </c>
      <c r="D524" s="10">
        <f>8.8084 * CHOOSE(CONTROL!$C$32, $C$9, 100%, $E$9)</f>
        <v>8.8084000000000007</v>
      </c>
      <c r="E524" s="9">
        <f>7.7519 * CHOOSE(CONTROL!$C$32, $C$9, 100%, $E$9)</f>
        <v>7.7519</v>
      </c>
      <c r="F524" s="9">
        <f>7.7519 * CHOOSE(CONTROL!$C$32, $C$9, 100%, $E$9)</f>
        <v>7.7519</v>
      </c>
      <c r="G524" s="9">
        <f>7.7562 * CHOOSE(CONTROL!$C$32, $C$9, 100%, $E$9)</f>
        <v>7.7561999999999998</v>
      </c>
      <c r="H524" s="9">
        <f>10.6057 * CHOOSE(CONTROL!$C$32, $C$9, 100%, $E$9)</f>
        <v>10.605700000000001</v>
      </c>
      <c r="I524" s="9">
        <f>10.61 * CHOOSE(CONTROL!$C$32, $C$9, 100%, $E$9)</f>
        <v>10.61</v>
      </c>
      <c r="J524" s="9">
        <f>10.6057 * CHOOSE(CONTROL!$C$32, $C$9, 100%, $E$9)</f>
        <v>10.605700000000001</v>
      </c>
      <c r="K524" s="9">
        <f>10.61 * CHOOSE(CONTROL!$C$32, $C$9, 100%, $E$9)</f>
        <v>10.61</v>
      </c>
      <c r="L524" s="9">
        <f>7.7519 * CHOOSE(CONTROL!$C$32, $C$9, 100%, $E$9)</f>
        <v>7.7519</v>
      </c>
      <c r="M524" s="9">
        <f>7.7562 * CHOOSE(CONTROL!$C$32, $C$9, 100%, $E$9)</f>
        <v>7.7561999999999998</v>
      </c>
      <c r="N524" s="9">
        <f>7.7519 * CHOOSE(CONTROL!$C$32, $C$9, 100%, $E$9)</f>
        <v>7.7519</v>
      </c>
      <c r="O524" s="9">
        <f>7.7562 * CHOOSE(CONTROL!$C$32, $C$9, 100%, $E$9)</f>
        <v>7.7561999999999998</v>
      </c>
    </row>
    <row r="525" spans="1:15" ht="15.75" x14ac:dyDescent="0.25">
      <c r="A525" s="13">
        <v>56857</v>
      </c>
      <c r="B525" s="10">
        <f>8.8138 * CHOOSE(CONTROL!$C$32, $C$9, 100%, $E$9)</f>
        <v>8.8138000000000005</v>
      </c>
      <c r="C525" s="10">
        <f>8.8138 * CHOOSE(CONTROL!$C$32, $C$9, 100%, $E$9)</f>
        <v>8.8138000000000005</v>
      </c>
      <c r="D525" s="10">
        <f>8.8151 * CHOOSE(CONTROL!$C$32, $C$9, 100%, $E$9)</f>
        <v>8.8150999999999993</v>
      </c>
      <c r="E525" s="9">
        <f>7.5962 * CHOOSE(CONTROL!$C$32, $C$9, 100%, $E$9)</f>
        <v>7.5961999999999996</v>
      </c>
      <c r="F525" s="9">
        <f>7.5962 * CHOOSE(CONTROL!$C$32, $C$9, 100%, $E$9)</f>
        <v>7.5961999999999996</v>
      </c>
      <c r="G525" s="9">
        <f>7.6006 * CHOOSE(CONTROL!$C$32, $C$9, 100%, $E$9)</f>
        <v>7.6006</v>
      </c>
      <c r="H525" s="9">
        <f>10.6101 * CHOOSE(CONTROL!$C$32, $C$9, 100%, $E$9)</f>
        <v>10.610099999999999</v>
      </c>
      <c r="I525" s="9">
        <f>10.6144 * CHOOSE(CONTROL!$C$32, $C$9, 100%, $E$9)</f>
        <v>10.6144</v>
      </c>
      <c r="J525" s="9">
        <f>10.6101 * CHOOSE(CONTROL!$C$32, $C$9, 100%, $E$9)</f>
        <v>10.610099999999999</v>
      </c>
      <c r="K525" s="9">
        <f>10.6144 * CHOOSE(CONTROL!$C$32, $C$9, 100%, $E$9)</f>
        <v>10.6144</v>
      </c>
      <c r="L525" s="9">
        <f>7.5962 * CHOOSE(CONTROL!$C$32, $C$9, 100%, $E$9)</f>
        <v>7.5961999999999996</v>
      </c>
      <c r="M525" s="9">
        <f>7.6006 * CHOOSE(CONTROL!$C$32, $C$9, 100%, $E$9)</f>
        <v>7.6006</v>
      </c>
      <c r="N525" s="9">
        <f>7.5962 * CHOOSE(CONTROL!$C$32, $C$9, 100%, $E$9)</f>
        <v>7.5961999999999996</v>
      </c>
      <c r="O525" s="9">
        <f>7.6006 * CHOOSE(CONTROL!$C$32, $C$9, 100%, $E$9)</f>
        <v>7.6006</v>
      </c>
    </row>
    <row r="526" spans="1:15" ht="15.75" x14ac:dyDescent="0.25">
      <c r="A526" s="13">
        <v>56887</v>
      </c>
      <c r="B526" s="10">
        <f>8.8107 * CHOOSE(CONTROL!$C$32, $C$9, 100%, $E$9)</f>
        <v>8.8107000000000006</v>
      </c>
      <c r="C526" s="10">
        <f>8.8107 * CHOOSE(CONTROL!$C$32, $C$9, 100%, $E$9)</f>
        <v>8.8107000000000006</v>
      </c>
      <c r="D526" s="10">
        <f>8.8121 * CHOOSE(CONTROL!$C$32, $C$9, 100%, $E$9)</f>
        <v>8.8120999999999992</v>
      </c>
      <c r="E526" s="9">
        <f>7.5763 * CHOOSE(CONTROL!$C$32, $C$9, 100%, $E$9)</f>
        <v>7.5762999999999998</v>
      </c>
      <c r="F526" s="9">
        <f>7.5763 * CHOOSE(CONTROL!$C$32, $C$9, 100%, $E$9)</f>
        <v>7.5762999999999998</v>
      </c>
      <c r="G526" s="9">
        <f>7.5806 * CHOOSE(CONTROL!$C$32, $C$9, 100%, $E$9)</f>
        <v>7.5805999999999996</v>
      </c>
      <c r="H526" s="9">
        <f>10.6081 * CHOOSE(CONTROL!$C$32, $C$9, 100%, $E$9)</f>
        <v>10.6081</v>
      </c>
      <c r="I526" s="9">
        <f>10.6124 * CHOOSE(CONTROL!$C$32, $C$9, 100%, $E$9)</f>
        <v>10.612399999999999</v>
      </c>
      <c r="J526" s="9">
        <f>10.6081 * CHOOSE(CONTROL!$C$32, $C$9, 100%, $E$9)</f>
        <v>10.6081</v>
      </c>
      <c r="K526" s="9">
        <f>10.6124 * CHOOSE(CONTROL!$C$32, $C$9, 100%, $E$9)</f>
        <v>10.612399999999999</v>
      </c>
      <c r="L526" s="9">
        <f>7.5763 * CHOOSE(CONTROL!$C$32, $C$9, 100%, $E$9)</f>
        <v>7.5762999999999998</v>
      </c>
      <c r="M526" s="9">
        <f>7.5806 * CHOOSE(CONTROL!$C$32, $C$9, 100%, $E$9)</f>
        <v>7.5805999999999996</v>
      </c>
      <c r="N526" s="9">
        <f>7.5763 * CHOOSE(CONTROL!$C$32, $C$9, 100%, $E$9)</f>
        <v>7.5762999999999998</v>
      </c>
      <c r="O526" s="9">
        <f>7.5806 * CHOOSE(CONTROL!$C$32, $C$9, 100%, $E$9)</f>
        <v>7.5805999999999996</v>
      </c>
    </row>
    <row r="527" spans="1:15" ht="15.75" x14ac:dyDescent="0.25">
      <c r="A527" s="13">
        <v>56918</v>
      </c>
      <c r="B527" s="10">
        <f>8.8249 * CHOOSE(CONTROL!$C$32, $C$9, 100%, $E$9)</f>
        <v>8.8248999999999995</v>
      </c>
      <c r="C527" s="10">
        <f>8.8249 * CHOOSE(CONTROL!$C$32, $C$9, 100%, $E$9)</f>
        <v>8.8248999999999995</v>
      </c>
      <c r="D527" s="10">
        <f>8.8259 * CHOOSE(CONTROL!$C$32, $C$9, 100%, $E$9)</f>
        <v>8.8259000000000007</v>
      </c>
      <c r="E527" s="9">
        <f>7.6341 * CHOOSE(CONTROL!$C$32, $C$9, 100%, $E$9)</f>
        <v>7.6341000000000001</v>
      </c>
      <c r="F527" s="9">
        <f>7.6341 * CHOOSE(CONTROL!$C$32, $C$9, 100%, $E$9)</f>
        <v>7.6341000000000001</v>
      </c>
      <c r="G527" s="9">
        <f>7.6375 * CHOOSE(CONTROL!$C$32, $C$9, 100%, $E$9)</f>
        <v>7.6375000000000002</v>
      </c>
      <c r="H527" s="9">
        <f>10.6161 * CHOOSE(CONTROL!$C$32, $C$9, 100%, $E$9)</f>
        <v>10.616099999999999</v>
      </c>
      <c r="I527" s="9">
        <f>10.6195 * CHOOSE(CONTROL!$C$32, $C$9, 100%, $E$9)</f>
        <v>10.6195</v>
      </c>
      <c r="J527" s="9">
        <f>10.6161 * CHOOSE(CONTROL!$C$32, $C$9, 100%, $E$9)</f>
        <v>10.616099999999999</v>
      </c>
      <c r="K527" s="9">
        <f>10.6195 * CHOOSE(CONTROL!$C$32, $C$9, 100%, $E$9)</f>
        <v>10.6195</v>
      </c>
      <c r="L527" s="9">
        <f>7.6341 * CHOOSE(CONTROL!$C$32, $C$9, 100%, $E$9)</f>
        <v>7.6341000000000001</v>
      </c>
      <c r="M527" s="9">
        <f>7.6375 * CHOOSE(CONTROL!$C$32, $C$9, 100%, $E$9)</f>
        <v>7.6375000000000002</v>
      </c>
      <c r="N527" s="9">
        <f>7.6341 * CHOOSE(CONTROL!$C$32, $C$9, 100%, $E$9)</f>
        <v>7.6341000000000001</v>
      </c>
      <c r="O527" s="9">
        <f>7.6375 * CHOOSE(CONTROL!$C$32, $C$9, 100%, $E$9)</f>
        <v>7.6375000000000002</v>
      </c>
    </row>
    <row r="528" spans="1:15" ht="15.75" x14ac:dyDescent="0.25">
      <c r="A528" s="13">
        <v>56948</v>
      </c>
      <c r="B528" s="10">
        <f>8.8279 * CHOOSE(CONTROL!$C$32, $C$9, 100%, $E$9)</f>
        <v>8.8278999999999996</v>
      </c>
      <c r="C528" s="10">
        <f>8.8279 * CHOOSE(CONTROL!$C$32, $C$9, 100%, $E$9)</f>
        <v>8.8278999999999996</v>
      </c>
      <c r="D528" s="10">
        <f>8.8289 * CHOOSE(CONTROL!$C$32, $C$9, 100%, $E$9)</f>
        <v>8.8289000000000009</v>
      </c>
      <c r="E528" s="9">
        <f>7.6719 * CHOOSE(CONTROL!$C$32, $C$9, 100%, $E$9)</f>
        <v>7.6718999999999999</v>
      </c>
      <c r="F528" s="9">
        <f>7.6719 * CHOOSE(CONTROL!$C$32, $C$9, 100%, $E$9)</f>
        <v>7.6718999999999999</v>
      </c>
      <c r="G528" s="9">
        <f>7.6752 * CHOOSE(CONTROL!$C$32, $C$9, 100%, $E$9)</f>
        <v>7.6752000000000002</v>
      </c>
      <c r="H528" s="9">
        <f>10.6181 * CHOOSE(CONTROL!$C$32, $C$9, 100%, $E$9)</f>
        <v>10.6181</v>
      </c>
      <c r="I528" s="9">
        <f>10.6215 * CHOOSE(CONTROL!$C$32, $C$9, 100%, $E$9)</f>
        <v>10.621499999999999</v>
      </c>
      <c r="J528" s="9">
        <f>10.6181 * CHOOSE(CONTROL!$C$32, $C$9, 100%, $E$9)</f>
        <v>10.6181</v>
      </c>
      <c r="K528" s="9">
        <f>10.6215 * CHOOSE(CONTROL!$C$32, $C$9, 100%, $E$9)</f>
        <v>10.621499999999999</v>
      </c>
      <c r="L528" s="9">
        <f>7.6719 * CHOOSE(CONTROL!$C$32, $C$9, 100%, $E$9)</f>
        <v>7.6718999999999999</v>
      </c>
      <c r="M528" s="9">
        <f>7.6752 * CHOOSE(CONTROL!$C$32, $C$9, 100%, $E$9)</f>
        <v>7.6752000000000002</v>
      </c>
      <c r="N528" s="9">
        <f>7.6719 * CHOOSE(CONTROL!$C$32, $C$9, 100%, $E$9)</f>
        <v>7.6718999999999999</v>
      </c>
      <c r="O528" s="9">
        <f>7.6752 * CHOOSE(CONTROL!$C$32, $C$9, 100%, $E$9)</f>
        <v>7.6752000000000002</v>
      </c>
    </row>
    <row r="529" spans="1:15" ht="15.75" x14ac:dyDescent="0.25">
      <c r="A529" s="13">
        <v>56979</v>
      </c>
      <c r="B529" s="10">
        <f>8.8279 * CHOOSE(CONTROL!$C$32, $C$9, 100%, $E$9)</f>
        <v>8.8278999999999996</v>
      </c>
      <c r="C529" s="10">
        <f>8.8279 * CHOOSE(CONTROL!$C$32, $C$9, 100%, $E$9)</f>
        <v>8.8278999999999996</v>
      </c>
      <c r="D529" s="10">
        <f>8.8289 * CHOOSE(CONTROL!$C$32, $C$9, 100%, $E$9)</f>
        <v>8.8289000000000009</v>
      </c>
      <c r="E529" s="9">
        <f>7.5828 * CHOOSE(CONTROL!$C$32, $C$9, 100%, $E$9)</f>
        <v>7.5827999999999998</v>
      </c>
      <c r="F529" s="9">
        <f>7.5828 * CHOOSE(CONTROL!$C$32, $C$9, 100%, $E$9)</f>
        <v>7.5827999999999998</v>
      </c>
      <c r="G529" s="9">
        <f>7.5862 * CHOOSE(CONTROL!$C$32, $C$9, 100%, $E$9)</f>
        <v>7.5861999999999998</v>
      </c>
      <c r="H529" s="9">
        <f>10.6181 * CHOOSE(CONTROL!$C$32, $C$9, 100%, $E$9)</f>
        <v>10.6181</v>
      </c>
      <c r="I529" s="9">
        <f>10.6215 * CHOOSE(CONTROL!$C$32, $C$9, 100%, $E$9)</f>
        <v>10.621499999999999</v>
      </c>
      <c r="J529" s="9">
        <f>10.6181 * CHOOSE(CONTROL!$C$32, $C$9, 100%, $E$9)</f>
        <v>10.6181</v>
      </c>
      <c r="K529" s="9">
        <f>10.6215 * CHOOSE(CONTROL!$C$32, $C$9, 100%, $E$9)</f>
        <v>10.621499999999999</v>
      </c>
      <c r="L529" s="9">
        <f>7.5828 * CHOOSE(CONTROL!$C$32, $C$9, 100%, $E$9)</f>
        <v>7.5827999999999998</v>
      </c>
      <c r="M529" s="9">
        <f>7.5862 * CHOOSE(CONTROL!$C$32, $C$9, 100%, $E$9)</f>
        <v>7.5861999999999998</v>
      </c>
      <c r="N529" s="9">
        <f>7.5828 * CHOOSE(CONTROL!$C$32, $C$9, 100%, $E$9)</f>
        <v>7.5827999999999998</v>
      </c>
      <c r="O529" s="9">
        <f>7.5862 * CHOOSE(CONTROL!$C$32, $C$9, 100%, $E$9)</f>
        <v>7.5861999999999998</v>
      </c>
    </row>
    <row r="530" spans="1:15" ht="15.75" x14ac:dyDescent="0.25">
      <c r="A530" s="13">
        <v>57010</v>
      </c>
      <c r="B530" s="10">
        <f>8.9008 * CHOOSE(CONTROL!$C$32, $C$9, 100%, $E$9)</f>
        <v>8.9008000000000003</v>
      </c>
      <c r="C530" s="10">
        <f>8.9008 * CHOOSE(CONTROL!$C$32, $C$9, 100%, $E$9)</f>
        <v>8.9008000000000003</v>
      </c>
      <c r="D530" s="10">
        <f>8.9018 * CHOOSE(CONTROL!$C$32, $C$9, 100%, $E$9)</f>
        <v>8.9017999999999997</v>
      </c>
      <c r="E530" s="9">
        <f>7.7003 * CHOOSE(CONTROL!$C$32, $C$9, 100%, $E$9)</f>
        <v>7.7003000000000004</v>
      </c>
      <c r="F530" s="9">
        <f>7.7003 * CHOOSE(CONTROL!$C$32, $C$9, 100%, $E$9)</f>
        <v>7.7003000000000004</v>
      </c>
      <c r="G530" s="9">
        <f>7.7037 * CHOOSE(CONTROL!$C$32, $C$9, 100%, $E$9)</f>
        <v>7.7037000000000004</v>
      </c>
      <c r="H530" s="9">
        <f>10.6968 * CHOOSE(CONTROL!$C$32, $C$9, 100%, $E$9)</f>
        <v>10.6968</v>
      </c>
      <c r="I530" s="9">
        <f>10.7002 * CHOOSE(CONTROL!$C$32, $C$9, 100%, $E$9)</f>
        <v>10.700200000000001</v>
      </c>
      <c r="J530" s="9">
        <f>10.6968 * CHOOSE(CONTROL!$C$32, $C$9, 100%, $E$9)</f>
        <v>10.6968</v>
      </c>
      <c r="K530" s="9">
        <f>10.7002 * CHOOSE(CONTROL!$C$32, $C$9, 100%, $E$9)</f>
        <v>10.700200000000001</v>
      </c>
      <c r="L530" s="9">
        <f>7.7003 * CHOOSE(CONTROL!$C$32, $C$9, 100%, $E$9)</f>
        <v>7.7003000000000004</v>
      </c>
      <c r="M530" s="9">
        <f>7.7037 * CHOOSE(CONTROL!$C$32, $C$9, 100%, $E$9)</f>
        <v>7.7037000000000004</v>
      </c>
      <c r="N530" s="9">
        <f>7.7003 * CHOOSE(CONTROL!$C$32, $C$9, 100%, $E$9)</f>
        <v>7.7003000000000004</v>
      </c>
      <c r="O530" s="9">
        <f>7.7037 * CHOOSE(CONTROL!$C$32, $C$9, 100%, $E$9)</f>
        <v>7.7037000000000004</v>
      </c>
    </row>
    <row r="531" spans="1:15" ht="15.75" x14ac:dyDescent="0.25">
      <c r="A531" s="13">
        <v>57038</v>
      </c>
      <c r="B531" s="10">
        <f>8.8978 * CHOOSE(CONTROL!$C$32, $C$9, 100%, $E$9)</f>
        <v>8.8978000000000002</v>
      </c>
      <c r="C531" s="10">
        <f>8.8978 * CHOOSE(CONTROL!$C$32, $C$9, 100%, $E$9)</f>
        <v>8.8978000000000002</v>
      </c>
      <c r="D531" s="10">
        <f>8.8988 * CHOOSE(CONTROL!$C$32, $C$9, 100%, $E$9)</f>
        <v>8.8987999999999996</v>
      </c>
      <c r="E531" s="9">
        <f>7.5248 * CHOOSE(CONTROL!$C$32, $C$9, 100%, $E$9)</f>
        <v>7.5247999999999999</v>
      </c>
      <c r="F531" s="9">
        <f>7.5248 * CHOOSE(CONTROL!$C$32, $C$9, 100%, $E$9)</f>
        <v>7.5247999999999999</v>
      </c>
      <c r="G531" s="9">
        <f>7.5282 * CHOOSE(CONTROL!$C$32, $C$9, 100%, $E$9)</f>
        <v>7.5282</v>
      </c>
      <c r="H531" s="9">
        <f>10.6948 * CHOOSE(CONTROL!$C$32, $C$9, 100%, $E$9)</f>
        <v>10.694800000000001</v>
      </c>
      <c r="I531" s="9">
        <f>10.6982 * CHOOSE(CONTROL!$C$32, $C$9, 100%, $E$9)</f>
        <v>10.6982</v>
      </c>
      <c r="J531" s="9">
        <f>10.6948 * CHOOSE(CONTROL!$C$32, $C$9, 100%, $E$9)</f>
        <v>10.694800000000001</v>
      </c>
      <c r="K531" s="9">
        <f>10.6982 * CHOOSE(CONTROL!$C$32, $C$9, 100%, $E$9)</f>
        <v>10.6982</v>
      </c>
      <c r="L531" s="9">
        <f>7.5248 * CHOOSE(CONTROL!$C$32, $C$9, 100%, $E$9)</f>
        <v>7.5247999999999999</v>
      </c>
      <c r="M531" s="9">
        <f>7.5282 * CHOOSE(CONTROL!$C$32, $C$9, 100%, $E$9)</f>
        <v>7.5282</v>
      </c>
      <c r="N531" s="9">
        <f>7.5248 * CHOOSE(CONTROL!$C$32, $C$9, 100%, $E$9)</f>
        <v>7.5247999999999999</v>
      </c>
      <c r="O531" s="9">
        <f>7.5282 * CHOOSE(CONTROL!$C$32, $C$9, 100%, $E$9)</f>
        <v>7.5282</v>
      </c>
    </row>
    <row r="532" spans="1:15" ht="15.75" x14ac:dyDescent="0.25">
      <c r="A532" s="13">
        <v>57070</v>
      </c>
      <c r="B532" s="10">
        <f>8.8947 * CHOOSE(CONTROL!$C$32, $C$9, 100%, $E$9)</f>
        <v>8.8947000000000003</v>
      </c>
      <c r="C532" s="10">
        <f>8.8947 * CHOOSE(CONTROL!$C$32, $C$9, 100%, $E$9)</f>
        <v>8.8947000000000003</v>
      </c>
      <c r="D532" s="10">
        <f>8.8957 * CHOOSE(CONTROL!$C$32, $C$9, 100%, $E$9)</f>
        <v>8.8956999999999997</v>
      </c>
      <c r="E532" s="9">
        <f>7.6594 * CHOOSE(CONTROL!$C$32, $C$9, 100%, $E$9)</f>
        <v>7.6593999999999998</v>
      </c>
      <c r="F532" s="9">
        <f>7.6594 * CHOOSE(CONTROL!$C$32, $C$9, 100%, $E$9)</f>
        <v>7.6593999999999998</v>
      </c>
      <c r="G532" s="9">
        <f>7.6628 * CHOOSE(CONTROL!$C$32, $C$9, 100%, $E$9)</f>
        <v>7.6627999999999998</v>
      </c>
      <c r="H532" s="9">
        <f>10.6928 * CHOOSE(CONTROL!$C$32, $C$9, 100%, $E$9)</f>
        <v>10.6928</v>
      </c>
      <c r="I532" s="9">
        <f>10.6962 * CHOOSE(CONTROL!$C$32, $C$9, 100%, $E$9)</f>
        <v>10.696199999999999</v>
      </c>
      <c r="J532" s="9">
        <f>10.6928 * CHOOSE(CONTROL!$C$32, $C$9, 100%, $E$9)</f>
        <v>10.6928</v>
      </c>
      <c r="K532" s="9">
        <f>10.6962 * CHOOSE(CONTROL!$C$32, $C$9, 100%, $E$9)</f>
        <v>10.696199999999999</v>
      </c>
      <c r="L532" s="9">
        <f>7.6594 * CHOOSE(CONTROL!$C$32, $C$9, 100%, $E$9)</f>
        <v>7.6593999999999998</v>
      </c>
      <c r="M532" s="9">
        <f>7.6628 * CHOOSE(CONTROL!$C$32, $C$9, 100%, $E$9)</f>
        <v>7.6627999999999998</v>
      </c>
      <c r="N532" s="9">
        <f>7.6594 * CHOOSE(CONTROL!$C$32, $C$9, 100%, $E$9)</f>
        <v>7.6593999999999998</v>
      </c>
      <c r="O532" s="9">
        <f>7.6628 * CHOOSE(CONTROL!$C$32, $C$9, 100%, $E$9)</f>
        <v>7.6627999999999998</v>
      </c>
    </row>
    <row r="533" spans="1:15" ht="15.75" x14ac:dyDescent="0.25">
      <c r="A533" s="13">
        <v>57100</v>
      </c>
      <c r="B533" s="10">
        <f>8.8974 * CHOOSE(CONTROL!$C$32, $C$9, 100%, $E$9)</f>
        <v>8.8973999999999993</v>
      </c>
      <c r="C533" s="10">
        <f>8.8974 * CHOOSE(CONTROL!$C$32, $C$9, 100%, $E$9)</f>
        <v>8.8973999999999993</v>
      </c>
      <c r="D533" s="10">
        <f>8.8984 * CHOOSE(CONTROL!$C$32, $C$9, 100%, $E$9)</f>
        <v>8.8984000000000005</v>
      </c>
      <c r="E533" s="9">
        <f>7.8019 * CHOOSE(CONTROL!$C$32, $C$9, 100%, $E$9)</f>
        <v>7.8018999999999998</v>
      </c>
      <c r="F533" s="9">
        <f>7.8019 * CHOOSE(CONTROL!$C$32, $C$9, 100%, $E$9)</f>
        <v>7.8018999999999998</v>
      </c>
      <c r="G533" s="9">
        <f>7.8053 * CHOOSE(CONTROL!$C$32, $C$9, 100%, $E$9)</f>
        <v>7.8052999999999999</v>
      </c>
      <c r="H533" s="9">
        <f>10.6943 * CHOOSE(CONTROL!$C$32, $C$9, 100%, $E$9)</f>
        <v>10.6943</v>
      </c>
      <c r="I533" s="9">
        <f>10.6977 * CHOOSE(CONTROL!$C$32, $C$9, 100%, $E$9)</f>
        <v>10.697699999999999</v>
      </c>
      <c r="J533" s="9">
        <f>10.6943 * CHOOSE(CONTROL!$C$32, $C$9, 100%, $E$9)</f>
        <v>10.6943</v>
      </c>
      <c r="K533" s="9">
        <f>10.6977 * CHOOSE(CONTROL!$C$32, $C$9, 100%, $E$9)</f>
        <v>10.697699999999999</v>
      </c>
      <c r="L533" s="9">
        <f>7.8019 * CHOOSE(CONTROL!$C$32, $C$9, 100%, $E$9)</f>
        <v>7.8018999999999998</v>
      </c>
      <c r="M533" s="9">
        <f>7.8053 * CHOOSE(CONTROL!$C$32, $C$9, 100%, $E$9)</f>
        <v>7.8052999999999999</v>
      </c>
      <c r="N533" s="9">
        <f>7.8019 * CHOOSE(CONTROL!$C$32, $C$9, 100%, $E$9)</f>
        <v>7.8018999999999998</v>
      </c>
      <c r="O533" s="9">
        <f>7.8053 * CHOOSE(CONTROL!$C$32, $C$9, 100%, $E$9)</f>
        <v>7.8052999999999999</v>
      </c>
    </row>
    <row r="534" spans="1:15" ht="15.75" x14ac:dyDescent="0.25">
      <c r="A534" s="13">
        <v>57131</v>
      </c>
      <c r="B534" s="10">
        <f>8.8974 * CHOOSE(CONTROL!$C$32, $C$9, 100%, $E$9)</f>
        <v>8.8973999999999993</v>
      </c>
      <c r="C534" s="10">
        <f>8.8974 * CHOOSE(CONTROL!$C$32, $C$9, 100%, $E$9)</f>
        <v>8.8973999999999993</v>
      </c>
      <c r="D534" s="10">
        <f>8.8987 * CHOOSE(CONTROL!$C$32, $C$9, 100%, $E$9)</f>
        <v>8.8986999999999998</v>
      </c>
      <c r="E534" s="9">
        <f>7.857 * CHOOSE(CONTROL!$C$32, $C$9, 100%, $E$9)</f>
        <v>7.8570000000000002</v>
      </c>
      <c r="F534" s="9">
        <f>7.857 * CHOOSE(CONTROL!$C$32, $C$9, 100%, $E$9)</f>
        <v>7.8570000000000002</v>
      </c>
      <c r="G534" s="9">
        <f>7.8614 * CHOOSE(CONTROL!$C$32, $C$9, 100%, $E$9)</f>
        <v>7.8613999999999997</v>
      </c>
      <c r="H534" s="9">
        <f>10.6943 * CHOOSE(CONTROL!$C$32, $C$9, 100%, $E$9)</f>
        <v>10.6943</v>
      </c>
      <c r="I534" s="9">
        <f>10.6986 * CHOOSE(CONTROL!$C$32, $C$9, 100%, $E$9)</f>
        <v>10.698600000000001</v>
      </c>
      <c r="J534" s="9">
        <f>10.6943 * CHOOSE(CONTROL!$C$32, $C$9, 100%, $E$9)</f>
        <v>10.6943</v>
      </c>
      <c r="K534" s="9">
        <f>10.6986 * CHOOSE(CONTROL!$C$32, $C$9, 100%, $E$9)</f>
        <v>10.698600000000001</v>
      </c>
      <c r="L534" s="9">
        <f>7.857 * CHOOSE(CONTROL!$C$32, $C$9, 100%, $E$9)</f>
        <v>7.8570000000000002</v>
      </c>
      <c r="M534" s="9">
        <f>7.8614 * CHOOSE(CONTROL!$C$32, $C$9, 100%, $E$9)</f>
        <v>7.8613999999999997</v>
      </c>
      <c r="N534" s="9">
        <f>7.857 * CHOOSE(CONTROL!$C$32, $C$9, 100%, $E$9)</f>
        <v>7.8570000000000002</v>
      </c>
      <c r="O534" s="9">
        <f>7.8614 * CHOOSE(CONTROL!$C$32, $C$9, 100%, $E$9)</f>
        <v>7.8613999999999997</v>
      </c>
    </row>
    <row r="535" spans="1:15" ht="15.75" x14ac:dyDescent="0.25">
      <c r="A535" s="13">
        <v>57161</v>
      </c>
      <c r="B535" s="10">
        <f>8.9035 * CHOOSE(CONTROL!$C$32, $C$9, 100%, $E$9)</f>
        <v>8.9034999999999993</v>
      </c>
      <c r="C535" s="10">
        <f>8.9035 * CHOOSE(CONTROL!$C$32, $C$9, 100%, $E$9)</f>
        <v>8.9034999999999993</v>
      </c>
      <c r="D535" s="10">
        <f>8.9048 * CHOOSE(CONTROL!$C$32, $C$9, 100%, $E$9)</f>
        <v>8.9047999999999998</v>
      </c>
      <c r="E535" s="9">
        <f>7.8062 * CHOOSE(CONTROL!$C$32, $C$9, 100%, $E$9)</f>
        <v>7.8061999999999996</v>
      </c>
      <c r="F535" s="9">
        <f>7.8062 * CHOOSE(CONTROL!$C$32, $C$9, 100%, $E$9)</f>
        <v>7.8061999999999996</v>
      </c>
      <c r="G535" s="9">
        <f>7.8105 * CHOOSE(CONTROL!$C$32, $C$9, 100%, $E$9)</f>
        <v>7.8105000000000002</v>
      </c>
      <c r="H535" s="9">
        <f>10.6983 * CHOOSE(CONTROL!$C$32, $C$9, 100%, $E$9)</f>
        <v>10.6983</v>
      </c>
      <c r="I535" s="9">
        <f>10.7026 * CHOOSE(CONTROL!$C$32, $C$9, 100%, $E$9)</f>
        <v>10.7026</v>
      </c>
      <c r="J535" s="9">
        <f>10.6983 * CHOOSE(CONTROL!$C$32, $C$9, 100%, $E$9)</f>
        <v>10.6983</v>
      </c>
      <c r="K535" s="9">
        <f>10.7026 * CHOOSE(CONTROL!$C$32, $C$9, 100%, $E$9)</f>
        <v>10.7026</v>
      </c>
      <c r="L535" s="9">
        <f>7.8062 * CHOOSE(CONTROL!$C$32, $C$9, 100%, $E$9)</f>
        <v>7.8061999999999996</v>
      </c>
      <c r="M535" s="9">
        <f>7.8105 * CHOOSE(CONTROL!$C$32, $C$9, 100%, $E$9)</f>
        <v>7.8105000000000002</v>
      </c>
      <c r="N535" s="9">
        <f>7.8062 * CHOOSE(CONTROL!$C$32, $C$9, 100%, $E$9)</f>
        <v>7.8061999999999996</v>
      </c>
      <c r="O535" s="9">
        <f>7.8105 * CHOOSE(CONTROL!$C$32, $C$9, 100%, $E$9)</f>
        <v>7.8105000000000002</v>
      </c>
    </row>
    <row r="536" spans="1:15" ht="15.75" x14ac:dyDescent="0.25">
      <c r="A536" s="13">
        <v>57192</v>
      </c>
      <c r="B536" s="10">
        <f>9.0297 * CHOOSE(CONTROL!$C$32, $C$9, 100%, $E$9)</f>
        <v>9.0297000000000001</v>
      </c>
      <c r="C536" s="10">
        <f>9.0297 * CHOOSE(CONTROL!$C$32, $C$9, 100%, $E$9)</f>
        <v>9.0297000000000001</v>
      </c>
      <c r="D536" s="10">
        <f>9.031 * CHOOSE(CONTROL!$C$32, $C$9, 100%, $E$9)</f>
        <v>9.0310000000000006</v>
      </c>
      <c r="E536" s="9">
        <f>7.897 * CHOOSE(CONTROL!$C$32, $C$9, 100%, $E$9)</f>
        <v>7.8970000000000002</v>
      </c>
      <c r="F536" s="9">
        <f>7.897 * CHOOSE(CONTROL!$C$32, $C$9, 100%, $E$9)</f>
        <v>7.8970000000000002</v>
      </c>
      <c r="G536" s="9">
        <f>7.9013 * CHOOSE(CONTROL!$C$32, $C$9, 100%, $E$9)</f>
        <v>7.9013</v>
      </c>
      <c r="H536" s="9">
        <f>10.8585 * CHOOSE(CONTROL!$C$32, $C$9, 100%, $E$9)</f>
        <v>10.858499999999999</v>
      </c>
      <c r="I536" s="9">
        <f>10.8629 * CHOOSE(CONTROL!$C$32, $C$9, 100%, $E$9)</f>
        <v>10.8629</v>
      </c>
      <c r="J536" s="9">
        <f>10.8585 * CHOOSE(CONTROL!$C$32, $C$9, 100%, $E$9)</f>
        <v>10.858499999999999</v>
      </c>
      <c r="K536" s="9">
        <f>10.8629 * CHOOSE(CONTROL!$C$32, $C$9, 100%, $E$9)</f>
        <v>10.8629</v>
      </c>
      <c r="L536" s="9">
        <f>7.897 * CHOOSE(CONTROL!$C$32, $C$9, 100%, $E$9)</f>
        <v>7.8970000000000002</v>
      </c>
      <c r="M536" s="9">
        <f>7.9013 * CHOOSE(CONTROL!$C$32, $C$9, 100%, $E$9)</f>
        <v>7.9013</v>
      </c>
      <c r="N536" s="9">
        <f>7.897 * CHOOSE(CONTROL!$C$32, $C$9, 100%, $E$9)</f>
        <v>7.8970000000000002</v>
      </c>
      <c r="O536" s="9">
        <f>7.9013 * CHOOSE(CONTROL!$C$32, $C$9, 100%, $E$9)</f>
        <v>7.9013</v>
      </c>
    </row>
    <row r="537" spans="1:15" ht="15.75" x14ac:dyDescent="0.25">
      <c r="A537" s="13">
        <v>57223</v>
      </c>
      <c r="B537" s="10">
        <f>9.0364 * CHOOSE(CONTROL!$C$32, $C$9, 100%, $E$9)</f>
        <v>9.0364000000000004</v>
      </c>
      <c r="C537" s="10">
        <f>9.0364 * CHOOSE(CONTROL!$C$32, $C$9, 100%, $E$9)</f>
        <v>9.0364000000000004</v>
      </c>
      <c r="D537" s="10">
        <f>9.0377 * CHOOSE(CONTROL!$C$32, $C$9, 100%, $E$9)</f>
        <v>9.0376999999999992</v>
      </c>
      <c r="E537" s="9">
        <f>7.7365 * CHOOSE(CONTROL!$C$32, $C$9, 100%, $E$9)</f>
        <v>7.7365000000000004</v>
      </c>
      <c r="F537" s="9">
        <f>7.7365 * CHOOSE(CONTROL!$C$32, $C$9, 100%, $E$9)</f>
        <v>7.7365000000000004</v>
      </c>
      <c r="G537" s="9">
        <f>7.7408 * CHOOSE(CONTROL!$C$32, $C$9, 100%, $E$9)</f>
        <v>7.7408000000000001</v>
      </c>
      <c r="H537" s="9">
        <f>10.8629 * CHOOSE(CONTROL!$C$32, $C$9, 100%, $E$9)</f>
        <v>10.8629</v>
      </c>
      <c r="I537" s="9">
        <f>10.8673 * CHOOSE(CONTROL!$C$32, $C$9, 100%, $E$9)</f>
        <v>10.8673</v>
      </c>
      <c r="J537" s="9">
        <f>10.8629 * CHOOSE(CONTROL!$C$32, $C$9, 100%, $E$9)</f>
        <v>10.8629</v>
      </c>
      <c r="K537" s="9">
        <f>10.8673 * CHOOSE(CONTROL!$C$32, $C$9, 100%, $E$9)</f>
        <v>10.8673</v>
      </c>
      <c r="L537" s="9">
        <f>7.7365 * CHOOSE(CONTROL!$C$32, $C$9, 100%, $E$9)</f>
        <v>7.7365000000000004</v>
      </c>
      <c r="M537" s="9">
        <f>7.7408 * CHOOSE(CONTROL!$C$32, $C$9, 100%, $E$9)</f>
        <v>7.7408000000000001</v>
      </c>
      <c r="N537" s="9">
        <f>7.7365 * CHOOSE(CONTROL!$C$32, $C$9, 100%, $E$9)</f>
        <v>7.7365000000000004</v>
      </c>
      <c r="O537" s="9">
        <f>7.7408 * CHOOSE(CONTROL!$C$32, $C$9, 100%, $E$9)</f>
        <v>7.7408000000000001</v>
      </c>
    </row>
    <row r="538" spans="1:15" ht="15.75" x14ac:dyDescent="0.25">
      <c r="A538" s="13">
        <v>57253</v>
      </c>
      <c r="B538" s="10">
        <f>9.0333 * CHOOSE(CONTROL!$C$32, $C$9, 100%, $E$9)</f>
        <v>9.0333000000000006</v>
      </c>
      <c r="C538" s="10">
        <f>9.0333 * CHOOSE(CONTROL!$C$32, $C$9, 100%, $E$9)</f>
        <v>9.0333000000000006</v>
      </c>
      <c r="D538" s="10">
        <f>9.0346 * CHOOSE(CONTROL!$C$32, $C$9, 100%, $E$9)</f>
        <v>9.0345999999999993</v>
      </c>
      <c r="E538" s="9">
        <f>7.716 * CHOOSE(CONTROL!$C$32, $C$9, 100%, $E$9)</f>
        <v>7.7160000000000002</v>
      </c>
      <c r="F538" s="9">
        <f>7.716 * CHOOSE(CONTROL!$C$32, $C$9, 100%, $E$9)</f>
        <v>7.7160000000000002</v>
      </c>
      <c r="G538" s="9">
        <f>7.7204 * CHOOSE(CONTROL!$C$32, $C$9, 100%, $E$9)</f>
        <v>7.7203999999999997</v>
      </c>
      <c r="H538" s="9">
        <f>10.8609 * CHOOSE(CONTROL!$C$32, $C$9, 100%, $E$9)</f>
        <v>10.860900000000001</v>
      </c>
      <c r="I538" s="9">
        <f>10.8653 * CHOOSE(CONTROL!$C$32, $C$9, 100%, $E$9)</f>
        <v>10.8653</v>
      </c>
      <c r="J538" s="9">
        <f>10.8609 * CHOOSE(CONTROL!$C$32, $C$9, 100%, $E$9)</f>
        <v>10.860900000000001</v>
      </c>
      <c r="K538" s="9">
        <f>10.8653 * CHOOSE(CONTROL!$C$32, $C$9, 100%, $E$9)</f>
        <v>10.8653</v>
      </c>
      <c r="L538" s="9">
        <f>7.716 * CHOOSE(CONTROL!$C$32, $C$9, 100%, $E$9)</f>
        <v>7.7160000000000002</v>
      </c>
      <c r="M538" s="9">
        <f>7.7204 * CHOOSE(CONTROL!$C$32, $C$9, 100%, $E$9)</f>
        <v>7.7203999999999997</v>
      </c>
      <c r="N538" s="9">
        <f>7.716 * CHOOSE(CONTROL!$C$32, $C$9, 100%, $E$9)</f>
        <v>7.7160000000000002</v>
      </c>
      <c r="O538" s="9">
        <f>7.7204 * CHOOSE(CONTROL!$C$32, $C$9, 100%, $E$9)</f>
        <v>7.7203999999999997</v>
      </c>
    </row>
    <row r="539" spans="1:15" ht="15.75" x14ac:dyDescent="0.25">
      <c r="A539" s="13">
        <v>57284</v>
      </c>
      <c r="B539" s="10">
        <f>9.0483 * CHOOSE(CONTROL!$C$32, $C$9, 100%, $E$9)</f>
        <v>9.0482999999999993</v>
      </c>
      <c r="C539" s="10">
        <f>9.0483 * CHOOSE(CONTROL!$C$32, $C$9, 100%, $E$9)</f>
        <v>9.0482999999999993</v>
      </c>
      <c r="D539" s="10">
        <f>9.0493 * CHOOSE(CONTROL!$C$32, $C$9, 100%, $E$9)</f>
        <v>9.0493000000000006</v>
      </c>
      <c r="E539" s="9">
        <f>7.776 * CHOOSE(CONTROL!$C$32, $C$9, 100%, $E$9)</f>
        <v>7.7759999999999998</v>
      </c>
      <c r="F539" s="9">
        <f>7.776 * CHOOSE(CONTROL!$C$32, $C$9, 100%, $E$9)</f>
        <v>7.7759999999999998</v>
      </c>
      <c r="G539" s="9">
        <f>7.7794 * CHOOSE(CONTROL!$C$32, $C$9, 100%, $E$9)</f>
        <v>7.7793999999999999</v>
      </c>
      <c r="H539" s="9">
        <f>10.8695 * CHOOSE(CONTROL!$C$32, $C$9, 100%, $E$9)</f>
        <v>10.8695</v>
      </c>
      <c r="I539" s="9">
        <f>10.8729 * CHOOSE(CONTROL!$C$32, $C$9, 100%, $E$9)</f>
        <v>10.8729</v>
      </c>
      <c r="J539" s="9">
        <f>10.8695 * CHOOSE(CONTROL!$C$32, $C$9, 100%, $E$9)</f>
        <v>10.8695</v>
      </c>
      <c r="K539" s="9">
        <f>10.8729 * CHOOSE(CONTROL!$C$32, $C$9, 100%, $E$9)</f>
        <v>10.8729</v>
      </c>
      <c r="L539" s="9">
        <f>7.776 * CHOOSE(CONTROL!$C$32, $C$9, 100%, $E$9)</f>
        <v>7.7759999999999998</v>
      </c>
      <c r="M539" s="9">
        <f>7.7794 * CHOOSE(CONTROL!$C$32, $C$9, 100%, $E$9)</f>
        <v>7.7793999999999999</v>
      </c>
      <c r="N539" s="9">
        <f>7.776 * CHOOSE(CONTROL!$C$32, $C$9, 100%, $E$9)</f>
        <v>7.7759999999999998</v>
      </c>
      <c r="O539" s="9">
        <f>7.7794 * CHOOSE(CONTROL!$C$32, $C$9, 100%, $E$9)</f>
        <v>7.7793999999999999</v>
      </c>
    </row>
    <row r="540" spans="1:15" ht="15.75" x14ac:dyDescent="0.25">
      <c r="A540" s="13">
        <v>57314</v>
      </c>
      <c r="B540" s="10">
        <f>9.0514 * CHOOSE(CONTROL!$C$32, $C$9, 100%, $E$9)</f>
        <v>9.0513999999999992</v>
      </c>
      <c r="C540" s="10">
        <f>9.0514 * CHOOSE(CONTROL!$C$32, $C$9, 100%, $E$9)</f>
        <v>9.0513999999999992</v>
      </c>
      <c r="D540" s="10">
        <f>9.0524 * CHOOSE(CONTROL!$C$32, $C$9, 100%, $E$9)</f>
        <v>9.0524000000000004</v>
      </c>
      <c r="E540" s="9">
        <f>7.8148 * CHOOSE(CONTROL!$C$32, $C$9, 100%, $E$9)</f>
        <v>7.8148</v>
      </c>
      <c r="F540" s="9">
        <f>7.8148 * CHOOSE(CONTROL!$C$32, $C$9, 100%, $E$9)</f>
        <v>7.8148</v>
      </c>
      <c r="G540" s="9">
        <f>7.8182 * CHOOSE(CONTROL!$C$32, $C$9, 100%, $E$9)</f>
        <v>7.8182</v>
      </c>
      <c r="H540" s="9">
        <f>10.8715 * CHOOSE(CONTROL!$C$32, $C$9, 100%, $E$9)</f>
        <v>10.871499999999999</v>
      </c>
      <c r="I540" s="9">
        <f>10.8749 * CHOOSE(CONTROL!$C$32, $C$9, 100%, $E$9)</f>
        <v>10.8749</v>
      </c>
      <c r="J540" s="9">
        <f>10.8715 * CHOOSE(CONTROL!$C$32, $C$9, 100%, $E$9)</f>
        <v>10.871499999999999</v>
      </c>
      <c r="K540" s="9">
        <f>10.8749 * CHOOSE(CONTROL!$C$32, $C$9, 100%, $E$9)</f>
        <v>10.8749</v>
      </c>
      <c r="L540" s="9">
        <f>7.8148 * CHOOSE(CONTROL!$C$32, $C$9, 100%, $E$9)</f>
        <v>7.8148</v>
      </c>
      <c r="M540" s="9">
        <f>7.8182 * CHOOSE(CONTROL!$C$32, $C$9, 100%, $E$9)</f>
        <v>7.8182</v>
      </c>
      <c r="N540" s="9">
        <f>7.8148 * CHOOSE(CONTROL!$C$32, $C$9, 100%, $E$9)</f>
        <v>7.8148</v>
      </c>
      <c r="O540" s="9">
        <f>7.8182 * CHOOSE(CONTROL!$C$32, $C$9, 100%, $E$9)</f>
        <v>7.8182</v>
      </c>
    </row>
    <row r="541" spans="1:15" ht="15.75" x14ac:dyDescent="0.25">
      <c r="A541" s="13">
        <v>57345</v>
      </c>
      <c r="B541" s="10">
        <f>9.0514 * CHOOSE(CONTROL!$C$32, $C$9, 100%, $E$9)</f>
        <v>9.0513999999999992</v>
      </c>
      <c r="C541" s="10">
        <f>9.0514 * CHOOSE(CONTROL!$C$32, $C$9, 100%, $E$9)</f>
        <v>9.0513999999999992</v>
      </c>
      <c r="D541" s="10">
        <f>9.0524 * CHOOSE(CONTROL!$C$32, $C$9, 100%, $E$9)</f>
        <v>9.0524000000000004</v>
      </c>
      <c r="E541" s="9">
        <f>7.7231 * CHOOSE(CONTROL!$C$32, $C$9, 100%, $E$9)</f>
        <v>7.7230999999999996</v>
      </c>
      <c r="F541" s="9">
        <f>7.7231 * CHOOSE(CONTROL!$C$32, $C$9, 100%, $E$9)</f>
        <v>7.7230999999999996</v>
      </c>
      <c r="G541" s="9">
        <f>7.7265 * CHOOSE(CONTROL!$C$32, $C$9, 100%, $E$9)</f>
        <v>7.7264999999999997</v>
      </c>
      <c r="H541" s="9">
        <f>10.8715 * CHOOSE(CONTROL!$C$32, $C$9, 100%, $E$9)</f>
        <v>10.871499999999999</v>
      </c>
      <c r="I541" s="9">
        <f>10.8749 * CHOOSE(CONTROL!$C$32, $C$9, 100%, $E$9)</f>
        <v>10.8749</v>
      </c>
      <c r="J541" s="9">
        <f>10.8715 * CHOOSE(CONTROL!$C$32, $C$9, 100%, $E$9)</f>
        <v>10.871499999999999</v>
      </c>
      <c r="K541" s="9">
        <f>10.8749 * CHOOSE(CONTROL!$C$32, $C$9, 100%, $E$9)</f>
        <v>10.8749</v>
      </c>
      <c r="L541" s="9">
        <f>7.7231 * CHOOSE(CONTROL!$C$32, $C$9, 100%, $E$9)</f>
        <v>7.7230999999999996</v>
      </c>
      <c r="M541" s="9">
        <f>7.7265 * CHOOSE(CONTROL!$C$32, $C$9, 100%, $E$9)</f>
        <v>7.7264999999999997</v>
      </c>
      <c r="N541" s="9">
        <f>7.7231 * CHOOSE(CONTROL!$C$32, $C$9, 100%, $E$9)</f>
        <v>7.7230999999999996</v>
      </c>
      <c r="O541" s="9">
        <f>7.7265 * CHOOSE(CONTROL!$C$32, $C$9, 100%, $E$9)</f>
        <v>7.7264999999999997</v>
      </c>
    </row>
    <row r="542" spans="1:15" ht="15.75" x14ac:dyDescent="0.25">
      <c r="A542" s="13">
        <v>57376</v>
      </c>
      <c r="B542" s="10">
        <f>9.126 * CHOOSE(CONTROL!$C$32, $C$9, 100%, $E$9)</f>
        <v>9.1259999999999994</v>
      </c>
      <c r="C542" s="10">
        <f>9.126 * CHOOSE(CONTROL!$C$32, $C$9, 100%, $E$9)</f>
        <v>9.1259999999999994</v>
      </c>
      <c r="D542" s="10">
        <f>9.127 * CHOOSE(CONTROL!$C$32, $C$9, 100%, $E$9)</f>
        <v>9.1270000000000007</v>
      </c>
      <c r="E542" s="9">
        <f>7.8437 * CHOOSE(CONTROL!$C$32, $C$9, 100%, $E$9)</f>
        <v>7.8437000000000001</v>
      </c>
      <c r="F542" s="9">
        <f>7.8437 * CHOOSE(CONTROL!$C$32, $C$9, 100%, $E$9)</f>
        <v>7.8437000000000001</v>
      </c>
      <c r="G542" s="9">
        <f>7.847 * CHOOSE(CONTROL!$C$32, $C$9, 100%, $E$9)</f>
        <v>7.8470000000000004</v>
      </c>
      <c r="H542" s="9">
        <f>10.952 * CHOOSE(CONTROL!$C$32, $C$9, 100%, $E$9)</f>
        <v>10.952</v>
      </c>
      <c r="I542" s="9">
        <f>10.9554 * CHOOSE(CONTROL!$C$32, $C$9, 100%, $E$9)</f>
        <v>10.955399999999999</v>
      </c>
      <c r="J542" s="9">
        <f>10.952 * CHOOSE(CONTROL!$C$32, $C$9, 100%, $E$9)</f>
        <v>10.952</v>
      </c>
      <c r="K542" s="9">
        <f>10.9554 * CHOOSE(CONTROL!$C$32, $C$9, 100%, $E$9)</f>
        <v>10.955399999999999</v>
      </c>
      <c r="L542" s="9">
        <f>7.8437 * CHOOSE(CONTROL!$C$32, $C$9, 100%, $E$9)</f>
        <v>7.8437000000000001</v>
      </c>
      <c r="M542" s="9">
        <f>7.847 * CHOOSE(CONTROL!$C$32, $C$9, 100%, $E$9)</f>
        <v>7.8470000000000004</v>
      </c>
      <c r="N542" s="9">
        <f>7.8437 * CHOOSE(CONTROL!$C$32, $C$9, 100%, $E$9)</f>
        <v>7.8437000000000001</v>
      </c>
      <c r="O542" s="9">
        <f>7.847 * CHOOSE(CONTROL!$C$32, $C$9, 100%, $E$9)</f>
        <v>7.8470000000000004</v>
      </c>
    </row>
    <row r="543" spans="1:15" ht="15.75" x14ac:dyDescent="0.25">
      <c r="A543" s="13">
        <v>57404</v>
      </c>
      <c r="B543" s="10">
        <f>9.1229 * CHOOSE(CONTROL!$C$32, $C$9, 100%, $E$9)</f>
        <v>9.1228999999999996</v>
      </c>
      <c r="C543" s="10">
        <f>9.1229 * CHOOSE(CONTROL!$C$32, $C$9, 100%, $E$9)</f>
        <v>9.1228999999999996</v>
      </c>
      <c r="D543" s="10">
        <f>9.1239 * CHOOSE(CONTROL!$C$32, $C$9, 100%, $E$9)</f>
        <v>9.1239000000000008</v>
      </c>
      <c r="E543" s="9">
        <f>7.663 * CHOOSE(CONTROL!$C$32, $C$9, 100%, $E$9)</f>
        <v>7.6630000000000003</v>
      </c>
      <c r="F543" s="9">
        <f>7.663 * CHOOSE(CONTROL!$C$32, $C$9, 100%, $E$9)</f>
        <v>7.6630000000000003</v>
      </c>
      <c r="G543" s="9">
        <f>7.6663 * CHOOSE(CONTROL!$C$32, $C$9, 100%, $E$9)</f>
        <v>7.6662999999999997</v>
      </c>
      <c r="H543" s="9">
        <f>10.95 * CHOOSE(CONTROL!$C$32, $C$9, 100%, $E$9)</f>
        <v>10.95</v>
      </c>
      <c r="I543" s="9">
        <f>10.9534 * CHOOSE(CONTROL!$C$32, $C$9, 100%, $E$9)</f>
        <v>10.9534</v>
      </c>
      <c r="J543" s="9">
        <f>10.95 * CHOOSE(CONTROL!$C$32, $C$9, 100%, $E$9)</f>
        <v>10.95</v>
      </c>
      <c r="K543" s="9">
        <f>10.9534 * CHOOSE(CONTROL!$C$32, $C$9, 100%, $E$9)</f>
        <v>10.9534</v>
      </c>
      <c r="L543" s="9">
        <f>7.663 * CHOOSE(CONTROL!$C$32, $C$9, 100%, $E$9)</f>
        <v>7.6630000000000003</v>
      </c>
      <c r="M543" s="9">
        <f>7.6663 * CHOOSE(CONTROL!$C$32, $C$9, 100%, $E$9)</f>
        <v>7.6662999999999997</v>
      </c>
      <c r="N543" s="9">
        <f>7.663 * CHOOSE(CONTROL!$C$32, $C$9, 100%, $E$9)</f>
        <v>7.6630000000000003</v>
      </c>
      <c r="O543" s="9">
        <f>7.6663 * CHOOSE(CONTROL!$C$32, $C$9, 100%, $E$9)</f>
        <v>7.6662999999999997</v>
      </c>
    </row>
    <row r="544" spans="1:15" ht="15.75" x14ac:dyDescent="0.25">
      <c r="A544" s="13">
        <v>57435</v>
      </c>
      <c r="B544" s="10">
        <f>9.1199 * CHOOSE(CONTROL!$C$32, $C$9, 100%, $E$9)</f>
        <v>9.1198999999999995</v>
      </c>
      <c r="C544" s="10">
        <f>9.1199 * CHOOSE(CONTROL!$C$32, $C$9, 100%, $E$9)</f>
        <v>9.1198999999999995</v>
      </c>
      <c r="D544" s="10">
        <f>9.1209 * CHOOSE(CONTROL!$C$32, $C$9, 100%, $E$9)</f>
        <v>9.1209000000000007</v>
      </c>
      <c r="E544" s="9">
        <f>7.8016 * CHOOSE(CONTROL!$C$32, $C$9, 100%, $E$9)</f>
        <v>7.8015999999999996</v>
      </c>
      <c r="F544" s="9">
        <f>7.8016 * CHOOSE(CONTROL!$C$32, $C$9, 100%, $E$9)</f>
        <v>7.8015999999999996</v>
      </c>
      <c r="G544" s="9">
        <f>7.805 * CHOOSE(CONTROL!$C$32, $C$9, 100%, $E$9)</f>
        <v>7.8049999999999997</v>
      </c>
      <c r="H544" s="9">
        <f>10.948 * CHOOSE(CONTROL!$C$32, $C$9, 100%, $E$9)</f>
        <v>10.948</v>
      </c>
      <c r="I544" s="9">
        <f>10.9514 * CHOOSE(CONTROL!$C$32, $C$9, 100%, $E$9)</f>
        <v>10.9514</v>
      </c>
      <c r="J544" s="9">
        <f>10.948 * CHOOSE(CONTROL!$C$32, $C$9, 100%, $E$9)</f>
        <v>10.948</v>
      </c>
      <c r="K544" s="9">
        <f>10.9514 * CHOOSE(CONTROL!$C$32, $C$9, 100%, $E$9)</f>
        <v>10.9514</v>
      </c>
      <c r="L544" s="9">
        <f>7.8016 * CHOOSE(CONTROL!$C$32, $C$9, 100%, $E$9)</f>
        <v>7.8015999999999996</v>
      </c>
      <c r="M544" s="9">
        <f>7.805 * CHOOSE(CONTROL!$C$32, $C$9, 100%, $E$9)</f>
        <v>7.8049999999999997</v>
      </c>
      <c r="N544" s="9">
        <f>7.8016 * CHOOSE(CONTROL!$C$32, $C$9, 100%, $E$9)</f>
        <v>7.8015999999999996</v>
      </c>
      <c r="O544" s="9">
        <f>7.805 * CHOOSE(CONTROL!$C$32, $C$9, 100%, $E$9)</f>
        <v>7.8049999999999997</v>
      </c>
    </row>
    <row r="545" spans="1:15" ht="15.75" x14ac:dyDescent="0.25">
      <c r="A545" s="13">
        <v>57465</v>
      </c>
      <c r="B545" s="10">
        <f>9.1228 * CHOOSE(CONTROL!$C$32, $C$9, 100%, $E$9)</f>
        <v>9.1227999999999998</v>
      </c>
      <c r="C545" s="10">
        <f>9.1228 * CHOOSE(CONTROL!$C$32, $C$9, 100%, $E$9)</f>
        <v>9.1227999999999998</v>
      </c>
      <c r="D545" s="10">
        <f>9.1238 * CHOOSE(CONTROL!$C$32, $C$9, 100%, $E$9)</f>
        <v>9.1237999999999992</v>
      </c>
      <c r="E545" s="9">
        <f>7.9486 * CHOOSE(CONTROL!$C$32, $C$9, 100%, $E$9)</f>
        <v>7.9485999999999999</v>
      </c>
      <c r="F545" s="9">
        <f>7.9486 * CHOOSE(CONTROL!$C$32, $C$9, 100%, $E$9)</f>
        <v>7.9485999999999999</v>
      </c>
      <c r="G545" s="9">
        <f>7.952 * CHOOSE(CONTROL!$C$32, $C$9, 100%, $E$9)</f>
        <v>7.952</v>
      </c>
      <c r="H545" s="9">
        <f>10.9496 * CHOOSE(CONTROL!$C$32, $C$9, 100%, $E$9)</f>
        <v>10.9496</v>
      </c>
      <c r="I545" s="9">
        <f>10.953 * CHOOSE(CONTROL!$C$32, $C$9, 100%, $E$9)</f>
        <v>10.952999999999999</v>
      </c>
      <c r="J545" s="9">
        <f>10.9496 * CHOOSE(CONTROL!$C$32, $C$9, 100%, $E$9)</f>
        <v>10.9496</v>
      </c>
      <c r="K545" s="9">
        <f>10.953 * CHOOSE(CONTROL!$C$32, $C$9, 100%, $E$9)</f>
        <v>10.952999999999999</v>
      </c>
      <c r="L545" s="9">
        <f>7.9486 * CHOOSE(CONTROL!$C$32, $C$9, 100%, $E$9)</f>
        <v>7.9485999999999999</v>
      </c>
      <c r="M545" s="9">
        <f>7.952 * CHOOSE(CONTROL!$C$32, $C$9, 100%, $E$9)</f>
        <v>7.952</v>
      </c>
      <c r="N545" s="9">
        <f>7.9486 * CHOOSE(CONTROL!$C$32, $C$9, 100%, $E$9)</f>
        <v>7.9485999999999999</v>
      </c>
      <c r="O545" s="9">
        <f>7.952 * CHOOSE(CONTROL!$C$32, $C$9, 100%, $E$9)</f>
        <v>7.952</v>
      </c>
    </row>
    <row r="546" spans="1:15" ht="15.75" x14ac:dyDescent="0.25">
      <c r="A546" s="13">
        <v>57496</v>
      </c>
      <c r="B546" s="10">
        <f>9.1228 * CHOOSE(CONTROL!$C$32, $C$9, 100%, $E$9)</f>
        <v>9.1227999999999998</v>
      </c>
      <c r="C546" s="10">
        <f>9.1228 * CHOOSE(CONTROL!$C$32, $C$9, 100%, $E$9)</f>
        <v>9.1227999999999998</v>
      </c>
      <c r="D546" s="10">
        <f>9.1241 * CHOOSE(CONTROL!$C$32, $C$9, 100%, $E$9)</f>
        <v>9.1241000000000003</v>
      </c>
      <c r="E546" s="9">
        <f>8.0053 * CHOOSE(CONTROL!$C$32, $C$9, 100%, $E$9)</f>
        <v>8.0053000000000001</v>
      </c>
      <c r="F546" s="9">
        <f>8.0053 * CHOOSE(CONTROL!$C$32, $C$9, 100%, $E$9)</f>
        <v>8.0053000000000001</v>
      </c>
      <c r="G546" s="9">
        <f>8.0096 * CHOOSE(CONTROL!$C$32, $C$9, 100%, $E$9)</f>
        <v>8.0096000000000007</v>
      </c>
      <c r="H546" s="9">
        <f>10.9496 * CHOOSE(CONTROL!$C$32, $C$9, 100%, $E$9)</f>
        <v>10.9496</v>
      </c>
      <c r="I546" s="9">
        <f>10.954 * CHOOSE(CONTROL!$C$32, $C$9, 100%, $E$9)</f>
        <v>10.954000000000001</v>
      </c>
      <c r="J546" s="9">
        <f>10.9496 * CHOOSE(CONTROL!$C$32, $C$9, 100%, $E$9)</f>
        <v>10.9496</v>
      </c>
      <c r="K546" s="9">
        <f>10.954 * CHOOSE(CONTROL!$C$32, $C$9, 100%, $E$9)</f>
        <v>10.954000000000001</v>
      </c>
      <c r="L546" s="9">
        <f>8.0053 * CHOOSE(CONTROL!$C$32, $C$9, 100%, $E$9)</f>
        <v>8.0053000000000001</v>
      </c>
      <c r="M546" s="9">
        <f>8.0096 * CHOOSE(CONTROL!$C$32, $C$9, 100%, $E$9)</f>
        <v>8.0096000000000007</v>
      </c>
      <c r="N546" s="9">
        <f>8.0053 * CHOOSE(CONTROL!$C$32, $C$9, 100%, $E$9)</f>
        <v>8.0053000000000001</v>
      </c>
      <c r="O546" s="9">
        <f>8.0096 * CHOOSE(CONTROL!$C$32, $C$9, 100%, $E$9)</f>
        <v>8.0096000000000007</v>
      </c>
    </row>
    <row r="547" spans="1:15" ht="15.75" x14ac:dyDescent="0.25">
      <c r="A547" s="13">
        <v>57526</v>
      </c>
      <c r="B547" s="10">
        <f>9.1289 * CHOOSE(CONTROL!$C$32, $C$9, 100%, $E$9)</f>
        <v>9.1288999999999998</v>
      </c>
      <c r="C547" s="10">
        <f>9.1289 * CHOOSE(CONTROL!$C$32, $C$9, 100%, $E$9)</f>
        <v>9.1288999999999998</v>
      </c>
      <c r="D547" s="10">
        <f>9.1302 * CHOOSE(CONTROL!$C$32, $C$9, 100%, $E$9)</f>
        <v>9.1302000000000003</v>
      </c>
      <c r="E547" s="9">
        <f>7.9528 * CHOOSE(CONTROL!$C$32, $C$9, 100%, $E$9)</f>
        <v>7.9527999999999999</v>
      </c>
      <c r="F547" s="9">
        <f>7.9528 * CHOOSE(CONTROL!$C$32, $C$9, 100%, $E$9)</f>
        <v>7.9527999999999999</v>
      </c>
      <c r="G547" s="9">
        <f>7.9572 * CHOOSE(CONTROL!$C$32, $C$9, 100%, $E$9)</f>
        <v>7.9572000000000003</v>
      </c>
      <c r="H547" s="9">
        <f>10.9536 * CHOOSE(CONTROL!$C$32, $C$9, 100%, $E$9)</f>
        <v>10.9536</v>
      </c>
      <c r="I547" s="9">
        <f>10.958 * CHOOSE(CONTROL!$C$32, $C$9, 100%, $E$9)</f>
        <v>10.958</v>
      </c>
      <c r="J547" s="9">
        <f>10.9536 * CHOOSE(CONTROL!$C$32, $C$9, 100%, $E$9)</f>
        <v>10.9536</v>
      </c>
      <c r="K547" s="9">
        <f>10.958 * CHOOSE(CONTROL!$C$32, $C$9, 100%, $E$9)</f>
        <v>10.958</v>
      </c>
      <c r="L547" s="9">
        <f>7.9528 * CHOOSE(CONTROL!$C$32, $C$9, 100%, $E$9)</f>
        <v>7.9527999999999999</v>
      </c>
      <c r="M547" s="9">
        <f>7.9572 * CHOOSE(CONTROL!$C$32, $C$9, 100%, $E$9)</f>
        <v>7.9572000000000003</v>
      </c>
      <c r="N547" s="9">
        <f>7.9528 * CHOOSE(CONTROL!$C$32, $C$9, 100%, $E$9)</f>
        <v>7.9527999999999999</v>
      </c>
      <c r="O547" s="9">
        <f>7.9572 * CHOOSE(CONTROL!$C$32, $C$9, 100%, $E$9)</f>
        <v>7.9572000000000003</v>
      </c>
    </row>
    <row r="548" spans="1:15" ht="15.75" x14ac:dyDescent="0.25">
      <c r="A548" s="13">
        <v>57557</v>
      </c>
      <c r="B548" s="10">
        <f>9.2579 * CHOOSE(CONTROL!$C$32, $C$9, 100%, $E$9)</f>
        <v>9.2578999999999994</v>
      </c>
      <c r="C548" s="10">
        <f>9.2579 * CHOOSE(CONTROL!$C$32, $C$9, 100%, $E$9)</f>
        <v>9.2578999999999994</v>
      </c>
      <c r="D548" s="10">
        <f>9.2592 * CHOOSE(CONTROL!$C$32, $C$9, 100%, $E$9)</f>
        <v>9.2591999999999999</v>
      </c>
      <c r="E548" s="9">
        <f>8.0451 * CHOOSE(CONTROL!$C$32, $C$9, 100%, $E$9)</f>
        <v>8.0450999999999997</v>
      </c>
      <c r="F548" s="9">
        <f>8.0451 * CHOOSE(CONTROL!$C$32, $C$9, 100%, $E$9)</f>
        <v>8.0450999999999997</v>
      </c>
      <c r="G548" s="9">
        <f>8.0495 * CHOOSE(CONTROL!$C$32, $C$9, 100%, $E$9)</f>
        <v>8.0495000000000001</v>
      </c>
      <c r="H548" s="9">
        <f>11.1174 * CHOOSE(CONTROL!$C$32, $C$9, 100%, $E$9)</f>
        <v>11.1174</v>
      </c>
      <c r="I548" s="9">
        <f>11.1218 * CHOOSE(CONTROL!$C$32, $C$9, 100%, $E$9)</f>
        <v>11.1218</v>
      </c>
      <c r="J548" s="9">
        <f>11.1174 * CHOOSE(CONTROL!$C$32, $C$9, 100%, $E$9)</f>
        <v>11.1174</v>
      </c>
      <c r="K548" s="9">
        <f>11.1218 * CHOOSE(CONTROL!$C$32, $C$9, 100%, $E$9)</f>
        <v>11.1218</v>
      </c>
      <c r="L548" s="9">
        <f>8.0451 * CHOOSE(CONTROL!$C$32, $C$9, 100%, $E$9)</f>
        <v>8.0450999999999997</v>
      </c>
      <c r="M548" s="9">
        <f>8.0495 * CHOOSE(CONTROL!$C$32, $C$9, 100%, $E$9)</f>
        <v>8.0495000000000001</v>
      </c>
      <c r="N548" s="9">
        <f>8.0451 * CHOOSE(CONTROL!$C$32, $C$9, 100%, $E$9)</f>
        <v>8.0450999999999997</v>
      </c>
      <c r="O548" s="9">
        <f>8.0495 * CHOOSE(CONTROL!$C$32, $C$9, 100%, $E$9)</f>
        <v>8.0495000000000001</v>
      </c>
    </row>
    <row r="549" spans="1:15" ht="15.75" x14ac:dyDescent="0.25">
      <c r="A549" s="13">
        <v>57588</v>
      </c>
      <c r="B549" s="10">
        <f>9.2646 * CHOOSE(CONTROL!$C$32, $C$9, 100%, $E$9)</f>
        <v>9.2645999999999997</v>
      </c>
      <c r="C549" s="10">
        <f>9.2646 * CHOOSE(CONTROL!$C$32, $C$9, 100%, $E$9)</f>
        <v>9.2645999999999997</v>
      </c>
      <c r="D549" s="10">
        <f>9.2659 * CHOOSE(CONTROL!$C$32, $C$9, 100%, $E$9)</f>
        <v>9.2659000000000002</v>
      </c>
      <c r="E549" s="9">
        <f>7.8797 * CHOOSE(CONTROL!$C$32, $C$9, 100%, $E$9)</f>
        <v>7.8796999999999997</v>
      </c>
      <c r="F549" s="9">
        <f>7.8797 * CHOOSE(CONTROL!$C$32, $C$9, 100%, $E$9)</f>
        <v>7.8796999999999997</v>
      </c>
      <c r="G549" s="9">
        <f>7.884 * CHOOSE(CONTROL!$C$32, $C$9, 100%, $E$9)</f>
        <v>7.8840000000000003</v>
      </c>
      <c r="H549" s="9">
        <f>11.1218 * CHOOSE(CONTROL!$C$32, $C$9, 100%, $E$9)</f>
        <v>11.1218</v>
      </c>
      <c r="I549" s="9">
        <f>11.1262 * CHOOSE(CONTROL!$C$32, $C$9, 100%, $E$9)</f>
        <v>11.126200000000001</v>
      </c>
      <c r="J549" s="9">
        <f>11.1218 * CHOOSE(CONTROL!$C$32, $C$9, 100%, $E$9)</f>
        <v>11.1218</v>
      </c>
      <c r="K549" s="9">
        <f>11.1262 * CHOOSE(CONTROL!$C$32, $C$9, 100%, $E$9)</f>
        <v>11.126200000000001</v>
      </c>
      <c r="L549" s="9">
        <f>7.8797 * CHOOSE(CONTROL!$C$32, $C$9, 100%, $E$9)</f>
        <v>7.8796999999999997</v>
      </c>
      <c r="M549" s="9">
        <f>7.884 * CHOOSE(CONTROL!$C$32, $C$9, 100%, $E$9)</f>
        <v>7.8840000000000003</v>
      </c>
      <c r="N549" s="9">
        <f>7.8797 * CHOOSE(CONTROL!$C$32, $C$9, 100%, $E$9)</f>
        <v>7.8796999999999997</v>
      </c>
      <c r="O549" s="9">
        <f>7.884 * CHOOSE(CONTROL!$C$32, $C$9, 100%, $E$9)</f>
        <v>7.8840000000000003</v>
      </c>
    </row>
    <row r="550" spans="1:15" ht="15.75" x14ac:dyDescent="0.25">
      <c r="A550" s="13">
        <v>57618</v>
      </c>
      <c r="B550" s="10">
        <f>9.2615 * CHOOSE(CONTROL!$C$32, $C$9, 100%, $E$9)</f>
        <v>9.2614999999999998</v>
      </c>
      <c r="C550" s="10">
        <f>9.2615 * CHOOSE(CONTROL!$C$32, $C$9, 100%, $E$9)</f>
        <v>9.2614999999999998</v>
      </c>
      <c r="D550" s="10">
        <f>9.2628 * CHOOSE(CONTROL!$C$32, $C$9, 100%, $E$9)</f>
        <v>9.2628000000000004</v>
      </c>
      <c r="E550" s="9">
        <f>7.8586 * CHOOSE(CONTROL!$C$32, $C$9, 100%, $E$9)</f>
        <v>7.8586</v>
      </c>
      <c r="F550" s="9">
        <f>7.8586 * CHOOSE(CONTROL!$C$32, $C$9, 100%, $E$9)</f>
        <v>7.8586</v>
      </c>
      <c r="G550" s="9">
        <f>7.863 * CHOOSE(CONTROL!$C$32, $C$9, 100%, $E$9)</f>
        <v>7.8630000000000004</v>
      </c>
      <c r="H550" s="9">
        <f>11.1198 * CHOOSE(CONTROL!$C$32, $C$9, 100%, $E$9)</f>
        <v>11.1198</v>
      </c>
      <c r="I550" s="9">
        <f>11.1242 * CHOOSE(CONTROL!$C$32, $C$9, 100%, $E$9)</f>
        <v>11.1242</v>
      </c>
      <c r="J550" s="9">
        <f>11.1198 * CHOOSE(CONTROL!$C$32, $C$9, 100%, $E$9)</f>
        <v>11.1198</v>
      </c>
      <c r="K550" s="9">
        <f>11.1242 * CHOOSE(CONTROL!$C$32, $C$9, 100%, $E$9)</f>
        <v>11.1242</v>
      </c>
      <c r="L550" s="9">
        <f>7.8586 * CHOOSE(CONTROL!$C$32, $C$9, 100%, $E$9)</f>
        <v>7.8586</v>
      </c>
      <c r="M550" s="9">
        <f>7.863 * CHOOSE(CONTROL!$C$32, $C$9, 100%, $E$9)</f>
        <v>7.8630000000000004</v>
      </c>
      <c r="N550" s="9">
        <f>7.8586 * CHOOSE(CONTROL!$C$32, $C$9, 100%, $E$9)</f>
        <v>7.8586</v>
      </c>
      <c r="O550" s="9">
        <f>7.863 * CHOOSE(CONTROL!$C$32, $C$9, 100%, $E$9)</f>
        <v>7.8630000000000004</v>
      </c>
    </row>
    <row r="551" spans="1:15" ht="15.75" x14ac:dyDescent="0.25">
      <c r="A551" s="13">
        <v>57649</v>
      </c>
      <c r="B551" s="10">
        <f>9.2774 * CHOOSE(CONTROL!$C$32, $C$9, 100%, $E$9)</f>
        <v>9.2774000000000001</v>
      </c>
      <c r="C551" s="10">
        <f>9.2774 * CHOOSE(CONTROL!$C$32, $C$9, 100%, $E$9)</f>
        <v>9.2774000000000001</v>
      </c>
      <c r="D551" s="10">
        <f>9.2784 * CHOOSE(CONTROL!$C$32, $C$9, 100%, $E$9)</f>
        <v>9.2783999999999995</v>
      </c>
      <c r="E551" s="9">
        <f>7.9208 * CHOOSE(CONTROL!$C$32, $C$9, 100%, $E$9)</f>
        <v>7.9207999999999998</v>
      </c>
      <c r="F551" s="9">
        <f>7.9208 * CHOOSE(CONTROL!$C$32, $C$9, 100%, $E$9)</f>
        <v>7.9207999999999998</v>
      </c>
      <c r="G551" s="9">
        <f>7.9242 * CHOOSE(CONTROL!$C$32, $C$9, 100%, $E$9)</f>
        <v>7.9241999999999999</v>
      </c>
      <c r="H551" s="9">
        <f>11.129 * CHOOSE(CONTROL!$C$32, $C$9, 100%, $E$9)</f>
        <v>11.129</v>
      </c>
      <c r="I551" s="9">
        <f>11.1324 * CHOOSE(CONTROL!$C$32, $C$9, 100%, $E$9)</f>
        <v>11.132400000000001</v>
      </c>
      <c r="J551" s="9">
        <f>11.129 * CHOOSE(CONTROL!$C$32, $C$9, 100%, $E$9)</f>
        <v>11.129</v>
      </c>
      <c r="K551" s="9">
        <f>11.1324 * CHOOSE(CONTROL!$C$32, $C$9, 100%, $E$9)</f>
        <v>11.132400000000001</v>
      </c>
      <c r="L551" s="9">
        <f>7.9208 * CHOOSE(CONTROL!$C$32, $C$9, 100%, $E$9)</f>
        <v>7.9207999999999998</v>
      </c>
      <c r="M551" s="9">
        <f>7.9242 * CHOOSE(CONTROL!$C$32, $C$9, 100%, $E$9)</f>
        <v>7.9241999999999999</v>
      </c>
      <c r="N551" s="9">
        <f>7.9208 * CHOOSE(CONTROL!$C$32, $C$9, 100%, $E$9)</f>
        <v>7.9207999999999998</v>
      </c>
      <c r="O551" s="9">
        <f>7.9242 * CHOOSE(CONTROL!$C$32, $C$9, 100%, $E$9)</f>
        <v>7.9241999999999999</v>
      </c>
    </row>
    <row r="552" spans="1:15" ht="15.75" x14ac:dyDescent="0.25">
      <c r="A552" s="13">
        <v>57679</v>
      </c>
      <c r="B552" s="10">
        <f>9.2805 * CHOOSE(CONTROL!$C$32, $C$9, 100%, $E$9)</f>
        <v>9.2805</v>
      </c>
      <c r="C552" s="10">
        <f>9.2805 * CHOOSE(CONTROL!$C$32, $C$9, 100%, $E$9)</f>
        <v>9.2805</v>
      </c>
      <c r="D552" s="10">
        <f>9.2815 * CHOOSE(CONTROL!$C$32, $C$9, 100%, $E$9)</f>
        <v>9.2814999999999994</v>
      </c>
      <c r="E552" s="9">
        <f>7.9607 * CHOOSE(CONTROL!$C$32, $C$9, 100%, $E$9)</f>
        <v>7.9607000000000001</v>
      </c>
      <c r="F552" s="9">
        <f>7.9607 * CHOOSE(CONTROL!$C$32, $C$9, 100%, $E$9)</f>
        <v>7.9607000000000001</v>
      </c>
      <c r="G552" s="9">
        <f>7.9641 * CHOOSE(CONTROL!$C$32, $C$9, 100%, $E$9)</f>
        <v>7.9641000000000002</v>
      </c>
      <c r="H552" s="9">
        <f>11.131 * CHOOSE(CONTROL!$C$32, $C$9, 100%, $E$9)</f>
        <v>11.131</v>
      </c>
      <c r="I552" s="9">
        <f>11.1344 * CHOOSE(CONTROL!$C$32, $C$9, 100%, $E$9)</f>
        <v>11.134399999999999</v>
      </c>
      <c r="J552" s="9">
        <f>11.131 * CHOOSE(CONTROL!$C$32, $C$9, 100%, $E$9)</f>
        <v>11.131</v>
      </c>
      <c r="K552" s="9">
        <f>11.1344 * CHOOSE(CONTROL!$C$32, $C$9, 100%, $E$9)</f>
        <v>11.134399999999999</v>
      </c>
      <c r="L552" s="9">
        <f>7.9607 * CHOOSE(CONTROL!$C$32, $C$9, 100%, $E$9)</f>
        <v>7.9607000000000001</v>
      </c>
      <c r="M552" s="9">
        <f>7.9641 * CHOOSE(CONTROL!$C$32, $C$9, 100%, $E$9)</f>
        <v>7.9641000000000002</v>
      </c>
      <c r="N552" s="9">
        <f>7.9607 * CHOOSE(CONTROL!$C$32, $C$9, 100%, $E$9)</f>
        <v>7.9607000000000001</v>
      </c>
      <c r="O552" s="9">
        <f>7.9641 * CHOOSE(CONTROL!$C$32, $C$9, 100%, $E$9)</f>
        <v>7.9641000000000002</v>
      </c>
    </row>
    <row r="553" spans="1:15" ht="15.75" x14ac:dyDescent="0.25">
      <c r="A553" s="13">
        <v>57710</v>
      </c>
      <c r="B553" s="10">
        <f>9.2805 * CHOOSE(CONTROL!$C$32, $C$9, 100%, $E$9)</f>
        <v>9.2805</v>
      </c>
      <c r="C553" s="10">
        <f>9.2805 * CHOOSE(CONTROL!$C$32, $C$9, 100%, $E$9)</f>
        <v>9.2805</v>
      </c>
      <c r="D553" s="10">
        <f>9.2815 * CHOOSE(CONTROL!$C$32, $C$9, 100%, $E$9)</f>
        <v>9.2814999999999994</v>
      </c>
      <c r="E553" s="9">
        <f>7.8662 * CHOOSE(CONTROL!$C$32, $C$9, 100%, $E$9)</f>
        <v>7.8662000000000001</v>
      </c>
      <c r="F553" s="9">
        <f>7.8662 * CHOOSE(CONTROL!$C$32, $C$9, 100%, $E$9)</f>
        <v>7.8662000000000001</v>
      </c>
      <c r="G553" s="9">
        <f>7.8696 * CHOOSE(CONTROL!$C$32, $C$9, 100%, $E$9)</f>
        <v>7.8696000000000002</v>
      </c>
      <c r="H553" s="9">
        <f>11.131 * CHOOSE(CONTROL!$C$32, $C$9, 100%, $E$9)</f>
        <v>11.131</v>
      </c>
      <c r="I553" s="9">
        <f>11.1344 * CHOOSE(CONTROL!$C$32, $C$9, 100%, $E$9)</f>
        <v>11.134399999999999</v>
      </c>
      <c r="J553" s="9">
        <f>11.131 * CHOOSE(CONTROL!$C$32, $C$9, 100%, $E$9)</f>
        <v>11.131</v>
      </c>
      <c r="K553" s="9">
        <f>11.1344 * CHOOSE(CONTROL!$C$32, $C$9, 100%, $E$9)</f>
        <v>11.134399999999999</v>
      </c>
      <c r="L553" s="9">
        <f>7.8662 * CHOOSE(CONTROL!$C$32, $C$9, 100%, $E$9)</f>
        <v>7.8662000000000001</v>
      </c>
      <c r="M553" s="9">
        <f>7.8696 * CHOOSE(CONTROL!$C$32, $C$9, 100%, $E$9)</f>
        <v>7.8696000000000002</v>
      </c>
      <c r="N553" s="9">
        <f>7.8662 * CHOOSE(CONTROL!$C$32, $C$9, 100%, $E$9)</f>
        <v>7.8662000000000001</v>
      </c>
      <c r="O553" s="9">
        <f>7.8696 * CHOOSE(CONTROL!$C$32, $C$9, 100%, $E$9)</f>
        <v>7.8696000000000002</v>
      </c>
    </row>
    <row r="554" spans="1:15" ht="15.75" x14ac:dyDescent="0.25">
      <c r="A554" s="13">
        <v>57741</v>
      </c>
      <c r="B554" s="10">
        <f>9.3568 * CHOOSE(CONTROL!$C$32, $C$9, 100%, $E$9)</f>
        <v>9.3567999999999998</v>
      </c>
      <c r="C554" s="10">
        <f>9.3568 * CHOOSE(CONTROL!$C$32, $C$9, 100%, $E$9)</f>
        <v>9.3567999999999998</v>
      </c>
      <c r="D554" s="10">
        <f>9.3578 * CHOOSE(CONTROL!$C$32, $C$9, 100%, $E$9)</f>
        <v>9.3577999999999992</v>
      </c>
      <c r="E554" s="9">
        <f>7.99 * CHOOSE(CONTROL!$C$32, $C$9, 100%, $E$9)</f>
        <v>7.99</v>
      </c>
      <c r="F554" s="9">
        <f>7.99 * CHOOSE(CONTROL!$C$32, $C$9, 100%, $E$9)</f>
        <v>7.99</v>
      </c>
      <c r="G554" s="9">
        <f>7.9933 * CHOOSE(CONTROL!$C$32, $C$9, 100%, $E$9)</f>
        <v>7.9932999999999996</v>
      </c>
      <c r="H554" s="9">
        <f>11.2134 * CHOOSE(CONTROL!$C$32, $C$9, 100%, $E$9)</f>
        <v>11.2134</v>
      </c>
      <c r="I554" s="9">
        <f>11.2167 * CHOOSE(CONTROL!$C$32, $C$9, 100%, $E$9)</f>
        <v>11.216699999999999</v>
      </c>
      <c r="J554" s="9">
        <f>11.2134 * CHOOSE(CONTROL!$C$32, $C$9, 100%, $E$9)</f>
        <v>11.2134</v>
      </c>
      <c r="K554" s="9">
        <f>11.2167 * CHOOSE(CONTROL!$C$32, $C$9, 100%, $E$9)</f>
        <v>11.216699999999999</v>
      </c>
      <c r="L554" s="9">
        <f>7.99 * CHOOSE(CONTROL!$C$32, $C$9, 100%, $E$9)</f>
        <v>7.99</v>
      </c>
      <c r="M554" s="9">
        <f>7.9933 * CHOOSE(CONTROL!$C$32, $C$9, 100%, $E$9)</f>
        <v>7.9932999999999996</v>
      </c>
      <c r="N554" s="9">
        <f>7.99 * CHOOSE(CONTROL!$C$32, $C$9, 100%, $E$9)</f>
        <v>7.99</v>
      </c>
      <c r="O554" s="9">
        <f>7.9933 * CHOOSE(CONTROL!$C$32, $C$9, 100%, $E$9)</f>
        <v>7.9932999999999996</v>
      </c>
    </row>
    <row r="555" spans="1:15" ht="15.75" x14ac:dyDescent="0.25">
      <c r="A555" s="13">
        <v>57769</v>
      </c>
      <c r="B555" s="10">
        <f>9.3538 * CHOOSE(CONTROL!$C$32, $C$9, 100%, $E$9)</f>
        <v>9.3537999999999997</v>
      </c>
      <c r="C555" s="10">
        <f>9.3538 * CHOOSE(CONTROL!$C$32, $C$9, 100%, $E$9)</f>
        <v>9.3537999999999997</v>
      </c>
      <c r="D555" s="10">
        <f>9.3548 * CHOOSE(CONTROL!$C$32, $C$9, 100%, $E$9)</f>
        <v>9.3547999999999991</v>
      </c>
      <c r="E555" s="9">
        <f>7.8039 * CHOOSE(CONTROL!$C$32, $C$9, 100%, $E$9)</f>
        <v>7.8038999999999996</v>
      </c>
      <c r="F555" s="9">
        <f>7.8039 * CHOOSE(CONTROL!$C$32, $C$9, 100%, $E$9)</f>
        <v>7.8038999999999996</v>
      </c>
      <c r="G555" s="9">
        <f>7.8073 * CHOOSE(CONTROL!$C$32, $C$9, 100%, $E$9)</f>
        <v>7.8072999999999997</v>
      </c>
      <c r="H555" s="9">
        <f>11.2114 * CHOOSE(CONTROL!$C$32, $C$9, 100%, $E$9)</f>
        <v>11.211399999999999</v>
      </c>
      <c r="I555" s="9">
        <f>11.2147 * CHOOSE(CONTROL!$C$32, $C$9, 100%, $E$9)</f>
        <v>11.214700000000001</v>
      </c>
      <c r="J555" s="9">
        <f>11.2114 * CHOOSE(CONTROL!$C$32, $C$9, 100%, $E$9)</f>
        <v>11.211399999999999</v>
      </c>
      <c r="K555" s="9">
        <f>11.2147 * CHOOSE(CONTROL!$C$32, $C$9, 100%, $E$9)</f>
        <v>11.214700000000001</v>
      </c>
      <c r="L555" s="9">
        <f>7.8039 * CHOOSE(CONTROL!$C$32, $C$9, 100%, $E$9)</f>
        <v>7.8038999999999996</v>
      </c>
      <c r="M555" s="9">
        <f>7.8073 * CHOOSE(CONTROL!$C$32, $C$9, 100%, $E$9)</f>
        <v>7.8072999999999997</v>
      </c>
      <c r="N555" s="9">
        <f>7.8039 * CHOOSE(CONTROL!$C$32, $C$9, 100%, $E$9)</f>
        <v>7.8038999999999996</v>
      </c>
      <c r="O555" s="9">
        <f>7.8073 * CHOOSE(CONTROL!$C$32, $C$9, 100%, $E$9)</f>
        <v>7.8072999999999997</v>
      </c>
    </row>
    <row r="556" spans="1:15" ht="15.75" x14ac:dyDescent="0.25">
      <c r="A556" s="13">
        <v>57800</v>
      </c>
      <c r="B556" s="10">
        <f>9.3508 * CHOOSE(CONTROL!$C$32, $C$9, 100%, $E$9)</f>
        <v>9.3507999999999996</v>
      </c>
      <c r="C556" s="10">
        <f>9.3508 * CHOOSE(CONTROL!$C$32, $C$9, 100%, $E$9)</f>
        <v>9.3507999999999996</v>
      </c>
      <c r="D556" s="10">
        <f>9.3518 * CHOOSE(CONTROL!$C$32, $C$9, 100%, $E$9)</f>
        <v>9.3518000000000008</v>
      </c>
      <c r="E556" s="9">
        <f>7.9468 * CHOOSE(CONTROL!$C$32, $C$9, 100%, $E$9)</f>
        <v>7.9467999999999996</v>
      </c>
      <c r="F556" s="9">
        <f>7.9468 * CHOOSE(CONTROL!$C$32, $C$9, 100%, $E$9)</f>
        <v>7.9467999999999996</v>
      </c>
      <c r="G556" s="9">
        <f>7.9502 * CHOOSE(CONTROL!$C$32, $C$9, 100%, $E$9)</f>
        <v>7.9501999999999997</v>
      </c>
      <c r="H556" s="9">
        <f>11.2094 * CHOOSE(CONTROL!$C$32, $C$9, 100%, $E$9)</f>
        <v>11.2094</v>
      </c>
      <c r="I556" s="9">
        <f>11.2127 * CHOOSE(CONTROL!$C$32, $C$9, 100%, $E$9)</f>
        <v>11.2127</v>
      </c>
      <c r="J556" s="9">
        <f>11.2094 * CHOOSE(CONTROL!$C$32, $C$9, 100%, $E$9)</f>
        <v>11.2094</v>
      </c>
      <c r="K556" s="9">
        <f>11.2127 * CHOOSE(CONTROL!$C$32, $C$9, 100%, $E$9)</f>
        <v>11.2127</v>
      </c>
      <c r="L556" s="9">
        <f>7.9468 * CHOOSE(CONTROL!$C$32, $C$9, 100%, $E$9)</f>
        <v>7.9467999999999996</v>
      </c>
      <c r="M556" s="9">
        <f>7.9502 * CHOOSE(CONTROL!$C$32, $C$9, 100%, $E$9)</f>
        <v>7.9501999999999997</v>
      </c>
      <c r="N556" s="9">
        <f>7.9468 * CHOOSE(CONTROL!$C$32, $C$9, 100%, $E$9)</f>
        <v>7.9467999999999996</v>
      </c>
      <c r="O556" s="9">
        <f>7.9502 * CHOOSE(CONTROL!$C$32, $C$9, 100%, $E$9)</f>
        <v>7.9501999999999997</v>
      </c>
    </row>
    <row r="557" spans="1:15" ht="15.75" x14ac:dyDescent="0.25">
      <c r="A557" s="13">
        <v>57830</v>
      </c>
      <c r="B557" s="10">
        <f>9.3539 * CHOOSE(CONTROL!$C$32, $C$9, 100%, $E$9)</f>
        <v>9.3538999999999994</v>
      </c>
      <c r="C557" s="10">
        <f>9.3539 * CHOOSE(CONTROL!$C$32, $C$9, 100%, $E$9)</f>
        <v>9.3538999999999994</v>
      </c>
      <c r="D557" s="10">
        <f>9.3549 * CHOOSE(CONTROL!$C$32, $C$9, 100%, $E$9)</f>
        <v>9.3549000000000007</v>
      </c>
      <c r="E557" s="9">
        <f>8.0983 * CHOOSE(CONTROL!$C$32, $C$9, 100%, $E$9)</f>
        <v>8.0983000000000001</v>
      </c>
      <c r="F557" s="9">
        <f>8.0983 * CHOOSE(CONTROL!$C$32, $C$9, 100%, $E$9)</f>
        <v>8.0983000000000001</v>
      </c>
      <c r="G557" s="9">
        <f>8.1017 * CHOOSE(CONTROL!$C$32, $C$9, 100%, $E$9)</f>
        <v>8.1016999999999992</v>
      </c>
      <c r="H557" s="9">
        <f>11.2111 * CHOOSE(CONTROL!$C$32, $C$9, 100%, $E$9)</f>
        <v>11.2111</v>
      </c>
      <c r="I557" s="9">
        <f>11.2145 * CHOOSE(CONTROL!$C$32, $C$9, 100%, $E$9)</f>
        <v>11.214499999999999</v>
      </c>
      <c r="J557" s="9">
        <f>11.2111 * CHOOSE(CONTROL!$C$32, $C$9, 100%, $E$9)</f>
        <v>11.2111</v>
      </c>
      <c r="K557" s="9">
        <f>11.2145 * CHOOSE(CONTROL!$C$32, $C$9, 100%, $E$9)</f>
        <v>11.214499999999999</v>
      </c>
      <c r="L557" s="9">
        <f>8.0983 * CHOOSE(CONTROL!$C$32, $C$9, 100%, $E$9)</f>
        <v>8.0983000000000001</v>
      </c>
      <c r="M557" s="9">
        <f>8.1017 * CHOOSE(CONTROL!$C$32, $C$9, 100%, $E$9)</f>
        <v>8.1016999999999992</v>
      </c>
      <c r="N557" s="9">
        <f>8.0983 * CHOOSE(CONTROL!$C$32, $C$9, 100%, $E$9)</f>
        <v>8.0983000000000001</v>
      </c>
      <c r="O557" s="9">
        <f>8.1017 * CHOOSE(CONTROL!$C$32, $C$9, 100%, $E$9)</f>
        <v>8.1016999999999992</v>
      </c>
    </row>
    <row r="558" spans="1:15" ht="15.75" x14ac:dyDescent="0.25">
      <c r="A558" s="13">
        <v>57861</v>
      </c>
      <c r="B558" s="10">
        <f>9.3539 * CHOOSE(CONTROL!$C$32, $C$9, 100%, $E$9)</f>
        <v>9.3538999999999994</v>
      </c>
      <c r="C558" s="10">
        <f>9.3539 * CHOOSE(CONTROL!$C$32, $C$9, 100%, $E$9)</f>
        <v>9.3538999999999994</v>
      </c>
      <c r="D558" s="10">
        <f>9.3552 * CHOOSE(CONTROL!$C$32, $C$9, 100%, $E$9)</f>
        <v>9.3552</v>
      </c>
      <c r="E558" s="9">
        <f>8.1567 * CHOOSE(CONTROL!$C$32, $C$9, 100%, $E$9)</f>
        <v>8.1567000000000007</v>
      </c>
      <c r="F558" s="9">
        <f>8.1567 * CHOOSE(CONTROL!$C$32, $C$9, 100%, $E$9)</f>
        <v>8.1567000000000007</v>
      </c>
      <c r="G558" s="9">
        <f>8.161 * CHOOSE(CONTROL!$C$32, $C$9, 100%, $E$9)</f>
        <v>8.1609999999999996</v>
      </c>
      <c r="H558" s="9">
        <f>11.2111 * CHOOSE(CONTROL!$C$32, $C$9, 100%, $E$9)</f>
        <v>11.2111</v>
      </c>
      <c r="I558" s="9">
        <f>11.2154 * CHOOSE(CONTROL!$C$32, $C$9, 100%, $E$9)</f>
        <v>11.215400000000001</v>
      </c>
      <c r="J558" s="9">
        <f>11.2111 * CHOOSE(CONTROL!$C$32, $C$9, 100%, $E$9)</f>
        <v>11.2111</v>
      </c>
      <c r="K558" s="9">
        <f>11.2154 * CHOOSE(CONTROL!$C$32, $C$9, 100%, $E$9)</f>
        <v>11.215400000000001</v>
      </c>
      <c r="L558" s="9">
        <f>8.1567 * CHOOSE(CONTROL!$C$32, $C$9, 100%, $E$9)</f>
        <v>8.1567000000000007</v>
      </c>
      <c r="M558" s="9">
        <f>8.161 * CHOOSE(CONTROL!$C$32, $C$9, 100%, $E$9)</f>
        <v>8.1609999999999996</v>
      </c>
      <c r="N558" s="9">
        <f>8.1567 * CHOOSE(CONTROL!$C$32, $C$9, 100%, $E$9)</f>
        <v>8.1567000000000007</v>
      </c>
      <c r="O558" s="9">
        <f>8.161 * CHOOSE(CONTROL!$C$32, $C$9, 100%, $E$9)</f>
        <v>8.1609999999999996</v>
      </c>
    </row>
    <row r="559" spans="1:15" ht="15.75" x14ac:dyDescent="0.25">
      <c r="A559" s="13">
        <v>57891</v>
      </c>
      <c r="B559" s="10">
        <f>9.36 * CHOOSE(CONTROL!$C$32, $C$9, 100%, $E$9)</f>
        <v>9.36</v>
      </c>
      <c r="C559" s="10">
        <f>9.36 * CHOOSE(CONTROL!$C$32, $C$9, 100%, $E$9)</f>
        <v>9.36</v>
      </c>
      <c r="D559" s="10">
        <f>9.3613 * CHOOSE(CONTROL!$C$32, $C$9, 100%, $E$9)</f>
        <v>9.3613</v>
      </c>
      <c r="E559" s="9">
        <f>8.1025 * CHOOSE(CONTROL!$C$32, $C$9, 100%, $E$9)</f>
        <v>8.1024999999999991</v>
      </c>
      <c r="F559" s="9">
        <f>8.1025 * CHOOSE(CONTROL!$C$32, $C$9, 100%, $E$9)</f>
        <v>8.1024999999999991</v>
      </c>
      <c r="G559" s="9">
        <f>8.1069 * CHOOSE(CONTROL!$C$32, $C$9, 100%, $E$9)</f>
        <v>8.1068999999999996</v>
      </c>
      <c r="H559" s="9">
        <f>11.2151 * CHOOSE(CONTROL!$C$32, $C$9, 100%, $E$9)</f>
        <v>11.2151</v>
      </c>
      <c r="I559" s="9">
        <f>11.2194 * CHOOSE(CONTROL!$C$32, $C$9, 100%, $E$9)</f>
        <v>11.2194</v>
      </c>
      <c r="J559" s="9">
        <f>11.2151 * CHOOSE(CONTROL!$C$32, $C$9, 100%, $E$9)</f>
        <v>11.2151</v>
      </c>
      <c r="K559" s="9">
        <f>11.2194 * CHOOSE(CONTROL!$C$32, $C$9, 100%, $E$9)</f>
        <v>11.2194</v>
      </c>
      <c r="L559" s="9">
        <f>8.1025 * CHOOSE(CONTROL!$C$32, $C$9, 100%, $E$9)</f>
        <v>8.1024999999999991</v>
      </c>
      <c r="M559" s="9">
        <f>8.1069 * CHOOSE(CONTROL!$C$32, $C$9, 100%, $E$9)</f>
        <v>8.1068999999999996</v>
      </c>
      <c r="N559" s="9">
        <f>8.1025 * CHOOSE(CONTROL!$C$32, $C$9, 100%, $E$9)</f>
        <v>8.1024999999999991</v>
      </c>
      <c r="O559" s="9">
        <f>8.1069 * CHOOSE(CONTROL!$C$32, $C$9, 100%, $E$9)</f>
        <v>8.1068999999999996</v>
      </c>
    </row>
    <row r="560" spans="1:15" ht="15.75" x14ac:dyDescent="0.25">
      <c r="A560" s="13">
        <v>57922</v>
      </c>
      <c r="B560" s="10">
        <f>9.4919 * CHOOSE(CONTROL!$C$32, $C$9, 100%, $E$9)</f>
        <v>9.4918999999999993</v>
      </c>
      <c r="C560" s="10">
        <f>9.4919 * CHOOSE(CONTROL!$C$32, $C$9, 100%, $E$9)</f>
        <v>9.4918999999999993</v>
      </c>
      <c r="D560" s="10">
        <f>9.4932 * CHOOSE(CONTROL!$C$32, $C$9, 100%, $E$9)</f>
        <v>9.4931999999999999</v>
      </c>
      <c r="E560" s="9">
        <f>8.1963 * CHOOSE(CONTROL!$C$32, $C$9, 100%, $E$9)</f>
        <v>8.1963000000000008</v>
      </c>
      <c r="F560" s="9">
        <f>8.1963 * CHOOSE(CONTROL!$C$32, $C$9, 100%, $E$9)</f>
        <v>8.1963000000000008</v>
      </c>
      <c r="G560" s="9">
        <f>8.2007 * CHOOSE(CONTROL!$C$32, $C$9, 100%, $E$9)</f>
        <v>8.2006999999999994</v>
      </c>
      <c r="H560" s="9">
        <f>11.3825 * CHOOSE(CONTROL!$C$32, $C$9, 100%, $E$9)</f>
        <v>11.3825</v>
      </c>
      <c r="I560" s="9">
        <f>11.3869 * CHOOSE(CONTROL!$C$32, $C$9, 100%, $E$9)</f>
        <v>11.386900000000001</v>
      </c>
      <c r="J560" s="9">
        <f>11.3825 * CHOOSE(CONTROL!$C$32, $C$9, 100%, $E$9)</f>
        <v>11.3825</v>
      </c>
      <c r="K560" s="9">
        <f>11.3869 * CHOOSE(CONTROL!$C$32, $C$9, 100%, $E$9)</f>
        <v>11.386900000000001</v>
      </c>
      <c r="L560" s="9">
        <f>8.1963 * CHOOSE(CONTROL!$C$32, $C$9, 100%, $E$9)</f>
        <v>8.1963000000000008</v>
      </c>
      <c r="M560" s="9">
        <f>8.2007 * CHOOSE(CONTROL!$C$32, $C$9, 100%, $E$9)</f>
        <v>8.2006999999999994</v>
      </c>
      <c r="N560" s="9">
        <f>8.1963 * CHOOSE(CONTROL!$C$32, $C$9, 100%, $E$9)</f>
        <v>8.1963000000000008</v>
      </c>
      <c r="O560" s="9">
        <f>8.2007 * CHOOSE(CONTROL!$C$32, $C$9, 100%, $E$9)</f>
        <v>8.2006999999999994</v>
      </c>
    </row>
    <row r="561" spans="1:15" ht="15.75" x14ac:dyDescent="0.25">
      <c r="A561" s="13">
        <v>57953</v>
      </c>
      <c r="B561" s="10">
        <f>9.4986 * CHOOSE(CONTROL!$C$32, $C$9, 100%, $E$9)</f>
        <v>9.4985999999999997</v>
      </c>
      <c r="C561" s="10">
        <f>9.4986 * CHOOSE(CONTROL!$C$32, $C$9, 100%, $E$9)</f>
        <v>9.4985999999999997</v>
      </c>
      <c r="D561" s="10">
        <f>9.4999 * CHOOSE(CONTROL!$C$32, $C$9, 100%, $E$9)</f>
        <v>9.4999000000000002</v>
      </c>
      <c r="E561" s="9">
        <f>8.0258 * CHOOSE(CONTROL!$C$32, $C$9, 100%, $E$9)</f>
        <v>8.0258000000000003</v>
      </c>
      <c r="F561" s="9">
        <f>8.0258 * CHOOSE(CONTROL!$C$32, $C$9, 100%, $E$9)</f>
        <v>8.0258000000000003</v>
      </c>
      <c r="G561" s="9">
        <f>8.0302 * CHOOSE(CONTROL!$C$32, $C$9, 100%, $E$9)</f>
        <v>8.0302000000000007</v>
      </c>
      <c r="H561" s="9">
        <f>11.3869 * CHOOSE(CONTROL!$C$32, $C$9, 100%, $E$9)</f>
        <v>11.386900000000001</v>
      </c>
      <c r="I561" s="9">
        <f>11.3913 * CHOOSE(CONTROL!$C$32, $C$9, 100%, $E$9)</f>
        <v>11.391299999999999</v>
      </c>
      <c r="J561" s="9">
        <f>11.3869 * CHOOSE(CONTROL!$C$32, $C$9, 100%, $E$9)</f>
        <v>11.386900000000001</v>
      </c>
      <c r="K561" s="9">
        <f>11.3913 * CHOOSE(CONTROL!$C$32, $C$9, 100%, $E$9)</f>
        <v>11.391299999999999</v>
      </c>
      <c r="L561" s="9">
        <f>8.0258 * CHOOSE(CONTROL!$C$32, $C$9, 100%, $E$9)</f>
        <v>8.0258000000000003</v>
      </c>
      <c r="M561" s="9">
        <f>8.0302 * CHOOSE(CONTROL!$C$32, $C$9, 100%, $E$9)</f>
        <v>8.0302000000000007</v>
      </c>
      <c r="N561" s="9">
        <f>8.0258 * CHOOSE(CONTROL!$C$32, $C$9, 100%, $E$9)</f>
        <v>8.0258000000000003</v>
      </c>
      <c r="O561" s="9">
        <f>8.0302 * CHOOSE(CONTROL!$C$32, $C$9, 100%, $E$9)</f>
        <v>8.0302000000000007</v>
      </c>
    </row>
    <row r="562" spans="1:15" ht="15.75" x14ac:dyDescent="0.25">
      <c r="A562" s="13">
        <v>57983</v>
      </c>
      <c r="B562" s="10">
        <f>9.4955 * CHOOSE(CONTROL!$C$32, $C$9, 100%, $E$9)</f>
        <v>9.4954999999999998</v>
      </c>
      <c r="C562" s="10">
        <f>9.4955 * CHOOSE(CONTROL!$C$32, $C$9, 100%, $E$9)</f>
        <v>9.4954999999999998</v>
      </c>
      <c r="D562" s="10">
        <f>9.4968 * CHOOSE(CONTROL!$C$32, $C$9, 100%, $E$9)</f>
        <v>9.4968000000000004</v>
      </c>
      <c r="E562" s="9">
        <f>8.0042 * CHOOSE(CONTROL!$C$32, $C$9, 100%, $E$9)</f>
        <v>8.0042000000000009</v>
      </c>
      <c r="F562" s="9">
        <f>8.0042 * CHOOSE(CONTROL!$C$32, $C$9, 100%, $E$9)</f>
        <v>8.0042000000000009</v>
      </c>
      <c r="G562" s="9">
        <f>8.0086 * CHOOSE(CONTROL!$C$32, $C$9, 100%, $E$9)</f>
        <v>8.0085999999999995</v>
      </c>
      <c r="H562" s="9">
        <f>11.3849 * CHOOSE(CONTROL!$C$32, $C$9, 100%, $E$9)</f>
        <v>11.3849</v>
      </c>
      <c r="I562" s="9">
        <f>11.3893 * CHOOSE(CONTROL!$C$32, $C$9, 100%, $E$9)</f>
        <v>11.3893</v>
      </c>
      <c r="J562" s="9">
        <f>11.3849 * CHOOSE(CONTROL!$C$32, $C$9, 100%, $E$9)</f>
        <v>11.3849</v>
      </c>
      <c r="K562" s="9">
        <f>11.3893 * CHOOSE(CONTROL!$C$32, $C$9, 100%, $E$9)</f>
        <v>11.3893</v>
      </c>
      <c r="L562" s="9">
        <f>8.0042 * CHOOSE(CONTROL!$C$32, $C$9, 100%, $E$9)</f>
        <v>8.0042000000000009</v>
      </c>
      <c r="M562" s="9">
        <f>8.0086 * CHOOSE(CONTROL!$C$32, $C$9, 100%, $E$9)</f>
        <v>8.0085999999999995</v>
      </c>
      <c r="N562" s="9">
        <f>8.0042 * CHOOSE(CONTROL!$C$32, $C$9, 100%, $E$9)</f>
        <v>8.0042000000000009</v>
      </c>
      <c r="O562" s="9">
        <f>8.0086 * CHOOSE(CONTROL!$C$32, $C$9, 100%, $E$9)</f>
        <v>8.0085999999999995</v>
      </c>
    </row>
    <row r="563" spans="1:15" ht="15.75" x14ac:dyDescent="0.25">
      <c r="A563" s="13">
        <v>58014</v>
      </c>
      <c r="B563" s="10">
        <f>9.5123 * CHOOSE(CONTROL!$C$32, $C$9, 100%, $E$9)</f>
        <v>9.5122999999999998</v>
      </c>
      <c r="C563" s="10">
        <f>9.5123 * CHOOSE(CONTROL!$C$32, $C$9, 100%, $E$9)</f>
        <v>9.5122999999999998</v>
      </c>
      <c r="D563" s="10">
        <f>9.5133 * CHOOSE(CONTROL!$C$32, $C$9, 100%, $E$9)</f>
        <v>9.5132999999999992</v>
      </c>
      <c r="E563" s="9">
        <f>8.0687 * CHOOSE(CONTROL!$C$32, $C$9, 100%, $E$9)</f>
        <v>8.0686999999999998</v>
      </c>
      <c r="F563" s="9">
        <f>8.0687 * CHOOSE(CONTROL!$C$32, $C$9, 100%, $E$9)</f>
        <v>8.0686999999999998</v>
      </c>
      <c r="G563" s="9">
        <f>8.072 * CHOOSE(CONTROL!$C$32, $C$9, 100%, $E$9)</f>
        <v>8.0719999999999992</v>
      </c>
      <c r="H563" s="9">
        <f>11.3946 * CHOOSE(CONTROL!$C$32, $C$9, 100%, $E$9)</f>
        <v>11.394600000000001</v>
      </c>
      <c r="I563" s="9">
        <f>11.398 * CHOOSE(CONTROL!$C$32, $C$9, 100%, $E$9)</f>
        <v>11.398</v>
      </c>
      <c r="J563" s="9">
        <f>11.3946 * CHOOSE(CONTROL!$C$32, $C$9, 100%, $E$9)</f>
        <v>11.394600000000001</v>
      </c>
      <c r="K563" s="9">
        <f>11.398 * CHOOSE(CONTROL!$C$32, $C$9, 100%, $E$9)</f>
        <v>11.398</v>
      </c>
      <c r="L563" s="9">
        <f>8.0687 * CHOOSE(CONTROL!$C$32, $C$9, 100%, $E$9)</f>
        <v>8.0686999999999998</v>
      </c>
      <c r="M563" s="9">
        <f>8.072 * CHOOSE(CONTROL!$C$32, $C$9, 100%, $E$9)</f>
        <v>8.0719999999999992</v>
      </c>
      <c r="N563" s="9">
        <f>8.0687 * CHOOSE(CONTROL!$C$32, $C$9, 100%, $E$9)</f>
        <v>8.0686999999999998</v>
      </c>
      <c r="O563" s="9">
        <f>8.072 * CHOOSE(CONTROL!$C$32, $C$9, 100%, $E$9)</f>
        <v>8.0719999999999992</v>
      </c>
    </row>
    <row r="564" spans="1:15" ht="15.75" x14ac:dyDescent="0.25">
      <c r="A564" s="13">
        <v>58044</v>
      </c>
      <c r="B564" s="10">
        <f>9.5154 * CHOOSE(CONTROL!$C$32, $C$9, 100%, $E$9)</f>
        <v>9.5153999999999996</v>
      </c>
      <c r="C564" s="10">
        <f>9.5154 * CHOOSE(CONTROL!$C$32, $C$9, 100%, $E$9)</f>
        <v>9.5153999999999996</v>
      </c>
      <c r="D564" s="10">
        <f>9.5164 * CHOOSE(CONTROL!$C$32, $C$9, 100%, $E$9)</f>
        <v>9.5164000000000009</v>
      </c>
      <c r="E564" s="9">
        <f>8.1097 * CHOOSE(CONTROL!$C$32, $C$9, 100%, $E$9)</f>
        <v>8.1097000000000001</v>
      </c>
      <c r="F564" s="9">
        <f>8.1097 * CHOOSE(CONTROL!$C$32, $C$9, 100%, $E$9)</f>
        <v>8.1097000000000001</v>
      </c>
      <c r="G564" s="9">
        <f>8.1131 * CHOOSE(CONTROL!$C$32, $C$9, 100%, $E$9)</f>
        <v>8.1130999999999993</v>
      </c>
      <c r="H564" s="9">
        <f>11.3966 * CHOOSE(CONTROL!$C$32, $C$9, 100%, $E$9)</f>
        <v>11.396599999999999</v>
      </c>
      <c r="I564" s="9">
        <f>11.4 * CHOOSE(CONTROL!$C$32, $C$9, 100%, $E$9)</f>
        <v>11.4</v>
      </c>
      <c r="J564" s="9">
        <f>11.3966 * CHOOSE(CONTROL!$C$32, $C$9, 100%, $E$9)</f>
        <v>11.396599999999999</v>
      </c>
      <c r="K564" s="9">
        <f>11.4 * CHOOSE(CONTROL!$C$32, $C$9, 100%, $E$9)</f>
        <v>11.4</v>
      </c>
      <c r="L564" s="9">
        <f>8.1097 * CHOOSE(CONTROL!$C$32, $C$9, 100%, $E$9)</f>
        <v>8.1097000000000001</v>
      </c>
      <c r="M564" s="9">
        <f>8.1131 * CHOOSE(CONTROL!$C$32, $C$9, 100%, $E$9)</f>
        <v>8.1130999999999993</v>
      </c>
      <c r="N564" s="9">
        <f>8.1097 * CHOOSE(CONTROL!$C$32, $C$9, 100%, $E$9)</f>
        <v>8.1097000000000001</v>
      </c>
      <c r="O564" s="9">
        <f>8.1131 * CHOOSE(CONTROL!$C$32, $C$9, 100%, $E$9)</f>
        <v>8.1130999999999993</v>
      </c>
    </row>
    <row r="565" spans="1:15" ht="15.75" x14ac:dyDescent="0.25">
      <c r="A565" s="13">
        <v>58075</v>
      </c>
      <c r="B565" s="10">
        <f>9.5154 * CHOOSE(CONTROL!$C$32, $C$9, 100%, $E$9)</f>
        <v>9.5153999999999996</v>
      </c>
      <c r="C565" s="10">
        <f>9.5154 * CHOOSE(CONTROL!$C$32, $C$9, 100%, $E$9)</f>
        <v>9.5153999999999996</v>
      </c>
      <c r="D565" s="10">
        <f>9.5164 * CHOOSE(CONTROL!$C$32, $C$9, 100%, $E$9)</f>
        <v>9.5164000000000009</v>
      </c>
      <c r="E565" s="9">
        <f>8.0124 * CHOOSE(CONTROL!$C$32, $C$9, 100%, $E$9)</f>
        <v>8.0123999999999995</v>
      </c>
      <c r="F565" s="9">
        <f>8.0124 * CHOOSE(CONTROL!$C$32, $C$9, 100%, $E$9)</f>
        <v>8.0123999999999995</v>
      </c>
      <c r="G565" s="9">
        <f>8.0158 * CHOOSE(CONTROL!$C$32, $C$9, 100%, $E$9)</f>
        <v>8.0158000000000005</v>
      </c>
      <c r="H565" s="9">
        <f>11.3966 * CHOOSE(CONTROL!$C$32, $C$9, 100%, $E$9)</f>
        <v>11.396599999999999</v>
      </c>
      <c r="I565" s="9">
        <f>11.4 * CHOOSE(CONTROL!$C$32, $C$9, 100%, $E$9)</f>
        <v>11.4</v>
      </c>
      <c r="J565" s="9">
        <f>11.3966 * CHOOSE(CONTROL!$C$32, $C$9, 100%, $E$9)</f>
        <v>11.396599999999999</v>
      </c>
      <c r="K565" s="9">
        <f>11.4 * CHOOSE(CONTROL!$C$32, $C$9, 100%, $E$9)</f>
        <v>11.4</v>
      </c>
      <c r="L565" s="9">
        <f>8.0124 * CHOOSE(CONTROL!$C$32, $C$9, 100%, $E$9)</f>
        <v>8.0123999999999995</v>
      </c>
      <c r="M565" s="9">
        <f>8.0158 * CHOOSE(CONTROL!$C$32, $C$9, 100%, $E$9)</f>
        <v>8.0158000000000005</v>
      </c>
      <c r="N565" s="9">
        <f>8.0124 * CHOOSE(CONTROL!$C$32, $C$9, 100%, $E$9)</f>
        <v>8.0123999999999995</v>
      </c>
      <c r="O565" s="9">
        <f>8.0158 * CHOOSE(CONTROL!$C$32, $C$9, 100%, $E$9)</f>
        <v>8.0158000000000005</v>
      </c>
    </row>
    <row r="566" spans="1:15" ht="15.75" x14ac:dyDescent="0.25">
      <c r="A566" s="13">
        <v>58106</v>
      </c>
      <c r="B566" s="10">
        <f>9.5936 * CHOOSE(CONTROL!$C$32, $C$9, 100%, $E$9)</f>
        <v>9.5936000000000003</v>
      </c>
      <c r="C566" s="10">
        <f>9.5936 * CHOOSE(CONTROL!$C$32, $C$9, 100%, $E$9)</f>
        <v>9.5936000000000003</v>
      </c>
      <c r="D566" s="10">
        <f>9.5946 * CHOOSE(CONTROL!$C$32, $C$9, 100%, $E$9)</f>
        <v>9.5945999999999998</v>
      </c>
      <c r="E566" s="9">
        <f>8.1393 * CHOOSE(CONTROL!$C$32, $C$9, 100%, $E$9)</f>
        <v>8.1393000000000004</v>
      </c>
      <c r="F566" s="9">
        <f>8.1393 * CHOOSE(CONTROL!$C$32, $C$9, 100%, $E$9)</f>
        <v>8.1393000000000004</v>
      </c>
      <c r="G566" s="9">
        <f>8.1427 * CHOOSE(CONTROL!$C$32, $C$9, 100%, $E$9)</f>
        <v>8.1426999999999996</v>
      </c>
      <c r="H566" s="9">
        <f>11.4809 * CHOOSE(CONTROL!$C$32, $C$9, 100%, $E$9)</f>
        <v>11.4809</v>
      </c>
      <c r="I566" s="9">
        <f>11.4843 * CHOOSE(CONTROL!$C$32, $C$9, 100%, $E$9)</f>
        <v>11.484299999999999</v>
      </c>
      <c r="J566" s="9">
        <f>11.4809 * CHOOSE(CONTROL!$C$32, $C$9, 100%, $E$9)</f>
        <v>11.4809</v>
      </c>
      <c r="K566" s="9">
        <f>11.4843 * CHOOSE(CONTROL!$C$32, $C$9, 100%, $E$9)</f>
        <v>11.484299999999999</v>
      </c>
      <c r="L566" s="9">
        <f>8.1393 * CHOOSE(CONTROL!$C$32, $C$9, 100%, $E$9)</f>
        <v>8.1393000000000004</v>
      </c>
      <c r="M566" s="9">
        <f>8.1427 * CHOOSE(CONTROL!$C$32, $C$9, 100%, $E$9)</f>
        <v>8.1426999999999996</v>
      </c>
      <c r="N566" s="9">
        <f>8.1393 * CHOOSE(CONTROL!$C$32, $C$9, 100%, $E$9)</f>
        <v>8.1393000000000004</v>
      </c>
      <c r="O566" s="9">
        <f>8.1427 * CHOOSE(CONTROL!$C$32, $C$9, 100%, $E$9)</f>
        <v>8.1426999999999996</v>
      </c>
    </row>
    <row r="567" spans="1:15" ht="15.75" x14ac:dyDescent="0.25">
      <c r="A567" s="13">
        <v>58134</v>
      </c>
      <c r="B567" s="10">
        <f>9.5905 * CHOOSE(CONTROL!$C$32, $C$9, 100%, $E$9)</f>
        <v>9.5905000000000005</v>
      </c>
      <c r="C567" s="10">
        <f>9.5905 * CHOOSE(CONTROL!$C$32, $C$9, 100%, $E$9)</f>
        <v>9.5905000000000005</v>
      </c>
      <c r="D567" s="10">
        <f>9.5915 * CHOOSE(CONTROL!$C$32, $C$9, 100%, $E$9)</f>
        <v>9.5914999999999999</v>
      </c>
      <c r="E567" s="9">
        <f>7.9477 * CHOOSE(CONTROL!$C$32, $C$9, 100%, $E$9)</f>
        <v>7.9477000000000002</v>
      </c>
      <c r="F567" s="9">
        <f>7.9477 * CHOOSE(CONTROL!$C$32, $C$9, 100%, $E$9)</f>
        <v>7.9477000000000002</v>
      </c>
      <c r="G567" s="9">
        <f>7.9511 * CHOOSE(CONTROL!$C$32, $C$9, 100%, $E$9)</f>
        <v>7.9511000000000003</v>
      </c>
      <c r="H567" s="9">
        <f>11.4789 * CHOOSE(CONTROL!$C$32, $C$9, 100%, $E$9)</f>
        <v>11.478899999999999</v>
      </c>
      <c r="I567" s="9">
        <f>11.4823 * CHOOSE(CONTROL!$C$32, $C$9, 100%, $E$9)</f>
        <v>11.4823</v>
      </c>
      <c r="J567" s="9">
        <f>11.4789 * CHOOSE(CONTROL!$C$32, $C$9, 100%, $E$9)</f>
        <v>11.478899999999999</v>
      </c>
      <c r="K567" s="9">
        <f>11.4823 * CHOOSE(CONTROL!$C$32, $C$9, 100%, $E$9)</f>
        <v>11.4823</v>
      </c>
      <c r="L567" s="9">
        <f>7.9477 * CHOOSE(CONTROL!$C$32, $C$9, 100%, $E$9)</f>
        <v>7.9477000000000002</v>
      </c>
      <c r="M567" s="9">
        <f>7.9511 * CHOOSE(CONTROL!$C$32, $C$9, 100%, $E$9)</f>
        <v>7.9511000000000003</v>
      </c>
      <c r="N567" s="9">
        <f>7.9477 * CHOOSE(CONTROL!$C$32, $C$9, 100%, $E$9)</f>
        <v>7.9477000000000002</v>
      </c>
      <c r="O567" s="9">
        <f>7.9511 * CHOOSE(CONTROL!$C$32, $C$9, 100%, $E$9)</f>
        <v>7.9511000000000003</v>
      </c>
    </row>
    <row r="568" spans="1:15" ht="15.75" x14ac:dyDescent="0.25">
      <c r="A568" s="13">
        <v>58165</v>
      </c>
      <c r="B568" s="10">
        <f>9.5875 * CHOOSE(CONTROL!$C$32, $C$9, 100%, $E$9)</f>
        <v>9.5875000000000004</v>
      </c>
      <c r="C568" s="10">
        <f>9.5875 * CHOOSE(CONTROL!$C$32, $C$9, 100%, $E$9)</f>
        <v>9.5875000000000004</v>
      </c>
      <c r="D568" s="10">
        <f>9.5885 * CHOOSE(CONTROL!$C$32, $C$9, 100%, $E$9)</f>
        <v>9.5884999999999998</v>
      </c>
      <c r="E568" s="9">
        <f>8.095 * CHOOSE(CONTROL!$C$32, $C$9, 100%, $E$9)</f>
        <v>8.0950000000000006</v>
      </c>
      <c r="F568" s="9">
        <f>8.095 * CHOOSE(CONTROL!$C$32, $C$9, 100%, $E$9)</f>
        <v>8.0950000000000006</v>
      </c>
      <c r="G568" s="9">
        <f>8.0984 * CHOOSE(CONTROL!$C$32, $C$9, 100%, $E$9)</f>
        <v>8.0983999999999998</v>
      </c>
      <c r="H568" s="9">
        <f>11.4769 * CHOOSE(CONTROL!$C$32, $C$9, 100%, $E$9)</f>
        <v>11.476900000000001</v>
      </c>
      <c r="I568" s="9">
        <f>11.4803 * CHOOSE(CONTROL!$C$32, $C$9, 100%, $E$9)</f>
        <v>11.4803</v>
      </c>
      <c r="J568" s="9">
        <f>11.4769 * CHOOSE(CONTROL!$C$32, $C$9, 100%, $E$9)</f>
        <v>11.476900000000001</v>
      </c>
      <c r="K568" s="9">
        <f>11.4803 * CHOOSE(CONTROL!$C$32, $C$9, 100%, $E$9)</f>
        <v>11.4803</v>
      </c>
      <c r="L568" s="9">
        <f>8.095 * CHOOSE(CONTROL!$C$32, $C$9, 100%, $E$9)</f>
        <v>8.0950000000000006</v>
      </c>
      <c r="M568" s="9">
        <f>8.0984 * CHOOSE(CONTROL!$C$32, $C$9, 100%, $E$9)</f>
        <v>8.0983999999999998</v>
      </c>
      <c r="N568" s="9">
        <f>8.095 * CHOOSE(CONTROL!$C$32, $C$9, 100%, $E$9)</f>
        <v>8.0950000000000006</v>
      </c>
      <c r="O568" s="9">
        <f>8.0984 * CHOOSE(CONTROL!$C$32, $C$9, 100%, $E$9)</f>
        <v>8.0983999999999998</v>
      </c>
    </row>
    <row r="569" spans="1:15" ht="15.75" x14ac:dyDescent="0.25">
      <c r="A569" s="13">
        <v>58195</v>
      </c>
      <c r="B569" s="10">
        <f>9.5909 * CHOOSE(CONTROL!$C$32, $C$9, 100%, $E$9)</f>
        <v>9.5908999999999995</v>
      </c>
      <c r="C569" s="10">
        <f>9.5909 * CHOOSE(CONTROL!$C$32, $C$9, 100%, $E$9)</f>
        <v>9.5908999999999995</v>
      </c>
      <c r="D569" s="10">
        <f>9.5919 * CHOOSE(CONTROL!$C$32, $C$9, 100%, $E$9)</f>
        <v>9.5919000000000008</v>
      </c>
      <c r="E569" s="9">
        <f>8.2511 * CHOOSE(CONTROL!$C$32, $C$9, 100%, $E$9)</f>
        <v>8.2510999999999992</v>
      </c>
      <c r="F569" s="9">
        <f>8.2511 * CHOOSE(CONTROL!$C$32, $C$9, 100%, $E$9)</f>
        <v>8.2510999999999992</v>
      </c>
      <c r="G569" s="9">
        <f>8.2545 * CHOOSE(CONTROL!$C$32, $C$9, 100%, $E$9)</f>
        <v>8.2545000000000002</v>
      </c>
      <c r="H569" s="9">
        <f>11.4788 * CHOOSE(CONTROL!$C$32, $C$9, 100%, $E$9)</f>
        <v>11.4788</v>
      </c>
      <c r="I569" s="9">
        <f>11.4822 * CHOOSE(CONTROL!$C$32, $C$9, 100%, $E$9)</f>
        <v>11.482200000000001</v>
      </c>
      <c r="J569" s="9">
        <f>11.4788 * CHOOSE(CONTROL!$C$32, $C$9, 100%, $E$9)</f>
        <v>11.4788</v>
      </c>
      <c r="K569" s="9">
        <f>11.4822 * CHOOSE(CONTROL!$C$32, $C$9, 100%, $E$9)</f>
        <v>11.482200000000001</v>
      </c>
      <c r="L569" s="9">
        <f>8.2511 * CHOOSE(CONTROL!$C$32, $C$9, 100%, $E$9)</f>
        <v>8.2510999999999992</v>
      </c>
      <c r="M569" s="9">
        <f>8.2545 * CHOOSE(CONTROL!$C$32, $C$9, 100%, $E$9)</f>
        <v>8.2545000000000002</v>
      </c>
      <c r="N569" s="9">
        <f>8.2511 * CHOOSE(CONTROL!$C$32, $C$9, 100%, $E$9)</f>
        <v>8.2510999999999992</v>
      </c>
      <c r="O569" s="9">
        <f>8.2545 * CHOOSE(CONTROL!$C$32, $C$9, 100%, $E$9)</f>
        <v>8.2545000000000002</v>
      </c>
    </row>
    <row r="570" spans="1:15" ht="15.75" x14ac:dyDescent="0.25">
      <c r="A570" s="13">
        <v>58226</v>
      </c>
      <c r="B570" s="10">
        <f>9.5909 * CHOOSE(CONTROL!$C$32, $C$9, 100%, $E$9)</f>
        <v>9.5908999999999995</v>
      </c>
      <c r="C570" s="10">
        <f>9.5909 * CHOOSE(CONTROL!$C$32, $C$9, 100%, $E$9)</f>
        <v>9.5908999999999995</v>
      </c>
      <c r="D570" s="10">
        <f>9.5922 * CHOOSE(CONTROL!$C$32, $C$9, 100%, $E$9)</f>
        <v>9.5922000000000001</v>
      </c>
      <c r="E570" s="9">
        <f>8.3113 * CHOOSE(CONTROL!$C$32, $C$9, 100%, $E$9)</f>
        <v>8.3112999999999992</v>
      </c>
      <c r="F570" s="9">
        <f>8.3113 * CHOOSE(CONTROL!$C$32, $C$9, 100%, $E$9)</f>
        <v>8.3112999999999992</v>
      </c>
      <c r="G570" s="9">
        <f>8.3157 * CHOOSE(CONTROL!$C$32, $C$9, 100%, $E$9)</f>
        <v>8.3156999999999996</v>
      </c>
      <c r="H570" s="9">
        <f>11.4788 * CHOOSE(CONTROL!$C$32, $C$9, 100%, $E$9)</f>
        <v>11.4788</v>
      </c>
      <c r="I570" s="9">
        <f>11.4832 * CHOOSE(CONTROL!$C$32, $C$9, 100%, $E$9)</f>
        <v>11.4832</v>
      </c>
      <c r="J570" s="9">
        <f>11.4788 * CHOOSE(CONTROL!$C$32, $C$9, 100%, $E$9)</f>
        <v>11.4788</v>
      </c>
      <c r="K570" s="9">
        <f>11.4832 * CHOOSE(CONTROL!$C$32, $C$9, 100%, $E$9)</f>
        <v>11.4832</v>
      </c>
      <c r="L570" s="9">
        <f>8.3113 * CHOOSE(CONTROL!$C$32, $C$9, 100%, $E$9)</f>
        <v>8.3112999999999992</v>
      </c>
      <c r="M570" s="9">
        <f>8.3157 * CHOOSE(CONTROL!$C$32, $C$9, 100%, $E$9)</f>
        <v>8.3156999999999996</v>
      </c>
      <c r="N570" s="9">
        <f>8.3113 * CHOOSE(CONTROL!$C$32, $C$9, 100%, $E$9)</f>
        <v>8.3112999999999992</v>
      </c>
      <c r="O570" s="9">
        <f>8.3157 * CHOOSE(CONTROL!$C$32, $C$9, 100%, $E$9)</f>
        <v>8.3156999999999996</v>
      </c>
    </row>
    <row r="571" spans="1:15" ht="15.75" x14ac:dyDescent="0.25">
      <c r="A571" s="13">
        <v>58256</v>
      </c>
      <c r="B571" s="10">
        <f>9.597 * CHOOSE(CONTROL!$C$32, $C$9, 100%, $E$9)</f>
        <v>9.5969999999999995</v>
      </c>
      <c r="C571" s="10">
        <f>9.597 * CHOOSE(CONTROL!$C$32, $C$9, 100%, $E$9)</f>
        <v>9.5969999999999995</v>
      </c>
      <c r="D571" s="10">
        <f>9.5983 * CHOOSE(CONTROL!$C$32, $C$9, 100%, $E$9)</f>
        <v>9.5983000000000001</v>
      </c>
      <c r="E571" s="9">
        <f>8.2554 * CHOOSE(CONTROL!$C$32, $C$9, 100%, $E$9)</f>
        <v>8.2553999999999998</v>
      </c>
      <c r="F571" s="9">
        <f>8.2554 * CHOOSE(CONTROL!$C$32, $C$9, 100%, $E$9)</f>
        <v>8.2553999999999998</v>
      </c>
      <c r="G571" s="9">
        <f>8.2597 * CHOOSE(CONTROL!$C$32, $C$9, 100%, $E$9)</f>
        <v>8.2597000000000005</v>
      </c>
      <c r="H571" s="9">
        <f>11.4828 * CHOOSE(CONTROL!$C$32, $C$9, 100%, $E$9)</f>
        <v>11.482799999999999</v>
      </c>
      <c r="I571" s="9">
        <f>11.4872 * CHOOSE(CONTROL!$C$32, $C$9, 100%, $E$9)</f>
        <v>11.4872</v>
      </c>
      <c r="J571" s="9">
        <f>11.4828 * CHOOSE(CONTROL!$C$32, $C$9, 100%, $E$9)</f>
        <v>11.482799999999999</v>
      </c>
      <c r="K571" s="9">
        <f>11.4872 * CHOOSE(CONTROL!$C$32, $C$9, 100%, $E$9)</f>
        <v>11.4872</v>
      </c>
      <c r="L571" s="9">
        <f>8.2554 * CHOOSE(CONTROL!$C$32, $C$9, 100%, $E$9)</f>
        <v>8.2553999999999998</v>
      </c>
      <c r="M571" s="9">
        <f>8.2597 * CHOOSE(CONTROL!$C$32, $C$9, 100%, $E$9)</f>
        <v>8.2597000000000005</v>
      </c>
      <c r="N571" s="9">
        <f>8.2554 * CHOOSE(CONTROL!$C$32, $C$9, 100%, $E$9)</f>
        <v>8.2553999999999998</v>
      </c>
      <c r="O571" s="9">
        <f>8.2597 * CHOOSE(CONTROL!$C$32, $C$9, 100%, $E$9)</f>
        <v>8.2597000000000005</v>
      </c>
    </row>
    <row r="572" spans="1:15" ht="15.75" x14ac:dyDescent="0.25">
      <c r="A572" s="13">
        <v>58287</v>
      </c>
      <c r="B572" s="10">
        <f>9.7318 * CHOOSE(CONTROL!$C$32, $C$9, 100%, $E$9)</f>
        <v>9.7317999999999998</v>
      </c>
      <c r="C572" s="10">
        <f>9.7318 * CHOOSE(CONTROL!$C$32, $C$9, 100%, $E$9)</f>
        <v>9.7317999999999998</v>
      </c>
      <c r="D572" s="10">
        <f>9.7331 * CHOOSE(CONTROL!$C$32, $C$9, 100%, $E$9)</f>
        <v>9.7331000000000003</v>
      </c>
      <c r="E572" s="9">
        <f>8.3508 * CHOOSE(CONTROL!$C$32, $C$9, 100%, $E$9)</f>
        <v>8.3507999999999996</v>
      </c>
      <c r="F572" s="9">
        <f>8.3508 * CHOOSE(CONTROL!$C$32, $C$9, 100%, $E$9)</f>
        <v>8.3507999999999996</v>
      </c>
      <c r="G572" s="9">
        <f>8.3551 * CHOOSE(CONTROL!$C$32, $C$9, 100%, $E$9)</f>
        <v>8.3551000000000002</v>
      </c>
      <c r="H572" s="9">
        <f>11.654 * CHOOSE(CONTROL!$C$32, $C$9, 100%, $E$9)</f>
        <v>11.654</v>
      </c>
      <c r="I572" s="9">
        <f>11.6584 * CHOOSE(CONTROL!$C$32, $C$9, 100%, $E$9)</f>
        <v>11.6584</v>
      </c>
      <c r="J572" s="9">
        <f>11.654 * CHOOSE(CONTROL!$C$32, $C$9, 100%, $E$9)</f>
        <v>11.654</v>
      </c>
      <c r="K572" s="9">
        <f>11.6584 * CHOOSE(CONTROL!$C$32, $C$9, 100%, $E$9)</f>
        <v>11.6584</v>
      </c>
      <c r="L572" s="9">
        <f>8.3508 * CHOOSE(CONTROL!$C$32, $C$9, 100%, $E$9)</f>
        <v>8.3507999999999996</v>
      </c>
      <c r="M572" s="9">
        <f>8.3551 * CHOOSE(CONTROL!$C$32, $C$9, 100%, $E$9)</f>
        <v>8.3551000000000002</v>
      </c>
      <c r="N572" s="9">
        <f>8.3508 * CHOOSE(CONTROL!$C$32, $C$9, 100%, $E$9)</f>
        <v>8.3507999999999996</v>
      </c>
      <c r="O572" s="9">
        <f>8.3551 * CHOOSE(CONTROL!$C$32, $C$9, 100%, $E$9)</f>
        <v>8.3551000000000002</v>
      </c>
    </row>
    <row r="573" spans="1:15" ht="15.75" x14ac:dyDescent="0.25">
      <c r="A573" s="13">
        <v>58318</v>
      </c>
      <c r="B573" s="10">
        <f>9.7385 * CHOOSE(CONTROL!$C$32, $C$9, 100%, $E$9)</f>
        <v>9.7385000000000002</v>
      </c>
      <c r="C573" s="10">
        <f>9.7385 * CHOOSE(CONTROL!$C$32, $C$9, 100%, $E$9)</f>
        <v>9.7385000000000002</v>
      </c>
      <c r="D573" s="10">
        <f>9.7398 * CHOOSE(CONTROL!$C$32, $C$9, 100%, $E$9)</f>
        <v>9.7398000000000007</v>
      </c>
      <c r="E573" s="9">
        <f>8.175 * CHOOSE(CONTROL!$C$32, $C$9, 100%, $E$9)</f>
        <v>8.1750000000000007</v>
      </c>
      <c r="F573" s="9">
        <f>8.175 * CHOOSE(CONTROL!$C$32, $C$9, 100%, $E$9)</f>
        <v>8.1750000000000007</v>
      </c>
      <c r="G573" s="9">
        <f>8.1793 * CHOOSE(CONTROL!$C$32, $C$9, 100%, $E$9)</f>
        <v>8.1792999999999996</v>
      </c>
      <c r="H573" s="9">
        <f>11.6584 * CHOOSE(CONTROL!$C$32, $C$9, 100%, $E$9)</f>
        <v>11.6584</v>
      </c>
      <c r="I573" s="9">
        <f>11.6628 * CHOOSE(CONTROL!$C$32, $C$9, 100%, $E$9)</f>
        <v>11.662800000000001</v>
      </c>
      <c r="J573" s="9">
        <f>11.6584 * CHOOSE(CONTROL!$C$32, $C$9, 100%, $E$9)</f>
        <v>11.6584</v>
      </c>
      <c r="K573" s="9">
        <f>11.6628 * CHOOSE(CONTROL!$C$32, $C$9, 100%, $E$9)</f>
        <v>11.662800000000001</v>
      </c>
      <c r="L573" s="9">
        <f>8.175 * CHOOSE(CONTROL!$C$32, $C$9, 100%, $E$9)</f>
        <v>8.1750000000000007</v>
      </c>
      <c r="M573" s="9">
        <f>8.1793 * CHOOSE(CONTROL!$C$32, $C$9, 100%, $E$9)</f>
        <v>8.1792999999999996</v>
      </c>
      <c r="N573" s="9">
        <f>8.175 * CHOOSE(CONTROL!$C$32, $C$9, 100%, $E$9)</f>
        <v>8.1750000000000007</v>
      </c>
      <c r="O573" s="9">
        <f>8.1793 * CHOOSE(CONTROL!$C$32, $C$9, 100%, $E$9)</f>
        <v>8.1792999999999996</v>
      </c>
    </row>
    <row r="574" spans="1:15" ht="15.75" x14ac:dyDescent="0.25">
      <c r="A574" s="13">
        <v>58348</v>
      </c>
      <c r="B574" s="10">
        <f>9.7355 * CHOOSE(CONTROL!$C$32, $C$9, 100%, $E$9)</f>
        <v>9.7355</v>
      </c>
      <c r="C574" s="10">
        <f>9.7355 * CHOOSE(CONTROL!$C$32, $C$9, 100%, $E$9)</f>
        <v>9.7355</v>
      </c>
      <c r="D574" s="10">
        <f>9.7368 * CHOOSE(CONTROL!$C$32, $C$9, 100%, $E$9)</f>
        <v>9.7368000000000006</v>
      </c>
      <c r="E574" s="9">
        <f>8.1528 * CHOOSE(CONTROL!$C$32, $C$9, 100%, $E$9)</f>
        <v>8.1527999999999992</v>
      </c>
      <c r="F574" s="9">
        <f>8.1528 * CHOOSE(CONTROL!$C$32, $C$9, 100%, $E$9)</f>
        <v>8.1527999999999992</v>
      </c>
      <c r="G574" s="9">
        <f>8.1572 * CHOOSE(CONTROL!$C$32, $C$9, 100%, $E$9)</f>
        <v>8.1571999999999996</v>
      </c>
      <c r="H574" s="9">
        <f>11.6564 * CHOOSE(CONTROL!$C$32, $C$9, 100%, $E$9)</f>
        <v>11.6564</v>
      </c>
      <c r="I574" s="9">
        <f>11.6608 * CHOOSE(CONTROL!$C$32, $C$9, 100%, $E$9)</f>
        <v>11.6608</v>
      </c>
      <c r="J574" s="9">
        <f>11.6564 * CHOOSE(CONTROL!$C$32, $C$9, 100%, $E$9)</f>
        <v>11.6564</v>
      </c>
      <c r="K574" s="9">
        <f>11.6608 * CHOOSE(CONTROL!$C$32, $C$9, 100%, $E$9)</f>
        <v>11.6608</v>
      </c>
      <c r="L574" s="9">
        <f>8.1528 * CHOOSE(CONTROL!$C$32, $C$9, 100%, $E$9)</f>
        <v>8.1527999999999992</v>
      </c>
      <c r="M574" s="9">
        <f>8.1572 * CHOOSE(CONTROL!$C$32, $C$9, 100%, $E$9)</f>
        <v>8.1571999999999996</v>
      </c>
      <c r="N574" s="9">
        <f>8.1528 * CHOOSE(CONTROL!$C$32, $C$9, 100%, $E$9)</f>
        <v>8.1527999999999992</v>
      </c>
      <c r="O574" s="9">
        <f>8.1572 * CHOOSE(CONTROL!$C$32, $C$9, 100%, $E$9)</f>
        <v>8.1571999999999996</v>
      </c>
    </row>
    <row r="575" spans="1:15" ht="15.75" x14ac:dyDescent="0.25">
      <c r="A575" s="13">
        <v>58379</v>
      </c>
      <c r="B575" s="10">
        <f>9.7532 * CHOOSE(CONTROL!$C$32, $C$9, 100%, $E$9)</f>
        <v>9.7531999999999996</v>
      </c>
      <c r="C575" s="10">
        <f>9.7532 * CHOOSE(CONTROL!$C$32, $C$9, 100%, $E$9)</f>
        <v>9.7531999999999996</v>
      </c>
      <c r="D575" s="10">
        <f>9.7542 * CHOOSE(CONTROL!$C$32, $C$9, 100%, $E$9)</f>
        <v>9.7542000000000009</v>
      </c>
      <c r="E575" s="9">
        <f>8.2196 * CHOOSE(CONTROL!$C$32, $C$9, 100%, $E$9)</f>
        <v>8.2195999999999998</v>
      </c>
      <c r="F575" s="9">
        <f>8.2196 * CHOOSE(CONTROL!$C$32, $C$9, 100%, $E$9)</f>
        <v>8.2195999999999998</v>
      </c>
      <c r="G575" s="9">
        <f>8.223 * CHOOSE(CONTROL!$C$32, $C$9, 100%, $E$9)</f>
        <v>8.2230000000000008</v>
      </c>
      <c r="H575" s="9">
        <f>11.6667 * CHOOSE(CONTROL!$C$32, $C$9, 100%, $E$9)</f>
        <v>11.666700000000001</v>
      </c>
      <c r="I575" s="9">
        <f>11.6701 * CHOOSE(CONTROL!$C$32, $C$9, 100%, $E$9)</f>
        <v>11.6701</v>
      </c>
      <c r="J575" s="9">
        <f>11.6667 * CHOOSE(CONTROL!$C$32, $C$9, 100%, $E$9)</f>
        <v>11.666700000000001</v>
      </c>
      <c r="K575" s="9">
        <f>11.6701 * CHOOSE(CONTROL!$C$32, $C$9, 100%, $E$9)</f>
        <v>11.6701</v>
      </c>
      <c r="L575" s="9">
        <f>8.2196 * CHOOSE(CONTROL!$C$32, $C$9, 100%, $E$9)</f>
        <v>8.2195999999999998</v>
      </c>
      <c r="M575" s="9">
        <f>8.223 * CHOOSE(CONTROL!$C$32, $C$9, 100%, $E$9)</f>
        <v>8.2230000000000008</v>
      </c>
      <c r="N575" s="9">
        <f>8.2196 * CHOOSE(CONTROL!$C$32, $C$9, 100%, $E$9)</f>
        <v>8.2195999999999998</v>
      </c>
      <c r="O575" s="9">
        <f>8.223 * CHOOSE(CONTROL!$C$32, $C$9, 100%, $E$9)</f>
        <v>8.2230000000000008</v>
      </c>
    </row>
    <row r="576" spans="1:15" ht="15.75" x14ac:dyDescent="0.25">
      <c r="A576" s="13">
        <v>58409</v>
      </c>
      <c r="B576" s="10">
        <f>9.7562 * CHOOSE(CONTROL!$C$32, $C$9, 100%, $E$9)</f>
        <v>9.7561999999999998</v>
      </c>
      <c r="C576" s="10">
        <f>9.7562 * CHOOSE(CONTROL!$C$32, $C$9, 100%, $E$9)</f>
        <v>9.7561999999999998</v>
      </c>
      <c r="D576" s="10">
        <f>9.7572 * CHOOSE(CONTROL!$C$32, $C$9, 100%, $E$9)</f>
        <v>9.7571999999999992</v>
      </c>
      <c r="E576" s="9">
        <f>8.2618 * CHOOSE(CONTROL!$C$32, $C$9, 100%, $E$9)</f>
        <v>8.2617999999999991</v>
      </c>
      <c r="F576" s="9">
        <f>8.2618 * CHOOSE(CONTROL!$C$32, $C$9, 100%, $E$9)</f>
        <v>8.2617999999999991</v>
      </c>
      <c r="G576" s="9">
        <f>8.2652 * CHOOSE(CONTROL!$C$32, $C$9, 100%, $E$9)</f>
        <v>8.2652000000000001</v>
      </c>
      <c r="H576" s="9">
        <f>11.6687 * CHOOSE(CONTROL!$C$32, $C$9, 100%, $E$9)</f>
        <v>11.668699999999999</v>
      </c>
      <c r="I576" s="9">
        <f>11.6721 * CHOOSE(CONTROL!$C$32, $C$9, 100%, $E$9)</f>
        <v>11.6721</v>
      </c>
      <c r="J576" s="9">
        <f>11.6687 * CHOOSE(CONTROL!$C$32, $C$9, 100%, $E$9)</f>
        <v>11.668699999999999</v>
      </c>
      <c r="K576" s="9">
        <f>11.6721 * CHOOSE(CONTROL!$C$32, $C$9, 100%, $E$9)</f>
        <v>11.6721</v>
      </c>
      <c r="L576" s="9">
        <f>8.2618 * CHOOSE(CONTROL!$C$32, $C$9, 100%, $E$9)</f>
        <v>8.2617999999999991</v>
      </c>
      <c r="M576" s="9">
        <f>8.2652 * CHOOSE(CONTROL!$C$32, $C$9, 100%, $E$9)</f>
        <v>8.2652000000000001</v>
      </c>
      <c r="N576" s="9">
        <f>8.2618 * CHOOSE(CONTROL!$C$32, $C$9, 100%, $E$9)</f>
        <v>8.2617999999999991</v>
      </c>
      <c r="O576" s="9">
        <f>8.2652 * CHOOSE(CONTROL!$C$32, $C$9, 100%, $E$9)</f>
        <v>8.2652000000000001</v>
      </c>
    </row>
    <row r="577" spans="1:15" ht="15.75" x14ac:dyDescent="0.25">
      <c r="A577" s="13">
        <v>58440</v>
      </c>
      <c r="B577" s="10">
        <f>9.7562 * CHOOSE(CONTROL!$C$32, $C$9, 100%, $E$9)</f>
        <v>9.7561999999999998</v>
      </c>
      <c r="C577" s="10">
        <f>9.7562 * CHOOSE(CONTROL!$C$32, $C$9, 100%, $E$9)</f>
        <v>9.7561999999999998</v>
      </c>
      <c r="D577" s="10">
        <f>9.7572 * CHOOSE(CONTROL!$C$32, $C$9, 100%, $E$9)</f>
        <v>9.7571999999999992</v>
      </c>
      <c r="E577" s="9">
        <f>8.1615 * CHOOSE(CONTROL!$C$32, $C$9, 100%, $E$9)</f>
        <v>8.1615000000000002</v>
      </c>
      <c r="F577" s="9">
        <f>8.1615 * CHOOSE(CONTROL!$C$32, $C$9, 100%, $E$9)</f>
        <v>8.1615000000000002</v>
      </c>
      <c r="G577" s="9">
        <f>8.1649 * CHOOSE(CONTROL!$C$32, $C$9, 100%, $E$9)</f>
        <v>8.1648999999999994</v>
      </c>
      <c r="H577" s="9">
        <f>11.6687 * CHOOSE(CONTROL!$C$32, $C$9, 100%, $E$9)</f>
        <v>11.668699999999999</v>
      </c>
      <c r="I577" s="9">
        <f>11.6721 * CHOOSE(CONTROL!$C$32, $C$9, 100%, $E$9)</f>
        <v>11.6721</v>
      </c>
      <c r="J577" s="9">
        <f>11.6687 * CHOOSE(CONTROL!$C$32, $C$9, 100%, $E$9)</f>
        <v>11.668699999999999</v>
      </c>
      <c r="K577" s="9">
        <f>11.6721 * CHOOSE(CONTROL!$C$32, $C$9, 100%, $E$9)</f>
        <v>11.6721</v>
      </c>
      <c r="L577" s="9">
        <f>8.1615 * CHOOSE(CONTROL!$C$32, $C$9, 100%, $E$9)</f>
        <v>8.1615000000000002</v>
      </c>
      <c r="M577" s="9">
        <f>8.1649 * CHOOSE(CONTROL!$C$32, $C$9, 100%, $E$9)</f>
        <v>8.1648999999999994</v>
      </c>
      <c r="N577" s="9">
        <f>8.1615 * CHOOSE(CONTROL!$C$32, $C$9, 100%, $E$9)</f>
        <v>8.1615000000000002</v>
      </c>
      <c r="O577" s="9">
        <f>8.1649 * CHOOSE(CONTROL!$C$32, $C$9, 100%, $E$9)</f>
        <v>8.1648999999999994</v>
      </c>
    </row>
    <row r="578" spans="1:15" ht="15.75" x14ac:dyDescent="0.25">
      <c r="A578" s="13">
        <v>58471</v>
      </c>
      <c r="B578" s="10">
        <f>9.8363 * CHOOSE(CONTROL!$C$32, $C$9, 100%, $E$9)</f>
        <v>9.8362999999999996</v>
      </c>
      <c r="C578" s="10">
        <f>9.8363 * CHOOSE(CONTROL!$C$32, $C$9, 100%, $E$9)</f>
        <v>9.8362999999999996</v>
      </c>
      <c r="D578" s="10">
        <f>9.8373 * CHOOSE(CONTROL!$C$32, $C$9, 100%, $E$9)</f>
        <v>9.8373000000000008</v>
      </c>
      <c r="E578" s="9">
        <f>8.2918 * CHOOSE(CONTROL!$C$32, $C$9, 100%, $E$9)</f>
        <v>8.2918000000000003</v>
      </c>
      <c r="F578" s="9">
        <f>8.2918 * CHOOSE(CONTROL!$C$32, $C$9, 100%, $E$9)</f>
        <v>8.2918000000000003</v>
      </c>
      <c r="G578" s="9">
        <f>8.2952 * CHOOSE(CONTROL!$C$32, $C$9, 100%, $E$9)</f>
        <v>8.2951999999999995</v>
      </c>
      <c r="H578" s="9">
        <f>11.7549 * CHOOSE(CONTROL!$C$32, $C$9, 100%, $E$9)</f>
        <v>11.754899999999999</v>
      </c>
      <c r="I578" s="9">
        <f>11.7583 * CHOOSE(CONTROL!$C$32, $C$9, 100%, $E$9)</f>
        <v>11.7583</v>
      </c>
      <c r="J578" s="9">
        <f>11.7549 * CHOOSE(CONTROL!$C$32, $C$9, 100%, $E$9)</f>
        <v>11.754899999999999</v>
      </c>
      <c r="K578" s="9">
        <f>11.7583 * CHOOSE(CONTROL!$C$32, $C$9, 100%, $E$9)</f>
        <v>11.7583</v>
      </c>
      <c r="L578" s="9">
        <f>8.2918 * CHOOSE(CONTROL!$C$32, $C$9, 100%, $E$9)</f>
        <v>8.2918000000000003</v>
      </c>
      <c r="M578" s="9">
        <f>8.2952 * CHOOSE(CONTROL!$C$32, $C$9, 100%, $E$9)</f>
        <v>8.2951999999999995</v>
      </c>
      <c r="N578" s="9">
        <f>8.2918 * CHOOSE(CONTROL!$C$32, $C$9, 100%, $E$9)</f>
        <v>8.2918000000000003</v>
      </c>
      <c r="O578" s="9">
        <f>8.2952 * CHOOSE(CONTROL!$C$32, $C$9, 100%, $E$9)</f>
        <v>8.2951999999999995</v>
      </c>
    </row>
    <row r="579" spans="1:15" ht="15.75" x14ac:dyDescent="0.25">
      <c r="A579" s="13">
        <v>58499</v>
      </c>
      <c r="B579" s="10">
        <f>9.8333 * CHOOSE(CONTROL!$C$32, $C$9, 100%, $E$9)</f>
        <v>9.8332999999999995</v>
      </c>
      <c r="C579" s="10">
        <f>9.8333 * CHOOSE(CONTROL!$C$32, $C$9, 100%, $E$9)</f>
        <v>9.8332999999999995</v>
      </c>
      <c r="D579" s="10">
        <f>9.8343 * CHOOSE(CONTROL!$C$32, $C$9, 100%, $E$9)</f>
        <v>9.8343000000000007</v>
      </c>
      <c r="E579" s="9">
        <f>8.0945 * CHOOSE(CONTROL!$C$32, $C$9, 100%, $E$9)</f>
        <v>8.0945</v>
      </c>
      <c r="F579" s="9">
        <f>8.0945 * CHOOSE(CONTROL!$C$32, $C$9, 100%, $E$9)</f>
        <v>8.0945</v>
      </c>
      <c r="G579" s="9">
        <f>8.0979 * CHOOSE(CONTROL!$C$32, $C$9, 100%, $E$9)</f>
        <v>8.0978999999999992</v>
      </c>
      <c r="H579" s="9">
        <f>11.7529 * CHOOSE(CONTROL!$C$32, $C$9, 100%, $E$9)</f>
        <v>11.7529</v>
      </c>
      <c r="I579" s="9">
        <f>11.7563 * CHOOSE(CONTROL!$C$32, $C$9, 100%, $E$9)</f>
        <v>11.7563</v>
      </c>
      <c r="J579" s="9">
        <f>11.7529 * CHOOSE(CONTROL!$C$32, $C$9, 100%, $E$9)</f>
        <v>11.7529</v>
      </c>
      <c r="K579" s="9">
        <f>11.7563 * CHOOSE(CONTROL!$C$32, $C$9, 100%, $E$9)</f>
        <v>11.7563</v>
      </c>
      <c r="L579" s="9">
        <f>8.0945 * CHOOSE(CONTROL!$C$32, $C$9, 100%, $E$9)</f>
        <v>8.0945</v>
      </c>
      <c r="M579" s="9">
        <f>8.0979 * CHOOSE(CONTROL!$C$32, $C$9, 100%, $E$9)</f>
        <v>8.0978999999999992</v>
      </c>
      <c r="N579" s="9">
        <f>8.0945 * CHOOSE(CONTROL!$C$32, $C$9, 100%, $E$9)</f>
        <v>8.0945</v>
      </c>
      <c r="O579" s="9">
        <f>8.0979 * CHOOSE(CONTROL!$C$32, $C$9, 100%, $E$9)</f>
        <v>8.0978999999999992</v>
      </c>
    </row>
    <row r="580" spans="1:15" ht="15.75" x14ac:dyDescent="0.25">
      <c r="A580" s="13">
        <v>58531</v>
      </c>
      <c r="B580" s="10">
        <f>9.8302 * CHOOSE(CONTROL!$C$32, $C$9, 100%, $E$9)</f>
        <v>9.8301999999999996</v>
      </c>
      <c r="C580" s="10">
        <f>9.8302 * CHOOSE(CONTROL!$C$32, $C$9, 100%, $E$9)</f>
        <v>9.8301999999999996</v>
      </c>
      <c r="D580" s="10">
        <f>9.8312 * CHOOSE(CONTROL!$C$32, $C$9, 100%, $E$9)</f>
        <v>9.8312000000000008</v>
      </c>
      <c r="E580" s="9">
        <f>8.2462 * CHOOSE(CONTROL!$C$32, $C$9, 100%, $E$9)</f>
        <v>8.2462</v>
      </c>
      <c r="F580" s="9">
        <f>8.2462 * CHOOSE(CONTROL!$C$32, $C$9, 100%, $E$9)</f>
        <v>8.2462</v>
      </c>
      <c r="G580" s="9">
        <f>8.2496 * CHOOSE(CONTROL!$C$32, $C$9, 100%, $E$9)</f>
        <v>8.2495999999999992</v>
      </c>
      <c r="H580" s="9">
        <f>11.7509 * CHOOSE(CONTROL!$C$32, $C$9, 100%, $E$9)</f>
        <v>11.7509</v>
      </c>
      <c r="I580" s="9">
        <f>11.7543 * CHOOSE(CONTROL!$C$32, $C$9, 100%, $E$9)</f>
        <v>11.754300000000001</v>
      </c>
      <c r="J580" s="9">
        <f>11.7509 * CHOOSE(CONTROL!$C$32, $C$9, 100%, $E$9)</f>
        <v>11.7509</v>
      </c>
      <c r="K580" s="9">
        <f>11.7543 * CHOOSE(CONTROL!$C$32, $C$9, 100%, $E$9)</f>
        <v>11.754300000000001</v>
      </c>
      <c r="L580" s="9">
        <f>8.2462 * CHOOSE(CONTROL!$C$32, $C$9, 100%, $E$9)</f>
        <v>8.2462</v>
      </c>
      <c r="M580" s="9">
        <f>8.2496 * CHOOSE(CONTROL!$C$32, $C$9, 100%, $E$9)</f>
        <v>8.2495999999999992</v>
      </c>
      <c r="N580" s="9">
        <f>8.2462 * CHOOSE(CONTROL!$C$32, $C$9, 100%, $E$9)</f>
        <v>8.2462</v>
      </c>
      <c r="O580" s="9">
        <f>8.2496 * CHOOSE(CONTROL!$C$32, $C$9, 100%, $E$9)</f>
        <v>8.2495999999999992</v>
      </c>
    </row>
    <row r="581" spans="1:15" ht="15.75" x14ac:dyDescent="0.25">
      <c r="A581" s="13">
        <v>58561</v>
      </c>
      <c r="B581" s="10">
        <f>9.8338 * CHOOSE(CONTROL!$C$32, $C$9, 100%, $E$9)</f>
        <v>9.8338000000000001</v>
      </c>
      <c r="C581" s="10">
        <f>9.8338 * CHOOSE(CONTROL!$C$32, $C$9, 100%, $E$9)</f>
        <v>9.8338000000000001</v>
      </c>
      <c r="D581" s="10">
        <f>9.8349 * CHOOSE(CONTROL!$C$32, $C$9, 100%, $E$9)</f>
        <v>9.8348999999999993</v>
      </c>
      <c r="E581" s="9">
        <f>8.4072 * CHOOSE(CONTROL!$C$32, $C$9, 100%, $E$9)</f>
        <v>8.4071999999999996</v>
      </c>
      <c r="F581" s="9">
        <f>8.4072 * CHOOSE(CONTROL!$C$32, $C$9, 100%, $E$9)</f>
        <v>8.4071999999999996</v>
      </c>
      <c r="G581" s="9">
        <f>8.4106 * CHOOSE(CONTROL!$C$32, $C$9, 100%, $E$9)</f>
        <v>8.4106000000000005</v>
      </c>
      <c r="H581" s="9">
        <f>11.753 * CHOOSE(CONTROL!$C$32, $C$9, 100%, $E$9)</f>
        <v>11.753</v>
      </c>
      <c r="I581" s="9">
        <f>11.7564 * CHOOSE(CONTROL!$C$32, $C$9, 100%, $E$9)</f>
        <v>11.756399999999999</v>
      </c>
      <c r="J581" s="9">
        <f>11.753 * CHOOSE(CONTROL!$C$32, $C$9, 100%, $E$9)</f>
        <v>11.753</v>
      </c>
      <c r="K581" s="9">
        <f>11.7564 * CHOOSE(CONTROL!$C$32, $C$9, 100%, $E$9)</f>
        <v>11.756399999999999</v>
      </c>
      <c r="L581" s="9">
        <f>8.4072 * CHOOSE(CONTROL!$C$32, $C$9, 100%, $E$9)</f>
        <v>8.4071999999999996</v>
      </c>
      <c r="M581" s="9">
        <f>8.4106 * CHOOSE(CONTROL!$C$32, $C$9, 100%, $E$9)</f>
        <v>8.4106000000000005</v>
      </c>
      <c r="N581" s="9">
        <f>8.4072 * CHOOSE(CONTROL!$C$32, $C$9, 100%, $E$9)</f>
        <v>8.4071999999999996</v>
      </c>
      <c r="O581" s="9">
        <f>8.4106 * CHOOSE(CONTROL!$C$32, $C$9, 100%, $E$9)</f>
        <v>8.4106000000000005</v>
      </c>
    </row>
    <row r="582" spans="1:15" ht="15.75" x14ac:dyDescent="0.25">
      <c r="A582" s="13">
        <v>58592</v>
      </c>
      <c r="B582" s="10">
        <f>9.8338 * CHOOSE(CONTROL!$C$32, $C$9, 100%, $E$9)</f>
        <v>9.8338000000000001</v>
      </c>
      <c r="C582" s="10">
        <f>9.8338 * CHOOSE(CONTROL!$C$32, $C$9, 100%, $E$9)</f>
        <v>9.8338000000000001</v>
      </c>
      <c r="D582" s="10">
        <f>9.8352 * CHOOSE(CONTROL!$C$32, $C$9, 100%, $E$9)</f>
        <v>9.8352000000000004</v>
      </c>
      <c r="E582" s="9">
        <f>8.4692 * CHOOSE(CONTROL!$C$32, $C$9, 100%, $E$9)</f>
        <v>8.4692000000000007</v>
      </c>
      <c r="F582" s="9">
        <f>8.4692 * CHOOSE(CONTROL!$C$32, $C$9, 100%, $E$9)</f>
        <v>8.4692000000000007</v>
      </c>
      <c r="G582" s="9">
        <f>8.4735 * CHOOSE(CONTROL!$C$32, $C$9, 100%, $E$9)</f>
        <v>8.4734999999999996</v>
      </c>
      <c r="H582" s="9">
        <f>11.753 * CHOOSE(CONTROL!$C$32, $C$9, 100%, $E$9)</f>
        <v>11.753</v>
      </c>
      <c r="I582" s="9">
        <f>11.7573 * CHOOSE(CONTROL!$C$32, $C$9, 100%, $E$9)</f>
        <v>11.757300000000001</v>
      </c>
      <c r="J582" s="9">
        <f>11.753 * CHOOSE(CONTROL!$C$32, $C$9, 100%, $E$9)</f>
        <v>11.753</v>
      </c>
      <c r="K582" s="9">
        <f>11.7573 * CHOOSE(CONTROL!$C$32, $C$9, 100%, $E$9)</f>
        <v>11.757300000000001</v>
      </c>
      <c r="L582" s="9">
        <f>8.4692 * CHOOSE(CONTROL!$C$32, $C$9, 100%, $E$9)</f>
        <v>8.4692000000000007</v>
      </c>
      <c r="M582" s="9">
        <f>8.4735 * CHOOSE(CONTROL!$C$32, $C$9, 100%, $E$9)</f>
        <v>8.4734999999999996</v>
      </c>
      <c r="N582" s="9">
        <f>8.4692 * CHOOSE(CONTROL!$C$32, $C$9, 100%, $E$9)</f>
        <v>8.4692000000000007</v>
      </c>
      <c r="O582" s="9">
        <f>8.4735 * CHOOSE(CONTROL!$C$32, $C$9, 100%, $E$9)</f>
        <v>8.4734999999999996</v>
      </c>
    </row>
    <row r="583" spans="1:15" ht="15.75" x14ac:dyDescent="0.25">
      <c r="A583" s="13">
        <v>58622</v>
      </c>
      <c r="B583" s="10">
        <f>9.8399 * CHOOSE(CONTROL!$C$32, $C$9, 100%, $E$9)</f>
        <v>9.8399000000000001</v>
      </c>
      <c r="C583" s="10">
        <f>9.8399 * CHOOSE(CONTROL!$C$32, $C$9, 100%, $E$9)</f>
        <v>9.8399000000000001</v>
      </c>
      <c r="D583" s="10">
        <f>9.8412 * CHOOSE(CONTROL!$C$32, $C$9, 100%, $E$9)</f>
        <v>9.8412000000000006</v>
      </c>
      <c r="E583" s="9">
        <f>8.4115 * CHOOSE(CONTROL!$C$32, $C$9, 100%, $E$9)</f>
        <v>8.4115000000000002</v>
      </c>
      <c r="F583" s="9">
        <f>8.4115 * CHOOSE(CONTROL!$C$32, $C$9, 100%, $E$9)</f>
        <v>8.4115000000000002</v>
      </c>
      <c r="G583" s="9">
        <f>8.4158 * CHOOSE(CONTROL!$C$32, $C$9, 100%, $E$9)</f>
        <v>8.4158000000000008</v>
      </c>
      <c r="H583" s="9">
        <f>11.757 * CHOOSE(CONTROL!$C$32, $C$9, 100%, $E$9)</f>
        <v>11.757</v>
      </c>
      <c r="I583" s="9">
        <f>11.7613 * CHOOSE(CONTROL!$C$32, $C$9, 100%, $E$9)</f>
        <v>11.7613</v>
      </c>
      <c r="J583" s="9">
        <f>11.757 * CHOOSE(CONTROL!$C$32, $C$9, 100%, $E$9)</f>
        <v>11.757</v>
      </c>
      <c r="K583" s="9">
        <f>11.7613 * CHOOSE(CONTROL!$C$32, $C$9, 100%, $E$9)</f>
        <v>11.7613</v>
      </c>
      <c r="L583" s="9">
        <f>8.4115 * CHOOSE(CONTROL!$C$32, $C$9, 100%, $E$9)</f>
        <v>8.4115000000000002</v>
      </c>
      <c r="M583" s="9">
        <f>8.4158 * CHOOSE(CONTROL!$C$32, $C$9, 100%, $E$9)</f>
        <v>8.4158000000000008</v>
      </c>
      <c r="N583" s="9">
        <f>8.4115 * CHOOSE(CONTROL!$C$32, $C$9, 100%, $E$9)</f>
        <v>8.4115000000000002</v>
      </c>
      <c r="O583" s="9">
        <f>8.4158 * CHOOSE(CONTROL!$C$32, $C$9, 100%, $E$9)</f>
        <v>8.4158000000000008</v>
      </c>
    </row>
    <row r="584" spans="1:15" ht="15.75" x14ac:dyDescent="0.25">
      <c r="A584" s="13">
        <v>58653</v>
      </c>
      <c r="B584" s="10">
        <f>9.9778 * CHOOSE(CONTROL!$C$32, $C$9, 100%, $E$9)</f>
        <v>9.9778000000000002</v>
      </c>
      <c r="C584" s="10">
        <f>9.9778 * CHOOSE(CONTROL!$C$32, $C$9, 100%, $E$9)</f>
        <v>9.9778000000000002</v>
      </c>
      <c r="D584" s="10">
        <f>9.9791 * CHOOSE(CONTROL!$C$32, $C$9, 100%, $E$9)</f>
        <v>9.9791000000000007</v>
      </c>
      <c r="E584" s="9">
        <f>8.5084 * CHOOSE(CONTROL!$C$32, $C$9, 100%, $E$9)</f>
        <v>8.5084</v>
      </c>
      <c r="F584" s="9">
        <f>8.5084 * CHOOSE(CONTROL!$C$32, $C$9, 100%, $E$9)</f>
        <v>8.5084</v>
      </c>
      <c r="G584" s="9">
        <f>8.5128 * CHOOSE(CONTROL!$C$32, $C$9, 100%, $E$9)</f>
        <v>8.5128000000000004</v>
      </c>
      <c r="H584" s="9">
        <f>11.932 * CHOOSE(CONTROL!$C$32, $C$9, 100%, $E$9)</f>
        <v>11.932</v>
      </c>
      <c r="I584" s="9">
        <f>11.9363 * CHOOSE(CONTROL!$C$32, $C$9, 100%, $E$9)</f>
        <v>11.936299999999999</v>
      </c>
      <c r="J584" s="9">
        <f>11.932 * CHOOSE(CONTROL!$C$32, $C$9, 100%, $E$9)</f>
        <v>11.932</v>
      </c>
      <c r="K584" s="9">
        <f>11.9363 * CHOOSE(CONTROL!$C$32, $C$9, 100%, $E$9)</f>
        <v>11.936299999999999</v>
      </c>
      <c r="L584" s="9">
        <f>8.5084 * CHOOSE(CONTROL!$C$32, $C$9, 100%, $E$9)</f>
        <v>8.5084</v>
      </c>
      <c r="M584" s="9">
        <f>8.5128 * CHOOSE(CONTROL!$C$32, $C$9, 100%, $E$9)</f>
        <v>8.5128000000000004</v>
      </c>
      <c r="N584" s="9">
        <f>8.5084 * CHOOSE(CONTROL!$C$32, $C$9, 100%, $E$9)</f>
        <v>8.5084</v>
      </c>
      <c r="O584" s="9">
        <f>8.5128 * CHOOSE(CONTROL!$C$32, $C$9, 100%, $E$9)</f>
        <v>8.5128000000000004</v>
      </c>
    </row>
    <row r="585" spans="1:15" ht="15.75" x14ac:dyDescent="0.25">
      <c r="A585" s="13">
        <v>58684</v>
      </c>
      <c r="B585" s="10">
        <f>9.9845 * CHOOSE(CONTROL!$C$32, $C$9, 100%, $E$9)</f>
        <v>9.9845000000000006</v>
      </c>
      <c r="C585" s="10">
        <f>9.9845 * CHOOSE(CONTROL!$C$32, $C$9, 100%, $E$9)</f>
        <v>9.9845000000000006</v>
      </c>
      <c r="D585" s="10">
        <f>9.9858 * CHOOSE(CONTROL!$C$32, $C$9, 100%, $E$9)</f>
        <v>9.9857999999999993</v>
      </c>
      <c r="E585" s="9">
        <f>8.3272 * CHOOSE(CONTROL!$C$32, $C$9, 100%, $E$9)</f>
        <v>8.3271999999999995</v>
      </c>
      <c r="F585" s="9">
        <f>8.3272 * CHOOSE(CONTROL!$C$32, $C$9, 100%, $E$9)</f>
        <v>8.3271999999999995</v>
      </c>
      <c r="G585" s="9">
        <f>8.3316 * CHOOSE(CONTROL!$C$32, $C$9, 100%, $E$9)</f>
        <v>8.3315999999999999</v>
      </c>
      <c r="H585" s="9">
        <f>11.9364 * CHOOSE(CONTROL!$C$32, $C$9, 100%, $E$9)</f>
        <v>11.936400000000001</v>
      </c>
      <c r="I585" s="9">
        <f>11.9407 * CHOOSE(CONTROL!$C$32, $C$9, 100%, $E$9)</f>
        <v>11.9407</v>
      </c>
      <c r="J585" s="9">
        <f>11.9364 * CHOOSE(CONTROL!$C$32, $C$9, 100%, $E$9)</f>
        <v>11.936400000000001</v>
      </c>
      <c r="K585" s="9">
        <f>11.9407 * CHOOSE(CONTROL!$C$32, $C$9, 100%, $E$9)</f>
        <v>11.9407</v>
      </c>
      <c r="L585" s="9">
        <f>8.3272 * CHOOSE(CONTROL!$C$32, $C$9, 100%, $E$9)</f>
        <v>8.3271999999999995</v>
      </c>
      <c r="M585" s="9">
        <f>8.3316 * CHOOSE(CONTROL!$C$32, $C$9, 100%, $E$9)</f>
        <v>8.3315999999999999</v>
      </c>
      <c r="N585" s="9">
        <f>8.3272 * CHOOSE(CONTROL!$C$32, $C$9, 100%, $E$9)</f>
        <v>8.3271999999999995</v>
      </c>
      <c r="O585" s="9">
        <f>8.3316 * CHOOSE(CONTROL!$C$32, $C$9, 100%, $E$9)</f>
        <v>8.3315999999999999</v>
      </c>
    </row>
    <row r="586" spans="1:15" ht="15.75" x14ac:dyDescent="0.25">
      <c r="A586" s="13">
        <v>58714</v>
      </c>
      <c r="B586" s="10">
        <f>9.9815 * CHOOSE(CONTROL!$C$32, $C$9, 100%, $E$9)</f>
        <v>9.9815000000000005</v>
      </c>
      <c r="C586" s="10">
        <f>9.9815 * CHOOSE(CONTROL!$C$32, $C$9, 100%, $E$9)</f>
        <v>9.9815000000000005</v>
      </c>
      <c r="D586" s="10">
        <f>9.9828 * CHOOSE(CONTROL!$C$32, $C$9, 100%, $E$9)</f>
        <v>9.9827999999999992</v>
      </c>
      <c r="E586" s="9">
        <f>8.3044 * CHOOSE(CONTROL!$C$32, $C$9, 100%, $E$9)</f>
        <v>8.3043999999999993</v>
      </c>
      <c r="F586" s="9">
        <f>8.3044 * CHOOSE(CONTROL!$C$32, $C$9, 100%, $E$9)</f>
        <v>8.3043999999999993</v>
      </c>
      <c r="G586" s="9">
        <f>8.3088 * CHOOSE(CONTROL!$C$32, $C$9, 100%, $E$9)</f>
        <v>8.3087999999999997</v>
      </c>
      <c r="H586" s="9">
        <f>11.9344 * CHOOSE(CONTROL!$C$32, $C$9, 100%, $E$9)</f>
        <v>11.9344</v>
      </c>
      <c r="I586" s="9">
        <f>11.9387 * CHOOSE(CONTROL!$C$32, $C$9, 100%, $E$9)</f>
        <v>11.938700000000001</v>
      </c>
      <c r="J586" s="9">
        <f>11.9344 * CHOOSE(CONTROL!$C$32, $C$9, 100%, $E$9)</f>
        <v>11.9344</v>
      </c>
      <c r="K586" s="9">
        <f>11.9387 * CHOOSE(CONTROL!$C$32, $C$9, 100%, $E$9)</f>
        <v>11.938700000000001</v>
      </c>
      <c r="L586" s="9">
        <f>8.3044 * CHOOSE(CONTROL!$C$32, $C$9, 100%, $E$9)</f>
        <v>8.3043999999999993</v>
      </c>
      <c r="M586" s="9">
        <f>8.3088 * CHOOSE(CONTROL!$C$32, $C$9, 100%, $E$9)</f>
        <v>8.3087999999999997</v>
      </c>
      <c r="N586" s="9">
        <f>8.3044 * CHOOSE(CONTROL!$C$32, $C$9, 100%, $E$9)</f>
        <v>8.3043999999999993</v>
      </c>
      <c r="O586" s="9">
        <f>8.3088 * CHOOSE(CONTROL!$C$32, $C$9, 100%, $E$9)</f>
        <v>8.3087999999999997</v>
      </c>
    </row>
    <row r="587" spans="1:15" ht="15.75" x14ac:dyDescent="0.25">
      <c r="A587" s="13">
        <v>58745</v>
      </c>
      <c r="B587" s="10">
        <f>10.0002 * CHOOSE(CONTROL!$C$32, $C$9, 100%, $E$9)</f>
        <v>10.0002</v>
      </c>
      <c r="C587" s="10">
        <f>10.0002 * CHOOSE(CONTROL!$C$32, $C$9, 100%, $E$9)</f>
        <v>10.0002</v>
      </c>
      <c r="D587" s="10">
        <f>10.0012 * CHOOSE(CONTROL!$C$32, $C$9, 100%, $E$9)</f>
        <v>10.001200000000001</v>
      </c>
      <c r="E587" s="9">
        <f>8.3736 * CHOOSE(CONTROL!$C$32, $C$9, 100%, $E$9)</f>
        <v>8.3735999999999997</v>
      </c>
      <c r="F587" s="9">
        <f>8.3736 * CHOOSE(CONTROL!$C$32, $C$9, 100%, $E$9)</f>
        <v>8.3735999999999997</v>
      </c>
      <c r="G587" s="9">
        <f>8.377 * CHOOSE(CONTROL!$C$32, $C$9, 100%, $E$9)</f>
        <v>8.3770000000000007</v>
      </c>
      <c r="H587" s="9">
        <f>11.9453 * CHOOSE(CONTROL!$C$32, $C$9, 100%, $E$9)</f>
        <v>11.9453</v>
      </c>
      <c r="I587" s="9">
        <f>11.9487 * CHOOSE(CONTROL!$C$32, $C$9, 100%, $E$9)</f>
        <v>11.948700000000001</v>
      </c>
      <c r="J587" s="9">
        <f>11.9453 * CHOOSE(CONTROL!$C$32, $C$9, 100%, $E$9)</f>
        <v>11.9453</v>
      </c>
      <c r="K587" s="9">
        <f>11.9487 * CHOOSE(CONTROL!$C$32, $C$9, 100%, $E$9)</f>
        <v>11.948700000000001</v>
      </c>
      <c r="L587" s="9">
        <f>8.3736 * CHOOSE(CONTROL!$C$32, $C$9, 100%, $E$9)</f>
        <v>8.3735999999999997</v>
      </c>
      <c r="M587" s="9">
        <f>8.377 * CHOOSE(CONTROL!$C$32, $C$9, 100%, $E$9)</f>
        <v>8.3770000000000007</v>
      </c>
      <c r="N587" s="9">
        <f>8.3736 * CHOOSE(CONTROL!$C$32, $C$9, 100%, $E$9)</f>
        <v>8.3735999999999997</v>
      </c>
      <c r="O587" s="9">
        <f>8.377 * CHOOSE(CONTROL!$C$32, $C$9, 100%, $E$9)</f>
        <v>8.3770000000000007</v>
      </c>
    </row>
    <row r="588" spans="1:15" ht="15.75" x14ac:dyDescent="0.25">
      <c r="A588" s="13">
        <v>58775</v>
      </c>
      <c r="B588" s="10">
        <f>10.0032 * CHOOSE(CONTROL!$C$32, $C$9, 100%, $E$9)</f>
        <v>10.0032</v>
      </c>
      <c r="C588" s="10">
        <f>10.0032 * CHOOSE(CONTROL!$C$32, $C$9, 100%, $E$9)</f>
        <v>10.0032</v>
      </c>
      <c r="D588" s="10">
        <f>10.0042 * CHOOSE(CONTROL!$C$32, $C$9, 100%, $E$9)</f>
        <v>10.004200000000001</v>
      </c>
      <c r="E588" s="9">
        <f>8.4171 * CHOOSE(CONTROL!$C$32, $C$9, 100%, $E$9)</f>
        <v>8.4170999999999996</v>
      </c>
      <c r="F588" s="9">
        <f>8.4171 * CHOOSE(CONTROL!$C$32, $C$9, 100%, $E$9)</f>
        <v>8.4170999999999996</v>
      </c>
      <c r="G588" s="9">
        <f>8.4204 * CHOOSE(CONTROL!$C$32, $C$9, 100%, $E$9)</f>
        <v>8.4204000000000008</v>
      </c>
      <c r="H588" s="9">
        <f>11.9473 * CHOOSE(CONTROL!$C$32, $C$9, 100%, $E$9)</f>
        <v>11.9473</v>
      </c>
      <c r="I588" s="9">
        <f>11.9507 * CHOOSE(CONTROL!$C$32, $C$9, 100%, $E$9)</f>
        <v>11.950699999999999</v>
      </c>
      <c r="J588" s="9">
        <f>11.9473 * CHOOSE(CONTROL!$C$32, $C$9, 100%, $E$9)</f>
        <v>11.9473</v>
      </c>
      <c r="K588" s="9">
        <f>11.9507 * CHOOSE(CONTROL!$C$32, $C$9, 100%, $E$9)</f>
        <v>11.950699999999999</v>
      </c>
      <c r="L588" s="9">
        <f>8.4171 * CHOOSE(CONTROL!$C$32, $C$9, 100%, $E$9)</f>
        <v>8.4170999999999996</v>
      </c>
      <c r="M588" s="9">
        <f>8.4204 * CHOOSE(CONTROL!$C$32, $C$9, 100%, $E$9)</f>
        <v>8.4204000000000008</v>
      </c>
      <c r="N588" s="9">
        <f>8.4171 * CHOOSE(CONTROL!$C$32, $C$9, 100%, $E$9)</f>
        <v>8.4170999999999996</v>
      </c>
      <c r="O588" s="9">
        <f>8.4204 * CHOOSE(CONTROL!$C$32, $C$9, 100%, $E$9)</f>
        <v>8.4204000000000008</v>
      </c>
    </row>
    <row r="589" spans="1:15" ht="15.75" x14ac:dyDescent="0.25">
      <c r="A589" s="13">
        <v>58806</v>
      </c>
      <c r="B589" s="10">
        <f>10.0032 * CHOOSE(CONTROL!$C$32, $C$9, 100%, $E$9)</f>
        <v>10.0032</v>
      </c>
      <c r="C589" s="10">
        <f>10.0032 * CHOOSE(CONTROL!$C$32, $C$9, 100%, $E$9)</f>
        <v>10.0032</v>
      </c>
      <c r="D589" s="10">
        <f>10.0042 * CHOOSE(CONTROL!$C$32, $C$9, 100%, $E$9)</f>
        <v>10.004200000000001</v>
      </c>
      <c r="E589" s="9">
        <f>8.3138 * CHOOSE(CONTROL!$C$32, $C$9, 100%, $E$9)</f>
        <v>8.3138000000000005</v>
      </c>
      <c r="F589" s="9">
        <f>8.3138 * CHOOSE(CONTROL!$C$32, $C$9, 100%, $E$9)</f>
        <v>8.3138000000000005</v>
      </c>
      <c r="G589" s="9">
        <f>8.3172 * CHOOSE(CONTROL!$C$32, $C$9, 100%, $E$9)</f>
        <v>8.3171999999999997</v>
      </c>
      <c r="H589" s="9">
        <f>11.9473 * CHOOSE(CONTROL!$C$32, $C$9, 100%, $E$9)</f>
        <v>11.9473</v>
      </c>
      <c r="I589" s="9">
        <f>11.9507 * CHOOSE(CONTROL!$C$32, $C$9, 100%, $E$9)</f>
        <v>11.950699999999999</v>
      </c>
      <c r="J589" s="9">
        <f>11.9473 * CHOOSE(CONTROL!$C$32, $C$9, 100%, $E$9)</f>
        <v>11.9473</v>
      </c>
      <c r="K589" s="9">
        <f>11.9507 * CHOOSE(CONTROL!$C$32, $C$9, 100%, $E$9)</f>
        <v>11.950699999999999</v>
      </c>
      <c r="L589" s="9">
        <f>8.3138 * CHOOSE(CONTROL!$C$32, $C$9, 100%, $E$9)</f>
        <v>8.3138000000000005</v>
      </c>
      <c r="M589" s="9">
        <f>8.3172 * CHOOSE(CONTROL!$C$32, $C$9, 100%, $E$9)</f>
        <v>8.3171999999999997</v>
      </c>
      <c r="N589" s="9">
        <f>8.3138 * CHOOSE(CONTROL!$C$32, $C$9, 100%, $E$9)</f>
        <v>8.3138000000000005</v>
      </c>
      <c r="O589" s="9">
        <f>8.3172 * CHOOSE(CONTROL!$C$32, $C$9, 100%, $E$9)</f>
        <v>8.3171999999999997</v>
      </c>
    </row>
    <row r="590" spans="1:15" ht="15.75" x14ac:dyDescent="0.25">
      <c r="A590" s="13">
        <v>58837</v>
      </c>
      <c r="B590" s="10">
        <f>10.0852 * CHOOSE(CONTROL!$C$32, $C$9, 100%, $E$9)</f>
        <v>10.0852</v>
      </c>
      <c r="C590" s="10">
        <f>10.0852 * CHOOSE(CONTROL!$C$32, $C$9, 100%, $E$9)</f>
        <v>10.0852</v>
      </c>
      <c r="D590" s="10">
        <f>10.0862 * CHOOSE(CONTROL!$C$32, $C$9, 100%, $E$9)</f>
        <v>10.0862</v>
      </c>
      <c r="E590" s="9">
        <f>8.4474 * CHOOSE(CONTROL!$C$32, $C$9, 100%, $E$9)</f>
        <v>8.4474</v>
      </c>
      <c r="F590" s="9">
        <f>8.4474 * CHOOSE(CONTROL!$C$32, $C$9, 100%, $E$9)</f>
        <v>8.4474</v>
      </c>
      <c r="G590" s="9">
        <f>8.4508 * CHOOSE(CONTROL!$C$32, $C$9, 100%, $E$9)</f>
        <v>8.4507999999999992</v>
      </c>
      <c r="H590" s="9">
        <f>12.0355 * CHOOSE(CONTROL!$C$32, $C$9, 100%, $E$9)</f>
        <v>12.035500000000001</v>
      </c>
      <c r="I590" s="9">
        <f>12.0389 * CHOOSE(CONTROL!$C$32, $C$9, 100%, $E$9)</f>
        <v>12.0389</v>
      </c>
      <c r="J590" s="9">
        <f>12.0355 * CHOOSE(CONTROL!$C$32, $C$9, 100%, $E$9)</f>
        <v>12.035500000000001</v>
      </c>
      <c r="K590" s="9">
        <f>12.0389 * CHOOSE(CONTROL!$C$32, $C$9, 100%, $E$9)</f>
        <v>12.0389</v>
      </c>
      <c r="L590" s="9">
        <f>8.4474 * CHOOSE(CONTROL!$C$32, $C$9, 100%, $E$9)</f>
        <v>8.4474</v>
      </c>
      <c r="M590" s="9">
        <f>8.4508 * CHOOSE(CONTROL!$C$32, $C$9, 100%, $E$9)</f>
        <v>8.4507999999999992</v>
      </c>
      <c r="N590" s="9">
        <f>8.4474 * CHOOSE(CONTROL!$C$32, $C$9, 100%, $E$9)</f>
        <v>8.4474</v>
      </c>
      <c r="O590" s="9">
        <f>8.4508 * CHOOSE(CONTROL!$C$32, $C$9, 100%, $E$9)</f>
        <v>8.4507999999999992</v>
      </c>
    </row>
    <row r="591" spans="1:15" ht="15.75" x14ac:dyDescent="0.25">
      <c r="A591" s="13">
        <v>58865</v>
      </c>
      <c r="B591" s="10">
        <f>10.0821 * CHOOSE(CONTROL!$C$32, $C$9, 100%, $E$9)</f>
        <v>10.082100000000001</v>
      </c>
      <c r="C591" s="10">
        <f>10.0821 * CHOOSE(CONTROL!$C$32, $C$9, 100%, $E$9)</f>
        <v>10.082100000000001</v>
      </c>
      <c r="D591" s="10">
        <f>10.0831 * CHOOSE(CONTROL!$C$32, $C$9, 100%, $E$9)</f>
        <v>10.0831</v>
      </c>
      <c r="E591" s="9">
        <f>8.2443 * CHOOSE(CONTROL!$C$32, $C$9, 100%, $E$9)</f>
        <v>8.2443000000000008</v>
      </c>
      <c r="F591" s="9">
        <f>8.2443 * CHOOSE(CONTROL!$C$32, $C$9, 100%, $E$9)</f>
        <v>8.2443000000000008</v>
      </c>
      <c r="G591" s="9">
        <f>8.2477 * CHOOSE(CONTROL!$C$32, $C$9, 100%, $E$9)</f>
        <v>8.2477</v>
      </c>
      <c r="H591" s="9">
        <f>12.0335 * CHOOSE(CONTROL!$C$32, $C$9, 100%, $E$9)</f>
        <v>12.0335</v>
      </c>
      <c r="I591" s="9">
        <f>12.0369 * CHOOSE(CONTROL!$C$32, $C$9, 100%, $E$9)</f>
        <v>12.036899999999999</v>
      </c>
      <c r="J591" s="9">
        <f>12.0335 * CHOOSE(CONTROL!$C$32, $C$9, 100%, $E$9)</f>
        <v>12.0335</v>
      </c>
      <c r="K591" s="9">
        <f>12.0369 * CHOOSE(CONTROL!$C$32, $C$9, 100%, $E$9)</f>
        <v>12.036899999999999</v>
      </c>
      <c r="L591" s="9">
        <f>8.2443 * CHOOSE(CONTROL!$C$32, $C$9, 100%, $E$9)</f>
        <v>8.2443000000000008</v>
      </c>
      <c r="M591" s="9">
        <f>8.2477 * CHOOSE(CONTROL!$C$32, $C$9, 100%, $E$9)</f>
        <v>8.2477</v>
      </c>
      <c r="N591" s="9">
        <f>8.2443 * CHOOSE(CONTROL!$C$32, $C$9, 100%, $E$9)</f>
        <v>8.2443000000000008</v>
      </c>
      <c r="O591" s="9">
        <f>8.2477 * CHOOSE(CONTROL!$C$32, $C$9, 100%, $E$9)</f>
        <v>8.2477</v>
      </c>
    </row>
    <row r="592" spans="1:15" ht="15.75" x14ac:dyDescent="0.25">
      <c r="A592" s="13">
        <v>58893</v>
      </c>
      <c r="B592" s="10">
        <f>10.0791 * CHOOSE(CONTROL!$C$32, $C$9, 100%, $E$9)</f>
        <v>10.0791</v>
      </c>
      <c r="C592" s="10">
        <f>10.0791 * CHOOSE(CONTROL!$C$32, $C$9, 100%, $E$9)</f>
        <v>10.0791</v>
      </c>
      <c r="D592" s="10">
        <f>10.0801 * CHOOSE(CONTROL!$C$32, $C$9, 100%, $E$9)</f>
        <v>10.0801</v>
      </c>
      <c r="E592" s="9">
        <f>8.4007 * CHOOSE(CONTROL!$C$32, $C$9, 100%, $E$9)</f>
        <v>8.4007000000000005</v>
      </c>
      <c r="F592" s="9">
        <f>8.4007 * CHOOSE(CONTROL!$C$32, $C$9, 100%, $E$9)</f>
        <v>8.4007000000000005</v>
      </c>
      <c r="G592" s="9">
        <f>8.4041 * CHOOSE(CONTROL!$C$32, $C$9, 100%, $E$9)</f>
        <v>8.4040999999999997</v>
      </c>
      <c r="H592" s="9">
        <f>12.0315 * CHOOSE(CONTROL!$C$32, $C$9, 100%, $E$9)</f>
        <v>12.031499999999999</v>
      </c>
      <c r="I592" s="9">
        <f>12.0349 * CHOOSE(CONTROL!$C$32, $C$9, 100%, $E$9)</f>
        <v>12.0349</v>
      </c>
      <c r="J592" s="9">
        <f>12.0315 * CHOOSE(CONTROL!$C$32, $C$9, 100%, $E$9)</f>
        <v>12.031499999999999</v>
      </c>
      <c r="K592" s="9">
        <f>12.0349 * CHOOSE(CONTROL!$C$32, $C$9, 100%, $E$9)</f>
        <v>12.0349</v>
      </c>
      <c r="L592" s="9">
        <f>8.4007 * CHOOSE(CONTROL!$C$32, $C$9, 100%, $E$9)</f>
        <v>8.4007000000000005</v>
      </c>
      <c r="M592" s="9">
        <f>8.4041 * CHOOSE(CONTROL!$C$32, $C$9, 100%, $E$9)</f>
        <v>8.4040999999999997</v>
      </c>
      <c r="N592" s="9">
        <f>8.4007 * CHOOSE(CONTROL!$C$32, $C$9, 100%, $E$9)</f>
        <v>8.4007000000000005</v>
      </c>
      <c r="O592" s="9">
        <f>8.4041 * CHOOSE(CONTROL!$C$32, $C$9, 100%, $E$9)</f>
        <v>8.4040999999999997</v>
      </c>
    </row>
    <row r="593" spans="1:15" ht="15.75" x14ac:dyDescent="0.25">
      <c r="A593" s="13">
        <v>58926</v>
      </c>
      <c r="B593" s="10">
        <f>10.083 * CHOOSE(CONTROL!$C$32, $C$9, 100%, $E$9)</f>
        <v>10.083</v>
      </c>
      <c r="C593" s="10">
        <f>10.083 * CHOOSE(CONTROL!$C$32, $C$9, 100%, $E$9)</f>
        <v>10.083</v>
      </c>
      <c r="D593" s="10">
        <f>10.084 * CHOOSE(CONTROL!$C$32, $C$9, 100%, $E$9)</f>
        <v>10.084</v>
      </c>
      <c r="E593" s="9">
        <f>8.5666 * CHOOSE(CONTROL!$C$32, $C$9, 100%, $E$9)</f>
        <v>8.5665999999999993</v>
      </c>
      <c r="F593" s="9">
        <f>8.5666 * CHOOSE(CONTROL!$C$32, $C$9, 100%, $E$9)</f>
        <v>8.5665999999999993</v>
      </c>
      <c r="G593" s="9">
        <f>8.57 * CHOOSE(CONTROL!$C$32, $C$9, 100%, $E$9)</f>
        <v>8.57</v>
      </c>
      <c r="H593" s="9">
        <f>12.0337 * CHOOSE(CONTROL!$C$32, $C$9, 100%, $E$9)</f>
        <v>12.0337</v>
      </c>
      <c r="I593" s="9">
        <f>12.0371 * CHOOSE(CONTROL!$C$32, $C$9, 100%, $E$9)</f>
        <v>12.037100000000001</v>
      </c>
      <c r="J593" s="9">
        <f>12.0337 * CHOOSE(CONTROL!$C$32, $C$9, 100%, $E$9)</f>
        <v>12.0337</v>
      </c>
      <c r="K593" s="9">
        <f>12.0371 * CHOOSE(CONTROL!$C$32, $C$9, 100%, $E$9)</f>
        <v>12.037100000000001</v>
      </c>
      <c r="L593" s="9">
        <f>8.5666 * CHOOSE(CONTROL!$C$32, $C$9, 100%, $E$9)</f>
        <v>8.5665999999999993</v>
      </c>
      <c r="M593" s="9">
        <f>8.57 * CHOOSE(CONTROL!$C$32, $C$9, 100%, $E$9)</f>
        <v>8.57</v>
      </c>
      <c r="N593" s="9">
        <f>8.5666 * CHOOSE(CONTROL!$C$32, $C$9, 100%, $E$9)</f>
        <v>8.5665999999999993</v>
      </c>
      <c r="O593" s="9">
        <f>8.57 * CHOOSE(CONTROL!$C$32, $C$9, 100%, $E$9)</f>
        <v>8.57</v>
      </c>
    </row>
    <row r="594" spans="1:15" ht="15.75" x14ac:dyDescent="0.25">
      <c r="A594" s="13">
        <v>58957</v>
      </c>
      <c r="B594" s="10">
        <f>10.083 * CHOOSE(CONTROL!$C$32, $C$9, 100%, $E$9)</f>
        <v>10.083</v>
      </c>
      <c r="C594" s="10">
        <f>10.083 * CHOOSE(CONTROL!$C$32, $C$9, 100%, $E$9)</f>
        <v>10.083</v>
      </c>
      <c r="D594" s="10">
        <f>10.0843 * CHOOSE(CONTROL!$C$32, $C$9, 100%, $E$9)</f>
        <v>10.084300000000001</v>
      </c>
      <c r="E594" s="9">
        <f>8.6304 * CHOOSE(CONTROL!$C$32, $C$9, 100%, $E$9)</f>
        <v>8.6303999999999998</v>
      </c>
      <c r="F594" s="9">
        <f>8.6304 * CHOOSE(CONTROL!$C$32, $C$9, 100%, $E$9)</f>
        <v>8.6303999999999998</v>
      </c>
      <c r="G594" s="9">
        <f>8.6348 * CHOOSE(CONTROL!$C$32, $C$9, 100%, $E$9)</f>
        <v>8.6348000000000003</v>
      </c>
      <c r="H594" s="9">
        <f>12.0337 * CHOOSE(CONTROL!$C$32, $C$9, 100%, $E$9)</f>
        <v>12.0337</v>
      </c>
      <c r="I594" s="9">
        <f>12.0381 * CHOOSE(CONTROL!$C$32, $C$9, 100%, $E$9)</f>
        <v>12.0381</v>
      </c>
      <c r="J594" s="9">
        <f>12.0337 * CHOOSE(CONTROL!$C$32, $C$9, 100%, $E$9)</f>
        <v>12.0337</v>
      </c>
      <c r="K594" s="9">
        <f>12.0381 * CHOOSE(CONTROL!$C$32, $C$9, 100%, $E$9)</f>
        <v>12.0381</v>
      </c>
      <c r="L594" s="9">
        <f>8.6304 * CHOOSE(CONTROL!$C$32, $C$9, 100%, $E$9)</f>
        <v>8.6303999999999998</v>
      </c>
      <c r="M594" s="9">
        <f>8.6348 * CHOOSE(CONTROL!$C$32, $C$9, 100%, $E$9)</f>
        <v>8.6348000000000003</v>
      </c>
      <c r="N594" s="9">
        <f>8.6304 * CHOOSE(CONTROL!$C$32, $C$9, 100%, $E$9)</f>
        <v>8.6303999999999998</v>
      </c>
      <c r="O594" s="9">
        <f>8.6348 * CHOOSE(CONTROL!$C$32, $C$9, 100%, $E$9)</f>
        <v>8.6348000000000003</v>
      </c>
    </row>
    <row r="595" spans="1:15" ht="15.75" x14ac:dyDescent="0.25">
      <c r="A595" s="13">
        <v>58987</v>
      </c>
      <c r="B595" s="10">
        <f>10.0891 * CHOOSE(CONTROL!$C$32, $C$9, 100%, $E$9)</f>
        <v>10.0891</v>
      </c>
      <c r="C595" s="10">
        <f>10.0891 * CHOOSE(CONTROL!$C$32, $C$9, 100%, $E$9)</f>
        <v>10.0891</v>
      </c>
      <c r="D595" s="10">
        <f>10.0904 * CHOOSE(CONTROL!$C$32, $C$9, 100%, $E$9)</f>
        <v>10.090400000000001</v>
      </c>
      <c r="E595" s="9">
        <f>8.5708 * CHOOSE(CONTROL!$C$32, $C$9, 100%, $E$9)</f>
        <v>8.5708000000000002</v>
      </c>
      <c r="F595" s="9">
        <f>8.5708 * CHOOSE(CONTROL!$C$32, $C$9, 100%, $E$9)</f>
        <v>8.5708000000000002</v>
      </c>
      <c r="G595" s="9">
        <f>8.5752 * CHOOSE(CONTROL!$C$32, $C$9, 100%, $E$9)</f>
        <v>8.5752000000000006</v>
      </c>
      <c r="H595" s="9">
        <f>12.0377 * CHOOSE(CONTROL!$C$32, $C$9, 100%, $E$9)</f>
        <v>12.037699999999999</v>
      </c>
      <c r="I595" s="9">
        <f>12.0421 * CHOOSE(CONTROL!$C$32, $C$9, 100%, $E$9)</f>
        <v>12.0421</v>
      </c>
      <c r="J595" s="9">
        <f>12.0377 * CHOOSE(CONTROL!$C$32, $C$9, 100%, $E$9)</f>
        <v>12.037699999999999</v>
      </c>
      <c r="K595" s="9">
        <f>12.0421 * CHOOSE(CONTROL!$C$32, $C$9, 100%, $E$9)</f>
        <v>12.0421</v>
      </c>
      <c r="L595" s="9">
        <f>8.5708 * CHOOSE(CONTROL!$C$32, $C$9, 100%, $E$9)</f>
        <v>8.5708000000000002</v>
      </c>
      <c r="M595" s="9">
        <f>8.5752 * CHOOSE(CONTROL!$C$32, $C$9, 100%, $E$9)</f>
        <v>8.5752000000000006</v>
      </c>
      <c r="N595" s="9">
        <f>8.5708 * CHOOSE(CONTROL!$C$32, $C$9, 100%, $E$9)</f>
        <v>8.5708000000000002</v>
      </c>
      <c r="O595" s="9">
        <f>8.5752 * CHOOSE(CONTROL!$C$32, $C$9, 100%, $E$9)</f>
        <v>8.5752000000000006</v>
      </c>
    </row>
    <row r="596" spans="1:15" ht="15.75" x14ac:dyDescent="0.25">
      <c r="A596" s="13">
        <v>59018</v>
      </c>
      <c r="B596" s="10">
        <f>10.2301 * CHOOSE(CONTROL!$C$32, $C$9, 100%, $E$9)</f>
        <v>10.2301</v>
      </c>
      <c r="C596" s="10">
        <f>10.2301 * CHOOSE(CONTROL!$C$32, $C$9, 100%, $E$9)</f>
        <v>10.2301</v>
      </c>
      <c r="D596" s="10">
        <f>10.2314 * CHOOSE(CONTROL!$C$32, $C$9, 100%, $E$9)</f>
        <v>10.231400000000001</v>
      </c>
      <c r="E596" s="9">
        <f>8.6694 * CHOOSE(CONTROL!$C$32, $C$9, 100%, $E$9)</f>
        <v>8.6693999999999996</v>
      </c>
      <c r="F596" s="9">
        <f>8.6694 * CHOOSE(CONTROL!$C$32, $C$9, 100%, $E$9)</f>
        <v>8.6693999999999996</v>
      </c>
      <c r="G596" s="9">
        <f>8.6738 * CHOOSE(CONTROL!$C$32, $C$9, 100%, $E$9)</f>
        <v>8.6738</v>
      </c>
      <c r="H596" s="9">
        <f>12.2166 * CHOOSE(CONTROL!$C$32, $C$9, 100%, $E$9)</f>
        <v>12.2166</v>
      </c>
      <c r="I596" s="9">
        <f>12.221 * CHOOSE(CONTROL!$C$32, $C$9, 100%, $E$9)</f>
        <v>12.221</v>
      </c>
      <c r="J596" s="9">
        <f>12.2166 * CHOOSE(CONTROL!$C$32, $C$9, 100%, $E$9)</f>
        <v>12.2166</v>
      </c>
      <c r="K596" s="9">
        <f>12.221 * CHOOSE(CONTROL!$C$32, $C$9, 100%, $E$9)</f>
        <v>12.221</v>
      </c>
      <c r="L596" s="9">
        <f>8.6694 * CHOOSE(CONTROL!$C$32, $C$9, 100%, $E$9)</f>
        <v>8.6693999999999996</v>
      </c>
      <c r="M596" s="9">
        <f>8.6738 * CHOOSE(CONTROL!$C$32, $C$9, 100%, $E$9)</f>
        <v>8.6738</v>
      </c>
      <c r="N596" s="9">
        <f>8.6694 * CHOOSE(CONTROL!$C$32, $C$9, 100%, $E$9)</f>
        <v>8.6693999999999996</v>
      </c>
      <c r="O596" s="9">
        <f>8.6738 * CHOOSE(CONTROL!$C$32, $C$9, 100%, $E$9)</f>
        <v>8.6738</v>
      </c>
    </row>
    <row r="597" spans="1:15" ht="15.75" x14ac:dyDescent="0.25">
      <c r="A597" s="13">
        <v>59049</v>
      </c>
      <c r="B597" s="10">
        <f>10.2368 * CHOOSE(CONTROL!$C$32, $C$9, 100%, $E$9)</f>
        <v>10.236800000000001</v>
      </c>
      <c r="C597" s="10">
        <f>10.2368 * CHOOSE(CONTROL!$C$32, $C$9, 100%, $E$9)</f>
        <v>10.236800000000001</v>
      </c>
      <c r="D597" s="10">
        <f>10.2381 * CHOOSE(CONTROL!$C$32, $C$9, 100%, $E$9)</f>
        <v>10.238099999999999</v>
      </c>
      <c r="E597" s="9">
        <f>8.4826 * CHOOSE(CONTROL!$C$32, $C$9, 100%, $E$9)</f>
        <v>8.4825999999999997</v>
      </c>
      <c r="F597" s="9">
        <f>8.4826 * CHOOSE(CONTROL!$C$32, $C$9, 100%, $E$9)</f>
        <v>8.4825999999999997</v>
      </c>
      <c r="G597" s="9">
        <f>8.487 * CHOOSE(CONTROL!$C$32, $C$9, 100%, $E$9)</f>
        <v>8.4870000000000001</v>
      </c>
      <c r="H597" s="9">
        <f>12.221 * CHOOSE(CONTROL!$C$32, $C$9, 100%, $E$9)</f>
        <v>12.221</v>
      </c>
      <c r="I597" s="9">
        <f>12.2254 * CHOOSE(CONTROL!$C$32, $C$9, 100%, $E$9)</f>
        <v>12.2254</v>
      </c>
      <c r="J597" s="9">
        <f>12.221 * CHOOSE(CONTROL!$C$32, $C$9, 100%, $E$9)</f>
        <v>12.221</v>
      </c>
      <c r="K597" s="9">
        <f>12.2254 * CHOOSE(CONTROL!$C$32, $C$9, 100%, $E$9)</f>
        <v>12.2254</v>
      </c>
      <c r="L597" s="9">
        <f>8.4826 * CHOOSE(CONTROL!$C$32, $C$9, 100%, $E$9)</f>
        <v>8.4825999999999997</v>
      </c>
      <c r="M597" s="9">
        <f>8.487 * CHOOSE(CONTROL!$C$32, $C$9, 100%, $E$9)</f>
        <v>8.4870000000000001</v>
      </c>
      <c r="N597" s="9">
        <f>8.4826 * CHOOSE(CONTROL!$C$32, $C$9, 100%, $E$9)</f>
        <v>8.4825999999999997</v>
      </c>
      <c r="O597" s="9">
        <f>8.487 * CHOOSE(CONTROL!$C$32, $C$9, 100%, $E$9)</f>
        <v>8.4870000000000001</v>
      </c>
    </row>
    <row r="598" spans="1:15" ht="15.75" x14ac:dyDescent="0.25">
      <c r="A598" s="13">
        <v>59079</v>
      </c>
      <c r="B598" s="10">
        <f>10.2337 * CHOOSE(CONTROL!$C$32, $C$9, 100%, $E$9)</f>
        <v>10.233700000000001</v>
      </c>
      <c r="C598" s="10">
        <f>10.2337 * CHOOSE(CONTROL!$C$32, $C$9, 100%, $E$9)</f>
        <v>10.233700000000001</v>
      </c>
      <c r="D598" s="10">
        <f>10.235 * CHOOSE(CONTROL!$C$32, $C$9, 100%, $E$9)</f>
        <v>10.234999999999999</v>
      </c>
      <c r="E598" s="9">
        <f>8.4593 * CHOOSE(CONTROL!$C$32, $C$9, 100%, $E$9)</f>
        <v>8.4593000000000007</v>
      </c>
      <c r="F598" s="9">
        <f>8.4593 * CHOOSE(CONTROL!$C$32, $C$9, 100%, $E$9)</f>
        <v>8.4593000000000007</v>
      </c>
      <c r="G598" s="9">
        <f>8.4636 * CHOOSE(CONTROL!$C$32, $C$9, 100%, $E$9)</f>
        <v>8.4635999999999996</v>
      </c>
      <c r="H598" s="9">
        <f>12.219 * CHOOSE(CONTROL!$C$32, $C$9, 100%, $E$9)</f>
        <v>12.218999999999999</v>
      </c>
      <c r="I598" s="9">
        <f>12.2234 * CHOOSE(CONTROL!$C$32, $C$9, 100%, $E$9)</f>
        <v>12.2234</v>
      </c>
      <c r="J598" s="9">
        <f>12.219 * CHOOSE(CONTROL!$C$32, $C$9, 100%, $E$9)</f>
        <v>12.218999999999999</v>
      </c>
      <c r="K598" s="9">
        <f>12.2234 * CHOOSE(CONTROL!$C$32, $C$9, 100%, $E$9)</f>
        <v>12.2234</v>
      </c>
      <c r="L598" s="9">
        <f>8.4593 * CHOOSE(CONTROL!$C$32, $C$9, 100%, $E$9)</f>
        <v>8.4593000000000007</v>
      </c>
      <c r="M598" s="9">
        <f>8.4636 * CHOOSE(CONTROL!$C$32, $C$9, 100%, $E$9)</f>
        <v>8.4635999999999996</v>
      </c>
      <c r="N598" s="9">
        <f>8.4593 * CHOOSE(CONTROL!$C$32, $C$9, 100%, $E$9)</f>
        <v>8.4593000000000007</v>
      </c>
      <c r="O598" s="9">
        <f>8.4636 * CHOOSE(CONTROL!$C$32, $C$9, 100%, $E$9)</f>
        <v>8.4635999999999996</v>
      </c>
    </row>
    <row r="599" spans="1:15" ht="15.75" x14ac:dyDescent="0.25">
      <c r="A599" s="13">
        <v>59110</v>
      </c>
      <c r="B599" s="10">
        <f>10.2534 * CHOOSE(CONTROL!$C$32, $C$9, 100%, $E$9)</f>
        <v>10.253399999999999</v>
      </c>
      <c r="C599" s="10">
        <f>10.2534 * CHOOSE(CONTROL!$C$32, $C$9, 100%, $E$9)</f>
        <v>10.253399999999999</v>
      </c>
      <c r="D599" s="10">
        <f>10.2544 * CHOOSE(CONTROL!$C$32, $C$9, 100%, $E$9)</f>
        <v>10.2544</v>
      </c>
      <c r="E599" s="9">
        <f>8.5309 * CHOOSE(CONTROL!$C$32, $C$9, 100%, $E$9)</f>
        <v>8.5309000000000008</v>
      </c>
      <c r="F599" s="9">
        <f>8.5309 * CHOOSE(CONTROL!$C$32, $C$9, 100%, $E$9)</f>
        <v>8.5309000000000008</v>
      </c>
      <c r="G599" s="9">
        <f>8.5343 * CHOOSE(CONTROL!$C$32, $C$9, 100%, $E$9)</f>
        <v>8.5343</v>
      </c>
      <c r="H599" s="9">
        <f>12.2305 * CHOOSE(CONTROL!$C$32, $C$9, 100%, $E$9)</f>
        <v>12.230499999999999</v>
      </c>
      <c r="I599" s="9">
        <f>12.2339 * CHOOSE(CONTROL!$C$32, $C$9, 100%, $E$9)</f>
        <v>12.2339</v>
      </c>
      <c r="J599" s="9">
        <f>12.2305 * CHOOSE(CONTROL!$C$32, $C$9, 100%, $E$9)</f>
        <v>12.230499999999999</v>
      </c>
      <c r="K599" s="9">
        <f>12.2339 * CHOOSE(CONTROL!$C$32, $C$9, 100%, $E$9)</f>
        <v>12.2339</v>
      </c>
      <c r="L599" s="9">
        <f>8.5309 * CHOOSE(CONTROL!$C$32, $C$9, 100%, $E$9)</f>
        <v>8.5309000000000008</v>
      </c>
      <c r="M599" s="9">
        <f>8.5343 * CHOOSE(CONTROL!$C$32, $C$9, 100%, $E$9)</f>
        <v>8.5343</v>
      </c>
      <c r="N599" s="9">
        <f>8.5309 * CHOOSE(CONTROL!$C$32, $C$9, 100%, $E$9)</f>
        <v>8.5309000000000008</v>
      </c>
      <c r="O599" s="9">
        <f>8.5343 * CHOOSE(CONTROL!$C$32, $C$9, 100%, $E$9)</f>
        <v>8.5343</v>
      </c>
    </row>
    <row r="600" spans="1:15" ht="15.75" x14ac:dyDescent="0.25">
      <c r="A600" s="13">
        <v>59140</v>
      </c>
      <c r="B600" s="10">
        <f>10.2564 * CHOOSE(CONTROL!$C$32, $C$9, 100%, $E$9)</f>
        <v>10.256399999999999</v>
      </c>
      <c r="C600" s="10">
        <f>10.2564 * CHOOSE(CONTROL!$C$32, $C$9, 100%, $E$9)</f>
        <v>10.256399999999999</v>
      </c>
      <c r="D600" s="10">
        <f>10.2575 * CHOOSE(CONTROL!$C$32, $C$9, 100%, $E$9)</f>
        <v>10.2575</v>
      </c>
      <c r="E600" s="9">
        <f>8.5756 * CHOOSE(CONTROL!$C$32, $C$9, 100%, $E$9)</f>
        <v>8.5755999999999997</v>
      </c>
      <c r="F600" s="9">
        <f>8.5756 * CHOOSE(CONTROL!$C$32, $C$9, 100%, $E$9)</f>
        <v>8.5755999999999997</v>
      </c>
      <c r="G600" s="9">
        <f>8.579 * CHOOSE(CONTROL!$C$32, $C$9, 100%, $E$9)</f>
        <v>8.5790000000000006</v>
      </c>
      <c r="H600" s="9">
        <f>12.2325 * CHOOSE(CONTROL!$C$32, $C$9, 100%, $E$9)</f>
        <v>12.2325</v>
      </c>
      <c r="I600" s="9">
        <f>12.2359 * CHOOSE(CONTROL!$C$32, $C$9, 100%, $E$9)</f>
        <v>12.235900000000001</v>
      </c>
      <c r="J600" s="9">
        <f>12.2325 * CHOOSE(CONTROL!$C$32, $C$9, 100%, $E$9)</f>
        <v>12.2325</v>
      </c>
      <c r="K600" s="9">
        <f>12.2359 * CHOOSE(CONTROL!$C$32, $C$9, 100%, $E$9)</f>
        <v>12.235900000000001</v>
      </c>
      <c r="L600" s="9">
        <f>8.5756 * CHOOSE(CONTROL!$C$32, $C$9, 100%, $E$9)</f>
        <v>8.5755999999999997</v>
      </c>
      <c r="M600" s="9">
        <f>8.579 * CHOOSE(CONTROL!$C$32, $C$9, 100%, $E$9)</f>
        <v>8.5790000000000006</v>
      </c>
      <c r="N600" s="9">
        <f>8.5756 * CHOOSE(CONTROL!$C$32, $C$9, 100%, $E$9)</f>
        <v>8.5755999999999997</v>
      </c>
      <c r="O600" s="9">
        <f>8.579 * CHOOSE(CONTROL!$C$32, $C$9, 100%, $E$9)</f>
        <v>8.5790000000000006</v>
      </c>
    </row>
    <row r="601" spans="1:15" ht="15.75" x14ac:dyDescent="0.25">
      <c r="A601" s="13">
        <v>59171</v>
      </c>
      <c r="B601" s="10">
        <f>10.2564 * CHOOSE(CONTROL!$C$32, $C$9, 100%, $E$9)</f>
        <v>10.256399999999999</v>
      </c>
      <c r="C601" s="10">
        <f>10.2564 * CHOOSE(CONTROL!$C$32, $C$9, 100%, $E$9)</f>
        <v>10.256399999999999</v>
      </c>
      <c r="D601" s="10">
        <f>10.2575 * CHOOSE(CONTROL!$C$32, $C$9, 100%, $E$9)</f>
        <v>10.2575</v>
      </c>
      <c r="E601" s="9">
        <f>8.4692 * CHOOSE(CONTROL!$C$32, $C$9, 100%, $E$9)</f>
        <v>8.4692000000000007</v>
      </c>
      <c r="F601" s="9">
        <f>8.4692 * CHOOSE(CONTROL!$C$32, $C$9, 100%, $E$9)</f>
        <v>8.4692000000000007</v>
      </c>
      <c r="G601" s="9">
        <f>8.4726 * CHOOSE(CONTROL!$C$32, $C$9, 100%, $E$9)</f>
        <v>8.4725999999999999</v>
      </c>
      <c r="H601" s="9">
        <f>12.2325 * CHOOSE(CONTROL!$C$32, $C$9, 100%, $E$9)</f>
        <v>12.2325</v>
      </c>
      <c r="I601" s="9">
        <f>12.2359 * CHOOSE(CONTROL!$C$32, $C$9, 100%, $E$9)</f>
        <v>12.235900000000001</v>
      </c>
      <c r="J601" s="9">
        <f>12.2325 * CHOOSE(CONTROL!$C$32, $C$9, 100%, $E$9)</f>
        <v>12.2325</v>
      </c>
      <c r="K601" s="9">
        <f>12.2359 * CHOOSE(CONTROL!$C$32, $C$9, 100%, $E$9)</f>
        <v>12.235900000000001</v>
      </c>
      <c r="L601" s="9">
        <f>8.4692 * CHOOSE(CONTROL!$C$32, $C$9, 100%, $E$9)</f>
        <v>8.4692000000000007</v>
      </c>
      <c r="M601" s="9">
        <f>8.4726 * CHOOSE(CONTROL!$C$32, $C$9, 100%, $E$9)</f>
        <v>8.4725999999999999</v>
      </c>
      <c r="N601" s="9">
        <f>8.4692 * CHOOSE(CONTROL!$C$32, $C$9, 100%, $E$9)</f>
        <v>8.4692000000000007</v>
      </c>
      <c r="O601" s="9">
        <f>8.4726 * CHOOSE(CONTROL!$C$32, $C$9, 100%, $E$9)</f>
        <v>8.4725999999999999</v>
      </c>
    </row>
    <row r="602" spans="1:15" ht="15" x14ac:dyDescent="0.2">
      <c r="A602" s="12"/>
      <c r="B602" s="10"/>
      <c r="C602" s="10"/>
      <c r="D602" s="10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1:15" ht="15" x14ac:dyDescent="0.2">
      <c r="A603" s="11">
        <v>2013</v>
      </c>
      <c r="B603" s="10">
        <f t="shared" ref="B603:O603" si="0">AVERAGE(B14:B25)</f>
        <v>2.4477333333333333</v>
      </c>
      <c r="C603" s="10">
        <f t="shared" si="0"/>
        <v>2.500916666666666</v>
      </c>
      <c r="D603" s="10">
        <f t="shared" si="0"/>
        <v>2.5421583333333331</v>
      </c>
      <c r="E603" s="10">
        <f t="shared" si="0"/>
        <v>4.1238750000000008</v>
      </c>
      <c r="F603" s="10">
        <f t="shared" si="0"/>
        <v>3.608025</v>
      </c>
      <c r="G603" s="10">
        <f t="shared" si="0"/>
        <v>3.6216833333333334</v>
      </c>
      <c r="H603" s="10">
        <f t="shared" si="0"/>
        <v>3.8365416666666659</v>
      </c>
      <c r="I603" s="10">
        <f t="shared" si="0"/>
        <v>3.8501999999999996</v>
      </c>
      <c r="J603" s="10">
        <f t="shared" si="0"/>
        <v>3.8365416666666659</v>
      </c>
      <c r="K603" s="10">
        <f t="shared" si="0"/>
        <v>3.8501999999999996</v>
      </c>
      <c r="L603" s="10">
        <f t="shared" si="0"/>
        <v>4.1238750000000008</v>
      </c>
      <c r="M603" s="10">
        <f t="shared" si="0"/>
        <v>4.137508333333332</v>
      </c>
      <c r="N603" s="10">
        <f t="shared" si="0"/>
        <v>4.1238750000000008</v>
      </c>
      <c r="O603" s="10">
        <f t="shared" si="0"/>
        <v>4.137508333333332</v>
      </c>
    </row>
    <row r="604" spans="1:15" ht="15" x14ac:dyDescent="0.2">
      <c r="A604" s="11">
        <v>2014</v>
      </c>
      <c r="B604" s="10">
        <f t="shared" ref="B604:O604" si="1">AVERAGE(B26:B37)</f>
        <v>2.5016916666666664</v>
      </c>
      <c r="C604" s="10">
        <f t="shared" si="1"/>
        <v>2.5222333333333338</v>
      </c>
      <c r="D604" s="10">
        <f t="shared" si="1"/>
        <v>2.5634916666666667</v>
      </c>
      <c r="E604" s="10">
        <f t="shared" si="1"/>
        <v>3.5369416666666669</v>
      </c>
      <c r="F604" s="10">
        <f t="shared" si="1"/>
        <v>3.5125666666666664</v>
      </c>
      <c r="G604" s="10">
        <f t="shared" si="1"/>
        <v>3.5262249999999997</v>
      </c>
      <c r="H604" s="10">
        <f t="shared" si="1"/>
        <v>3.9038416666666667</v>
      </c>
      <c r="I604" s="10">
        <f t="shared" si="1"/>
        <v>3.9175</v>
      </c>
      <c r="J604" s="10">
        <f t="shared" si="1"/>
        <v>3.9038416666666667</v>
      </c>
      <c r="K604" s="10">
        <f t="shared" si="1"/>
        <v>3.9175</v>
      </c>
      <c r="L604" s="10">
        <f t="shared" si="1"/>
        <v>3.5369416666666669</v>
      </c>
      <c r="M604" s="10">
        <f t="shared" si="1"/>
        <v>3.5506000000000006</v>
      </c>
      <c r="N604" s="10">
        <f t="shared" si="1"/>
        <v>3.5369416666666669</v>
      </c>
      <c r="O604" s="10">
        <f t="shared" si="1"/>
        <v>3.5506000000000006</v>
      </c>
    </row>
    <row r="605" spans="1:15" ht="15" x14ac:dyDescent="0.2">
      <c r="A605" s="11">
        <v>2015</v>
      </c>
      <c r="B605" s="10">
        <f t="shared" ref="B605:O605" si="2">AVERAGE(B38:B49)</f>
        <v>2.5646416666666672</v>
      </c>
      <c r="C605" s="10">
        <f t="shared" si="2"/>
        <v>2.5646416666666672</v>
      </c>
      <c r="D605" s="10">
        <f t="shared" si="2"/>
        <v>2.5657916666666662</v>
      </c>
      <c r="E605" s="10">
        <f t="shared" si="2"/>
        <v>3.6045000000000011</v>
      </c>
      <c r="F605" s="10">
        <f t="shared" si="2"/>
        <v>3.5835999999999992</v>
      </c>
      <c r="G605" s="10">
        <f t="shared" si="2"/>
        <v>3.5874166666666678</v>
      </c>
      <c r="H605" s="10">
        <f t="shared" si="2"/>
        <v>3.9846583333333334</v>
      </c>
      <c r="I605" s="10">
        <f t="shared" si="2"/>
        <v>3.9883999999999999</v>
      </c>
      <c r="J605" s="10">
        <f t="shared" si="2"/>
        <v>3.9846583333333334</v>
      </c>
      <c r="K605" s="10">
        <f t="shared" si="2"/>
        <v>3.9883999999999999</v>
      </c>
      <c r="L605" s="10">
        <f t="shared" si="2"/>
        <v>3.6045000000000011</v>
      </c>
      <c r="M605" s="10">
        <f t="shared" si="2"/>
        <v>3.6082166666666655</v>
      </c>
      <c r="N605" s="10">
        <f t="shared" si="2"/>
        <v>3.6045000000000011</v>
      </c>
      <c r="O605" s="10">
        <f t="shared" si="2"/>
        <v>3.6082166666666655</v>
      </c>
    </row>
    <row r="606" spans="1:15" ht="15" x14ac:dyDescent="0.2">
      <c r="A606" s="11">
        <v>2016</v>
      </c>
      <c r="B606" s="10">
        <f t="shared" ref="B606:O606" si="3">AVERAGE(B50:B61)</f>
        <v>2.5733666666666664</v>
      </c>
      <c r="C606" s="10">
        <f t="shared" si="3"/>
        <v>2.5733666666666664</v>
      </c>
      <c r="D606" s="10">
        <f t="shared" si="3"/>
        <v>2.5744916666666664</v>
      </c>
      <c r="E606" s="10">
        <f t="shared" si="3"/>
        <v>3.7019000000000015</v>
      </c>
      <c r="F606" s="10">
        <f t="shared" si="3"/>
        <v>3.6856000000000004</v>
      </c>
      <c r="G606" s="10">
        <f t="shared" si="3"/>
        <v>3.6894166666666668</v>
      </c>
      <c r="H606" s="10">
        <f t="shared" si="3"/>
        <v>4.1009333333333338</v>
      </c>
      <c r="I606" s="10">
        <f t="shared" si="3"/>
        <v>4.1047249999999993</v>
      </c>
      <c r="J606" s="10">
        <f t="shared" si="3"/>
        <v>4.1009333333333338</v>
      </c>
      <c r="K606" s="10">
        <f t="shared" si="3"/>
        <v>4.1047249999999993</v>
      </c>
      <c r="L606" s="10">
        <f t="shared" si="3"/>
        <v>3.7019000000000015</v>
      </c>
      <c r="M606" s="10">
        <f t="shared" si="3"/>
        <v>3.705716666666667</v>
      </c>
      <c r="N606" s="10">
        <f t="shared" si="3"/>
        <v>3.7019000000000015</v>
      </c>
      <c r="O606" s="10">
        <f t="shared" si="3"/>
        <v>3.705716666666667</v>
      </c>
    </row>
    <row r="607" spans="1:15" ht="15" x14ac:dyDescent="0.2">
      <c r="A607" s="11">
        <v>2017</v>
      </c>
      <c r="B607" s="10">
        <f t="shared" ref="B607:O607" si="4">AVERAGE(B62:B73)</f>
        <v>2.6370083333333332</v>
      </c>
      <c r="C607" s="10">
        <f t="shared" si="4"/>
        <v>2.6370083333333332</v>
      </c>
      <c r="D607" s="10">
        <f t="shared" si="4"/>
        <v>2.6381416666666673</v>
      </c>
      <c r="E607" s="10">
        <f t="shared" si="4"/>
        <v>3.8132583333333336</v>
      </c>
      <c r="F607" s="10">
        <f t="shared" si="4"/>
        <v>3.8132583333333336</v>
      </c>
      <c r="G607" s="10">
        <f t="shared" si="4"/>
        <v>3.8170250000000006</v>
      </c>
      <c r="H607" s="10">
        <f t="shared" si="4"/>
        <v>4.2399083333333341</v>
      </c>
      <c r="I607" s="10">
        <f t="shared" si="4"/>
        <v>4.2437000000000005</v>
      </c>
      <c r="J607" s="10">
        <f t="shared" si="4"/>
        <v>4.2399083333333341</v>
      </c>
      <c r="K607" s="10">
        <f t="shared" si="4"/>
        <v>4.2437000000000005</v>
      </c>
      <c r="L607" s="10">
        <f t="shared" si="4"/>
        <v>3.8132583333333336</v>
      </c>
      <c r="M607" s="10">
        <f t="shared" si="4"/>
        <v>3.8170250000000006</v>
      </c>
      <c r="N607" s="10">
        <f t="shared" si="4"/>
        <v>3.8132583333333336</v>
      </c>
      <c r="O607" s="10">
        <f t="shared" si="4"/>
        <v>3.8170250000000006</v>
      </c>
    </row>
    <row r="608" spans="1:15" ht="15" x14ac:dyDescent="0.2">
      <c r="A608" s="11">
        <v>2018</v>
      </c>
      <c r="B608" s="10">
        <f t="shared" ref="B608:O608" si="5">AVERAGE(B74:B85)</f>
        <v>2.6999250000000004</v>
      </c>
      <c r="C608" s="10">
        <f t="shared" si="5"/>
        <v>2.6999250000000004</v>
      </c>
      <c r="D608" s="10">
        <f t="shared" si="5"/>
        <v>2.70105</v>
      </c>
      <c r="E608" s="10">
        <f t="shared" si="5"/>
        <v>3.9296083333333338</v>
      </c>
      <c r="F608" s="10">
        <f t="shared" si="5"/>
        <v>3.9296083333333338</v>
      </c>
      <c r="G608" s="10">
        <f t="shared" si="5"/>
        <v>3.9334000000000002</v>
      </c>
      <c r="H608" s="10">
        <f t="shared" si="5"/>
        <v>4.3676833333333329</v>
      </c>
      <c r="I608" s="10">
        <f t="shared" si="5"/>
        <v>4.3715000000000002</v>
      </c>
      <c r="J608" s="10">
        <f t="shared" si="5"/>
        <v>4.3676833333333329</v>
      </c>
      <c r="K608" s="10">
        <f t="shared" si="5"/>
        <v>4.3715000000000002</v>
      </c>
      <c r="L608" s="10">
        <f t="shared" si="5"/>
        <v>3.9296083333333338</v>
      </c>
      <c r="M608" s="10">
        <f t="shared" si="5"/>
        <v>3.9334000000000002</v>
      </c>
      <c r="N608" s="10">
        <f t="shared" si="5"/>
        <v>3.9296083333333338</v>
      </c>
      <c r="O608" s="10">
        <f t="shared" si="5"/>
        <v>3.9334000000000002</v>
      </c>
    </row>
    <row r="609" spans="1:15" ht="15" x14ac:dyDescent="0.2">
      <c r="A609" s="11">
        <v>2019</v>
      </c>
      <c r="B609" s="10">
        <f t="shared" ref="B609:O609" si="6">AVERAGE(B86:B97)</f>
        <v>3.6265583333333331</v>
      </c>
      <c r="C609" s="10">
        <f t="shared" si="6"/>
        <v>3.6265583333333331</v>
      </c>
      <c r="D609" s="10">
        <f t="shared" si="6"/>
        <v>3.6276916666666668</v>
      </c>
      <c r="E609" s="10">
        <f t="shared" si="6"/>
        <v>4.138841666666667</v>
      </c>
      <c r="F609" s="10">
        <f t="shared" si="6"/>
        <v>4.138841666666667</v>
      </c>
      <c r="G609" s="10">
        <f t="shared" si="6"/>
        <v>4.1426166666666662</v>
      </c>
      <c r="H609" s="10">
        <f t="shared" si="6"/>
        <v>4.4971833333333331</v>
      </c>
      <c r="I609" s="10">
        <f t="shared" si="6"/>
        <v>4.5009749999999995</v>
      </c>
      <c r="J609" s="10">
        <f t="shared" si="6"/>
        <v>4.4971833333333331</v>
      </c>
      <c r="K609" s="10">
        <f t="shared" si="6"/>
        <v>4.5009749999999995</v>
      </c>
      <c r="L609" s="10">
        <f t="shared" si="6"/>
        <v>4.138841666666667</v>
      </c>
      <c r="M609" s="10">
        <f t="shared" si="6"/>
        <v>4.1426166666666662</v>
      </c>
      <c r="N609" s="10">
        <f t="shared" si="6"/>
        <v>4.138841666666667</v>
      </c>
      <c r="O609" s="10">
        <f t="shared" si="6"/>
        <v>4.1426166666666662</v>
      </c>
    </row>
    <row r="610" spans="1:15" ht="15" x14ac:dyDescent="0.2">
      <c r="A610" s="11">
        <v>2020</v>
      </c>
      <c r="B610" s="10">
        <f t="shared" ref="B610:O610" si="7">AVERAGE(B98:B109)</f>
        <v>3.7318166666666657</v>
      </c>
      <c r="C610" s="10">
        <f t="shared" si="7"/>
        <v>3.7318166666666657</v>
      </c>
      <c r="D610" s="10">
        <f t="shared" si="7"/>
        <v>3.7329500000000002</v>
      </c>
      <c r="E610" s="10">
        <f t="shared" si="7"/>
        <v>4.345041666666666</v>
      </c>
      <c r="F610" s="10">
        <f t="shared" si="7"/>
        <v>4.345041666666666</v>
      </c>
      <c r="G610" s="10">
        <f t="shared" si="7"/>
        <v>4.3488249999999988</v>
      </c>
      <c r="H610" s="10">
        <f t="shared" si="7"/>
        <v>4.6355083333333331</v>
      </c>
      <c r="I610" s="10">
        <f t="shared" si="7"/>
        <v>4.6392999999999995</v>
      </c>
      <c r="J610" s="10">
        <f t="shared" si="7"/>
        <v>4.6355083333333331</v>
      </c>
      <c r="K610" s="10">
        <f t="shared" si="7"/>
        <v>4.6392999999999995</v>
      </c>
      <c r="L610" s="10">
        <f t="shared" si="7"/>
        <v>4.345041666666666</v>
      </c>
      <c r="M610" s="10">
        <f t="shared" si="7"/>
        <v>4.3488249999999988</v>
      </c>
      <c r="N610" s="10">
        <f t="shared" si="7"/>
        <v>4.345041666666666</v>
      </c>
      <c r="O610" s="10">
        <f t="shared" si="7"/>
        <v>4.3488249999999988</v>
      </c>
    </row>
    <row r="611" spans="1:15" ht="15" x14ac:dyDescent="0.2">
      <c r="A611" s="11">
        <v>2021</v>
      </c>
      <c r="B611" s="10">
        <f t="shared" ref="B611:O611" si="8">AVERAGE(B110:B121)</f>
        <v>3.8155750000000004</v>
      </c>
      <c r="C611" s="10">
        <f t="shared" si="8"/>
        <v>3.8155750000000004</v>
      </c>
      <c r="D611" s="10">
        <f t="shared" si="8"/>
        <v>3.8167083333333331</v>
      </c>
      <c r="E611" s="10">
        <f t="shared" si="8"/>
        <v>4.3847916666666675</v>
      </c>
      <c r="F611" s="10">
        <f t="shared" si="8"/>
        <v>4.3847916666666675</v>
      </c>
      <c r="G611" s="10">
        <f t="shared" si="8"/>
        <v>4.3885833333333322</v>
      </c>
      <c r="H611" s="10">
        <f t="shared" si="8"/>
        <v>4.737333333333333</v>
      </c>
      <c r="I611" s="10">
        <f t="shared" si="8"/>
        <v>4.741133333333333</v>
      </c>
      <c r="J611" s="10">
        <f t="shared" si="8"/>
        <v>4.737333333333333</v>
      </c>
      <c r="K611" s="10">
        <f t="shared" si="8"/>
        <v>4.741133333333333</v>
      </c>
      <c r="L611" s="10">
        <f t="shared" si="8"/>
        <v>4.3847916666666675</v>
      </c>
      <c r="M611" s="10">
        <f t="shared" si="8"/>
        <v>4.3885833333333322</v>
      </c>
      <c r="N611" s="10">
        <f t="shared" si="8"/>
        <v>4.3847916666666675</v>
      </c>
      <c r="O611" s="10">
        <f t="shared" si="8"/>
        <v>4.3885833333333322</v>
      </c>
    </row>
    <row r="612" spans="1:15" ht="15" x14ac:dyDescent="0.2">
      <c r="A612" s="11">
        <v>2022</v>
      </c>
      <c r="B612" s="10">
        <f t="shared" ref="B612:O612" si="9">AVERAGE(B122:B133)</f>
        <v>3.9065916666666674</v>
      </c>
      <c r="C612" s="10">
        <f t="shared" si="9"/>
        <v>3.9065916666666674</v>
      </c>
      <c r="D612" s="10">
        <f t="shared" si="9"/>
        <v>3.9077250000000006</v>
      </c>
      <c r="E612" s="10">
        <f t="shared" si="9"/>
        <v>4.454391666666667</v>
      </c>
      <c r="F612" s="10">
        <f t="shared" si="9"/>
        <v>4.454391666666667</v>
      </c>
      <c r="G612" s="10">
        <f t="shared" si="9"/>
        <v>4.458191666666667</v>
      </c>
      <c r="H612" s="10">
        <f t="shared" si="9"/>
        <v>4.8508833333333339</v>
      </c>
      <c r="I612" s="10">
        <f t="shared" si="9"/>
        <v>4.8546749999999994</v>
      </c>
      <c r="J612" s="10">
        <f t="shared" si="9"/>
        <v>4.8508833333333339</v>
      </c>
      <c r="K612" s="10">
        <f t="shared" si="9"/>
        <v>4.8546749999999994</v>
      </c>
      <c r="L612" s="10">
        <f t="shared" si="9"/>
        <v>4.454391666666667</v>
      </c>
      <c r="M612" s="10">
        <f t="shared" si="9"/>
        <v>4.458191666666667</v>
      </c>
      <c r="N612" s="10">
        <f t="shared" si="9"/>
        <v>4.454391666666667</v>
      </c>
      <c r="O612" s="10">
        <f t="shared" si="9"/>
        <v>4.458191666666667</v>
      </c>
    </row>
    <row r="613" spans="1:15" ht="15" x14ac:dyDescent="0.2">
      <c r="A613" s="11">
        <v>2023</v>
      </c>
      <c r="B613" s="10">
        <f t="shared" ref="B613:O613" si="10">AVERAGE(B134:B145)</f>
        <v>3.9949750000000002</v>
      </c>
      <c r="C613" s="10">
        <f t="shared" si="10"/>
        <v>3.9949750000000002</v>
      </c>
      <c r="D613" s="10">
        <f t="shared" si="10"/>
        <v>3.9961083333333334</v>
      </c>
      <c r="E613" s="10">
        <f t="shared" si="10"/>
        <v>4.4979333333333331</v>
      </c>
      <c r="F613" s="10">
        <f t="shared" si="10"/>
        <v>4.4979333333333331</v>
      </c>
      <c r="G613" s="10">
        <f t="shared" si="10"/>
        <v>4.5017083333333332</v>
      </c>
      <c r="H613" s="10">
        <f t="shared" si="10"/>
        <v>4.968208333333334</v>
      </c>
      <c r="I613" s="10">
        <f t="shared" si="10"/>
        <v>4.9719833333333332</v>
      </c>
      <c r="J613" s="10">
        <f t="shared" si="10"/>
        <v>4.968208333333334</v>
      </c>
      <c r="K613" s="10">
        <f t="shared" si="10"/>
        <v>4.9719833333333332</v>
      </c>
      <c r="L613" s="10">
        <f t="shared" si="10"/>
        <v>4.4979333333333331</v>
      </c>
      <c r="M613" s="10">
        <f t="shared" si="10"/>
        <v>4.5017083333333332</v>
      </c>
      <c r="N613" s="10">
        <f t="shared" si="10"/>
        <v>4.4979333333333331</v>
      </c>
      <c r="O613" s="10">
        <f t="shared" si="10"/>
        <v>4.5017083333333332</v>
      </c>
    </row>
    <row r="614" spans="1:15" ht="15" x14ac:dyDescent="0.2">
      <c r="A614" s="11">
        <v>2024</v>
      </c>
      <c r="B614" s="10">
        <f t="shared" ref="B614:O614" si="11">AVERAGE(B146:B157)</f>
        <v>4.0674500000000009</v>
      </c>
      <c r="C614" s="10">
        <f t="shared" si="11"/>
        <v>4.0674500000000009</v>
      </c>
      <c r="D614" s="10">
        <f t="shared" si="11"/>
        <v>4.0685833333333337</v>
      </c>
      <c r="E614" s="10">
        <f t="shared" si="11"/>
        <v>4.5426416666666665</v>
      </c>
      <c r="F614" s="10">
        <f t="shared" si="11"/>
        <v>4.5426416666666665</v>
      </c>
      <c r="G614" s="10">
        <f t="shared" si="11"/>
        <v>4.5464333333333338</v>
      </c>
      <c r="H614" s="10">
        <f t="shared" si="11"/>
        <v>5.0885833333333332</v>
      </c>
      <c r="I614" s="10">
        <f t="shared" si="11"/>
        <v>5.0924000000000005</v>
      </c>
      <c r="J614" s="10">
        <f t="shared" si="11"/>
        <v>5.0885833333333332</v>
      </c>
      <c r="K614" s="10">
        <f t="shared" si="11"/>
        <v>5.0924000000000005</v>
      </c>
      <c r="L614" s="10">
        <f t="shared" si="11"/>
        <v>4.5426416666666665</v>
      </c>
      <c r="M614" s="10">
        <f t="shared" si="11"/>
        <v>4.5464333333333338</v>
      </c>
      <c r="N614" s="10">
        <f t="shared" si="11"/>
        <v>4.5426416666666665</v>
      </c>
      <c r="O614" s="10">
        <f t="shared" si="11"/>
        <v>4.5464333333333338</v>
      </c>
    </row>
    <row r="615" spans="1:15" ht="15" x14ac:dyDescent="0.2">
      <c r="A615" s="11">
        <v>2025</v>
      </c>
      <c r="B615" s="10">
        <f t="shared" ref="B615:O615" si="12">AVERAGE(B158:B169)</f>
        <v>4.1597999999999997</v>
      </c>
      <c r="C615" s="10">
        <f t="shared" si="12"/>
        <v>4.1597999999999997</v>
      </c>
      <c r="D615" s="10">
        <f t="shared" si="12"/>
        <v>4.1609249999999989</v>
      </c>
      <c r="E615" s="10">
        <f t="shared" si="12"/>
        <v>4.595416666666666</v>
      </c>
      <c r="F615" s="10">
        <f t="shared" si="12"/>
        <v>4.595416666666666</v>
      </c>
      <c r="G615" s="10">
        <f t="shared" si="12"/>
        <v>4.5992250000000006</v>
      </c>
      <c r="H615" s="10">
        <f t="shared" si="12"/>
        <v>5.2132083333333332</v>
      </c>
      <c r="I615" s="10">
        <f t="shared" si="12"/>
        <v>5.2170083333333332</v>
      </c>
      <c r="J615" s="10">
        <f t="shared" si="12"/>
        <v>5.2132083333333332</v>
      </c>
      <c r="K615" s="10">
        <f t="shared" si="12"/>
        <v>5.2170083333333332</v>
      </c>
      <c r="L615" s="10">
        <f t="shared" si="12"/>
        <v>4.595416666666666</v>
      </c>
      <c r="M615" s="10">
        <f t="shared" si="12"/>
        <v>4.5992250000000006</v>
      </c>
      <c r="N615" s="10">
        <f t="shared" si="12"/>
        <v>4.595416666666666</v>
      </c>
      <c r="O615" s="10">
        <f t="shared" si="12"/>
        <v>4.5992250000000006</v>
      </c>
    </row>
    <row r="616" spans="1:15" ht="15" x14ac:dyDescent="0.2">
      <c r="A616" s="11">
        <v>2026</v>
      </c>
      <c r="B616" s="10">
        <f t="shared" ref="B616:O616" si="13">AVERAGE(B170:B181)</f>
        <v>4.2534333333333336</v>
      </c>
      <c r="C616" s="10">
        <f t="shared" si="13"/>
        <v>4.2534333333333336</v>
      </c>
      <c r="D616" s="10">
        <f t="shared" si="13"/>
        <v>4.2545666666666664</v>
      </c>
      <c r="E616" s="10">
        <f t="shared" si="13"/>
        <v>4.6719666666666662</v>
      </c>
      <c r="F616" s="10">
        <f t="shared" si="13"/>
        <v>4.6719666666666662</v>
      </c>
      <c r="G616" s="10">
        <f t="shared" si="13"/>
        <v>4.6757583333333335</v>
      </c>
      <c r="H616" s="10">
        <f t="shared" si="13"/>
        <v>5.337133333333334</v>
      </c>
      <c r="I616" s="10">
        <f t="shared" si="13"/>
        <v>5.3409499999999994</v>
      </c>
      <c r="J616" s="10">
        <f t="shared" si="13"/>
        <v>5.337133333333334</v>
      </c>
      <c r="K616" s="10">
        <f t="shared" si="13"/>
        <v>5.3409499999999994</v>
      </c>
      <c r="L616" s="10">
        <f t="shared" si="13"/>
        <v>4.6719666666666662</v>
      </c>
      <c r="M616" s="10">
        <f t="shared" si="13"/>
        <v>4.6757583333333335</v>
      </c>
      <c r="N616" s="10">
        <f t="shared" si="13"/>
        <v>4.6719666666666662</v>
      </c>
      <c r="O616" s="10">
        <f t="shared" si="13"/>
        <v>4.6757583333333335</v>
      </c>
    </row>
    <row r="617" spans="1:15" ht="15" x14ac:dyDescent="0.2">
      <c r="A617" s="11">
        <v>2027</v>
      </c>
      <c r="B617" s="10">
        <f t="shared" ref="B617:O617" si="14">AVERAGE(B182:B193)</f>
        <v>4.3583500000000006</v>
      </c>
      <c r="C617" s="10">
        <f t="shared" si="14"/>
        <v>4.3583500000000006</v>
      </c>
      <c r="D617" s="10">
        <f t="shared" si="14"/>
        <v>4.3594749999999998</v>
      </c>
      <c r="E617" s="10">
        <f t="shared" si="14"/>
        <v>4.7393416666666672</v>
      </c>
      <c r="F617" s="10">
        <f t="shared" si="14"/>
        <v>4.7393416666666672</v>
      </c>
      <c r="G617" s="10">
        <f t="shared" si="14"/>
        <v>4.7431333333333336</v>
      </c>
      <c r="H617" s="10">
        <f t="shared" si="14"/>
        <v>5.4625583333333338</v>
      </c>
      <c r="I617" s="10">
        <f t="shared" si="14"/>
        <v>5.4663250000000003</v>
      </c>
      <c r="J617" s="10">
        <f t="shared" si="14"/>
        <v>5.4625583333333338</v>
      </c>
      <c r="K617" s="10">
        <f t="shared" si="14"/>
        <v>5.4663250000000003</v>
      </c>
      <c r="L617" s="10">
        <f t="shared" si="14"/>
        <v>4.7393416666666672</v>
      </c>
      <c r="M617" s="10">
        <f t="shared" si="14"/>
        <v>4.7431333333333336</v>
      </c>
      <c r="N617" s="10">
        <f t="shared" si="14"/>
        <v>4.7393416666666672</v>
      </c>
      <c r="O617" s="10">
        <f t="shared" si="14"/>
        <v>4.7431333333333336</v>
      </c>
    </row>
    <row r="618" spans="1:15" ht="15" x14ac:dyDescent="0.2">
      <c r="A618" s="11">
        <v>2028</v>
      </c>
      <c r="B618" s="10">
        <f t="shared" ref="B618:O618" si="15">AVERAGE(B194:B205)</f>
        <v>4.4605500000000005</v>
      </c>
      <c r="C618" s="10">
        <f t="shared" si="15"/>
        <v>4.4605500000000005</v>
      </c>
      <c r="D618" s="10">
        <f t="shared" si="15"/>
        <v>4.4616833333333332</v>
      </c>
      <c r="E618" s="10">
        <f t="shared" si="15"/>
        <v>4.8055500000000011</v>
      </c>
      <c r="F618" s="10">
        <f t="shared" si="15"/>
        <v>4.8055500000000011</v>
      </c>
      <c r="G618" s="10">
        <f t="shared" si="15"/>
        <v>4.809358333333333</v>
      </c>
      <c r="H618" s="10">
        <f t="shared" si="15"/>
        <v>5.5855333333333341</v>
      </c>
      <c r="I618" s="10">
        <f t="shared" si="15"/>
        <v>5.5893499999999996</v>
      </c>
      <c r="J618" s="10">
        <f t="shared" si="15"/>
        <v>5.5855333333333341</v>
      </c>
      <c r="K618" s="10">
        <f t="shared" si="15"/>
        <v>5.5893499999999996</v>
      </c>
      <c r="L618" s="10">
        <f t="shared" si="15"/>
        <v>4.8055500000000011</v>
      </c>
      <c r="M618" s="10">
        <f t="shared" si="15"/>
        <v>4.809358333333333</v>
      </c>
      <c r="N618" s="10">
        <f t="shared" si="15"/>
        <v>4.8055500000000011</v>
      </c>
      <c r="O618" s="10">
        <f t="shared" si="15"/>
        <v>4.809358333333333</v>
      </c>
    </row>
    <row r="619" spans="1:15" ht="15" x14ac:dyDescent="0.2">
      <c r="A619" s="11">
        <v>2029</v>
      </c>
      <c r="B619" s="10">
        <f t="shared" ref="B619:O619" si="16">AVERAGE(B206:B217)</f>
        <v>4.5807083333333329</v>
      </c>
      <c r="C619" s="10">
        <f t="shared" si="16"/>
        <v>4.5807083333333329</v>
      </c>
      <c r="D619" s="10">
        <f t="shared" si="16"/>
        <v>4.5818333333333348</v>
      </c>
      <c r="E619" s="10">
        <f t="shared" si="16"/>
        <v>4.8855250000000003</v>
      </c>
      <c r="F619" s="10">
        <f t="shared" si="16"/>
        <v>4.8855250000000003</v>
      </c>
      <c r="G619" s="10">
        <f t="shared" si="16"/>
        <v>4.8893249999999995</v>
      </c>
      <c r="H619" s="10">
        <f t="shared" si="16"/>
        <v>5.7230333333333334</v>
      </c>
      <c r="I619" s="10">
        <f t="shared" si="16"/>
        <v>5.7268083333333335</v>
      </c>
      <c r="J619" s="10">
        <f t="shared" si="16"/>
        <v>5.7230333333333334</v>
      </c>
      <c r="K619" s="10">
        <f t="shared" si="16"/>
        <v>5.7268083333333335</v>
      </c>
      <c r="L619" s="10">
        <f t="shared" si="16"/>
        <v>4.8855250000000003</v>
      </c>
      <c r="M619" s="10">
        <f t="shared" si="16"/>
        <v>4.8893249999999995</v>
      </c>
      <c r="N619" s="10">
        <f t="shared" si="16"/>
        <v>4.8855250000000003</v>
      </c>
      <c r="O619" s="10">
        <f t="shared" si="16"/>
        <v>4.8893249999999995</v>
      </c>
    </row>
    <row r="620" spans="1:15" ht="15" x14ac:dyDescent="0.2">
      <c r="A620" s="11">
        <v>2030</v>
      </c>
      <c r="B620" s="10">
        <f t="shared" ref="B620:O620" si="17">AVERAGE(B218:B229)</f>
        <v>4.6823666666666659</v>
      </c>
      <c r="C620" s="10">
        <f t="shared" si="17"/>
        <v>4.6823666666666659</v>
      </c>
      <c r="D620" s="10">
        <f t="shared" si="17"/>
        <v>4.6834999999999996</v>
      </c>
      <c r="E620" s="10">
        <f t="shared" si="17"/>
        <v>4.9560333333333331</v>
      </c>
      <c r="F620" s="10">
        <f t="shared" si="17"/>
        <v>4.9560333333333331</v>
      </c>
      <c r="G620" s="10">
        <f t="shared" si="17"/>
        <v>4.9598166666666677</v>
      </c>
      <c r="H620" s="10">
        <f t="shared" si="17"/>
        <v>5.8493833333333329</v>
      </c>
      <c r="I620" s="10">
        <f t="shared" si="17"/>
        <v>5.8531749999999994</v>
      </c>
      <c r="J620" s="10">
        <f t="shared" si="17"/>
        <v>5.8493833333333329</v>
      </c>
      <c r="K620" s="10">
        <f t="shared" si="17"/>
        <v>5.8531749999999994</v>
      </c>
      <c r="L620" s="10">
        <f t="shared" si="17"/>
        <v>4.9560333333333331</v>
      </c>
      <c r="M620" s="10">
        <f t="shared" si="17"/>
        <v>4.9598166666666677</v>
      </c>
      <c r="N620" s="10">
        <f t="shared" si="17"/>
        <v>4.9560333333333331</v>
      </c>
      <c r="O620" s="10">
        <f t="shared" si="17"/>
        <v>4.9598166666666677</v>
      </c>
    </row>
    <row r="621" spans="1:15" ht="15" x14ac:dyDescent="0.2">
      <c r="A621" s="11">
        <v>2031</v>
      </c>
      <c r="B621" s="10">
        <f t="shared" ref="B621:O621" si="18">AVERAGE(B230:B241)</f>
        <v>4.7983416666666656</v>
      </c>
      <c r="C621" s="10">
        <f t="shared" si="18"/>
        <v>4.7983416666666656</v>
      </c>
      <c r="D621" s="10">
        <f t="shared" si="18"/>
        <v>4.7994833333333338</v>
      </c>
      <c r="E621" s="10">
        <f t="shared" si="18"/>
        <v>5.0305666666666662</v>
      </c>
      <c r="F621" s="10">
        <f t="shared" si="18"/>
        <v>5.0305666666666662</v>
      </c>
      <c r="G621" s="10">
        <f t="shared" si="18"/>
        <v>5.0343666666666662</v>
      </c>
      <c r="H621" s="10">
        <f t="shared" si="18"/>
        <v>5.9874583333333335</v>
      </c>
      <c r="I621" s="10">
        <f t="shared" si="18"/>
        <v>5.991225</v>
      </c>
      <c r="J621" s="10">
        <f t="shared" si="18"/>
        <v>5.9874583333333335</v>
      </c>
      <c r="K621" s="10">
        <f t="shared" si="18"/>
        <v>5.991225</v>
      </c>
      <c r="L621" s="10">
        <f t="shared" si="18"/>
        <v>5.0305666666666662</v>
      </c>
      <c r="M621" s="10">
        <f t="shared" si="18"/>
        <v>5.0343666666666662</v>
      </c>
      <c r="N621" s="10">
        <f t="shared" si="18"/>
        <v>5.0305666666666662</v>
      </c>
      <c r="O621" s="10">
        <f t="shared" si="18"/>
        <v>5.0343666666666662</v>
      </c>
    </row>
    <row r="622" spans="1:15" ht="15" x14ac:dyDescent="0.2">
      <c r="A622" s="11">
        <v>2032</v>
      </c>
      <c r="B622" s="10">
        <f t="shared" ref="B622:O622" si="19">AVERAGE(B242:B253)</f>
        <v>4.9174749999999996</v>
      </c>
      <c r="C622" s="10">
        <f t="shared" si="19"/>
        <v>4.9174749999999996</v>
      </c>
      <c r="D622" s="10">
        <f t="shared" si="19"/>
        <v>4.9186083333333324</v>
      </c>
      <c r="E622" s="10">
        <f t="shared" si="19"/>
        <v>5.0972999999999997</v>
      </c>
      <c r="F622" s="10">
        <f t="shared" si="19"/>
        <v>5.0972999999999997</v>
      </c>
      <c r="G622" s="10">
        <f t="shared" si="19"/>
        <v>5.1010916666666661</v>
      </c>
      <c r="H622" s="10">
        <f t="shared" si="19"/>
        <v>6.1279333333333321</v>
      </c>
      <c r="I622" s="10">
        <f t="shared" si="19"/>
        <v>6.1317250000000003</v>
      </c>
      <c r="J622" s="10">
        <f t="shared" si="19"/>
        <v>6.1279333333333321</v>
      </c>
      <c r="K622" s="10">
        <f t="shared" si="19"/>
        <v>6.1317250000000003</v>
      </c>
      <c r="L622" s="10">
        <f t="shared" si="19"/>
        <v>5.0972999999999997</v>
      </c>
      <c r="M622" s="10">
        <f t="shared" si="19"/>
        <v>5.1010916666666661</v>
      </c>
      <c r="N622" s="10">
        <f t="shared" si="19"/>
        <v>5.0972999999999997</v>
      </c>
      <c r="O622" s="10">
        <f t="shared" si="19"/>
        <v>5.1010916666666661</v>
      </c>
    </row>
    <row r="623" spans="1:15" ht="15" x14ac:dyDescent="0.2">
      <c r="A623" s="11">
        <v>2033</v>
      </c>
      <c r="B623" s="10">
        <f t="shared" ref="B623:O623" si="20">AVERAGE(B254:B265)</f>
        <v>5.0398166666666668</v>
      </c>
      <c r="C623" s="10">
        <f t="shared" si="20"/>
        <v>5.0398166666666668</v>
      </c>
      <c r="D623" s="10">
        <f t="shared" si="20"/>
        <v>5.0409499999999996</v>
      </c>
      <c r="E623" s="10">
        <f t="shared" si="20"/>
        <v>5.1623166666666664</v>
      </c>
      <c r="F623" s="10">
        <f t="shared" si="20"/>
        <v>5.1623166666666664</v>
      </c>
      <c r="G623" s="10">
        <f t="shared" si="20"/>
        <v>5.1661083333333329</v>
      </c>
      <c r="H623" s="10">
        <f t="shared" si="20"/>
        <v>6.270058333333334</v>
      </c>
      <c r="I623" s="10">
        <f t="shared" si="20"/>
        <v>6.2738750000000003</v>
      </c>
      <c r="J623" s="10">
        <f t="shared" si="20"/>
        <v>6.270058333333334</v>
      </c>
      <c r="K623" s="10">
        <f t="shared" si="20"/>
        <v>6.2738750000000003</v>
      </c>
      <c r="L623" s="10">
        <f t="shared" si="20"/>
        <v>5.1623166666666664</v>
      </c>
      <c r="M623" s="10">
        <f t="shared" si="20"/>
        <v>5.1661083333333329</v>
      </c>
      <c r="N623" s="10">
        <f t="shared" si="20"/>
        <v>5.1623166666666664</v>
      </c>
      <c r="O623" s="10">
        <f t="shared" si="20"/>
        <v>5.1661083333333329</v>
      </c>
    </row>
    <row r="624" spans="1:15" ht="15" x14ac:dyDescent="0.2">
      <c r="A624" s="11">
        <v>2034</v>
      </c>
      <c r="B624" s="10">
        <f t="shared" ref="B624:O624" si="21">AVERAGE(B266:B277)</f>
        <v>5.1680333333333328</v>
      </c>
      <c r="C624" s="10">
        <f t="shared" si="21"/>
        <v>5.1680333333333328</v>
      </c>
      <c r="D624" s="10">
        <f t="shared" si="21"/>
        <v>5.1691583333333329</v>
      </c>
      <c r="E624" s="10">
        <f t="shared" si="21"/>
        <v>5.2323416666666667</v>
      </c>
      <c r="F624" s="10">
        <f t="shared" si="21"/>
        <v>5.2323416666666667</v>
      </c>
      <c r="G624" s="10">
        <f t="shared" si="21"/>
        <v>5.2361333333333331</v>
      </c>
      <c r="H624" s="10">
        <f t="shared" si="21"/>
        <v>6.4185083333333326</v>
      </c>
      <c r="I624" s="10">
        <f t="shared" si="21"/>
        <v>6.4223083333333326</v>
      </c>
      <c r="J624" s="10">
        <f t="shared" si="21"/>
        <v>6.4185083333333326</v>
      </c>
      <c r="K624" s="10">
        <f t="shared" si="21"/>
        <v>6.4223083333333326</v>
      </c>
      <c r="L624" s="10">
        <f t="shared" si="21"/>
        <v>5.2323416666666667</v>
      </c>
      <c r="M624" s="10">
        <f t="shared" si="21"/>
        <v>5.2361333333333331</v>
      </c>
      <c r="N624" s="10">
        <f t="shared" si="21"/>
        <v>5.2323416666666667</v>
      </c>
      <c r="O624" s="10">
        <f t="shared" si="21"/>
        <v>5.2361333333333331</v>
      </c>
    </row>
    <row r="625" spans="1:15" ht="15" x14ac:dyDescent="0.2">
      <c r="A625" s="11">
        <v>2035</v>
      </c>
      <c r="B625" s="10">
        <f t="shared" ref="B625:O625" si="22">AVERAGE(B278:B289)</f>
        <v>5.3069999999999995</v>
      </c>
      <c r="C625" s="10">
        <f t="shared" si="22"/>
        <v>5.3069999999999995</v>
      </c>
      <c r="D625" s="10">
        <f t="shared" si="22"/>
        <v>5.3081333333333331</v>
      </c>
      <c r="E625" s="10">
        <f t="shared" si="22"/>
        <v>5.3044499999999992</v>
      </c>
      <c r="F625" s="10">
        <f t="shared" si="22"/>
        <v>5.3044499999999992</v>
      </c>
      <c r="G625" s="10">
        <f t="shared" si="22"/>
        <v>5.3082250000000002</v>
      </c>
      <c r="H625" s="10">
        <f t="shared" si="22"/>
        <v>6.5744083333333334</v>
      </c>
      <c r="I625" s="10">
        <f t="shared" si="22"/>
        <v>6.5781833333333326</v>
      </c>
      <c r="J625" s="10">
        <f t="shared" si="22"/>
        <v>6.5744083333333334</v>
      </c>
      <c r="K625" s="10">
        <f t="shared" si="22"/>
        <v>6.5781833333333326</v>
      </c>
      <c r="L625" s="10">
        <f t="shared" si="22"/>
        <v>5.3044499999999992</v>
      </c>
      <c r="M625" s="10">
        <f t="shared" si="22"/>
        <v>5.3082250000000002</v>
      </c>
      <c r="N625" s="10">
        <f t="shared" si="22"/>
        <v>5.3044499999999992</v>
      </c>
      <c r="O625" s="10">
        <f t="shared" si="22"/>
        <v>5.3082250000000002</v>
      </c>
    </row>
    <row r="626" spans="1:15" ht="15" x14ac:dyDescent="0.2">
      <c r="A626" s="11">
        <v>2036</v>
      </c>
      <c r="B626" s="10">
        <f t="shared" ref="B626:O626" si="23">AVERAGE(B290:B301)</f>
        <v>5.4434583333333331</v>
      </c>
      <c r="C626" s="10">
        <f t="shared" si="23"/>
        <v>5.4434583333333331</v>
      </c>
      <c r="D626" s="10">
        <f t="shared" si="23"/>
        <v>5.444583333333334</v>
      </c>
      <c r="E626" s="10">
        <f t="shared" si="23"/>
        <v>5.399258333333333</v>
      </c>
      <c r="F626" s="10">
        <f t="shared" si="23"/>
        <v>5.399258333333333</v>
      </c>
      <c r="G626" s="10">
        <f t="shared" si="23"/>
        <v>5.4030416666666667</v>
      </c>
      <c r="H626" s="10">
        <f t="shared" si="23"/>
        <v>6.7515916666666671</v>
      </c>
      <c r="I626" s="10">
        <f t="shared" si="23"/>
        <v>6.7553833333333335</v>
      </c>
      <c r="J626" s="10">
        <f t="shared" si="23"/>
        <v>6.7515916666666671</v>
      </c>
      <c r="K626" s="10">
        <f t="shared" si="23"/>
        <v>6.7553833333333335</v>
      </c>
      <c r="L626" s="10">
        <f t="shared" si="23"/>
        <v>5.399258333333333</v>
      </c>
      <c r="M626" s="10">
        <f t="shared" si="23"/>
        <v>5.4030416666666667</v>
      </c>
      <c r="N626" s="10">
        <f t="shared" si="23"/>
        <v>5.399258333333333</v>
      </c>
      <c r="O626" s="10">
        <f t="shared" si="23"/>
        <v>5.4030416666666667</v>
      </c>
    </row>
    <row r="627" spans="1:15" ht="15" x14ac:dyDescent="0.2">
      <c r="A627" s="11">
        <v>2037</v>
      </c>
      <c r="B627" s="10">
        <f t="shared" ref="B627:O627" si="24">AVERAGE(B302:B313)</f>
        <v>5.5810416666666667</v>
      </c>
      <c r="C627" s="10">
        <f t="shared" si="24"/>
        <v>5.5810416666666667</v>
      </c>
      <c r="D627" s="10">
        <f t="shared" si="24"/>
        <v>5.5821666666666658</v>
      </c>
      <c r="E627" s="10">
        <f t="shared" si="24"/>
        <v>5.4959749999999987</v>
      </c>
      <c r="F627" s="10">
        <f t="shared" si="24"/>
        <v>5.4959749999999987</v>
      </c>
      <c r="G627" s="10">
        <f t="shared" si="24"/>
        <v>5.4997416666666679</v>
      </c>
      <c r="H627" s="10">
        <f t="shared" si="24"/>
        <v>6.8911333333333351</v>
      </c>
      <c r="I627" s="10">
        <f t="shared" si="24"/>
        <v>6.8949250000000006</v>
      </c>
      <c r="J627" s="10">
        <f t="shared" si="24"/>
        <v>6.8911333333333351</v>
      </c>
      <c r="K627" s="10">
        <f t="shared" si="24"/>
        <v>6.8949250000000006</v>
      </c>
      <c r="L627" s="10">
        <f t="shared" si="24"/>
        <v>5.4959749999999987</v>
      </c>
      <c r="M627" s="10">
        <f t="shared" si="24"/>
        <v>5.4997416666666679</v>
      </c>
      <c r="N627" s="10">
        <f t="shared" si="24"/>
        <v>5.4959749999999987</v>
      </c>
      <c r="O627" s="10">
        <f t="shared" si="24"/>
        <v>5.4997416666666679</v>
      </c>
    </row>
    <row r="628" spans="1:15" ht="15" x14ac:dyDescent="0.2">
      <c r="A628" s="11">
        <f t="shared" ref="A628:A651" si="25">A627+1</f>
        <v>2038</v>
      </c>
      <c r="B628" s="10">
        <f t="shared" ref="B628:O628" si="26">AVERAGE(B314:B325)</f>
        <v>5.7221166666666674</v>
      </c>
      <c r="C628" s="10">
        <f t="shared" si="26"/>
        <v>5.7221166666666674</v>
      </c>
      <c r="D628" s="10">
        <f t="shared" si="26"/>
        <v>5.7232583333333329</v>
      </c>
      <c r="E628" s="10">
        <f t="shared" si="26"/>
        <v>5.5971916666666672</v>
      </c>
      <c r="F628" s="10">
        <f t="shared" si="26"/>
        <v>5.5971916666666672</v>
      </c>
      <c r="G628" s="10">
        <f t="shared" si="26"/>
        <v>5.6009500000000001</v>
      </c>
      <c r="H628" s="10">
        <f t="shared" si="26"/>
        <v>7.0551833333333329</v>
      </c>
      <c r="I628" s="10">
        <f t="shared" si="26"/>
        <v>7.058958333333333</v>
      </c>
      <c r="J628" s="10">
        <f t="shared" si="26"/>
        <v>7.0551833333333329</v>
      </c>
      <c r="K628" s="10">
        <f t="shared" si="26"/>
        <v>7.058958333333333</v>
      </c>
      <c r="L628" s="10">
        <f t="shared" si="26"/>
        <v>5.5971916666666672</v>
      </c>
      <c r="M628" s="10">
        <f t="shared" si="26"/>
        <v>5.6009500000000001</v>
      </c>
      <c r="N628" s="10">
        <f t="shared" si="26"/>
        <v>5.5971916666666672</v>
      </c>
      <c r="O628" s="10">
        <f t="shared" si="26"/>
        <v>5.6009500000000001</v>
      </c>
    </row>
    <row r="629" spans="1:15" ht="15" x14ac:dyDescent="0.2">
      <c r="A629" s="11">
        <f t="shared" si="25"/>
        <v>2039</v>
      </c>
      <c r="B629" s="10">
        <f t="shared" ref="B629:O629" si="27">AVERAGE(B326:B337)</f>
        <v>5.8667833333333332</v>
      </c>
      <c r="C629" s="10">
        <f t="shared" si="27"/>
        <v>5.8667833333333332</v>
      </c>
      <c r="D629" s="10">
        <f t="shared" si="27"/>
        <v>5.8679083333333324</v>
      </c>
      <c r="E629" s="10">
        <f t="shared" si="27"/>
        <v>5.6951416666666654</v>
      </c>
      <c r="F629" s="10">
        <f t="shared" si="27"/>
        <v>5.6951416666666654</v>
      </c>
      <c r="G629" s="10">
        <f t="shared" si="27"/>
        <v>5.6989166666666664</v>
      </c>
      <c r="H629" s="10">
        <f t="shared" si="27"/>
        <v>7.223158333333334</v>
      </c>
      <c r="I629" s="10">
        <f t="shared" si="27"/>
        <v>7.2269499999999995</v>
      </c>
      <c r="J629" s="10">
        <f t="shared" si="27"/>
        <v>7.223158333333334</v>
      </c>
      <c r="K629" s="10">
        <f t="shared" si="27"/>
        <v>7.2269499999999995</v>
      </c>
      <c r="L629" s="10">
        <f t="shared" si="27"/>
        <v>5.6951416666666654</v>
      </c>
      <c r="M629" s="10">
        <f t="shared" si="27"/>
        <v>5.6989166666666664</v>
      </c>
      <c r="N629" s="10">
        <f t="shared" si="27"/>
        <v>5.6951416666666654</v>
      </c>
      <c r="O629" s="10">
        <f t="shared" si="27"/>
        <v>5.6989166666666664</v>
      </c>
    </row>
    <row r="630" spans="1:15" ht="15" x14ac:dyDescent="0.2">
      <c r="A630" s="11">
        <f t="shared" si="25"/>
        <v>2040</v>
      </c>
      <c r="B630" s="10">
        <f t="shared" ref="B630:O630" si="28">AVERAGE(B338:B349)</f>
        <v>6.0150916666666667</v>
      </c>
      <c r="C630" s="10">
        <f t="shared" si="28"/>
        <v>6.0150916666666667</v>
      </c>
      <c r="D630" s="10">
        <f t="shared" si="28"/>
        <v>6.0162249999999995</v>
      </c>
      <c r="E630" s="10">
        <f t="shared" si="28"/>
        <v>5.7976999999999999</v>
      </c>
      <c r="F630" s="10">
        <f t="shared" si="28"/>
        <v>5.7976999999999999</v>
      </c>
      <c r="G630" s="10">
        <f t="shared" si="28"/>
        <v>5.8014749999999999</v>
      </c>
      <c r="H630" s="10">
        <f t="shared" si="28"/>
        <v>7.3951833333333328</v>
      </c>
      <c r="I630" s="10">
        <f t="shared" si="28"/>
        <v>7.3989750000000001</v>
      </c>
      <c r="J630" s="10">
        <f t="shared" si="28"/>
        <v>7.3951833333333328</v>
      </c>
      <c r="K630" s="10">
        <f t="shared" si="28"/>
        <v>7.3989750000000001</v>
      </c>
      <c r="L630" s="10">
        <f t="shared" si="28"/>
        <v>5.7976999999999999</v>
      </c>
      <c r="M630" s="10">
        <f t="shared" si="28"/>
        <v>5.8014749999999999</v>
      </c>
      <c r="N630" s="10">
        <f t="shared" si="28"/>
        <v>5.7976999999999999</v>
      </c>
      <c r="O630" s="10">
        <f t="shared" si="28"/>
        <v>5.8014749999999999</v>
      </c>
    </row>
    <row r="631" spans="1:15" ht="15" x14ac:dyDescent="0.2">
      <c r="A631" s="11">
        <f t="shared" si="25"/>
        <v>2041</v>
      </c>
      <c r="B631" s="10">
        <f t="shared" ref="B631:O631" si="29">AVERAGE(B350:B361)</f>
        <v>6.1671583333333331</v>
      </c>
      <c r="C631" s="10">
        <f t="shared" si="29"/>
        <v>6.1671583333333331</v>
      </c>
      <c r="D631" s="10">
        <f t="shared" si="29"/>
        <v>6.1682916666666676</v>
      </c>
      <c r="E631" s="10">
        <f t="shared" si="29"/>
        <v>5.902308333333333</v>
      </c>
      <c r="F631" s="10">
        <f t="shared" si="29"/>
        <v>5.902308333333333</v>
      </c>
      <c r="G631" s="10">
        <f t="shared" si="29"/>
        <v>5.9060999999999995</v>
      </c>
      <c r="H631" s="10">
        <f t="shared" si="29"/>
        <v>7.5713083333333344</v>
      </c>
      <c r="I631" s="10">
        <f t="shared" si="29"/>
        <v>7.5751250000000008</v>
      </c>
      <c r="J631" s="10">
        <f t="shared" si="29"/>
        <v>7.5713083333333344</v>
      </c>
      <c r="K631" s="10">
        <f t="shared" si="29"/>
        <v>7.5751250000000008</v>
      </c>
      <c r="L631" s="10">
        <f t="shared" si="29"/>
        <v>5.902308333333333</v>
      </c>
      <c r="M631" s="10">
        <f t="shared" si="29"/>
        <v>5.9060999999999995</v>
      </c>
      <c r="N631" s="10">
        <f t="shared" si="29"/>
        <v>5.902308333333333</v>
      </c>
      <c r="O631" s="10">
        <f t="shared" si="29"/>
        <v>5.9060999999999995</v>
      </c>
    </row>
    <row r="632" spans="1:15" ht="15" x14ac:dyDescent="0.2">
      <c r="A632" s="11">
        <f t="shared" si="25"/>
        <v>2042</v>
      </c>
      <c r="B632" s="10">
        <f t="shared" ref="B632:O632" si="30">AVERAGE(B362:B373)</f>
        <v>6.3230916666666666</v>
      </c>
      <c r="C632" s="10">
        <f t="shared" si="30"/>
        <v>6.3230916666666666</v>
      </c>
      <c r="D632" s="10">
        <f t="shared" si="30"/>
        <v>6.3242166666666657</v>
      </c>
      <c r="E632" s="10">
        <f t="shared" si="30"/>
        <v>6.0090250000000003</v>
      </c>
      <c r="F632" s="10">
        <f t="shared" si="30"/>
        <v>6.0090250000000003</v>
      </c>
      <c r="G632" s="10">
        <f t="shared" si="30"/>
        <v>6.0128166666666658</v>
      </c>
      <c r="H632" s="10">
        <f t="shared" si="30"/>
        <v>7.7516333333333343</v>
      </c>
      <c r="I632" s="10">
        <f t="shared" si="30"/>
        <v>7.7554499999999997</v>
      </c>
      <c r="J632" s="10">
        <f t="shared" si="30"/>
        <v>7.7516333333333343</v>
      </c>
      <c r="K632" s="10">
        <f t="shared" si="30"/>
        <v>7.7554499999999997</v>
      </c>
      <c r="L632" s="10">
        <f t="shared" si="30"/>
        <v>6.0090250000000003</v>
      </c>
      <c r="M632" s="10">
        <f t="shared" si="30"/>
        <v>6.0128166666666658</v>
      </c>
      <c r="N632" s="10">
        <f t="shared" si="30"/>
        <v>6.0090250000000003</v>
      </c>
      <c r="O632" s="10">
        <f t="shared" si="30"/>
        <v>6.0128166666666658</v>
      </c>
    </row>
    <row r="633" spans="1:15" ht="15" x14ac:dyDescent="0.2">
      <c r="A633" s="11">
        <f t="shared" si="25"/>
        <v>2043</v>
      </c>
      <c r="B633" s="10">
        <f t="shared" ref="B633:O633" si="31">AVERAGE(B374:B385)</f>
        <v>6.4829833333333342</v>
      </c>
      <c r="C633" s="10">
        <f t="shared" si="31"/>
        <v>6.4829833333333342</v>
      </c>
      <c r="D633" s="10">
        <f t="shared" si="31"/>
        <v>6.4841083333333316</v>
      </c>
      <c r="E633" s="10">
        <f t="shared" si="31"/>
        <v>6.1178750000000006</v>
      </c>
      <c r="F633" s="10">
        <f t="shared" si="31"/>
        <v>6.1178750000000006</v>
      </c>
      <c r="G633" s="10">
        <f t="shared" si="31"/>
        <v>6.1216499999999998</v>
      </c>
      <c r="H633" s="10">
        <f t="shared" si="31"/>
        <v>7.9362833333333329</v>
      </c>
      <c r="I633" s="10">
        <f t="shared" si="31"/>
        <v>7.9400750000000002</v>
      </c>
      <c r="J633" s="10">
        <f t="shared" si="31"/>
        <v>7.9362833333333329</v>
      </c>
      <c r="K633" s="10">
        <f t="shared" si="31"/>
        <v>7.9400750000000002</v>
      </c>
      <c r="L633" s="10">
        <f t="shared" si="31"/>
        <v>6.1178750000000006</v>
      </c>
      <c r="M633" s="10">
        <f t="shared" si="31"/>
        <v>6.1216499999999998</v>
      </c>
      <c r="N633" s="10">
        <f t="shared" si="31"/>
        <v>6.1178750000000006</v>
      </c>
      <c r="O633" s="10">
        <f t="shared" si="31"/>
        <v>6.1216499999999998</v>
      </c>
    </row>
    <row r="634" spans="1:15" ht="15" x14ac:dyDescent="0.2">
      <c r="A634" s="11">
        <f t="shared" si="25"/>
        <v>2044</v>
      </c>
      <c r="B634" s="10">
        <f t="shared" ref="B634:O634" si="32">AVERAGE(B386:B397)</f>
        <v>6.646891666666666</v>
      </c>
      <c r="C634" s="10">
        <f t="shared" si="32"/>
        <v>6.646891666666666</v>
      </c>
      <c r="D634" s="10">
        <f t="shared" si="32"/>
        <v>6.6480166666666669</v>
      </c>
      <c r="E634" s="10">
        <f t="shared" si="32"/>
        <v>6.2289000000000003</v>
      </c>
      <c r="F634" s="10">
        <f t="shared" si="32"/>
        <v>6.2289000000000003</v>
      </c>
      <c r="G634" s="10">
        <f t="shared" si="32"/>
        <v>6.2327000000000004</v>
      </c>
      <c r="H634" s="10">
        <f t="shared" si="32"/>
        <v>8.1253833333333336</v>
      </c>
      <c r="I634" s="10">
        <f t="shared" si="32"/>
        <v>8.1291749999999983</v>
      </c>
      <c r="J634" s="10">
        <f t="shared" si="32"/>
        <v>8.1253833333333336</v>
      </c>
      <c r="K634" s="10">
        <f t="shared" si="32"/>
        <v>8.1291749999999983</v>
      </c>
      <c r="L634" s="10">
        <f t="shared" si="32"/>
        <v>6.2289000000000003</v>
      </c>
      <c r="M634" s="10">
        <f t="shared" si="32"/>
        <v>6.2327000000000004</v>
      </c>
      <c r="N634" s="10">
        <f t="shared" si="32"/>
        <v>6.2289000000000003</v>
      </c>
      <c r="O634" s="10">
        <f t="shared" si="32"/>
        <v>6.2327000000000004</v>
      </c>
    </row>
    <row r="635" spans="1:15" ht="15" x14ac:dyDescent="0.2">
      <c r="A635" s="11">
        <f t="shared" si="25"/>
        <v>2045</v>
      </c>
      <c r="B635" s="10">
        <f t="shared" ref="B635:O635" si="33">AVERAGE(B398:B409)</f>
        <v>6.8149666666666668</v>
      </c>
      <c r="C635" s="10">
        <f t="shared" si="33"/>
        <v>6.8149666666666668</v>
      </c>
      <c r="D635" s="10">
        <f t="shared" si="33"/>
        <v>6.8161000000000014</v>
      </c>
      <c r="E635" s="10">
        <f t="shared" si="33"/>
        <v>6.3421750000000001</v>
      </c>
      <c r="F635" s="10">
        <f t="shared" si="33"/>
        <v>6.3421750000000001</v>
      </c>
      <c r="G635" s="10">
        <f t="shared" si="33"/>
        <v>6.3459583333333329</v>
      </c>
      <c r="H635" s="10">
        <f t="shared" si="33"/>
        <v>8.3189833333333336</v>
      </c>
      <c r="I635" s="10">
        <f t="shared" si="33"/>
        <v>8.322775</v>
      </c>
      <c r="J635" s="10">
        <f t="shared" si="33"/>
        <v>8.3189833333333336</v>
      </c>
      <c r="K635" s="10">
        <f t="shared" si="33"/>
        <v>8.322775</v>
      </c>
      <c r="L635" s="10">
        <f t="shared" si="33"/>
        <v>6.3421750000000001</v>
      </c>
      <c r="M635" s="10">
        <f t="shared" si="33"/>
        <v>6.3459583333333329</v>
      </c>
      <c r="N635" s="10">
        <f t="shared" si="33"/>
        <v>6.3421750000000001</v>
      </c>
      <c r="O635" s="10">
        <f t="shared" si="33"/>
        <v>6.3459583333333329</v>
      </c>
    </row>
    <row r="636" spans="1:15" ht="15" x14ac:dyDescent="0.2">
      <c r="A636" s="11">
        <f t="shared" si="25"/>
        <v>2046</v>
      </c>
      <c r="B636" s="10">
        <f t="shared" ref="B636:O636" si="34">AVERAGE(B410:B421)</f>
        <v>6.9873083333333321</v>
      </c>
      <c r="C636" s="10">
        <f t="shared" si="34"/>
        <v>6.9873083333333321</v>
      </c>
      <c r="D636" s="10">
        <f t="shared" si="34"/>
        <v>6.9884333333333331</v>
      </c>
      <c r="E636" s="10">
        <f t="shared" si="34"/>
        <v>6.4577249999999999</v>
      </c>
      <c r="F636" s="10">
        <f t="shared" si="34"/>
        <v>6.4577249999999999</v>
      </c>
      <c r="G636" s="10">
        <f t="shared" si="34"/>
        <v>6.4615249999999991</v>
      </c>
      <c r="H636" s="10">
        <f t="shared" si="34"/>
        <v>8.5172333333333334</v>
      </c>
      <c r="I636" s="10">
        <f t="shared" si="34"/>
        <v>8.5210500000000007</v>
      </c>
      <c r="J636" s="10">
        <f t="shared" si="34"/>
        <v>8.5172333333333334</v>
      </c>
      <c r="K636" s="10">
        <f t="shared" si="34"/>
        <v>8.5210500000000007</v>
      </c>
      <c r="L636" s="10">
        <f t="shared" si="34"/>
        <v>6.4577249999999999</v>
      </c>
      <c r="M636" s="10">
        <f t="shared" si="34"/>
        <v>6.4615249999999991</v>
      </c>
      <c r="N636" s="10">
        <f t="shared" si="34"/>
        <v>6.4577249999999999</v>
      </c>
      <c r="O636" s="10">
        <f t="shared" si="34"/>
        <v>6.4615249999999991</v>
      </c>
    </row>
    <row r="637" spans="1:15" ht="15" x14ac:dyDescent="0.2">
      <c r="A637" s="11">
        <f t="shared" si="25"/>
        <v>2047</v>
      </c>
      <c r="B637" s="10">
        <f t="shared" ref="B637:O637" si="35">AVERAGE(B422:B433)</f>
        <v>7.1640166666666678</v>
      </c>
      <c r="C637" s="10">
        <f t="shared" si="35"/>
        <v>7.1640166666666678</v>
      </c>
      <c r="D637" s="10">
        <f t="shared" si="35"/>
        <v>7.1651416666666679</v>
      </c>
      <c r="E637" s="10">
        <f t="shared" si="35"/>
        <v>6.5756333333333323</v>
      </c>
      <c r="F637" s="10">
        <f t="shared" si="35"/>
        <v>6.5756333333333323</v>
      </c>
      <c r="G637" s="10">
        <f t="shared" si="35"/>
        <v>6.5793999999999997</v>
      </c>
      <c r="H637" s="10">
        <f t="shared" si="35"/>
        <v>8.7202083333333338</v>
      </c>
      <c r="I637" s="10">
        <f t="shared" si="35"/>
        <v>8.7240249999999993</v>
      </c>
      <c r="J637" s="10">
        <f t="shared" si="35"/>
        <v>8.7202083333333338</v>
      </c>
      <c r="K637" s="10">
        <f t="shared" si="35"/>
        <v>8.7240249999999993</v>
      </c>
      <c r="L637" s="10">
        <f t="shared" si="35"/>
        <v>6.5756333333333323</v>
      </c>
      <c r="M637" s="10">
        <f t="shared" si="35"/>
        <v>6.5793999999999997</v>
      </c>
      <c r="N637" s="10">
        <f t="shared" si="35"/>
        <v>6.5756333333333323</v>
      </c>
      <c r="O637" s="10">
        <f t="shared" si="35"/>
        <v>6.5793999999999997</v>
      </c>
    </row>
    <row r="638" spans="1:15" ht="15" x14ac:dyDescent="0.2">
      <c r="A638" s="11">
        <f t="shared" si="25"/>
        <v>2048</v>
      </c>
      <c r="B638" s="10">
        <f t="shared" ref="B638:O638" si="36">AVERAGE(B434:B445)</f>
        <v>7.3451916666666683</v>
      </c>
      <c r="C638" s="10">
        <f t="shared" si="36"/>
        <v>7.3451916666666683</v>
      </c>
      <c r="D638" s="10">
        <f t="shared" si="36"/>
        <v>7.3463166666666657</v>
      </c>
      <c r="E638" s="10">
        <f t="shared" si="36"/>
        <v>6.6959000000000009</v>
      </c>
      <c r="F638" s="10">
        <f t="shared" si="36"/>
        <v>6.6959000000000009</v>
      </c>
      <c r="G638" s="10">
        <f t="shared" si="36"/>
        <v>6.6996833333333328</v>
      </c>
      <c r="H638" s="10">
        <f t="shared" si="36"/>
        <v>8.9280583333333343</v>
      </c>
      <c r="I638" s="10">
        <f t="shared" si="36"/>
        <v>8.9318749999999998</v>
      </c>
      <c r="J638" s="10">
        <f t="shared" si="36"/>
        <v>8.9280583333333343</v>
      </c>
      <c r="K638" s="10">
        <f t="shared" si="36"/>
        <v>8.9318749999999998</v>
      </c>
      <c r="L638" s="10">
        <f t="shared" si="36"/>
        <v>6.6959000000000009</v>
      </c>
      <c r="M638" s="10">
        <f t="shared" si="36"/>
        <v>6.6996833333333328</v>
      </c>
      <c r="N638" s="10">
        <f t="shared" si="36"/>
        <v>6.6959000000000009</v>
      </c>
      <c r="O638" s="10">
        <f t="shared" si="36"/>
        <v>6.6996833333333328</v>
      </c>
    </row>
    <row r="639" spans="1:15" ht="15" x14ac:dyDescent="0.2">
      <c r="A639" s="11">
        <f t="shared" si="25"/>
        <v>2049</v>
      </c>
      <c r="B639" s="10">
        <f t="shared" ref="B639:O639" si="37">AVERAGE(B446:B457)</f>
        <v>7.5309666666666679</v>
      </c>
      <c r="C639" s="10">
        <f t="shared" si="37"/>
        <v>7.5309666666666679</v>
      </c>
      <c r="D639" s="10">
        <f t="shared" si="37"/>
        <v>7.5321083333333334</v>
      </c>
      <c r="E639" s="10">
        <f t="shared" si="37"/>
        <v>6.8186249999999999</v>
      </c>
      <c r="F639" s="10">
        <f t="shared" si="37"/>
        <v>6.8186249999999999</v>
      </c>
      <c r="G639" s="10">
        <f t="shared" si="37"/>
        <v>6.8224249999999991</v>
      </c>
      <c r="H639" s="10">
        <f t="shared" si="37"/>
        <v>9.1409083333333339</v>
      </c>
      <c r="I639" s="10">
        <f t="shared" si="37"/>
        <v>9.144658333333334</v>
      </c>
      <c r="J639" s="10">
        <f t="shared" si="37"/>
        <v>9.1409083333333339</v>
      </c>
      <c r="K639" s="10">
        <f t="shared" si="37"/>
        <v>9.144658333333334</v>
      </c>
      <c r="L639" s="10">
        <f t="shared" si="37"/>
        <v>6.8186249999999999</v>
      </c>
      <c r="M639" s="10">
        <f t="shared" si="37"/>
        <v>6.8224249999999991</v>
      </c>
      <c r="N639" s="10">
        <f t="shared" si="37"/>
        <v>6.8186249999999999</v>
      </c>
      <c r="O639" s="10">
        <f t="shared" si="37"/>
        <v>6.8224249999999991</v>
      </c>
    </row>
    <row r="640" spans="1:15" ht="15" x14ac:dyDescent="0.2">
      <c r="A640" s="11">
        <f t="shared" si="25"/>
        <v>2050</v>
      </c>
      <c r="B640" s="10">
        <f t="shared" ref="B640:O640" si="38">AVERAGE(B458:B469)</f>
        <v>7.7214666666666645</v>
      </c>
      <c r="C640" s="10">
        <f t="shared" si="38"/>
        <v>7.7214666666666645</v>
      </c>
      <c r="D640" s="10">
        <f t="shared" si="38"/>
        <v>7.7225916666666654</v>
      </c>
      <c r="E640" s="10">
        <f t="shared" si="38"/>
        <v>6.9438583333333339</v>
      </c>
      <c r="F640" s="10">
        <f t="shared" si="38"/>
        <v>6.9438583333333339</v>
      </c>
      <c r="G640" s="10">
        <f t="shared" si="38"/>
        <v>6.9476666666666675</v>
      </c>
      <c r="H640" s="10">
        <f t="shared" si="38"/>
        <v>9.3588083333333341</v>
      </c>
      <c r="I640" s="10">
        <f t="shared" si="38"/>
        <v>9.3626249999999995</v>
      </c>
      <c r="J640" s="10">
        <f t="shared" si="38"/>
        <v>9.3588083333333341</v>
      </c>
      <c r="K640" s="10">
        <f t="shared" si="38"/>
        <v>9.3626249999999995</v>
      </c>
      <c r="L640" s="10">
        <f t="shared" si="38"/>
        <v>6.9438583333333339</v>
      </c>
      <c r="M640" s="10">
        <f t="shared" si="38"/>
        <v>6.9476666666666675</v>
      </c>
      <c r="N640" s="10">
        <f t="shared" si="38"/>
        <v>6.9438583333333339</v>
      </c>
      <c r="O640" s="10">
        <f t="shared" si="38"/>
        <v>6.9476666666666675</v>
      </c>
    </row>
    <row r="641" spans="1:15" ht="15" x14ac:dyDescent="0.2">
      <c r="A641" s="11">
        <f t="shared" si="25"/>
        <v>2051</v>
      </c>
      <c r="B641" s="10">
        <f t="shared" ref="B641:O641" si="39">AVERAGE(B470:B481)</f>
        <v>7.9167750000000003</v>
      </c>
      <c r="C641" s="10">
        <f t="shared" si="39"/>
        <v>7.9167750000000003</v>
      </c>
      <c r="D641" s="10">
        <f t="shared" si="39"/>
        <v>7.9178999999999995</v>
      </c>
      <c r="E641" s="10">
        <f t="shared" si="39"/>
        <v>7.0716499999999991</v>
      </c>
      <c r="F641" s="10">
        <f t="shared" si="39"/>
        <v>7.0716499999999991</v>
      </c>
      <c r="G641" s="10">
        <f t="shared" si="39"/>
        <v>7.0754333333333328</v>
      </c>
      <c r="H641" s="10">
        <f t="shared" si="39"/>
        <v>9.5819583333333327</v>
      </c>
      <c r="I641" s="10">
        <f t="shared" si="39"/>
        <v>9.5857499999999991</v>
      </c>
      <c r="J641" s="10">
        <f t="shared" si="39"/>
        <v>9.5819583333333327</v>
      </c>
      <c r="K641" s="10">
        <f t="shared" si="39"/>
        <v>9.5857499999999991</v>
      </c>
      <c r="L641" s="10">
        <f t="shared" si="39"/>
        <v>7.0716499999999991</v>
      </c>
      <c r="M641" s="10">
        <f t="shared" si="39"/>
        <v>7.0754333333333328</v>
      </c>
      <c r="N641" s="10">
        <f t="shared" si="39"/>
        <v>7.0716499999999991</v>
      </c>
      <c r="O641" s="10">
        <f t="shared" si="39"/>
        <v>7.0754333333333328</v>
      </c>
    </row>
    <row r="642" spans="1:15" ht="15" x14ac:dyDescent="0.2">
      <c r="A642" s="11">
        <f t="shared" si="25"/>
        <v>2052</v>
      </c>
      <c r="B642" s="10">
        <f t="shared" ref="B642:O642" si="40">AVERAGE(B482:B493)</f>
        <v>8.1170416666666672</v>
      </c>
      <c r="C642" s="10">
        <f t="shared" si="40"/>
        <v>8.1170416666666672</v>
      </c>
      <c r="D642" s="10">
        <f t="shared" si="40"/>
        <v>8.118174999999999</v>
      </c>
      <c r="E642" s="10">
        <f t="shared" si="40"/>
        <v>7.2020499999999998</v>
      </c>
      <c r="F642" s="10">
        <f t="shared" si="40"/>
        <v>7.2020499999999998</v>
      </c>
      <c r="G642" s="10">
        <f t="shared" si="40"/>
        <v>7.2058583333333326</v>
      </c>
      <c r="H642" s="10">
        <f t="shared" si="40"/>
        <v>9.810433333333334</v>
      </c>
      <c r="I642" s="10">
        <f t="shared" si="40"/>
        <v>9.8142499999999995</v>
      </c>
      <c r="J642" s="10">
        <f t="shared" si="40"/>
        <v>9.810433333333334</v>
      </c>
      <c r="K642" s="10">
        <f t="shared" si="40"/>
        <v>9.8142499999999995</v>
      </c>
      <c r="L642" s="10">
        <f t="shared" si="40"/>
        <v>7.2020499999999998</v>
      </c>
      <c r="M642" s="10">
        <f t="shared" si="40"/>
        <v>7.2058583333333326</v>
      </c>
      <c r="N642" s="10">
        <f t="shared" si="40"/>
        <v>7.2020499999999998</v>
      </c>
      <c r="O642" s="10">
        <f t="shared" si="40"/>
        <v>7.2058583333333326</v>
      </c>
    </row>
    <row r="643" spans="1:15" ht="15" x14ac:dyDescent="0.2">
      <c r="A643" s="11">
        <f t="shared" si="25"/>
        <v>2053</v>
      </c>
      <c r="B643" s="10">
        <f t="shared" ref="B643:O643" si="41">AVERAGE(B494:B505)</f>
        <v>8.322375000000001</v>
      </c>
      <c r="C643" s="10">
        <f t="shared" si="41"/>
        <v>8.322375000000001</v>
      </c>
      <c r="D643" s="10">
        <f t="shared" si="41"/>
        <v>8.3235083333333346</v>
      </c>
      <c r="E643" s="10">
        <f t="shared" si="41"/>
        <v>7.3351333333333324</v>
      </c>
      <c r="F643" s="10">
        <f t="shared" si="41"/>
        <v>7.3351333333333324</v>
      </c>
      <c r="G643" s="10">
        <f t="shared" si="41"/>
        <v>7.338941666666666</v>
      </c>
      <c r="H643" s="10">
        <f t="shared" si="41"/>
        <v>10.044408333333333</v>
      </c>
      <c r="I643" s="10">
        <f t="shared" si="41"/>
        <v>10.048208333333333</v>
      </c>
      <c r="J643" s="10">
        <f t="shared" si="41"/>
        <v>10.044408333333333</v>
      </c>
      <c r="K643" s="10">
        <f t="shared" si="41"/>
        <v>10.048208333333333</v>
      </c>
      <c r="L643" s="10">
        <f t="shared" si="41"/>
        <v>7.3351333333333324</v>
      </c>
      <c r="M643" s="10">
        <f t="shared" si="41"/>
        <v>7.338941666666666</v>
      </c>
      <c r="N643" s="10">
        <f t="shared" si="41"/>
        <v>7.3351333333333324</v>
      </c>
      <c r="O643" s="10">
        <f t="shared" si="41"/>
        <v>7.338941666666666</v>
      </c>
    </row>
    <row r="644" spans="1:15" ht="15" x14ac:dyDescent="0.2">
      <c r="A644" s="11">
        <f t="shared" si="25"/>
        <v>2054</v>
      </c>
      <c r="B644" s="10">
        <f t="shared" ref="B644:O644" si="42">AVERAGE(B506:B517)</f>
        <v>8.5329166666666669</v>
      </c>
      <c r="C644" s="10">
        <f t="shared" si="42"/>
        <v>8.5329166666666669</v>
      </c>
      <c r="D644" s="10">
        <f t="shared" si="42"/>
        <v>8.5340500000000006</v>
      </c>
      <c r="E644" s="10">
        <f t="shared" si="42"/>
        <v>7.4709583333333329</v>
      </c>
      <c r="F644" s="10">
        <f t="shared" si="42"/>
        <v>7.4709583333333329</v>
      </c>
      <c r="G644" s="10">
        <f t="shared" si="42"/>
        <v>7.4747666666666674</v>
      </c>
      <c r="H644" s="10">
        <f t="shared" si="42"/>
        <v>10.284008333333334</v>
      </c>
      <c r="I644" s="10">
        <f t="shared" si="42"/>
        <v>10.287800000000001</v>
      </c>
      <c r="J644" s="10">
        <f t="shared" si="42"/>
        <v>10.284008333333334</v>
      </c>
      <c r="K644" s="10">
        <f t="shared" si="42"/>
        <v>10.287800000000001</v>
      </c>
      <c r="L644" s="10">
        <f t="shared" si="42"/>
        <v>7.4709583333333329</v>
      </c>
      <c r="M644" s="10">
        <f t="shared" si="42"/>
        <v>7.4747666666666674</v>
      </c>
      <c r="N644" s="10">
        <f t="shared" si="42"/>
        <v>7.4709583333333329</v>
      </c>
      <c r="O644" s="10">
        <f t="shared" si="42"/>
        <v>7.4747666666666674</v>
      </c>
    </row>
    <row r="645" spans="1:15" ht="15" x14ac:dyDescent="0.2">
      <c r="A645" s="11">
        <f t="shared" si="25"/>
        <v>2055</v>
      </c>
      <c r="B645" s="10">
        <f t="shared" ref="B645:O645" si="43">AVERAGE(B18:B529)</f>
        <v>5.3655509765624991</v>
      </c>
      <c r="C645" s="10">
        <f t="shared" si="43"/>
        <v>5.3668812500000005</v>
      </c>
      <c r="D645" s="10">
        <f t="shared" si="43"/>
        <v>5.3696144531250019</v>
      </c>
      <c r="E645" s="10">
        <f t="shared" si="43"/>
        <v>5.4135345703124989</v>
      </c>
      <c r="F645" s="10">
        <f t="shared" si="43"/>
        <v>5.4035539062499991</v>
      </c>
      <c r="G645" s="10">
        <f t="shared" si="43"/>
        <v>5.407740429687494</v>
      </c>
      <c r="H645" s="10">
        <f t="shared" si="43"/>
        <v>6.7129777343749977</v>
      </c>
      <c r="I645" s="10">
        <f t="shared" si="43"/>
        <v>6.717169140624998</v>
      </c>
      <c r="J645" s="10">
        <f t="shared" si="43"/>
        <v>6.7129777343749977</v>
      </c>
      <c r="K645" s="10">
        <f t="shared" si="43"/>
        <v>6.717169140624998</v>
      </c>
      <c r="L645" s="10">
        <f t="shared" si="43"/>
        <v>5.4135345703124989</v>
      </c>
      <c r="M645" s="10">
        <f t="shared" si="43"/>
        <v>5.4177187499999944</v>
      </c>
      <c r="N645" s="10">
        <f t="shared" si="43"/>
        <v>5.4135345703124989</v>
      </c>
      <c r="O645" s="10">
        <f t="shared" si="43"/>
        <v>5.4177187499999944</v>
      </c>
    </row>
    <row r="646" spans="1:15" ht="15" x14ac:dyDescent="0.2">
      <c r="A646" s="11">
        <f t="shared" si="25"/>
        <v>2056</v>
      </c>
      <c r="B646" s="10">
        <f t="shared" ref="B646:O646" si="44">AVERAGE(B530:B541)</f>
        <v>8.9701749999999993</v>
      </c>
      <c r="C646" s="10">
        <f t="shared" si="44"/>
        <v>8.9701749999999993</v>
      </c>
      <c r="D646" s="10">
        <f t="shared" si="44"/>
        <v>8.9713000000000012</v>
      </c>
      <c r="E646" s="10">
        <f t="shared" si="44"/>
        <v>7.7510833333333338</v>
      </c>
      <c r="F646" s="10">
        <f t="shared" si="44"/>
        <v>7.7510833333333338</v>
      </c>
      <c r="G646" s="10">
        <f t="shared" si="44"/>
        <v>7.7548749999999993</v>
      </c>
      <c r="H646" s="10">
        <f t="shared" si="44"/>
        <v>10.780508333333332</v>
      </c>
      <c r="I646" s="10">
        <f t="shared" si="44"/>
        <v>10.784308333333334</v>
      </c>
      <c r="J646" s="10">
        <f t="shared" si="44"/>
        <v>10.780508333333332</v>
      </c>
      <c r="K646" s="10">
        <f t="shared" si="44"/>
        <v>10.784308333333334</v>
      </c>
      <c r="L646" s="10">
        <f t="shared" si="44"/>
        <v>7.7510833333333338</v>
      </c>
      <c r="M646" s="10">
        <f t="shared" si="44"/>
        <v>7.7548749999999993</v>
      </c>
      <c r="N646" s="10">
        <f t="shared" si="44"/>
        <v>7.7510833333333338</v>
      </c>
      <c r="O646" s="10">
        <f t="shared" si="44"/>
        <v>7.7548749999999993</v>
      </c>
    </row>
    <row r="647" spans="1:15" ht="15" x14ac:dyDescent="0.2">
      <c r="A647" s="11">
        <f t="shared" si="25"/>
        <v>2057</v>
      </c>
      <c r="B647" s="10">
        <f t="shared" ref="B647:O647" si="45">AVERAGE(B542:B553)</f>
        <v>9.197141666666667</v>
      </c>
      <c r="C647" s="10">
        <f t="shared" si="45"/>
        <v>9.197141666666667</v>
      </c>
      <c r="D647" s="10">
        <f t="shared" si="45"/>
        <v>9.1982666666666653</v>
      </c>
      <c r="E647" s="10">
        <f t="shared" si="45"/>
        <v>7.8955083333333347</v>
      </c>
      <c r="F647" s="10">
        <f t="shared" si="45"/>
        <v>7.8955083333333347</v>
      </c>
      <c r="G647" s="10">
        <f t="shared" si="45"/>
        <v>7.8992916666666675</v>
      </c>
      <c r="H647" s="10">
        <f t="shared" si="45"/>
        <v>11.037733333333335</v>
      </c>
      <c r="I647" s="10">
        <f t="shared" si="45"/>
        <v>11.041550000000001</v>
      </c>
      <c r="J647" s="10">
        <f t="shared" si="45"/>
        <v>11.037733333333335</v>
      </c>
      <c r="K647" s="10">
        <f t="shared" si="45"/>
        <v>11.041550000000001</v>
      </c>
      <c r="L647" s="10">
        <f t="shared" si="45"/>
        <v>7.8955083333333347</v>
      </c>
      <c r="M647" s="10">
        <f t="shared" si="45"/>
        <v>7.8992916666666675</v>
      </c>
      <c r="N647" s="10">
        <f t="shared" si="45"/>
        <v>7.8955083333333347</v>
      </c>
      <c r="O647" s="10">
        <f t="shared" si="45"/>
        <v>7.8992916666666675</v>
      </c>
    </row>
    <row r="648" spans="1:15" ht="15" x14ac:dyDescent="0.2">
      <c r="A648" s="11">
        <f t="shared" si="25"/>
        <v>2058</v>
      </c>
      <c r="B648" s="10">
        <f t="shared" ref="B648:O648" si="46">AVERAGE(B554:B565)</f>
        <v>9.4298583333333319</v>
      </c>
      <c r="C648" s="10">
        <f t="shared" si="46"/>
        <v>9.4298583333333319</v>
      </c>
      <c r="D648" s="10">
        <f t="shared" si="46"/>
        <v>9.4309833333333337</v>
      </c>
      <c r="E648" s="10">
        <f t="shared" si="46"/>
        <v>8.0429416666666675</v>
      </c>
      <c r="F648" s="10">
        <f t="shared" si="46"/>
        <v>8.0429416666666675</v>
      </c>
      <c r="G648" s="10">
        <f t="shared" si="46"/>
        <v>8.046733333333334</v>
      </c>
      <c r="H648" s="10">
        <f t="shared" si="46"/>
        <v>11.301133333333333</v>
      </c>
      <c r="I648" s="10">
        <f t="shared" si="46"/>
        <v>11.304908333333335</v>
      </c>
      <c r="J648" s="10">
        <f t="shared" si="46"/>
        <v>11.301133333333333</v>
      </c>
      <c r="K648" s="10">
        <f t="shared" si="46"/>
        <v>11.304908333333335</v>
      </c>
      <c r="L648" s="10">
        <f t="shared" si="46"/>
        <v>8.0429416666666675</v>
      </c>
      <c r="M648" s="10">
        <f t="shared" si="46"/>
        <v>8.046733333333334</v>
      </c>
      <c r="N648" s="10">
        <f t="shared" si="46"/>
        <v>8.0429416666666675</v>
      </c>
      <c r="O648" s="10">
        <f t="shared" si="46"/>
        <v>8.046733333333334</v>
      </c>
    </row>
    <row r="649" spans="1:15" ht="15" x14ac:dyDescent="0.2">
      <c r="A649" s="11">
        <f t="shared" si="25"/>
        <v>2059</v>
      </c>
      <c r="B649" s="10">
        <f t="shared" ref="B649:O649" si="47">AVERAGE(B566:B577)</f>
        <v>9.6684833333333344</v>
      </c>
      <c r="C649" s="10">
        <f t="shared" si="47"/>
        <v>9.6684833333333344</v>
      </c>
      <c r="D649" s="10">
        <f t="shared" si="47"/>
        <v>9.6696083333333327</v>
      </c>
      <c r="E649" s="10">
        <f t="shared" si="47"/>
        <v>8.1934416666666667</v>
      </c>
      <c r="F649" s="10">
        <f t="shared" si="47"/>
        <v>8.1934416666666667</v>
      </c>
      <c r="G649" s="10">
        <f t="shared" si="47"/>
        <v>8.1972333333333331</v>
      </c>
      <c r="H649" s="10">
        <f t="shared" si="47"/>
        <v>11.570833333333333</v>
      </c>
      <c r="I649" s="10">
        <f t="shared" si="47"/>
        <v>11.57465</v>
      </c>
      <c r="J649" s="10">
        <f t="shared" si="47"/>
        <v>11.570833333333333</v>
      </c>
      <c r="K649" s="10">
        <f t="shared" si="47"/>
        <v>11.57465</v>
      </c>
      <c r="L649" s="10">
        <f t="shared" si="47"/>
        <v>8.1934416666666667</v>
      </c>
      <c r="M649" s="10">
        <f t="shared" si="47"/>
        <v>8.1972333333333331</v>
      </c>
      <c r="N649" s="10">
        <f t="shared" si="47"/>
        <v>8.1934416666666667</v>
      </c>
      <c r="O649" s="10">
        <f t="shared" si="47"/>
        <v>8.1972333333333331</v>
      </c>
    </row>
    <row r="650" spans="1:15" ht="15" x14ac:dyDescent="0.2">
      <c r="A650" s="11">
        <f t="shared" si="25"/>
        <v>2060</v>
      </c>
      <c r="B650" s="10">
        <f t="shared" ref="B650:O650" si="48">AVERAGE(B578:B589)</f>
        <v>9.9131416666666663</v>
      </c>
      <c r="C650" s="10">
        <f t="shared" si="48"/>
        <v>9.9131416666666663</v>
      </c>
      <c r="D650" s="10">
        <f t="shared" si="48"/>
        <v>9.9142833333333318</v>
      </c>
      <c r="E650" s="10">
        <f t="shared" si="48"/>
        <v>8.3470750000000002</v>
      </c>
      <c r="F650" s="10">
        <f t="shared" si="48"/>
        <v>8.3470750000000002</v>
      </c>
      <c r="G650" s="10">
        <f t="shared" si="48"/>
        <v>8.3508666666666667</v>
      </c>
      <c r="H650" s="10">
        <f t="shared" si="48"/>
        <v>11.847033333333336</v>
      </c>
      <c r="I650" s="10">
        <f t="shared" si="48"/>
        <v>11.850808333333335</v>
      </c>
      <c r="J650" s="10">
        <f t="shared" si="48"/>
        <v>11.847033333333336</v>
      </c>
      <c r="K650" s="10">
        <f t="shared" si="48"/>
        <v>11.850808333333335</v>
      </c>
      <c r="L650" s="10">
        <f t="shared" si="48"/>
        <v>8.3470750000000002</v>
      </c>
      <c r="M650" s="10">
        <f t="shared" si="48"/>
        <v>8.3508666666666667</v>
      </c>
      <c r="N650" s="10">
        <f t="shared" si="48"/>
        <v>8.3470750000000002</v>
      </c>
      <c r="O650" s="10">
        <f t="shared" si="48"/>
        <v>8.3508666666666667</v>
      </c>
    </row>
    <row r="651" spans="1:15" ht="15" x14ac:dyDescent="0.2">
      <c r="A651" s="11">
        <f t="shared" si="25"/>
        <v>2061</v>
      </c>
      <c r="B651" s="10">
        <f t="shared" ref="B651:O651" si="49">AVERAGE(B590:B601)</f>
        <v>10.164025000000001</v>
      </c>
      <c r="C651" s="10">
        <f t="shared" si="49"/>
        <v>10.164025000000001</v>
      </c>
      <c r="D651" s="10">
        <f t="shared" si="49"/>
        <v>10.165166666666666</v>
      </c>
      <c r="E651" s="10">
        <f t="shared" si="49"/>
        <v>8.5039333333333342</v>
      </c>
      <c r="F651" s="10">
        <f t="shared" si="49"/>
        <v>8.5039333333333342</v>
      </c>
      <c r="G651" s="10">
        <f t="shared" si="49"/>
        <v>8.5077416666666679</v>
      </c>
      <c r="H651" s="10">
        <f t="shared" si="49"/>
        <v>12.129808333333331</v>
      </c>
      <c r="I651" s="10">
        <f t="shared" si="49"/>
        <v>12.133625000000004</v>
      </c>
      <c r="J651" s="10">
        <f t="shared" si="49"/>
        <v>12.129808333333331</v>
      </c>
      <c r="K651" s="10">
        <f t="shared" si="49"/>
        <v>12.133625000000004</v>
      </c>
      <c r="L651" s="10">
        <f t="shared" si="49"/>
        <v>8.5039333333333342</v>
      </c>
      <c r="M651" s="10">
        <f t="shared" si="49"/>
        <v>8.5077416666666679</v>
      </c>
      <c r="N651" s="10">
        <f t="shared" si="49"/>
        <v>8.5039333333333342</v>
      </c>
      <c r="O651" s="10">
        <f t="shared" si="49"/>
        <v>8.5077416666666679</v>
      </c>
    </row>
    <row r="652" spans="1:15" ht="15" x14ac:dyDescent="0.2">
      <c r="B652" s="10"/>
      <c r="C652" s="10"/>
      <c r="D652" s="10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</sheetData>
  <mergeCells count="7">
    <mergeCell ref="B10:D10"/>
    <mergeCell ref="P10:Q10"/>
    <mergeCell ref="R10:S10"/>
    <mergeCell ref="P9:S9"/>
    <mergeCell ref="E10:G10"/>
    <mergeCell ref="H10:K10"/>
    <mergeCell ref="L10:O10"/>
  </mergeCells>
  <pageMargins left="0.25" right="0.25" top="0.5" bottom="0.5" header="0.25" footer="0.25"/>
  <pageSetup paperSize="17" scale="60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5</xdr:col>
                    <xdr:colOff>371475</xdr:colOff>
                    <xdr:row>7</xdr:row>
                    <xdr:rowOff>38100</xdr:rowOff>
                  </from>
                  <to>
                    <xdr:col>6</xdr:col>
                    <xdr:colOff>381000</xdr:colOff>
                    <xdr:row>8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/>
  <dimension ref="A1:Q708"/>
  <sheetViews>
    <sheetView zoomScale="75" workbookViewId="0">
      <pane xSplit="1" ySplit="11" topLeftCell="B12" activePane="bottomRight" state="frozen"/>
      <selection activeCell="A6" sqref="A6"/>
      <selection pane="topRight" activeCell="A6" sqref="A6"/>
      <selection pane="bottomLeft" activeCell="A6" sqref="A6"/>
      <selection pane="bottomRight" activeCell="B12" sqref="B12"/>
    </sheetView>
  </sheetViews>
  <sheetFormatPr defaultColWidth="7.109375" defaultRowHeight="12.75" x14ac:dyDescent="0.2"/>
  <cols>
    <col min="1" max="1" width="19.77734375" style="34" customWidth="1"/>
    <col min="2" max="4" width="16.109375" style="34" customWidth="1"/>
    <col min="5" max="5" width="21" style="34" customWidth="1"/>
    <col min="6" max="9" width="16.109375" style="34" customWidth="1"/>
    <col min="10" max="10" width="12.33203125" style="8" customWidth="1"/>
    <col min="11" max="11" width="10.77734375" style="8" customWidth="1"/>
    <col min="12" max="12" width="11.6640625" style="8" customWidth="1"/>
    <col min="13" max="16384" width="7.109375" style="8"/>
  </cols>
  <sheetData>
    <row r="1" spans="1:17" ht="15.75" x14ac:dyDescent="0.25">
      <c r="A1" s="103" t="s">
        <v>91</v>
      </c>
    </row>
    <row r="2" spans="1:17" ht="15.75" x14ac:dyDescent="0.25">
      <c r="A2" s="103" t="s">
        <v>92</v>
      </c>
    </row>
    <row r="3" spans="1:17" ht="15.75" x14ac:dyDescent="0.25">
      <c r="A3" s="103" t="s">
        <v>93</v>
      </c>
    </row>
    <row r="4" spans="1:17" ht="15.75" x14ac:dyDescent="0.25">
      <c r="A4" s="103" t="s">
        <v>94</v>
      </c>
    </row>
    <row r="5" spans="1:17" ht="15.75" x14ac:dyDescent="0.25">
      <c r="A5" s="103" t="s">
        <v>96</v>
      </c>
    </row>
    <row r="6" spans="1:17" ht="15.75" x14ac:dyDescent="0.25">
      <c r="A6" s="103" t="s">
        <v>98</v>
      </c>
    </row>
    <row r="8" spans="1:17" ht="15.75" x14ac:dyDescent="0.25">
      <c r="A8" s="43" t="s">
        <v>27</v>
      </c>
      <c r="B8" s="8"/>
      <c r="C8" s="8"/>
      <c r="D8" s="8"/>
      <c r="E8" s="8"/>
      <c r="F8" s="8"/>
      <c r="G8" s="8"/>
      <c r="H8" s="8"/>
      <c r="I8" s="8"/>
    </row>
    <row r="9" spans="1:17" ht="15.75" x14ac:dyDescent="0.25">
      <c r="A9" s="43"/>
      <c r="B9" s="42"/>
      <c r="C9" s="41" t="s">
        <v>25</v>
      </c>
      <c r="D9" s="40">
        <f>1-0.278</f>
        <v>0.72199999999999998</v>
      </c>
      <c r="E9" s="41" t="s">
        <v>24</v>
      </c>
      <c r="F9" s="40">
        <v>1.278</v>
      </c>
      <c r="G9" s="8"/>
      <c r="H9" s="8"/>
      <c r="I9" s="8"/>
    </row>
    <row r="10" spans="1:17" s="36" customFormat="1" ht="13.15" customHeight="1" x14ac:dyDescent="0.25">
      <c r="B10" s="37" t="s">
        <v>38</v>
      </c>
      <c r="C10" s="37" t="s">
        <v>37</v>
      </c>
      <c r="D10" s="37" t="s">
        <v>36</v>
      </c>
      <c r="E10" s="39" t="s">
        <v>35</v>
      </c>
      <c r="F10" s="37" t="s">
        <v>34</v>
      </c>
      <c r="G10" s="39" t="s">
        <v>33</v>
      </c>
      <c r="H10" s="39" t="s">
        <v>32</v>
      </c>
      <c r="I10" s="37" t="s">
        <v>31</v>
      </c>
      <c r="J10" s="37" t="s">
        <v>30</v>
      </c>
      <c r="K10" s="37" t="s">
        <v>29</v>
      </c>
      <c r="L10" s="37" t="s">
        <v>28</v>
      </c>
    </row>
    <row r="11" spans="1:17" s="36" customFormat="1" ht="13.15" customHeight="1" x14ac:dyDescent="0.25">
      <c r="A11" s="38" t="s">
        <v>15</v>
      </c>
      <c r="B11" s="37" t="s">
        <v>14</v>
      </c>
      <c r="C11" s="37" t="s">
        <v>14</v>
      </c>
      <c r="D11" s="37" t="s">
        <v>14</v>
      </c>
      <c r="E11" s="37" t="s">
        <v>14</v>
      </c>
      <c r="F11" s="37" t="s">
        <v>14</v>
      </c>
      <c r="G11" s="37" t="s">
        <v>14</v>
      </c>
      <c r="H11" s="37" t="s">
        <v>14</v>
      </c>
      <c r="I11" s="37" t="s">
        <v>14</v>
      </c>
      <c r="J11" s="37" t="s">
        <v>14</v>
      </c>
      <c r="K11" s="37" t="s">
        <v>14</v>
      </c>
      <c r="L11" s="37" t="s">
        <v>14</v>
      </c>
    </row>
    <row r="12" spans="1:17" ht="15" x14ac:dyDescent="0.2">
      <c r="A12" s="16">
        <v>41275</v>
      </c>
      <c r="B12" s="17">
        <v>24.315226415094301</v>
      </c>
      <c r="C12" s="17">
        <v>23.882979416809601</v>
      </c>
      <c r="D12" s="17">
        <v>23.882979416809601</v>
      </c>
      <c r="E12" s="17">
        <v>23.746320926243602</v>
      </c>
      <c r="F12" s="17">
        <v>23.746320926243602</v>
      </c>
      <c r="G12" s="17">
        <v>24.017696397941702</v>
      </c>
      <c r="H12" s="17">
        <v>23.882979416809601</v>
      </c>
      <c r="I12" s="17">
        <v>23.882979416809601</v>
      </c>
      <c r="J12" s="17">
        <v>23.5227735849057</v>
      </c>
      <c r="K12" s="17">
        <v>23.882979416809601</v>
      </c>
      <c r="L12" s="17"/>
      <c r="M12" s="35"/>
      <c r="N12" s="35"/>
      <c r="O12" s="35"/>
      <c r="P12" s="35"/>
      <c r="Q12" s="35"/>
    </row>
    <row r="13" spans="1:17" ht="15" x14ac:dyDescent="0.2">
      <c r="A13" s="16">
        <v>41306</v>
      </c>
      <c r="B13" s="17">
        <f>24.136 * CHOOSE(CONTROL!$C$9, $D$9, 100%, $F$9) + CHOOSE(CONTROL!$C$27, 0.0021, 0)</f>
        <v>24.138099999999998</v>
      </c>
      <c r="C13" s="17">
        <f>23.7037 * CHOOSE(CONTROL!$C$9, $D$9, 100%, $F$9) + CHOOSE(CONTROL!$C$27, 0.0021, 0)</f>
        <v>23.7058</v>
      </c>
      <c r="D13" s="17">
        <f>23.7037 * CHOOSE(CONTROL!$C$9, $D$9, 100%, $F$9) + CHOOSE(CONTROL!$C$27, 0.0021, 0)</f>
        <v>23.7058</v>
      </c>
      <c r="E13" s="17">
        <f>23.567 * CHOOSE(CONTROL!$C$9, $D$9, 100%, $F$9) + CHOOSE(CONTROL!$C$27, 0.0021, 0)</f>
        <v>23.569099999999999</v>
      </c>
      <c r="F13" s="17">
        <f>23.567 * CHOOSE(CONTROL!$C$9, $D$9, 100%, $F$9) + CHOOSE(CONTROL!$C$27, 0.0021, 0)</f>
        <v>23.569099999999999</v>
      </c>
      <c r="G13" s="17">
        <f>23.8384 * CHOOSE(CONTROL!$C$9, $D$9, 100%, $F$9) + CHOOSE(CONTROL!$C$27, 0.0021, 0)</f>
        <v>23.840499999999999</v>
      </c>
      <c r="H13" s="17">
        <f>23.7037 * CHOOSE(CONTROL!$C$9, $D$9, 100%, $F$9) + CHOOSE(CONTROL!$C$27, 0.0021, 0)</f>
        <v>23.7058</v>
      </c>
      <c r="I13" s="17">
        <f>23.7037 * CHOOSE(CONTROL!$C$9, $D$9, 100%, $F$9) + CHOOSE(CONTROL!$C$27, 0.0021, 0)</f>
        <v>23.7058</v>
      </c>
      <c r="J13" s="17">
        <f>23.3435 * CHOOSE(CONTROL!$C$9, $D$9, 100%, $F$9) + CHOOSE(CONTROL!$C$27, 0.0021, 0)</f>
        <v>23.345599999999997</v>
      </c>
      <c r="K13" s="17">
        <f>23.7037 * CHOOSE(CONTROL!$C$9, $D$9, 100%, $F$9) + CHOOSE(CONTROL!$C$27, 0.0021, 0)</f>
        <v>23.7058</v>
      </c>
      <c r="L13" s="17"/>
      <c r="M13" s="35"/>
      <c r="N13" s="35"/>
      <c r="O13" s="35"/>
      <c r="P13" s="35"/>
      <c r="Q13" s="35"/>
    </row>
    <row r="14" spans="1:17" ht="15" x14ac:dyDescent="0.2">
      <c r="A14" s="16">
        <v>41334</v>
      </c>
      <c r="B14" s="17">
        <f>23.9984 * CHOOSE(CONTROL!$C$9, $D$9, 100%, $F$9) + CHOOSE(CONTROL!$C$27, 0.0021, 0)</f>
        <v>24.000499999999999</v>
      </c>
      <c r="C14" s="17">
        <f>23.5661 * CHOOSE(CONTROL!$C$9, $D$9, 100%, $F$9) + CHOOSE(CONTROL!$C$27, 0.0021, 0)</f>
        <v>23.568199999999997</v>
      </c>
      <c r="D14" s="17">
        <f>23.5661 * CHOOSE(CONTROL!$C$9, $D$9, 100%, $F$9) + CHOOSE(CONTROL!$C$27, 0.0021, 0)</f>
        <v>23.568199999999997</v>
      </c>
      <c r="E14" s="17">
        <f>23.4294 * CHOOSE(CONTROL!$C$9, $D$9, 100%, $F$9) + CHOOSE(CONTROL!$C$27, 0.0021, 0)</f>
        <v>23.4315</v>
      </c>
      <c r="F14" s="17">
        <f>23.4294 * CHOOSE(CONTROL!$C$9, $D$9, 100%, $F$9) + CHOOSE(CONTROL!$C$27, 0.0021, 0)</f>
        <v>23.4315</v>
      </c>
      <c r="G14" s="17">
        <f>23.7008 * CHOOSE(CONTROL!$C$9, $D$9, 100%, $F$9) + CHOOSE(CONTROL!$C$27, 0.0021, 0)</f>
        <v>23.7029</v>
      </c>
      <c r="H14" s="17">
        <f>23.5661 * CHOOSE(CONTROL!$C$9, $D$9, 100%, $F$9) + CHOOSE(CONTROL!$C$27, 0.0021, 0)</f>
        <v>23.568199999999997</v>
      </c>
      <c r="I14" s="17">
        <f>23.5661 * CHOOSE(CONTROL!$C$9, $D$9, 100%, $F$9) + CHOOSE(CONTROL!$C$27, 0.0021, 0)</f>
        <v>23.568199999999997</v>
      </c>
      <c r="J14" s="17">
        <f>23.2059 * CHOOSE(CONTROL!$C$9, $D$9, 100%, $F$9) + CHOOSE(CONTROL!$C$27, 0.0021, 0)</f>
        <v>23.207999999999998</v>
      </c>
      <c r="K14" s="17">
        <f>23.5661 * CHOOSE(CONTROL!$C$9, $D$9, 100%, $F$9) + CHOOSE(CONTROL!$C$27, 0.0021, 0)</f>
        <v>23.568199999999997</v>
      </c>
      <c r="L14" s="17"/>
      <c r="M14" s="35"/>
      <c r="N14" s="35"/>
      <c r="O14" s="35"/>
      <c r="P14" s="35"/>
      <c r="Q14" s="35"/>
    </row>
    <row r="15" spans="1:17" ht="15" x14ac:dyDescent="0.2">
      <c r="A15" s="16">
        <v>41365</v>
      </c>
      <c r="B15" s="17">
        <f>23.8312 * CHOOSE(CONTROL!$C$9, $D$9, 100%, $F$9) + CHOOSE(CONTROL!$C$27, 0.0021, 0)</f>
        <v>23.833299999999998</v>
      </c>
      <c r="C15" s="17">
        <f>23.399 * CHOOSE(CONTROL!$C$9, $D$9, 100%, $F$9) + CHOOSE(CONTROL!$C$27, 0.0021, 0)</f>
        <v>23.4011</v>
      </c>
      <c r="D15" s="17">
        <f>23.399 * CHOOSE(CONTROL!$C$9, $D$9, 100%, $F$9) + CHOOSE(CONTROL!$C$27, 0.0021, 0)</f>
        <v>23.4011</v>
      </c>
      <c r="E15" s="17">
        <f>23.2623 * CHOOSE(CONTROL!$C$9, $D$9, 100%, $F$9) + CHOOSE(CONTROL!$C$27, 0.0021, 0)</f>
        <v>23.264399999999998</v>
      </c>
      <c r="F15" s="17">
        <f>23.2623 * CHOOSE(CONTROL!$C$9, $D$9, 100%, $F$9) + CHOOSE(CONTROL!$C$27, 0.0021, 0)</f>
        <v>23.264399999999998</v>
      </c>
      <c r="G15" s="17">
        <f>23.5337 * CHOOSE(CONTROL!$C$9, $D$9, 100%, $F$9) + CHOOSE(CONTROL!$C$27, 0.0021, 0)</f>
        <v>23.535799999999998</v>
      </c>
      <c r="H15" s="17">
        <f>23.399 * CHOOSE(CONTROL!$C$9, $D$9, 100%, $F$9) + CHOOSE(CONTROL!$C$27, 0.0021, 0)</f>
        <v>23.4011</v>
      </c>
      <c r="I15" s="17">
        <f>23.399 * CHOOSE(CONTROL!$C$9, $D$9, 100%, $F$9) + CHOOSE(CONTROL!$C$27, 0.0021, 0)</f>
        <v>23.4011</v>
      </c>
      <c r="J15" s="17">
        <f>23.0388 * CHOOSE(CONTROL!$C$9, $D$9, 100%, $F$9) + CHOOSE(CONTROL!$C$27, 0.0021, 0)</f>
        <v>23.040899999999997</v>
      </c>
      <c r="K15" s="17">
        <f>23.399 * CHOOSE(CONTROL!$C$9, $D$9, 100%, $F$9) + CHOOSE(CONTROL!$C$27, 0.0021, 0)</f>
        <v>23.4011</v>
      </c>
      <c r="L15" s="17"/>
      <c r="M15" s="35"/>
      <c r="N15" s="35"/>
      <c r="O15" s="35"/>
      <c r="P15" s="35"/>
      <c r="Q15" s="35"/>
    </row>
    <row r="16" spans="1:17" ht="15" x14ac:dyDescent="0.2">
      <c r="A16" s="16">
        <v>41395</v>
      </c>
      <c r="B16" s="17">
        <f>24.0243 * CHOOSE(CONTROL!$C$9, $D$9, 100%, $F$9) + CHOOSE(CONTROL!$C$27, 0.0021, 0)</f>
        <v>24.026399999999999</v>
      </c>
      <c r="C16" s="17">
        <f>23.592 * CHOOSE(CONTROL!$C$9, $D$9, 100%, $F$9) + CHOOSE(CONTROL!$C$27, 0.0021, 0)</f>
        <v>23.594099999999997</v>
      </c>
      <c r="D16" s="17">
        <f>23.592 * CHOOSE(CONTROL!$C$9, $D$9, 100%, $F$9) + CHOOSE(CONTROL!$C$27, 0.0021, 0)</f>
        <v>23.594099999999997</v>
      </c>
      <c r="E16" s="17">
        <f>23.4554 * CHOOSE(CONTROL!$C$9, $D$9, 100%, $F$9) + CHOOSE(CONTROL!$C$27, 0.0021, 0)</f>
        <v>23.4575</v>
      </c>
      <c r="F16" s="17">
        <f>23.4554 * CHOOSE(CONTROL!$C$9, $D$9, 100%, $F$9) + CHOOSE(CONTROL!$C$27, 0.0021, 0)</f>
        <v>23.4575</v>
      </c>
      <c r="G16" s="17">
        <f>23.7268 * CHOOSE(CONTROL!$C$9, $D$9, 100%, $F$9) + CHOOSE(CONTROL!$C$27, 0.0021, 0)</f>
        <v>23.728899999999999</v>
      </c>
      <c r="H16" s="17">
        <f>23.592 * CHOOSE(CONTROL!$C$9, $D$9, 100%, $F$9) + CHOOSE(CONTROL!$C$27, 0.0021, 0)</f>
        <v>23.594099999999997</v>
      </c>
      <c r="I16" s="17">
        <f>23.592 * CHOOSE(CONTROL!$C$9, $D$9, 100%, $F$9) + CHOOSE(CONTROL!$C$27, 0.0021, 0)</f>
        <v>23.594099999999997</v>
      </c>
      <c r="J16" s="17">
        <f>23.2318 * CHOOSE(CONTROL!$C$9, $D$9, 100%, $F$9) + CHOOSE(CONTROL!$C$27, 0.0021, 0)</f>
        <v>23.233899999999998</v>
      </c>
      <c r="K16" s="17">
        <f>23.592 * CHOOSE(CONTROL!$C$9, $D$9, 100%, $F$9) + CHOOSE(CONTROL!$C$27, 0.0021, 0)</f>
        <v>23.594099999999997</v>
      </c>
      <c r="L16" s="17"/>
      <c r="M16" s="35"/>
      <c r="N16" s="35"/>
      <c r="O16" s="35"/>
      <c r="P16" s="35"/>
      <c r="Q16" s="35"/>
    </row>
    <row r="17" spans="1:17" ht="15" x14ac:dyDescent="0.2">
      <c r="A17" s="16">
        <v>41426</v>
      </c>
      <c r="B17" s="17">
        <f>23.9018 * CHOOSE(CONTROL!$C$9, $D$9, 100%, $F$9) + CHOOSE(CONTROL!$C$27, 0.0021, 0)</f>
        <v>23.9039</v>
      </c>
      <c r="C17" s="17">
        <f>23.4696 * CHOOSE(CONTROL!$C$9, $D$9, 100%, $F$9) + CHOOSE(CONTROL!$C$27, 0.0021, 0)</f>
        <v>23.471699999999998</v>
      </c>
      <c r="D17" s="17">
        <f>23.4696 * CHOOSE(CONTROL!$C$9, $D$9, 100%, $F$9) + CHOOSE(CONTROL!$C$27, 0.0021, 0)</f>
        <v>23.471699999999998</v>
      </c>
      <c r="E17" s="17">
        <f>23.3329 * CHOOSE(CONTROL!$C$9, $D$9, 100%, $F$9) + CHOOSE(CONTROL!$C$27, 0.0021, 0)</f>
        <v>23.334999999999997</v>
      </c>
      <c r="F17" s="17">
        <f>23.3329 * CHOOSE(CONTROL!$C$9, $D$9, 100%, $F$9) + CHOOSE(CONTROL!$C$27, 0.0021, 0)</f>
        <v>23.334999999999997</v>
      </c>
      <c r="G17" s="17">
        <f>23.6043 * CHOOSE(CONTROL!$C$9, $D$9, 100%, $F$9) + CHOOSE(CONTROL!$C$27, 0.0021, 0)</f>
        <v>23.606399999999997</v>
      </c>
      <c r="H17" s="17">
        <f>23.4696 * CHOOSE(CONTROL!$C$9, $D$9, 100%, $F$9) + CHOOSE(CONTROL!$C$27, 0.0021, 0)</f>
        <v>23.471699999999998</v>
      </c>
      <c r="I17" s="17">
        <f>23.4696 * CHOOSE(CONTROL!$C$9, $D$9, 100%, $F$9) + CHOOSE(CONTROL!$C$27, 0.0021, 0)</f>
        <v>23.471699999999998</v>
      </c>
      <c r="J17" s="17">
        <f>23.1094 * CHOOSE(CONTROL!$C$9, $D$9, 100%, $F$9) + CHOOSE(CONTROL!$C$27, 0.0021, 0)</f>
        <v>23.111499999999999</v>
      </c>
      <c r="K17" s="17">
        <f>23.4696 * CHOOSE(CONTROL!$C$9, $D$9, 100%, $F$9) + CHOOSE(CONTROL!$C$27, 0.0021, 0)</f>
        <v>23.471699999999998</v>
      </c>
      <c r="L17" s="17"/>
      <c r="M17" s="35"/>
      <c r="N17" s="35"/>
      <c r="O17" s="35"/>
      <c r="P17" s="35"/>
      <c r="Q17" s="35"/>
    </row>
    <row r="18" spans="1:17" ht="15" x14ac:dyDescent="0.2">
      <c r="A18" s="16">
        <v>41456</v>
      </c>
      <c r="B18" s="17">
        <f>23.8507 * CHOOSE(CONTROL!$C$9, $D$9, 100%, $F$9) + CHOOSE(CONTROL!$C$27, 0.0021, 0)</f>
        <v>23.852799999999998</v>
      </c>
      <c r="C18" s="17">
        <f>23.4184 * CHOOSE(CONTROL!$C$9, $D$9, 100%, $F$9) + CHOOSE(CONTROL!$C$27, 0.0021, 0)</f>
        <v>23.420499999999997</v>
      </c>
      <c r="D18" s="17">
        <f>23.4184 * CHOOSE(CONTROL!$C$9, $D$9, 100%, $F$9) + CHOOSE(CONTROL!$C$27, 0.0021, 0)</f>
        <v>23.420499999999997</v>
      </c>
      <c r="E18" s="17">
        <f>23.2818 * CHOOSE(CONTROL!$C$9, $D$9, 100%, $F$9) + CHOOSE(CONTROL!$C$27, 0.0021, 0)</f>
        <v>23.283899999999999</v>
      </c>
      <c r="F18" s="17">
        <f>23.2818 * CHOOSE(CONTROL!$C$9, $D$9, 100%, $F$9) + CHOOSE(CONTROL!$C$27, 0.0021, 0)</f>
        <v>23.283899999999999</v>
      </c>
      <c r="G18" s="17">
        <f>23.5531 * CHOOSE(CONTROL!$C$9, $D$9, 100%, $F$9) + CHOOSE(CONTROL!$C$27, 0.0021, 0)</f>
        <v>23.555199999999999</v>
      </c>
      <c r="H18" s="17">
        <f>23.4184 * CHOOSE(CONTROL!$C$9, $D$9, 100%, $F$9) + CHOOSE(CONTROL!$C$27, 0.0021, 0)</f>
        <v>23.420499999999997</v>
      </c>
      <c r="I18" s="17">
        <f>23.4184 * CHOOSE(CONTROL!$C$9, $D$9, 100%, $F$9) + CHOOSE(CONTROL!$C$27, 0.0021, 0)</f>
        <v>23.420499999999997</v>
      </c>
      <c r="J18" s="17">
        <f>23.0582 * CHOOSE(CONTROL!$C$9, $D$9, 100%, $F$9) + CHOOSE(CONTROL!$C$27, 0.0021, 0)</f>
        <v>23.060299999999998</v>
      </c>
      <c r="K18" s="17">
        <f>23.4184 * CHOOSE(CONTROL!$C$9, $D$9, 100%, $F$9) + CHOOSE(CONTROL!$C$27, 0.0021, 0)</f>
        <v>23.420499999999997</v>
      </c>
      <c r="L18" s="17"/>
      <c r="M18" s="35"/>
      <c r="N18" s="35"/>
      <c r="O18" s="35"/>
      <c r="P18" s="35"/>
      <c r="Q18" s="35"/>
    </row>
    <row r="19" spans="1:17" ht="15" x14ac:dyDescent="0.2">
      <c r="A19" s="16">
        <v>41487</v>
      </c>
      <c r="B19" s="17">
        <f>23.8139 * CHOOSE(CONTROL!$C$9, $D$9, 100%, $F$9) + CHOOSE(CONTROL!$C$27, 0.0021, 0)</f>
        <v>23.815999999999999</v>
      </c>
      <c r="C19" s="17">
        <f>23.3817 * CHOOSE(CONTROL!$C$9, $D$9, 100%, $F$9) + CHOOSE(CONTROL!$C$27, 0.0021, 0)</f>
        <v>23.383799999999997</v>
      </c>
      <c r="D19" s="17">
        <f>23.3817 * CHOOSE(CONTROL!$C$9, $D$9, 100%, $F$9) + CHOOSE(CONTROL!$C$27, 0.0021, 0)</f>
        <v>23.383799999999997</v>
      </c>
      <c r="E19" s="17">
        <f>23.245 * CHOOSE(CONTROL!$C$9, $D$9, 100%, $F$9) + CHOOSE(CONTROL!$C$27, 0.0021, 0)</f>
        <v>23.2471</v>
      </c>
      <c r="F19" s="17">
        <f>23.245 * CHOOSE(CONTROL!$C$9, $D$9, 100%, $F$9) + CHOOSE(CONTROL!$C$27, 0.0021, 0)</f>
        <v>23.2471</v>
      </c>
      <c r="G19" s="17">
        <f>23.5164 * CHOOSE(CONTROL!$C$9, $D$9, 100%, $F$9) + CHOOSE(CONTROL!$C$27, 0.0021, 0)</f>
        <v>23.5185</v>
      </c>
      <c r="H19" s="17">
        <f>23.3817 * CHOOSE(CONTROL!$C$9, $D$9, 100%, $F$9) + CHOOSE(CONTROL!$C$27, 0.0021, 0)</f>
        <v>23.383799999999997</v>
      </c>
      <c r="I19" s="17">
        <f>23.3817 * CHOOSE(CONTROL!$C$9, $D$9, 100%, $F$9) + CHOOSE(CONTROL!$C$27, 0.0021, 0)</f>
        <v>23.383799999999997</v>
      </c>
      <c r="J19" s="17">
        <f>23.0215 * CHOOSE(CONTROL!$C$9, $D$9, 100%, $F$9) + CHOOSE(CONTROL!$C$27, 0.0021, 0)</f>
        <v>23.023599999999998</v>
      </c>
      <c r="K19" s="17">
        <f>23.3817 * CHOOSE(CONTROL!$C$9, $D$9, 100%, $F$9) + CHOOSE(CONTROL!$C$27, 0.0021, 0)</f>
        <v>23.383799999999997</v>
      </c>
      <c r="L19" s="17"/>
      <c r="M19" s="35"/>
      <c r="N19" s="35"/>
      <c r="O19" s="35"/>
      <c r="P19" s="35"/>
      <c r="Q19" s="35"/>
    </row>
    <row r="20" spans="1:17" ht="15" x14ac:dyDescent="0.2">
      <c r="A20" s="16">
        <v>41518</v>
      </c>
      <c r="B20" s="17">
        <f>23.7894 * CHOOSE(CONTROL!$C$9, $D$9, 100%, $F$9) + CHOOSE(CONTROL!$C$27, 0.0021, 0)</f>
        <v>23.791499999999999</v>
      </c>
      <c r="C20" s="17">
        <f>23.3572 * CHOOSE(CONTROL!$C$9, $D$9, 100%, $F$9) + CHOOSE(CONTROL!$C$27, 0.0021, 0)</f>
        <v>23.359299999999998</v>
      </c>
      <c r="D20" s="17">
        <f>23.3572 * CHOOSE(CONTROL!$C$9, $D$9, 100%, $F$9) + CHOOSE(CONTROL!$C$27, 0.0021, 0)</f>
        <v>23.359299999999998</v>
      </c>
      <c r="E20" s="17">
        <f>23.2205 * CHOOSE(CONTROL!$C$9, $D$9, 100%, $F$9) + CHOOSE(CONTROL!$C$27, 0.0021, 0)</f>
        <v>23.2226</v>
      </c>
      <c r="F20" s="17">
        <f>23.2205 * CHOOSE(CONTROL!$C$9, $D$9, 100%, $F$9) + CHOOSE(CONTROL!$C$27, 0.0021, 0)</f>
        <v>23.2226</v>
      </c>
      <c r="G20" s="17">
        <f>23.4919 * CHOOSE(CONTROL!$C$9, $D$9, 100%, $F$9) + CHOOSE(CONTROL!$C$27, 0.0021, 0)</f>
        <v>23.494</v>
      </c>
      <c r="H20" s="17">
        <f>23.3572 * CHOOSE(CONTROL!$C$9, $D$9, 100%, $F$9) + CHOOSE(CONTROL!$C$27, 0.0021, 0)</f>
        <v>23.359299999999998</v>
      </c>
      <c r="I20" s="17">
        <f>23.3572 * CHOOSE(CONTROL!$C$9, $D$9, 100%, $F$9) + CHOOSE(CONTROL!$C$27, 0.0021, 0)</f>
        <v>23.359299999999998</v>
      </c>
      <c r="J20" s="17">
        <f>22.997 * CHOOSE(CONTROL!$C$9, $D$9, 100%, $F$9) + CHOOSE(CONTROL!$C$27, 0.0021, 0)</f>
        <v>22.999099999999999</v>
      </c>
      <c r="K20" s="17">
        <f>23.3572 * CHOOSE(CONTROL!$C$9, $D$9, 100%, $F$9) + CHOOSE(CONTROL!$C$27, 0.0021, 0)</f>
        <v>23.359299999999998</v>
      </c>
      <c r="L20" s="17"/>
      <c r="M20" s="35"/>
      <c r="N20" s="35"/>
      <c r="O20" s="35"/>
      <c r="P20" s="35"/>
      <c r="Q20" s="35"/>
    </row>
    <row r="21" spans="1:17" ht="15" x14ac:dyDescent="0.2">
      <c r="A21" s="16">
        <v>41548</v>
      </c>
      <c r="B21" s="17">
        <f>23.7743 * CHOOSE(CONTROL!$C$9, $D$9, 100%, $F$9) + CHOOSE(CONTROL!$C$27, 0.0021, 0)</f>
        <v>23.776399999999999</v>
      </c>
      <c r="C21" s="17">
        <f>23.3421 * CHOOSE(CONTROL!$C$9, $D$9, 100%, $F$9) + CHOOSE(CONTROL!$C$27, 0.0021, 0)</f>
        <v>23.344199999999997</v>
      </c>
      <c r="D21" s="17">
        <f>23.3421 * CHOOSE(CONTROL!$C$9, $D$9, 100%, $F$9) + CHOOSE(CONTROL!$C$27, 0.0021, 0)</f>
        <v>23.344199999999997</v>
      </c>
      <c r="E21" s="17">
        <f>23.2054 * CHOOSE(CONTROL!$C$9, $D$9, 100%, $F$9) + CHOOSE(CONTROL!$C$27, 0.0021, 0)</f>
        <v>23.2075</v>
      </c>
      <c r="F21" s="17">
        <f>23.2054 * CHOOSE(CONTROL!$C$9, $D$9, 100%, $F$9) + CHOOSE(CONTROL!$C$27, 0.0021, 0)</f>
        <v>23.2075</v>
      </c>
      <c r="G21" s="17">
        <f>23.4768 * CHOOSE(CONTROL!$C$9, $D$9, 100%, $F$9) + CHOOSE(CONTROL!$C$27, 0.0021, 0)</f>
        <v>23.478899999999999</v>
      </c>
      <c r="H21" s="17">
        <f>23.3421 * CHOOSE(CONTROL!$C$9, $D$9, 100%, $F$9) + CHOOSE(CONTROL!$C$27, 0.0021, 0)</f>
        <v>23.344199999999997</v>
      </c>
      <c r="I21" s="17">
        <f>23.3421 * CHOOSE(CONTROL!$C$9, $D$9, 100%, $F$9) + CHOOSE(CONTROL!$C$27, 0.0021, 0)</f>
        <v>23.344199999999997</v>
      </c>
      <c r="J21" s="17">
        <f>22.9819 * CHOOSE(CONTROL!$C$9, $D$9, 100%, $F$9) + CHOOSE(CONTROL!$C$27, 0.0021, 0)</f>
        <v>22.983999999999998</v>
      </c>
      <c r="K21" s="17">
        <f>23.3421 * CHOOSE(CONTROL!$C$9, $D$9, 100%, $F$9) + CHOOSE(CONTROL!$C$27, 0.0021, 0)</f>
        <v>23.344199999999997</v>
      </c>
      <c r="L21" s="17"/>
      <c r="M21" s="35"/>
      <c r="N21" s="35"/>
      <c r="O21" s="35"/>
      <c r="P21" s="35"/>
      <c r="Q21" s="35"/>
    </row>
    <row r="22" spans="1:17" ht="15" x14ac:dyDescent="0.2">
      <c r="A22" s="16">
        <v>41579</v>
      </c>
      <c r="B22" s="17">
        <f>23.7606 * CHOOSE(CONTROL!$C$9, $D$9, 100%, $F$9) + CHOOSE(CONTROL!$C$27, 0.0021, 0)</f>
        <v>23.762699999999999</v>
      </c>
      <c r="C22" s="17">
        <f>23.3284 * CHOOSE(CONTROL!$C$9, $D$9, 100%, $F$9) + CHOOSE(CONTROL!$C$27, 0.0021, 0)</f>
        <v>23.330499999999997</v>
      </c>
      <c r="D22" s="17">
        <f>23.3284 * CHOOSE(CONTROL!$C$9, $D$9, 100%, $F$9) + CHOOSE(CONTROL!$C$27, 0.0021, 0)</f>
        <v>23.330499999999997</v>
      </c>
      <c r="E22" s="17">
        <f>23.1917 * CHOOSE(CONTROL!$C$9, $D$9, 100%, $F$9) + CHOOSE(CONTROL!$C$27, 0.0021, 0)</f>
        <v>23.1938</v>
      </c>
      <c r="F22" s="17">
        <f>23.1917 * CHOOSE(CONTROL!$C$9, $D$9, 100%, $F$9) + CHOOSE(CONTROL!$C$27, 0.0021, 0)</f>
        <v>23.1938</v>
      </c>
      <c r="G22" s="17">
        <f>23.4631 * CHOOSE(CONTROL!$C$9, $D$9, 100%, $F$9) + CHOOSE(CONTROL!$C$27, 0.0021, 0)</f>
        <v>23.465199999999999</v>
      </c>
      <c r="H22" s="17">
        <f>23.3284 * CHOOSE(CONTROL!$C$9, $D$9, 100%, $F$9) + CHOOSE(CONTROL!$C$27, 0.0021, 0)</f>
        <v>23.330499999999997</v>
      </c>
      <c r="I22" s="17">
        <f>23.3284 * CHOOSE(CONTROL!$C$9, $D$9, 100%, $F$9) + CHOOSE(CONTROL!$C$27, 0.0021, 0)</f>
        <v>23.330499999999997</v>
      </c>
      <c r="J22" s="17">
        <f>22.9682 * CHOOSE(CONTROL!$C$9, $D$9, 100%, $F$9) + CHOOSE(CONTROL!$C$27, 0.0021, 0)</f>
        <v>22.970299999999998</v>
      </c>
      <c r="K22" s="17">
        <f>23.3284 * CHOOSE(CONTROL!$C$9, $D$9, 100%, $F$9) + CHOOSE(CONTROL!$C$27, 0.0021, 0)</f>
        <v>23.330499999999997</v>
      </c>
      <c r="L22" s="17"/>
      <c r="M22" s="35"/>
      <c r="N22" s="35"/>
      <c r="O22" s="35"/>
      <c r="P22" s="35"/>
      <c r="Q22" s="35"/>
    </row>
    <row r="23" spans="1:17" ht="15" x14ac:dyDescent="0.2">
      <c r="A23" s="16">
        <v>41609</v>
      </c>
      <c r="B23" s="17">
        <f>23.7412 * CHOOSE(CONTROL!$C$9, $D$9, 100%, $F$9) + CHOOSE(CONTROL!$C$27, 0.0021, 0)</f>
        <v>23.743299999999998</v>
      </c>
      <c r="C23" s="17">
        <f>23.3089 * CHOOSE(CONTROL!$C$9, $D$9, 100%, $F$9) + CHOOSE(CONTROL!$C$27, 0.0021, 0)</f>
        <v>23.311</v>
      </c>
      <c r="D23" s="17">
        <f>23.3089 * CHOOSE(CONTROL!$C$9, $D$9, 100%, $F$9) + CHOOSE(CONTROL!$C$27, 0.0021, 0)</f>
        <v>23.311</v>
      </c>
      <c r="E23" s="17">
        <f>23.1723 * CHOOSE(CONTROL!$C$9, $D$9, 100%, $F$9) + CHOOSE(CONTROL!$C$27, 0.0021, 0)</f>
        <v>23.174399999999999</v>
      </c>
      <c r="F23" s="17">
        <f>23.1723 * CHOOSE(CONTROL!$C$9, $D$9, 100%, $F$9) + CHOOSE(CONTROL!$C$27, 0.0021, 0)</f>
        <v>23.174399999999999</v>
      </c>
      <c r="G23" s="17">
        <f>23.4436 * CHOOSE(CONTROL!$C$9, $D$9, 100%, $F$9) + CHOOSE(CONTROL!$C$27, 0.0021, 0)</f>
        <v>23.445699999999999</v>
      </c>
      <c r="H23" s="17">
        <f>23.3089 * CHOOSE(CONTROL!$C$9, $D$9, 100%, $F$9) + CHOOSE(CONTROL!$C$27, 0.0021, 0)</f>
        <v>23.311</v>
      </c>
      <c r="I23" s="17">
        <f>23.3089 * CHOOSE(CONTROL!$C$9, $D$9, 100%, $F$9) + CHOOSE(CONTROL!$C$27, 0.0021, 0)</f>
        <v>23.311</v>
      </c>
      <c r="J23" s="17">
        <f>22.9487 * CHOOSE(CONTROL!$C$9, $D$9, 100%, $F$9) + CHOOSE(CONTROL!$C$27, 0.0021, 0)</f>
        <v>22.950799999999997</v>
      </c>
      <c r="K23" s="17">
        <f>23.3089 * CHOOSE(CONTROL!$C$9, $D$9, 100%, $F$9) + CHOOSE(CONTROL!$C$27, 0.0021, 0)</f>
        <v>23.311</v>
      </c>
      <c r="L23" s="17"/>
      <c r="M23" s="35"/>
      <c r="N23" s="35"/>
      <c r="O23" s="35"/>
      <c r="P23" s="35"/>
      <c r="Q23" s="35"/>
    </row>
    <row r="24" spans="1:17" ht="15" x14ac:dyDescent="0.2">
      <c r="A24" s="16">
        <v>41640</v>
      </c>
      <c r="B24" s="17">
        <f>23.7174 * CHOOSE(CONTROL!$C$9, $D$9, 100%, $F$9) + CHOOSE(CONTROL!$C$27, 0.0021, 0)</f>
        <v>23.7195</v>
      </c>
      <c r="C24" s="17">
        <f>23.2851 * CHOOSE(CONTROL!$C$9, $D$9, 100%, $F$9) + CHOOSE(CONTROL!$C$27, 0.0021, 0)</f>
        <v>23.287199999999999</v>
      </c>
      <c r="D24" s="17">
        <f>23.2851 * CHOOSE(CONTROL!$C$9, $D$9, 100%, $F$9) + CHOOSE(CONTROL!$C$27, 0.0021, 0)</f>
        <v>23.287199999999999</v>
      </c>
      <c r="E24" s="17">
        <f>23.1485 * CHOOSE(CONTROL!$C$9, $D$9, 100%, $F$9) + CHOOSE(CONTROL!$C$27, 0.0021, 0)</f>
        <v>23.150599999999997</v>
      </c>
      <c r="F24" s="17">
        <f>23.1485 * CHOOSE(CONTROL!$C$9, $D$9, 100%, $F$9) + CHOOSE(CONTROL!$C$27, 0.0021, 0)</f>
        <v>23.150599999999997</v>
      </c>
      <c r="G24" s="17">
        <f>23.4199 * CHOOSE(CONTROL!$C$9, $D$9, 100%, $F$9) + CHOOSE(CONTROL!$C$27, 0.0021, 0)</f>
        <v>23.421999999999997</v>
      </c>
      <c r="H24" s="17">
        <f>23.2851 * CHOOSE(CONTROL!$C$9, $D$9, 100%, $F$9) + CHOOSE(CONTROL!$C$27, 0.0021, 0)</f>
        <v>23.287199999999999</v>
      </c>
      <c r="I24" s="17">
        <f>23.2851 * CHOOSE(CONTROL!$C$9, $D$9, 100%, $F$9) + CHOOSE(CONTROL!$C$27, 0.0021, 0)</f>
        <v>23.287199999999999</v>
      </c>
      <c r="J24" s="17">
        <f>22.9249 * CHOOSE(CONTROL!$C$9, $D$9, 100%, $F$9) + CHOOSE(CONTROL!$C$27, 0.0021, 0)</f>
        <v>22.927</v>
      </c>
      <c r="K24" s="17">
        <f>23.2851 * CHOOSE(CONTROL!$C$9, $D$9, 100%, $F$9) + CHOOSE(CONTROL!$C$27, 0.0021, 0)</f>
        <v>23.287199999999999</v>
      </c>
      <c r="L24" s="17"/>
      <c r="M24" s="35"/>
      <c r="N24" s="35"/>
      <c r="O24" s="35"/>
      <c r="P24" s="35"/>
      <c r="Q24" s="35"/>
    </row>
    <row r="25" spans="1:17" ht="15" x14ac:dyDescent="0.2">
      <c r="A25" s="16">
        <v>41671</v>
      </c>
      <c r="B25" s="17">
        <f>23.6454 * CHOOSE(CONTROL!$C$9, $D$9, 100%, $F$9) + CHOOSE(CONTROL!$C$27, 0.0021, 0)</f>
        <v>23.647499999999997</v>
      </c>
      <c r="C25" s="17">
        <f>23.2131 * CHOOSE(CONTROL!$C$9, $D$9, 100%, $F$9) + CHOOSE(CONTROL!$C$27, 0.0021, 0)</f>
        <v>23.215199999999999</v>
      </c>
      <c r="D25" s="17">
        <f>23.2131 * CHOOSE(CONTROL!$C$9, $D$9, 100%, $F$9) + CHOOSE(CONTROL!$C$27, 0.0021, 0)</f>
        <v>23.215199999999999</v>
      </c>
      <c r="E25" s="17">
        <f>23.0764 * CHOOSE(CONTROL!$C$9, $D$9, 100%, $F$9) + CHOOSE(CONTROL!$C$27, 0.0021, 0)</f>
        <v>23.078499999999998</v>
      </c>
      <c r="F25" s="17">
        <f>23.0764 * CHOOSE(CONTROL!$C$9, $D$9, 100%, $F$9) + CHOOSE(CONTROL!$C$27, 0.0021, 0)</f>
        <v>23.078499999999998</v>
      </c>
      <c r="G25" s="17">
        <f>23.3478 * CHOOSE(CONTROL!$C$9, $D$9, 100%, $F$9) + CHOOSE(CONTROL!$C$27, 0.0021, 0)</f>
        <v>23.349899999999998</v>
      </c>
      <c r="H25" s="17">
        <f>23.2131 * CHOOSE(CONTROL!$C$9, $D$9, 100%, $F$9) + CHOOSE(CONTROL!$C$27, 0.0021, 0)</f>
        <v>23.215199999999999</v>
      </c>
      <c r="I25" s="17">
        <f>23.2131 * CHOOSE(CONTROL!$C$9, $D$9, 100%, $F$9) + CHOOSE(CONTROL!$C$27, 0.0021, 0)</f>
        <v>23.215199999999999</v>
      </c>
      <c r="J25" s="17">
        <f>22.8529 * CHOOSE(CONTROL!$C$9, $D$9, 100%, $F$9) + CHOOSE(CONTROL!$C$27, 0.0021, 0)</f>
        <v>22.855</v>
      </c>
      <c r="K25" s="17">
        <f>23.2131 * CHOOSE(CONTROL!$C$9, $D$9, 100%, $F$9) + CHOOSE(CONTROL!$C$27, 0.0021, 0)</f>
        <v>23.215199999999999</v>
      </c>
      <c r="L25" s="17"/>
      <c r="M25" s="35"/>
      <c r="N25" s="35"/>
      <c r="O25" s="35"/>
      <c r="P25" s="35"/>
      <c r="Q25" s="35"/>
    </row>
    <row r="26" spans="1:17" ht="15" x14ac:dyDescent="0.2">
      <c r="A26" s="16">
        <v>41699</v>
      </c>
      <c r="B26" s="17">
        <f>23.5431 * CHOOSE(CONTROL!$C$9, $D$9, 100%, $F$9) + CHOOSE(CONTROL!$C$27, 0.0021, 0)</f>
        <v>23.545199999999998</v>
      </c>
      <c r="C26" s="17">
        <f>23.1108 * CHOOSE(CONTROL!$C$9, $D$9, 100%, $F$9) + CHOOSE(CONTROL!$C$27, 0.0021, 0)</f>
        <v>23.1129</v>
      </c>
      <c r="D26" s="17">
        <f>23.1108 * CHOOSE(CONTROL!$C$9, $D$9, 100%, $F$9) + CHOOSE(CONTROL!$C$27, 0.0021, 0)</f>
        <v>23.1129</v>
      </c>
      <c r="E26" s="17">
        <f>22.9741 * CHOOSE(CONTROL!$C$9, $D$9, 100%, $F$9) + CHOOSE(CONTROL!$C$27, 0.0021, 0)</f>
        <v>22.976199999999999</v>
      </c>
      <c r="F26" s="17">
        <f>22.9741 * CHOOSE(CONTROL!$C$9, $D$9, 100%, $F$9) + CHOOSE(CONTROL!$C$27, 0.0021, 0)</f>
        <v>22.976199999999999</v>
      </c>
      <c r="G26" s="17">
        <f>23.2455 * CHOOSE(CONTROL!$C$9, $D$9, 100%, $F$9) + CHOOSE(CONTROL!$C$27, 0.0021, 0)</f>
        <v>23.247599999999998</v>
      </c>
      <c r="H26" s="17">
        <f>23.1108 * CHOOSE(CONTROL!$C$9, $D$9, 100%, $F$9) + CHOOSE(CONTROL!$C$27, 0.0021, 0)</f>
        <v>23.1129</v>
      </c>
      <c r="I26" s="17">
        <f>23.1108 * CHOOSE(CONTROL!$C$9, $D$9, 100%, $F$9) + CHOOSE(CONTROL!$C$27, 0.0021, 0)</f>
        <v>23.1129</v>
      </c>
      <c r="J26" s="17">
        <f>22.7506 * CHOOSE(CONTROL!$C$9, $D$9, 100%, $F$9) + CHOOSE(CONTROL!$C$27, 0.0021, 0)</f>
        <v>22.752699999999997</v>
      </c>
      <c r="K26" s="17">
        <f>23.1108 * CHOOSE(CONTROL!$C$9, $D$9, 100%, $F$9) + CHOOSE(CONTROL!$C$27, 0.0021, 0)</f>
        <v>23.1129</v>
      </c>
      <c r="L26" s="17"/>
      <c r="M26" s="35"/>
      <c r="N26" s="35"/>
      <c r="O26" s="35"/>
      <c r="P26" s="35"/>
      <c r="Q26" s="35"/>
    </row>
    <row r="27" spans="1:17" ht="15" x14ac:dyDescent="0.2">
      <c r="A27" s="16">
        <v>41730</v>
      </c>
      <c r="B27" s="17">
        <f>23.3702 * CHOOSE(CONTROL!$C$9, $D$9, 100%, $F$9) + CHOOSE(CONTROL!$C$27, 0.0021, 0)</f>
        <v>23.372299999999999</v>
      </c>
      <c r="C27" s="17">
        <f>22.9379 * CHOOSE(CONTROL!$C$9, $D$9, 100%, $F$9) + CHOOSE(CONTROL!$C$27, 0.0021, 0)</f>
        <v>22.939999999999998</v>
      </c>
      <c r="D27" s="17">
        <f>22.9379 * CHOOSE(CONTROL!$C$9, $D$9, 100%, $F$9) + CHOOSE(CONTROL!$C$27, 0.0021, 0)</f>
        <v>22.939999999999998</v>
      </c>
      <c r="E27" s="17">
        <f>22.8012 * CHOOSE(CONTROL!$C$9, $D$9, 100%, $F$9) + CHOOSE(CONTROL!$C$27, 0.0021, 0)</f>
        <v>22.8033</v>
      </c>
      <c r="F27" s="17">
        <f>22.8012 * CHOOSE(CONTROL!$C$9, $D$9, 100%, $F$9) + CHOOSE(CONTROL!$C$27, 0.0021, 0)</f>
        <v>22.8033</v>
      </c>
      <c r="G27" s="17">
        <f>23.0726 * CHOOSE(CONTROL!$C$9, $D$9, 100%, $F$9) + CHOOSE(CONTROL!$C$27, 0.0021, 0)</f>
        <v>23.0747</v>
      </c>
      <c r="H27" s="17">
        <f>22.9379 * CHOOSE(CONTROL!$C$9, $D$9, 100%, $F$9) + CHOOSE(CONTROL!$C$27, 0.0021, 0)</f>
        <v>22.939999999999998</v>
      </c>
      <c r="I27" s="17">
        <f>22.9379 * CHOOSE(CONTROL!$C$9, $D$9, 100%, $F$9) + CHOOSE(CONTROL!$C$27, 0.0021, 0)</f>
        <v>22.939999999999998</v>
      </c>
      <c r="J27" s="17">
        <f>22.5777 * CHOOSE(CONTROL!$C$9, $D$9, 100%, $F$9) + CHOOSE(CONTROL!$C$27, 0.0021, 0)</f>
        <v>22.579799999999999</v>
      </c>
      <c r="K27" s="17">
        <f>22.9379 * CHOOSE(CONTROL!$C$9, $D$9, 100%, $F$9) + CHOOSE(CONTROL!$C$27, 0.0021, 0)</f>
        <v>22.939999999999998</v>
      </c>
      <c r="L27" s="17"/>
      <c r="M27" s="35"/>
      <c r="N27" s="35"/>
      <c r="O27" s="35"/>
      <c r="P27" s="35"/>
      <c r="Q27" s="35"/>
    </row>
    <row r="28" spans="1:17" ht="15" x14ac:dyDescent="0.2">
      <c r="A28" s="16">
        <v>41760</v>
      </c>
      <c r="B28" s="17">
        <f>23.2081 * CHOOSE(CONTROL!$C$9, $D$9, 100%, $F$9) + CHOOSE(CONTROL!$C$27, 0.0021, 0)</f>
        <v>23.2102</v>
      </c>
      <c r="C28" s="17">
        <f>22.7758 * CHOOSE(CONTROL!$C$9, $D$9, 100%, $F$9) + CHOOSE(CONTROL!$C$27, 0.0021, 0)</f>
        <v>22.777899999999999</v>
      </c>
      <c r="D28" s="17">
        <f>22.7758 * CHOOSE(CONTROL!$C$9, $D$9, 100%, $F$9) + CHOOSE(CONTROL!$C$27, 0.0021, 0)</f>
        <v>22.777899999999999</v>
      </c>
      <c r="E28" s="17">
        <f>22.6392 * CHOOSE(CONTROL!$C$9, $D$9, 100%, $F$9) + CHOOSE(CONTROL!$C$27, 0.0021, 0)</f>
        <v>22.641299999999998</v>
      </c>
      <c r="F28" s="17">
        <f>22.6392 * CHOOSE(CONTROL!$C$9, $D$9, 100%, $F$9) + CHOOSE(CONTROL!$C$27, 0.0021, 0)</f>
        <v>22.641299999999998</v>
      </c>
      <c r="G28" s="17">
        <f>22.9105 * CHOOSE(CONTROL!$C$9, $D$9, 100%, $F$9) + CHOOSE(CONTROL!$C$27, 0.0021, 0)</f>
        <v>22.912599999999998</v>
      </c>
      <c r="H28" s="17">
        <f>22.7758 * CHOOSE(CONTROL!$C$9, $D$9, 100%, $F$9) + CHOOSE(CONTROL!$C$27, 0.0021, 0)</f>
        <v>22.777899999999999</v>
      </c>
      <c r="I28" s="17">
        <f>22.7758 * CHOOSE(CONTROL!$C$9, $D$9, 100%, $F$9) + CHOOSE(CONTROL!$C$27, 0.0021, 0)</f>
        <v>22.777899999999999</v>
      </c>
      <c r="J28" s="17">
        <f>22.4156 * CHOOSE(CONTROL!$C$9, $D$9, 100%, $F$9) + CHOOSE(CONTROL!$C$27, 0.0021, 0)</f>
        <v>22.4177</v>
      </c>
      <c r="K28" s="17">
        <f>22.7758 * CHOOSE(CONTROL!$C$9, $D$9, 100%, $F$9) + CHOOSE(CONTROL!$C$27, 0.0021, 0)</f>
        <v>22.777899999999999</v>
      </c>
      <c r="L28" s="17"/>
      <c r="M28" s="35"/>
      <c r="N28" s="35"/>
      <c r="O28" s="35"/>
      <c r="P28" s="35"/>
      <c r="Q28" s="35"/>
    </row>
    <row r="29" spans="1:17" ht="15" x14ac:dyDescent="0.2">
      <c r="A29" s="16">
        <v>41791</v>
      </c>
      <c r="B29" s="17">
        <f>23.0748 * CHOOSE(CONTROL!$C$9, $D$9, 100%, $F$9) + CHOOSE(CONTROL!$C$27, 0.0021, 0)</f>
        <v>23.076899999999998</v>
      </c>
      <c r="C29" s="17">
        <f>22.6425 * CHOOSE(CONTROL!$C$9, $D$9, 100%, $F$9) + CHOOSE(CONTROL!$C$27, 0.0021, 0)</f>
        <v>22.644599999999997</v>
      </c>
      <c r="D29" s="17">
        <f>22.6425 * CHOOSE(CONTROL!$C$9, $D$9, 100%, $F$9) + CHOOSE(CONTROL!$C$27, 0.0021, 0)</f>
        <v>22.644599999999997</v>
      </c>
      <c r="E29" s="17">
        <f>22.5059 * CHOOSE(CONTROL!$C$9, $D$9, 100%, $F$9) + CHOOSE(CONTROL!$C$27, 0.0021, 0)</f>
        <v>22.507999999999999</v>
      </c>
      <c r="F29" s="17">
        <f>22.5059 * CHOOSE(CONTROL!$C$9, $D$9, 100%, $F$9) + CHOOSE(CONTROL!$C$27, 0.0021, 0)</f>
        <v>22.507999999999999</v>
      </c>
      <c r="G29" s="17">
        <f>22.7773 * CHOOSE(CONTROL!$C$9, $D$9, 100%, $F$9) + CHOOSE(CONTROL!$C$27, 0.0021, 0)</f>
        <v>22.779399999999999</v>
      </c>
      <c r="H29" s="17">
        <f>22.6425 * CHOOSE(CONTROL!$C$9, $D$9, 100%, $F$9) + CHOOSE(CONTROL!$C$27, 0.0021, 0)</f>
        <v>22.644599999999997</v>
      </c>
      <c r="I29" s="17">
        <f>22.6425 * CHOOSE(CONTROL!$C$9, $D$9, 100%, $F$9) + CHOOSE(CONTROL!$C$27, 0.0021, 0)</f>
        <v>22.644599999999997</v>
      </c>
      <c r="J29" s="17">
        <f>22.2823 * CHOOSE(CONTROL!$C$9, $D$9, 100%, $F$9) + CHOOSE(CONTROL!$C$27, 0.0021, 0)</f>
        <v>22.284399999999998</v>
      </c>
      <c r="K29" s="17">
        <f>22.6425 * CHOOSE(CONTROL!$C$9, $D$9, 100%, $F$9) + CHOOSE(CONTROL!$C$27, 0.0021, 0)</f>
        <v>22.644599999999997</v>
      </c>
      <c r="L29" s="17"/>
      <c r="M29" s="35"/>
      <c r="N29" s="35"/>
      <c r="O29" s="35"/>
      <c r="P29" s="35"/>
      <c r="Q29" s="35"/>
    </row>
    <row r="30" spans="1:17" ht="15" x14ac:dyDescent="0.2">
      <c r="A30" s="16">
        <v>41821</v>
      </c>
      <c r="B30" s="17">
        <f>23.0496 * CHOOSE(CONTROL!$C$9, $D$9, 100%, $F$9) + CHOOSE(CONTROL!$C$27, 0.0021, 0)</f>
        <v>23.0517</v>
      </c>
      <c r="C30" s="17">
        <f>22.6173 * CHOOSE(CONTROL!$C$9, $D$9, 100%, $F$9) + CHOOSE(CONTROL!$C$27, 0.0021, 0)</f>
        <v>22.619399999999999</v>
      </c>
      <c r="D30" s="17">
        <f>22.6173 * CHOOSE(CONTROL!$C$9, $D$9, 100%, $F$9) + CHOOSE(CONTROL!$C$27, 0.0021, 0)</f>
        <v>22.619399999999999</v>
      </c>
      <c r="E30" s="17">
        <f>22.4807 * CHOOSE(CONTROL!$C$9, $D$9, 100%, $F$9) + CHOOSE(CONTROL!$C$27, 0.0021, 0)</f>
        <v>22.482799999999997</v>
      </c>
      <c r="F30" s="17">
        <f>22.4807 * CHOOSE(CONTROL!$C$9, $D$9, 100%, $F$9) + CHOOSE(CONTROL!$C$27, 0.0021, 0)</f>
        <v>22.482799999999997</v>
      </c>
      <c r="G30" s="17">
        <f>22.752 * CHOOSE(CONTROL!$C$9, $D$9, 100%, $F$9) + CHOOSE(CONTROL!$C$27, 0.0021, 0)</f>
        <v>22.754099999999998</v>
      </c>
      <c r="H30" s="17">
        <f>22.6173 * CHOOSE(CONTROL!$C$9, $D$9, 100%, $F$9) + CHOOSE(CONTROL!$C$27, 0.0021, 0)</f>
        <v>22.619399999999999</v>
      </c>
      <c r="I30" s="17">
        <f>22.6173 * CHOOSE(CONTROL!$C$9, $D$9, 100%, $F$9) + CHOOSE(CONTROL!$C$27, 0.0021, 0)</f>
        <v>22.619399999999999</v>
      </c>
      <c r="J30" s="17">
        <f>22.2571 * CHOOSE(CONTROL!$C$9, $D$9, 100%, $F$9) + CHOOSE(CONTROL!$C$27, 0.0021, 0)</f>
        <v>22.2592</v>
      </c>
      <c r="K30" s="17">
        <f>22.6173 * CHOOSE(CONTROL!$C$9, $D$9, 100%, $F$9) + CHOOSE(CONTROL!$C$27, 0.0021, 0)</f>
        <v>22.619399999999999</v>
      </c>
      <c r="L30" s="17"/>
      <c r="M30" s="35"/>
      <c r="N30" s="35"/>
      <c r="O30" s="35"/>
      <c r="P30" s="35"/>
      <c r="Q30" s="35"/>
    </row>
    <row r="31" spans="1:17" ht="15" x14ac:dyDescent="0.2">
      <c r="A31" s="16">
        <v>41852</v>
      </c>
      <c r="B31" s="17">
        <f>23.0352 * CHOOSE(CONTROL!$C$9, $D$9, 100%, $F$9) + CHOOSE(CONTROL!$C$27, 0.0021, 0)</f>
        <v>23.037299999999998</v>
      </c>
      <c r="C31" s="17">
        <f>22.6029 * CHOOSE(CONTROL!$C$9, $D$9, 100%, $F$9) + CHOOSE(CONTROL!$C$27, 0.0021, 0)</f>
        <v>22.605</v>
      </c>
      <c r="D31" s="17">
        <f>22.6029 * CHOOSE(CONTROL!$C$9, $D$9, 100%, $F$9) + CHOOSE(CONTROL!$C$27, 0.0021, 0)</f>
        <v>22.605</v>
      </c>
      <c r="E31" s="17">
        <f>22.4663 * CHOOSE(CONTROL!$C$9, $D$9, 100%, $F$9) + CHOOSE(CONTROL!$C$27, 0.0021, 0)</f>
        <v>22.468399999999999</v>
      </c>
      <c r="F31" s="17">
        <f>22.4663 * CHOOSE(CONTROL!$C$9, $D$9, 100%, $F$9) + CHOOSE(CONTROL!$C$27, 0.0021, 0)</f>
        <v>22.468399999999999</v>
      </c>
      <c r="G31" s="17">
        <f>22.7376 * CHOOSE(CONTROL!$C$9, $D$9, 100%, $F$9) + CHOOSE(CONTROL!$C$27, 0.0021, 0)</f>
        <v>22.739699999999999</v>
      </c>
      <c r="H31" s="17">
        <f>22.6029 * CHOOSE(CONTROL!$C$9, $D$9, 100%, $F$9) + CHOOSE(CONTROL!$C$27, 0.0021, 0)</f>
        <v>22.605</v>
      </c>
      <c r="I31" s="17">
        <f>22.6029 * CHOOSE(CONTROL!$C$9, $D$9, 100%, $F$9) + CHOOSE(CONTROL!$C$27, 0.0021, 0)</f>
        <v>22.605</v>
      </c>
      <c r="J31" s="17">
        <f>22.2427 * CHOOSE(CONTROL!$C$9, $D$9, 100%, $F$9) + CHOOSE(CONTROL!$C$27, 0.0021, 0)</f>
        <v>22.244799999999998</v>
      </c>
      <c r="K31" s="17">
        <f>22.6029 * CHOOSE(CONTROL!$C$9, $D$9, 100%, $F$9) + CHOOSE(CONTROL!$C$27, 0.0021, 0)</f>
        <v>22.605</v>
      </c>
      <c r="L31" s="17"/>
      <c r="M31" s="35"/>
      <c r="N31" s="35"/>
      <c r="O31" s="35"/>
      <c r="P31" s="35"/>
      <c r="Q31" s="35"/>
    </row>
    <row r="32" spans="1:17" ht="15" x14ac:dyDescent="0.2">
      <c r="A32" s="16">
        <v>41883</v>
      </c>
      <c r="B32" s="17">
        <f>23.0208 * CHOOSE(CONTROL!$C$9, $D$9, 100%, $F$9) + CHOOSE(CONTROL!$C$27, 0.0021, 0)</f>
        <v>23.0229</v>
      </c>
      <c r="C32" s="17">
        <f>22.5885 * CHOOSE(CONTROL!$C$9, $D$9, 100%, $F$9) + CHOOSE(CONTROL!$C$27, 0.0021, 0)</f>
        <v>22.590599999999998</v>
      </c>
      <c r="D32" s="17">
        <f>22.5885 * CHOOSE(CONTROL!$C$9, $D$9, 100%, $F$9) + CHOOSE(CONTROL!$C$27, 0.0021, 0)</f>
        <v>22.590599999999998</v>
      </c>
      <c r="E32" s="17">
        <f>22.4518 * CHOOSE(CONTROL!$C$9, $D$9, 100%, $F$9) + CHOOSE(CONTROL!$C$27, 0.0021, 0)</f>
        <v>22.453899999999997</v>
      </c>
      <c r="F32" s="17">
        <f>22.4518 * CHOOSE(CONTROL!$C$9, $D$9, 100%, $F$9) + CHOOSE(CONTROL!$C$27, 0.0021, 0)</f>
        <v>22.453899999999997</v>
      </c>
      <c r="G32" s="17">
        <f>22.7232 * CHOOSE(CONTROL!$C$9, $D$9, 100%, $F$9) + CHOOSE(CONTROL!$C$27, 0.0021, 0)</f>
        <v>22.725299999999997</v>
      </c>
      <c r="H32" s="17">
        <f>22.5885 * CHOOSE(CONTROL!$C$9, $D$9, 100%, $F$9) + CHOOSE(CONTROL!$C$27, 0.0021, 0)</f>
        <v>22.590599999999998</v>
      </c>
      <c r="I32" s="17">
        <f>22.5885 * CHOOSE(CONTROL!$C$9, $D$9, 100%, $F$9) + CHOOSE(CONTROL!$C$27, 0.0021, 0)</f>
        <v>22.590599999999998</v>
      </c>
      <c r="J32" s="17">
        <f>22.2283 * CHOOSE(CONTROL!$C$9, $D$9, 100%, $F$9) + CHOOSE(CONTROL!$C$27, 0.0021, 0)</f>
        <v>22.230399999999999</v>
      </c>
      <c r="K32" s="17">
        <f>22.5885 * CHOOSE(CONTROL!$C$9, $D$9, 100%, $F$9) + CHOOSE(CONTROL!$C$27, 0.0021, 0)</f>
        <v>22.590599999999998</v>
      </c>
      <c r="L32" s="17"/>
      <c r="M32" s="35"/>
      <c r="N32" s="35"/>
      <c r="O32" s="35"/>
      <c r="P32" s="35"/>
      <c r="Q32" s="35"/>
    </row>
    <row r="33" spans="1:17" ht="15" x14ac:dyDescent="0.2">
      <c r="A33" s="16">
        <v>41913</v>
      </c>
      <c r="B33" s="17">
        <f>23.0063 * CHOOSE(CONTROL!$C$9, $D$9, 100%, $F$9) + CHOOSE(CONTROL!$C$27, 0.0021, 0)</f>
        <v>23.008399999999998</v>
      </c>
      <c r="C33" s="17">
        <f>22.5741 * CHOOSE(CONTROL!$C$9, $D$9, 100%, $F$9) + CHOOSE(CONTROL!$C$27, 0.0021, 0)</f>
        <v>22.5762</v>
      </c>
      <c r="D33" s="17">
        <f>22.5741 * CHOOSE(CONTROL!$C$9, $D$9, 100%, $F$9) + CHOOSE(CONTROL!$C$27, 0.0021, 0)</f>
        <v>22.5762</v>
      </c>
      <c r="E33" s="17">
        <f>22.4374 * CHOOSE(CONTROL!$C$9, $D$9, 100%, $F$9) + CHOOSE(CONTROL!$C$27, 0.0021, 0)</f>
        <v>22.439499999999999</v>
      </c>
      <c r="F33" s="17">
        <f>22.4374 * CHOOSE(CONTROL!$C$9, $D$9, 100%, $F$9) + CHOOSE(CONTROL!$C$27, 0.0021, 0)</f>
        <v>22.439499999999999</v>
      </c>
      <c r="G33" s="17">
        <f>22.7088 * CHOOSE(CONTROL!$C$9, $D$9, 100%, $F$9) + CHOOSE(CONTROL!$C$27, 0.0021, 0)</f>
        <v>22.710899999999999</v>
      </c>
      <c r="H33" s="17">
        <f>22.5741 * CHOOSE(CONTROL!$C$9, $D$9, 100%, $F$9) + CHOOSE(CONTROL!$C$27, 0.0021, 0)</f>
        <v>22.5762</v>
      </c>
      <c r="I33" s="17">
        <f>22.5741 * CHOOSE(CONTROL!$C$9, $D$9, 100%, $F$9) + CHOOSE(CONTROL!$C$27, 0.0021, 0)</f>
        <v>22.5762</v>
      </c>
      <c r="J33" s="17">
        <f>22.2139 * CHOOSE(CONTROL!$C$9, $D$9, 100%, $F$9) + CHOOSE(CONTROL!$C$27, 0.0021, 0)</f>
        <v>22.215999999999998</v>
      </c>
      <c r="K33" s="17">
        <f>22.5741 * CHOOSE(CONTROL!$C$9, $D$9, 100%, $F$9) + CHOOSE(CONTROL!$C$27, 0.0021, 0)</f>
        <v>22.5762</v>
      </c>
      <c r="L33" s="17"/>
      <c r="M33" s="35"/>
      <c r="N33" s="35"/>
      <c r="O33" s="35"/>
      <c r="P33" s="35"/>
      <c r="Q33" s="35"/>
    </row>
    <row r="34" spans="1:17" ht="15" x14ac:dyDescent="0.2">
      <c r="A34" s="16">
        <v>41944</v>
      </c>
      <c r="B34" s="17">
        <f>22.9955 * CHOOSE(CONTROL!$C$9, $D$9, 100%, $F$9) + CHOOSE(CONTROL!$C$27, 0.0021, 0)</f>
        <v>22.997599999999998</v>
      </c>
      <c r="C34" s="17">
        <f>22.5633 * CHOOSE(CONTROL!$C$9, $D$9, 100%, $F$9) + CHOOSE(CONTROL!$C$27, 0.0021, 0)</f>
        <v>22.5654</v>
      </c>
      <c r="D34" s="17">
        <f>22.5633 * CHOOSE(CONTROL!$C$9, $D$9, 100%, $F$9) + CHOOSE(CONTROL!$C$27, 0.0021, 0)</f>
        <v>22.5654</v>
      </c>
      <c r="E34" s="17">
        <f>22.4266 * CHOOSE(CONTROL!$C$9, $D$9, 100%, $F$9) + CHOOSE(CONTROL!$C$27, 0.0021, 0)</f>
        <v>22.428699999999999</v>
      </c>
      <c r="F34" s="17">
        <f>22.4266 * CHOOSE(CONTROL!$C$9, $D$9, 100%, $F$9) + CHOOSE(CONTROL!$C$27, 0.0021, 0)</f>
        <v>22.428699999999999</v>
      </c>
      <c r="G34" s="17">
        <f>22.698 * CHOOSE(CONTROL!$C$9, $D$9, 100%, $F$9) + CHOOSE(CONTROL!$C$27, 0.0021, 0)</f>
        <v>22.700099999999999</v>
      </c>
      <c r="H34" s="17">
        <f>22.5633 * CHOOSE(CONTROL!$C$9, $D$9, 100%, $F$9) + CHOOSE(CONTROL!$C$27, 0.0021, 0)</f>
        <v>22.5654</v>
      </c>
      <c r="I34" s="17">
        <f>22.5633 * CHOOSE(CONTROL!$C$9, $D$9, 100%, $F$9) + CHOOSE(CONTROL!$C$27, 0.0021, 0)</f>
        <v>22.5654</v>
      </c>
      <c r="J34" s="17">
        <f>22.2031 * CHOOSE(CONTROL!$C$9, $D$9, 100%, $F$9) + CHOOSE(CONTROL!$C$27, 0.0021, 0)</f>
        <v>22.205199999999998</v>
      </c>
      <c r="K34" s="17">
        <f>22.5633 * CHOOSE(CONTROL!$C$9, $D$9, 100%, $F$9) + CHOOSE(CONTROL!$C$27, 0.0021, 0)</f>
        <v>22.5654</v>
      </c>
      <c r="L34" s="17"/>
      <c r="M34" s="35"/>
      <c r="N34" s="35"/>
      <c r="O34" s="35"/>
      <c r="P34" s="35"/>
      <c r="Q34" s="35"/>
    </row>
    <row r="35" spans="1:17" ht="15" x14ac:dyDescent="0.2">
      <c r="A35" s="16">
        <v>41974</v>
      </c>
      <c r="B35" s="17">
        <f>22.9847 * CHOOSE(CONTROL!$C$9, $D$9, 100%, $F$9) + CHOOSE(CONTROL!$C$27, 0.0021, 0)</f>
        <v>22.986799999999999</v>
      </c>
      <c r="C35" s="17">
        <f>22.5525 * CHOOSE(CONTROL!$C$9, $D$9, 100%, $F$9) + CHOOSE(CONTROL!$C$27, 0.0021, 0)</f>
        <v>22.554599999999997</v>
      </c>
      <c r="D35" s="17">
        <f>22.5525 * CHOOSE(CONTROL!$C$9, $D$9, 100%, $F$9) + CHOOSE(CONTROL!$C$27, 0.0021, 0)</f>
        <v>22.554599999999997</v>
      </c>
      <c r="E35" s="17">
        <f>22.4158 * CHOOSE(CONTROL!$C$9, $D$9, 100%, $F$9) + CHOOSE(CONTROL!$C$27, 0.0021, 0)</f>
        <v>22.417899999999999</v>
      </c>
      <c r="F35" s="17">
        <f>22.4158 * CHOOSE(CONTROL!$C$9, $D$9, 100%, $F$9) + CHOOSE(CONTROL!$C$27, 0.0021, 0)</f>
        <v>22.417899999999999</v>
      </c>
      <c r="G35" s="17">
        <f>22.6872 * CHOOSE(CONTROL!$C$9, $D$9, 100%, $F$9) + CHOOSE(CONTROL!$C$27, 0.0021, 0)</f>
        <v>22.689299999999999</v>
      </c>
      <c r="H35" s="17">
        <f>22.5525 * CHOOSE(CONTROL!$C$9, $D$9, 100%, $F$9) + CHOOSE(CONTROL!$C$27, 0.0021, 0)</f>
        <v>22.554599999999997</v>
      </c>
      <c r="I35" s="17">
        <f>22.5525 * CHOOSE(CONTROL!$C$9, $D$9, 100%, $F$9) + CHOOSE(CONTROL!$C$27, 0.0021, 0)</f>
        <v>22.554599999999997</v>
      </c>
      <c r="J35" s="17">
        <f>22.1923 * CHOOSE(CONTROL!$C$9, $D$9, 100%, $F$9) + CHOOSE(CONTROL!$C$27, 0.0021, 0)</f>
        <v>22.194399999999998</v>
      </c>
      <c r="K35" s="17">
        <f>22.5525 * CHOOSE(CONTROL!$C$9, $D$9, 100%, $F$9) + CHOOSE(CONTROL!$C$27, 0.0021, 0)</f>
        <v>22.554599999999997</v>
      </c>
      <c r="L35" s="17"/>
      <c r="M35" s="35"/>
      <c r="N35" s="35"/>
      <c r="O35" s="35"/>
      <c r="P35" s="35"/>
      <c r="Q35" s="35"/>
    </row>
    <row r="36" spans="1:17" ht="15" x14ac:dyDescent="0.2">
      <c r="A36" s="16">
        <v>42005</v>
      </c>
      <c r="B36" s="17">
        <f>22.9775 * CHOOSE(CONTROL!$C$9, $D$9, 100%, $F$9) + CHOOSE(CONTROL!$C$27, 0.0021, 0)</f>
        <v>22.979599999999998</v>
      </c>
      <c r="C36" s="17">
        <f>22.5453 * CHOOSE(CONTROL!$C$9, $D$9, 100%, $F$9) + CHOOSE(CONTROL!$C$27, 0.0021, 0)</f>
        <v>22.5474</v>
      </c>
      <c r="D36" s="17">
        <f>22.5453 * CHOOSE(CONTROL!$C$9, $D$9, 100%, $F$9) + CHOOSE(CONTROL!$C$27, 0.0021, 0)</f>
        <v>22.5474</v>
      </c>
      <c r="E36" s="17">
        <f>22.4086 * CHOOSE(CONTROL!$C$9, $D$9, 100%, $F$9) + CHOOSE(CONTROL!$C$27, 0.0021, 0)</f>
        <v>22.410699999999999</v>
      </c>
      <c r="F36" s="17">
        <f>22.4086 * CHOOSE(CONTROL!$C$9, $D$9, 100%, $F$9) + CHOOSE(CONTROL!$C$27, 0.0021, 0)</f>
        <v>22.410699999999999</v>
      </c>
      <c r="G36" s="17">
        <f>22.68 * CHOOSE(CONTROL!$C$9, $D$9, 100%, $F$9) + CHOOSE(CONTROL!$C$27, 0.0021, 0)</f>
        <v>22.682099999999998</v>
      </c>
      <c r="H36" s="17">
        <f>22.5453 * CHOOSE(CONTROL!$C$9, $D$9, 100%, $F$9) + CHOOSE(CONTROL!$C$27, 0.0021, 0)</f>
        <v>22.5474</v>
      </c>
      <c r="I36" s="17">
        <f>22.5453 * CHOOSE(CONTROL!$C$9, $D$9, 100%, $F$9) + CHOOSE(CONTROL!$C$27, 0.0021, 0)</f>
        <v>22.5474</v>
      </c>
      <c r="J36" s="17">
        <f>22.5453 * CHOOSE(CONTROL!$C$9, $D$9, 100%, $F$9) + CHOOSE(CONTROL!$C$27, 0.0021, 0)</f>
        <v>22.5474</v>
      </c>
      <c r="K36" s="17">
        <f>22.5453 * CHOOSE(CONTROL!$C$9, $D$9, 100%, $F$9) + CHOOSE(CONTROL!$C$27, 0.0021, 0)</f>
        <v>22.5474</v>
      </c>
      <c r="L36" s="17"/>
      <c r="M36" s="35"/>
      <c r="N36" s="35"/>
      <c r="O36" s="35"/>
      <c r="P36" s="35"/>
      <c r="Q36" s="35"/>
    </row>
    <row r="37" spans="1:17" ht="15" x14ac:dyDescent="0.2">
      <c r="A37" s="16">
        <v>42036</v>
      </c>
      <c r="B37" s="17">
        <f>22.9163 * CHOOSE(CONTROL!$C$9, $D$9, 100%, $F$9) + CHOOSE(CONTROL!$C$27, 0.0021, 0)</f>
        <v>22.918399999999998</v>
      </c>
      <c r="C37" s="17">
        <f>22.484 * CHOOSE(CONTROL!$C$9, $D$9, 100%, $F$9) + CHOOSE(CONTROL!$C$27, 0.0021, 0)</f>
        <v>22.4861</v>
      </c>
      <c r="D37" s="17">
        <f>22.484 * CHOOSE(CONTROL!$C$9, $D$9, 100%, $F$9) + CHOOSE(CONTROL!$C$27, 0.0021, 0)</f>
        <v>22.4861</v>
      </c>
      <c r="E37" s="17">
        <f>22.3474 * CHOOSE(CONTROL!$C$9, $D$9, 100%, $F$9) + CHOOSE(CONTROL!$C$27, 0.0021, 0)</f>
        <v>22.349499999999999</v>
      </c>
      <c r="F37" s="17">
        <f>22.3474 * CHOOSE(CONTROL!$C$9, $D$9, 100%, $F$9) + CHOOSE(CONTROL!$C$27, 0.0021, 0)</f>
        <v>22.349499999999999</v>
      </c>
      <c r="G37" s="17">
        <f>22.6188 * CHOOSE(CONTROL!$C$9, $D$9, 100%, $F$9) + CHOOSE(CONTROL!$C$27, 0.0021, 0)</f>
        <v>22.620899999999999</v>
      </c>
      <c r="H37" s="17">
        <f>22.484 * CHOOSE(CONTROL!$C$9, $D$9, 100%, $F$9) + CHOOSE(CONTROL!$C$27, 0.0021, 0)</f>
        <v>22.4861</v>
      </c>
      <c r="I37" s="17">
        <f>22.484 * CHOOSE(CONTROL!$C$9, $D$9, 100%, $F$9) + CHOOSE(CONTROL!$C$27, 0.0021, 0)</f>
        <v>22.4861</v>
      </c>
      <c r="J37" s="17">
        <f>22.484 * CHOOSE(CONTROL!$C$9, $D$9, 100%, $F$9) + CHOOSE(CONTROL!$C$27, 0.0021, 0)</f>
        <v>22.4861</v>
      </c>
      <c r="K37" s="17">
        <f>22.484 * CHOOSE(CONTROL!$C$9, $D$9, 100%, $F$9) + CHOOSE(CONTROL!$C$27, 0.0021, 0)</f>
        <v>22.4861</v>
      </c>
      <c r="L37" s="17"/>
      <c r="M37" s="35"/>
      <c r="N37" s="35"/>
      <c r="O37" s="35"/>
      <c r="P37" s="35"/>
      <c r="Q37" s="35"/>
    </row>
    <row r="38" spans="1:17" ht="15" x14ac:dyDescent="0.2">
      <c r="A38" s="16">
        <v>42064</v>
      </c>
      <c r="B38" s="17">
        <f>22.8226 * CHOOSE(CONTROL!$C$9, $D$9, 100%, $F$9) + CHOOSE(CONTROL!$C$27, 0.0021, 0)</f>
        <v>22.8247</v>
      </c>
      <c r="C38" s="17">
        <f>22.3904 * CHOOSE(CONTROL!$C$9, $D$9, 100%, $F$9) + CHOOSE(CONTROL!$C$27, 0.0021, 0)</f>
        <v>22.392499999999998</v>
      </c>
      <c r="D38" s="17">
        <f>22.3904 * CHOOSE(CONTROL!$C$9, $D$9, 100%, $F$9) + CHOOSE(CONTROL!$C$27, 0.0021, 0)</f>
        <v>22.392499999999998</v>
      </c>
      <c r="E38" s="17">
        <f>22.2537 * CHOOSE(CONTROL!$C$9, $D$9, 100%, $F$9) + CHOOSE(CONTROL!$C$27, 0.0021, 0)</f>
        <v>22.255799999999997</v>
      </c>
      <c r="F38" s="17">
        <f>22.2537 * CHOOSE(CONTROL!$C$9, $D$9, 100%, $F$9) + CHOOSE(CONTROL!$C$27, 0.0021, 0)</f>
        <v>22.255799999999997</v>
      </c>
      <c r="G38" s="17">
        <f>22.5251 * CHOOSE(CONTROL!$C$9, $D$9, 100%, $F$9) + CHOOSE(CONTROL!$C$27, 0.0021, 0)</f>
        <v>22.527199999999997</v>
      </c>
      <c r="H38" s="17">
        <f>22.3904 * CHOOSE(CONTROL!$C$9, $D$9, 100%, $F$9) + CHOOSE(CONTROL!$C$27, 0.0021, 0)</f>
        <v>22.392499999999998</v>
      </c>
      <c r="I38" s="17">
        <f>22.3904 * CHOOSE(CONTROL!$C$9, $D$9, 100%, $F$9) + CHOOSE(CONTROL!$C$27, 0.0021, 0)</f>
        <v>22.392499999999998</v>
      </c>
      <c r="J38" s="17">
        <f>22.3904 * CHOOSE(CONTROL!$C$9, $D$9, 100%, $F$9) + CHOOSE(CONTROL!$C$27, 0.0021, 0)</f>
        <v>22.392499999999998</v>
      </c>
      <c r="K38" s="17">
        <f>22.3904 * CHOOSE(CONTROL!$C$9, $D$9, 100%, $F$9) + CHOOSE(CONTROL!$C$27, 0.0021, 0)</f>
        <v>22.392499999999998</v>
      </c>
      <c r="L38" s="17"/>
      <c r="M38" s="35"/>
      <c r="N38" s="35"/>
      <c r="O38" s="35"/>
      <c r="P38" s="35"/>
      <c r="Q38" s="35"/>
    </row>
    <row r="39" spans="1:17" ht="15" x14ac:dyDescent="0.2">
      <c r="A39" s="16">
        <v>42095</v>
      </c>
      <c r="B39" s="17">
        <f>22.6425 * CHOOSE(CONTROL!$C$9, $D$9, 100%, $F$9) + CHOOSE(CONTROL!$C$27, 0.0021, 0)</f>
        <v>22.644599999999997</v>
      </c>
      <c r="C39" s="17">
        <f>22.2103 * CHOOSE(CONTROL!$C$9, $D$9, 100%, $F$9) + CHOOSE(CONTROL!$C$27, 0.0021, 0)</f>
        <v>22.212399999999999</v>
      </c>
      <c r="D39" s="17">
        <f>22.2103 * CHOOSE(CONTROL!$C$9, $D$9, 100%, $F$9) + CHOOSE(CONTROL!$C$27, 0.0021, 0)</f>
        <v>22.212399999999999</v>
      </c>
      <c r="E39" s="17">
        <f>22.0736 * CHOOSE(CONTROL!$C$9, $D$9, 100%, $F$9) + CHOOSE(CONTROL!$C$27, 0.0021, 0)</f>
        <v>22.075699999999998</v>
      </c>
      <c r="F39" s="17">
        <f>22.0736 * CHOOSE(CONTROL!$C$9, $D$9, 100%, $F$9) + CHOOSE(CONTROL!$C$27, 0.0021, 0)</f>
        <v>22.075699999999998</v>
      </c>
      <c r="G39" s="17">
        <f>22.345 * CHOOSE(CONTROL!$C$9, $D$9, 100%, $F$9) + CHOOSE(CONTROL!$C$27, 0.0021, 0)</f>
        <v>22.347099999999998</v>
      </c>
      <c r="H39" s="17">
        <f>22.2103 * CHOOSE(CONTROL!$C$9, $D$9, 100%, $F$9) + CHOOSE(CONTROL!$C$27, 0.0021, 0)</f>
        <v>22.212399999999999</v>
      </c>
      <c r="I39" s="17">
        <f>22.2103 * CHOOSE(CONTROL!$C$9, $D$9, 100%, $F$9) + CHOOSE(CONTROL!$C$27, 0.0021, 0)</f>
        <v>22.212399999999999</v>
      </c>
      <c r="J39" s="17">
        <f>22.2103 * CHOOSE(CONTROL!$C$9, $D$9, 100%, $F$9) + CHOOSE(CONTROL!$C$27, 0.0021, 0)</f>
        <v>22.212399999999999</v>
      </c>
      <c r="K39" s="17">
        <f>22.2103 * CHOOSE(CONTROL!$C$9, $D$9, 100%, $F$9) + CHOOSE(CONTROL!$C$27, 0.0021, 0)</f>
        <v>22.212399999999999</v>
      </c>
      <c r="L39" s="17"/>
      <c r="M39" s="35"/>
      <c r="N39" s="35"/>
      <c r="O39" s="35"/>
      <c r="P39" s="35"/>
      <c r="Q39" s="35"/>
    </row>
    <row r="40" spans="1:17" ht="15" x14ac:dyDescent="0.2">
      <c r="A40" s="16">
        <v>42125</v>
      </c>
      <c r="B40" s="17">
        <f>22.5201 * CHOOSE(CONTROL!$C$9, $D$9, 100%, $F$9) + CHOOSE(CONTROL!$C$27, 0.0021, 0)</f>
        <v>22.522199999999998</v>
      </c>
      <c r="C40" s="17">
        <f>22.0878 * CHOOSE(CONTROL!$C$9, $D$9, 100%, $F$9) + CHOOSE(CONTROL!$C$27, 0.0021, 0)</f>
        <v>22.0899</v>
      </c>
      <c r="D40" s="17">
        <f>22.0878 * CHOOSE(CONTROL!$C$9, $D$9, 100%, $F$9) + CHOOSE(CONTROL!$C$27, 0.0021, 0)</f>
        <v>22.0899</v>
      </c>
      <c r="E40" s="17">
        <f>21.9512 * CHOOSE(CONTROL!$C$9, $D$9, 100%, $F$9) + CHOOSE(CONTROL!$C$27, 0.0021, 0)</f>
        <v>21.953299999999999</v>
      </c>
      <c r="F40" s="17">
        <f>21.9512 * CHOOSE(CONTROL!$C$9, $D$9, 100%, $F$9) + CHOOSE(CONTROL!$C$27, 0.0021, 0)</f>
        <v>21.953299999999999</v>
      </c>
      <c r="G40" s="17">
        <f>22.2225 * CHOOSE(CONTROL!$C$9, $D$9, 100%, $F$9) + CHOOSE(CONTROL!$C$27, 0.0021, 0)</f>
        <v>22.224599999999999</v>
      </c>
      <c r="H40" s="17">
        <f>22.0878 * CHOOSE(CONTROL!$C$9, $D$9, 100%, $F$9) + CHOOSE(CONTROL!$C$27, 0.0021, 0)</f>
        <v>22.0899</v>
      </c>
      <c r="I40" s="17">
        <f>22.0878 * CHOOSE(CONTROL!$C$9, $D$9, 100%, $F$9) + CHOOSE(CONTROL!$C$27, 0.0021, 0)</f>
        <v>22.0899</v>
      </c>
      <c r="J40" s="17">
        <f>22.0878 * CHOOSE(CONTROL!$C$9, $D$9, 100%, $F$9) + CHOOSE(CONTROL!$C$27, 0.0021, 0)</f>
        <v>22.0899</v>
      </c>
      <c r="K40" s="17">
        <f>22.0878 * CHOOSE(CONTROL!$C$9, $D$9, 100%, $F$9) + CHOOSE(CONTROL!$C$27, 0.0021, 0)</f>
        <v>22.0899</v>
      </c>
      <c r="L40" s="17"/>
      <c r="M40" s="35"/>
      <c r="N40" s="35"/>
      <c r="O40" s="35"/>
      <c r="P40" s="35"/>
      <c r="Q40" s="35"/>
    </row>
    <row r="41" spans="1:17" ht="15" x14ac:dyDescent="0.2">
      <c r="A41" s="16">
        <v>42156</v>
      </c>
      <c r="B41" s="17">
        <f>22.4048 * CHOOSE(CONTROL!$C$9, $D$9, 100%, $F$9) + CHOOSE(CONTROL!$C$27, 0.0021, 0)</f>
        <v>22.4069</v>
      </c>
      <c r="C41" s="17">
        <f>21.9726 * CHOOSE(CONTROL!$C$9, $D$9, 100%, $F$9) + CHOOSE(CONTROL!$C$27, 0.0021, 0)</f>
        <v>21.974699999999999</v>
      </c>
      <c r="D41" s="17">
        <f>21.9726 * CHOOSE(CONTROL!$C$9, $D$9, 100%, $F$9) + CHOOSE(CONTROL!$C$27, 0.0021, 0)</f>
        <v>21.974699999999999</v>
      </c>
      <c r="E41" s="17">
        <f>21.8359 * CHOOSE(CONTROL!$C$9, $D$9, 100%, $F$9) + CHOOSE(CONTROL!$C$27, 0.0021, 0)</f>
        <v>21.837999999999997</v>
      </c>
      <c r="F41" s="17">
        <f>21.8359 * CHOOSE(CONTROL!$C$9, $D$9, 100%, $F$9) + CHOOSE(CONTROL!$C$27, 0.0021, 0)</f>
        <v>21.837999999999997</v>
      </c>
      <c r="G41" s="17">
        <f>22.1073 * CHOOSE(CONTROL!$C$9, $D$9, 100%, $F$9) + CHOOSE(CONTROL!$C$27, 0.0021, 0)</f>
        <v>22.109399999999997</v>
      </c>
      <c r="H41" s="17">
        <f>21.9726 * CHOOSE(CONTROL!$C$9, $D$9, 100%, $F$9) + CHOOSE(CONTROL!$C$27, 0.0021, 0)</f>
        <v>21.974699999999999</v>
      </c>
      <c r="I41" s="17">
        <f>21.9726 * CHOOSE(CONTROL!$C$9, $D$9, 100%, $F$9) + CHOOSE(CONTROL!$C$27, 0.0021, 0)</f>
        <v>21.974699999999999</v>
      </c>
      <c r="J41" s="17">
        <f>21.9726 * CHOOSE(CONTROL!$C$9, $D$9, 100%, $F$9) + CHOOSE(CONTROL!$C$27, 0.0021, 0)</f>
        <v>21.974699999999999</v>
      </c>
      <c r="K41" s="17">
        <f>21.9726 * CHOOSE(CONTROL!$C$9, $D$9, 100%, $F$9) + CHOOSE(CONTROL!$C$27, 0.0021, 0)</f>
        <v>21.974699999999999</v>
      </c>
      <c r="L41" s="17"/>
      <c r="M41" s="35"/>
      <c r="N41" s="35"/>
      <c r="O41" s="35"/>
      <c r="P41" s="35"/>
      <c r="Q41" s="35"/>
    </row>
    <row r="42" spans="1:17" ht="15" x14ac:dyDescent="0.2">
      <c r="A42" s="16">
        <v>42186</v>
      </c>
      <c r="B42" s="17">
        <f>22.3688 * CHOOSE(CONTROL!$C$9, $D$9, 100%, $F$9) + CHOOSE(CONTROL!$C$27, 0.0021, 0)</f>
        <v>22.370899999999999</v>
      </c>
      <c r="C42" s="17">
        <f>21.9365 * CHOOSE(CONTROL!$C$9, $D$9, 100%, $F$9) + CHOOSE(CONTROL!$C$27, 0.0021, 0)</f>
        <v>21.938599999999997</v>
      </c>
      <c r="D42" s="17">
        <f>21.9365 * CHOOSE(CONTROL!$C$9, $D$9, 100%, $F$9) + CHOOSE(CONTROL!$C$27, 0.0021, 0)</f>
        <v>21.938599999999997</v>
      </c>
      <c r="E42" s="17">
        <f>21.7999 * CHOOSE(CONTROL!$C$9, $D$9, 100%, $F$9) + CHOOSE(CONTROL!$C$27, 0.0021, 0)</f>
        <v>21.802</v>
      </c>
      <c r="F42" s="17">
        <f>21.7999 * CHOOSE(CONTROL!$C$9, $D$9, 100%, $F$9) + CHOOSE(CONTROL!$C$27, 0.0021, 0)</f>
        <v>21.802</v>
      </c>
      <c r="G42" s="17">
        <f>22.0713 * CHOOSE(CONTROL!$C$9, $D$9, 100%, $F$9) + CHOOSE(CONTROL!$C$27, 0.0021, 0)</f>
        <v>22.073399999999999</v>
      </c>
      <c r="H42" s="17">
        <f>21.9365 * CHOOSE(CONTROL!$C$9, $D$9, 100%, $F$9) + CHOOSE(CONTROL!$C$27, 0.0021, 0)</f>
        <v>21.938599999999997</v>
      </c>
      <c r="I42" s="17">
        <f>21.9365 * CHOOSE(CONTROL!$C$9, $D$9, 100%, $F$9) + CHOOSE(CONTROL!$C$27, 0.0021, 0)</f>
        <v>21.938599999999997</v>
      </c>
      <c r="J42" s="17">
        <f>21.9365 * CHOOSE(CONTROL!$C$9, $D$9, 100%, $F$9) + CHOOSE(CONTROL!$C$27, 0.0021, 0)</f>
        <v>21.938599999999997</v>
      </c>
      <c r="K42" s="17">
        <f>21.9365 * CHOOSE(CONTROL!$C$9, $D$9, 100%, $F$9) + CHOOSE(CONTROL!$C$27, 0.0021, 0)</f>
        <v>21.938599999999997</v>
      </c>
      <c r="L42" s="17"/>
      <c r="M42" s="35"/>
      <c r="N42" s="35"/>
      <c r="O42" s="35"/>
      <c r="P42" s="35"/>
      <c r="Q42" s="35"/>
    </row>
    <row r="43" spans="1:17" ht="15" x14ac:dyDescent="0.2">
      <c r="A43" s="16">
        <v>42217</v>
      </c>
      <c r="B43" s="17">
        <f>22.3436 * CHOOSE(CONTROL!$C$9, $D$9, 100%, $F$9) + CHOOSE(CONTROL!$C$27, 0.0021, 0)</f>
        <v>22.345699999999997</v>
      </c>
      <c r="C43" s="17">
        <f>21.9113 * CHOOSE(CONTROL!$C$9, $D$9, 100%, $F$9) + CHOOSE(CONTROL!$C$27, 0.0021, 0)</f>
        <v>21.913399999999999</v>
      </c>
      <c r="D43" s="17">
        <f>21.9113 * CHOOSE(CONTROL!$C$9, $D$9, 100%, $F$9) + CHOOSE(CONTROL!$C$27, 0.0021, 0)</f>
        <v>21.913399999999999</v>
      </c>
      <c r="E43" s="17">
        <f>21.7747 * CHOOSE(CONTROL!$C$9, $D$9, 100%, $F$9) + CHOOSE(CONTROL!$C$27, 0.0021, 0)</f>
        <v>21.776799999999998</v>
      </c>
      <c r="F43" s="17">
        <f>21.7747 * CHOOSE(CONTROL!$C$9, $D$9, 100%, $F$9) + CHOOSE(CONTROL!$C$27, 0.0021, 0)</f>
        <v>21.776799999999998</v>
      </c>
      <c r="G43" s="17">
        <f>22.046 * CHOOSE(CONTROL!$C$9, $D$9, 100%, $F$9) + CHOOSE(CONTROL!$C$27, 0.0021, 0)</f>
        <v>22.048099999999998</v>
      </c>
      <c r="H43" s="17">
        <f>21.9113 * CHOOSE(CONTROL!$C$9, $D$9, 100%, $F$9) + CHOOSE(CONTROL!$C$27, 0.0021, 0)</f>
        <v>21.913399999999999</v>
      </c>
      <c r="I43" s="17">
        <f>21.9113 * CHOOSE(CONTROL!$C$9, $D$9, 100%, $F$9) + CHOOSE(CONTROL!$C$27, 0.0021, 0)</f>
        <v>21.913399999999999</v>
      </c>
      <c r="J43" s="17">
        <f>21.9113 * CHOOSE(CONTROL!$C$9, $D$9, 100%, $F$9) + CHOOSE(CONTROL!$C$27, 0.0021, 0)</f>
        <v>21.913399999999999</v>
      </c>
      <c r="K43" s="17">
        <f>21.9113 * CHOOSE(CONTROL!$C$9, $D$9, 100%, $F$9) + CHOOSE(CONTROL!$C$27, 0.0021, 0)</f>
        <v>21.913399999999999</v>
      </c>
      <c r="L43" s="17"/>
      <c r="M43" s="35"/>
      <c r="N43" s="35"/>
      <c r="O43" s="35"/>
      <c r="P43" s="35"/>
      <c r="Q43" s="35"/>
    </row>
    <row r="44" spans="1:17" ht="15" x14ac:dyDescent="0.2">
      <c r="A44" s="16">
        <v>42248</v>
      </c>
      <c r="B44" s="17">
        <f>22.322 * CHOOSE(CONTROL!$C$9, $D$9, 100%, $F$9) + CHOOSE(CONTROL!$C$27, 0.0021, 0)</f>
        <v>22.324099999999998</v>
      </c>
      <c r="C44" s="17">
        <f>21.8897 * CHOOSE(CONTROL!$C$9, $D$9, 100%, $F$9) + CHOOSE(CONTROL!$C$27, 0.0021, 0)</f>
        <v>21.8918</v>
      </c>
      <c r="D44" s="17">
        <f>21.8897 * CHOOSE(CONTROL!$C$9, $D$9, 100%, $F$9) + CHOOSE(CONTROL!$C$27, 0.0021, 0)</f>
        <v>21.8918</v>
      </c>
      <c r="E44" s="17">
        <f>21.753 * CHOOSE(CONTROL!$C$9, $D$9, 100%, $F$9) + CHOOSE(CONTROL!$C$27, 0.0021, 0)</f>
        <v>21.755099999999999</v>
      </c>
      <c r="F44" s="17">
        <f>21.753 * CHOOSE(CONTROL!$C$9, $D$9, 100%, $F$9) + CHOOSE(CONTROL!$C$27, 0.0021, 0)</f>
        <v>21.755099999999999</v>
      </c>
      <c r="G44" s="17">
        <f>22.0244 * CHOOSE(CONTROL!$C$9, $D$9, 100%, $F$9) + CHOOSE(CONTROL!$C$27, 0.0021, 0)</f>
        <v>22.026499999999999</v>
      </c>
      <c r="H44" s="17">
        <f>21.8897 * CHOOSE(CONTROL!$C$9, $D$9, 100%, $F$9) + CHOOSE(CONTROL!$C$27, 0.0021, 0)</f>
        <v>21.8918</v>
      </c>
      <c r="I44" s="17">
        <f>21.8897 * CHOOSE(CONTROL!$C$9, $D$9, 100%, $F$9) + CHOOSE(CONTROL!$C$27, 0.0021, 0)</f>
        <v>21.8918</v>
      </c>
      <c r="J44" s="17">
        <f>21.8897 * CHOOSE(CONTROL!$C$9, $D$9, 100%, $F$9) + CHOOSE(CONTROL!$C$27, 0.0021, 0)</f>
        <v>21.8918</v>
      </c>
      <c r="K44" s="17">
        <f>21.8897 * CHOOSE(CONTROL!$C$9, $D$9, 100%, $F$9) + CHOOSE(CONTROL!$C$27, 0.0021, 0)</f>
        <v>21.8918</v>
      </c>
      <c r="L44" s="17"/>
      <c r="M44" s="35"/>
      <c r="N44" s="35"/>
      <c r="O44" s="35"/>
      <c r="P44" s="35"/>
      <c r="Q44" s="35"/>
    </row>
    <row r="45" spans="1:17" ht="15" x14ac:dyDescent="0.2">
      <c r="A45" s="16">
        <v>42278</v>
      </c>
      <c r="B45" s="17">
        <f>22.3003 * CHOOSE(CONTROL!$C$9, $D$9, 100%, $F$9) + CHOOSE(CONTROL!$C$27, 0.0021, 0)</f>
        <v>22.302399999999999</v>
      </c>
      <c r="C45" s="17">
        <f>21.8681 * CHOOSE(CONTROL!$C$9, $D$9, 100%, $F$9) + CHOOSE(CONTROL!$C$27, 0.0021, 0)</f>
        <v>21.870199999999997</v>
      </c>
      <c r="D45" s="17">
        <f>21.8681 * CHOOSE(CONTROL!$C$9, $D$9, 100%, $F$9) + CHOOSE(CONTROL!$C$27, 0.0021, 0)</f>
        <v>21.870199999999997</v>
      </c>
      <c r="E45" s="17">
        <f>21.7314 * CHOOSE(CONTROL!$C$9, $D$9, 100%, $F$9) + CHOOSE(CONTROL!$C$27, 0.0021, 0)</f>
        <v>21.733499999999999</v>
      </c>
      <c r="F45" s="17">
        <f>21.7314 * CHOOSE(CONTROL!$C$9, $D$9, 100%, $F$9) + CHOOSE(CONTROL!$C$27, 0.0021, 0)</f>
        <v>21.733499999999999</v>
      </c>
      <c r="G45" s="17">
        <f>22.0028 * CHOOSE(CONTROL!$C$9, $D$9, 100%, $F$9) + CHOOSE(CONTROL!$C$27, 0.0021, 0)</f>
        <v>22.004899999999999</v>
      </c>
      <c r="H45" s="17">
        <f>21.8681 * CHOOSE(CONTROL!$C$9, $D$9, 100%, $F$9) + CHOOSE(CONTROL!$C$27, 0.0021, 0)</f>
        <v>21.870199999999997</v>
      </c>
      <c r="I45" s="17">
        <f>21.8681 * CHOOSE(CONTROL!$C$9, $D$9, 100%, $F$9) + CHOOSE(CONTROL!$C$27, 0.0021, 0)</f>
        <v>21.870199999999997</v>
      </c>
      <c r="J45" s="17">
        <f>21.8681 * CHOOSE(CONTROL!$C$9, $D$9, 100%, $F$9) + CHOOSE(CONTROL!$C$27, 0.0021, 0)</f>
        <v>21.870199999999997</v>
      </c>
      <c r="K45" s="17">
        <f>21.8681 * CHOOSE(CONTROL!$C$9, $D$9, 100%, $F$9) + CHOOSE(CONTROL!$C$27, 0.0021, 0)</f>
        <v>21.870199999999997</v>
      </c>
      <c r="L45" s="17"/>
      <c r="M45" s="35"/>
      <c r="N45" s="35"/>
      <c r="O45" s="35"/>
      <c r="P45" s="35"/>
      <c r="Q45" s="35"/>
    </row>
    <row r="46" spans="1:17" ht="15" x14ac:dyDescent="0.2">
      <c r="A46" s="16">
        <v>42309</v>
      </c>
      <c r="B46" s="17">
        <f>22.2823 * CHOOSE(CONTROL!$C$9, $D$9, 100%, $F$9) + CHOOSE(CONTROL!$C$27, 0.0021, 0)</f>
        <v>22.284399999999998</v>
      </c>
      <c r="C46" s="17">
        <f>21.8501 * CHOOSE(CONTROL!$C$9, $D$9, 100%, $F$9) + CHOOSE(CONTROL!$C$27, 0.0021, 0)</f>
        <v>21.8522</v>
      </c>
      <c r="D46" s="17">
        <f>21.8501 * CHOOSE(CONTROL!$C$9, $D$9, 100%, $F$9) + CHOOSE(CONTROL!$C$27, 0.0021, 0)</f>
        <v>21.8522</v>
      </c>
      <c r="E46" s="17">
        <f>21.7134 * CHOOSE(CONTROL!$C$9, $D$9, 100%, $F$9) + CHOOSE(CONTROL!$C$27, 0.0021, 0)</f>
        <v>21.715499999999999</v>
      </c>
      <c r="F46" s="17">
        <f>21.7134 * CHOOSE(CONTROL!$C$9, $D$9, 100%, $F$9) + CHOOSE(CONTROL!$C$27, 0.0021, 0)</f>
        <v>21.715499999999999</v>
      </c>
      <c r="G46" s="17">
        <f>21.9848 * CHOOSE(CONTROL!$C$9, $D$9, 100%, $F$9) + CHOOSE(CONTROL!$C$27, 0.0021, 0)</f>
        <v>21.986899999999999</v>
      </c>
      <c r="H46" s="17">
        <f>21.8501 * CHOOSE(CONTROL!$C$9, $D$9, 100%, $F$9) + CHOOSE(CONTROL!$C$27, 0.0021, 0)</f>
        <v>21.8522</v>
      </c>
      <c r="I46" s="17">
        <f>21.8501 * CHOOSE(CONTROL!$C$9, $D$9, 100%, $F$9) + CHOOSE(CONTROL!$C$27, 0.0021, 0)</f>
        <v>21.8522</v>
      </c>
      <c r="J46" s="17">
        <f>21.8501 * CHOOSE(CONTROL!$C$9, $D$9, 100%, $F$9) + CHOOSE(CONTROL!$C$27, 0.0021, 0)</f>
        <v>21.8522</v>
      </c>
      <c r="K46" s="17">
        <f>21.8501 * CHOOSE(CONTROL!$C$9, $D$9, 100%, $F$9) + CHOOSE(CONTROL!$C$27, 0.0021, 0)</f>
        <v>21.8522</v>
      </c>
      <c r="L46" s="17"/>
      <c r="M46" s="35"/>
      <c r="N46" s="35"/>
      <c r="O46" s="35"/>
      <c r="P46" s="35"/>
      <c r="Q46" s="35"/>
    </row>
    <row r="47" spans="1:17" ht="15" x14ac:dyDescent="0.2">
      <c r="A47" s="16">
        <v>42339</v>
      </c>
      <c r="B47" s="17">
        <f>22.2643 * CHOOSE(CONTROL!$C$9, $D$9, 100%, $F$9) + CHOOSE(CONTROL!$C$27, 0.0021, 0)</f>
        <v>22.266399999999997</v>
      </c>
      <c r="C47" s="17">
        <f>21.8321 * CHOOSE(CONTROL!$C$9, $D$9, 100%, $F$9) + CHOOSE(CONTROL!$C$27, 0.0021, 0)</f>
        <v>21.834199999999999</v>
      </c>
      <c r="D47" s="17">
        <f>21.8321 * CHOOSE(CONTROL!$C$9, $D$9, 100%, $F$9) + CHOOSE(CONTROL!$C$27, 0.0021, 0)</f>
        <v>21.834199999999999</v>
      </c>
      <c r="E47" s="17">
        <f>21.6954 * CHOOSE(CONTROL!$C$9, $D$9, 100%, $F$9) + CHOOSE(CONTROL!$C$27, 0.0021, 0)</f>
        <v>21.697499999999998</v>
      </c>
      <c r="F47" s="17">
        <f>21.6954 * CHOOSE(CONTROL!$C$9, $D$9, 100%, $F$9) + CHOOSE(CONTROL!$C$27, 0.0021, 0)</f>
        <v>21.697499999999998</v>
      </c>
      <c r="G47" s="17">
        <f>21.9668 * CHOOSE(CONTROL!$C$9, $D$9, 100%, $F$9) + CHOOSE(CONTROL!$C$27, 0.0021, 0)</f>
        <v>21.968899999999998</v>
      </c>
      <c r="H47" s="17">
        <f>21.8321 * CHOOSE(CONTROL!$C$9, $D$9, 100%, $F$9) + CHOOSE(CONTROL!$C$27, 0.0021, 0)</f>
        <v>21.834199999999999</v>
      </c>
      <c r="I47" s="17">
        <f>21.8321 * CHOOSE(CONTROL!$C$9, $D$9, 100%, $F$9) + CHOOSE(CONTROL!$C$27, 0.0021, 0)</f>
        <v>21.834199999999999</v>
      </c>
      <c r="J47" s="17">
        <f>21.8321 * CHOOSE(CONTROL!$C$9, $D$9, 100%, $F$9) + CHOOSE(CONTROL!$C$27, 0.0021, 0)</f>
        <v>21.834199999999999</v>
      </c>
      <c r="K47" s="17">
        <f>21.8321 * CHOOSE(CONTROL!$C$9, $D$9, 100%, $F$9) + CHOOSE(CONTROL!$C$27, 0.0021, 0)</f>
        <v>21.834199999999999</v>
      </c>
      <c r="L47" s="17"/>
      <c r="M47" s="35"/>
      <c r="N47" s="35"/>
      <c r="O47" s="35"/>
      <c r="P47" s="35"/>
      <c r="Q47" s="35"/>
    </row>
    <row r="48" spans="1:17" ht="15" x14ac:dyDescent="0.2">
      <c r="A48" s="16">
        <v>42370</v>
      </c>
      <c r="B48" s="17">
        <f>22.7691 * CHOOSE(CONTROL!$C$9, $D$9, 100%, $F$9) + CHOOSE(CONTROL!$C$27, 0.0021, 0)</f>
        <v>22.7712</v>
      </c>
      <c r="C48" s="17">
        <f>22.3369 * CHOOSE(CONTROL!$C$9, $D$9, 100%, $F$9) + CHOOSE(CONTROL!$C$27, 0.0021, 0)</f>
        <v>22.338999999999999</v>
      </c>
      <c r="D48" s="17">
        <f>22.3369 * CHOOSE(CONTROL!$C$9, $D$9, 100%, $F$9) + CHOOSE(CONTROL!$C$27, 0.0021, 0)</f>
        <v>22.338999999999999</v>
      </c>
      <c r="E48" s="17">
        <f>22.2002 * CHOOSE(CONTROL!$C$9, $D$9, 100%, $F$9) + CHOOSE(CONTROL!$C$27, 0.0021, 0)</f>
        <v>22.202299999999997</v>
      </c>
      <c r="F48" s="17">
        <f>22.2002 * CHOOSE(CONTROL!$C$9, $D$9, 100%, $F$9) + CHOOSE(CONTROL!$C$27, 0.0021, 0)</f>
        <v>22.202299999999997</v>
      </c>
      <c r="G48" s="17">
        <f>22.4716 * CHOOSE(CONTROL!$C$9, $D$9, 100%, $F$9) + CHOOSE(CONTROL!$C$27, 0.0021, 0)</f>
        <v>22.473699999999997</v>
      </c>
      <c r="H48" s="17">
        <f>22.3369 * CHOOSE(CONTROL!$C$9, $D$9, 100%, $F$9) + CHOOSE(CONTROL!$C$27, 0.0021, 0)</f>
        <v>22.338999999999999</v>
      </c>
      <c r="I48" s="17">
        <f>22.3369 * CHOOSE(CONTROL!$C$9, $D$9, 100%, $F$9) + CHOOSE(CONTROL!$C$27, 0.0021, 0)</f>
        <v>22.338999999999999</v>
      </c>
      <c r="J48" s="17">
        <f>22.3369 * CHOOSE(CONTROL!$C$9, $D$9, 100%, $F$9) + CHOOSE(CONTROL!$C$27, 0.0021, 0)</f>
        <v>22.338999999999999</v>
      </c>
      <c r="K48" s="17">
        <f>22.3369 * CHOOSE(CONTROL!$C$9, $D$9, 100%, $F$9) + CHOOSE(CONTROL!$C$27, 0.0021, 0)</f>
        <v>22.338999999999999</v>
      </c>
      <c r="L48" s="17"/>
    </row>
    <row r="49" spans="1:12" ht="15" x14ac:dyDescent="0.2">
      <c r="A49" s="16">
        <v>42401</v>
      </c>
      <c r="B49" s="17">
        <f>22.2309 * CHOOSE(CONTROL!$C$9, $D$9, 100%, $F$9) + CHOOSE(CONTROL!$C$27, 0.0021, 0)</f>
        <v>22.232999999999997</v>
      </c>
      <c r="C49" s="17">
        <f>21.7986 * CHOOSE(CONTROL!$C$9, $D$9, 100%, $F$9) + CHOOSE(CONTROL!$C$27, 0.0021, 0)</f>
        <v>21.800699999999999</v>
      </c>
      <c r="D49" s="17">
        <f>21.7986 * CHOOSE(CONTROL!$C$9, $D$9, 100%, $F$9) + CHOOSE(CONTROL!$C$27, 0.0021, 0)</f>
        <v>21.800699999999999</v>
      </c>
      <c r="E49" s="17">
        <f>21.662 * CHOOSE(CONTROL!$C$9, $D$9, 100%, $F$9) + CHOOSE(CONTROL!$C$27, 0.0021, 0)</f>
        <v>21.664099999999998</v>
      </c>
      <c r="F49" s="17">
        <f>21.662 * CHOOSE(CONTROL!$C$9, $D$9, 100%, $F$9) + CHOOSE(CONTROL!$C$27, 0.0021, 0)</f>
        <v>21.664099999999998</v>
      </c>
      <c r="G49" s="17">
        <f>21.9334 * CHOOSE(CONTROL!$C$9, $D$9, 100%, $F$9) + CHOOSE(CONTROL!$C$27, 0.0021, 0)</f>
        <v>21.935499999999998</v>
      </c>
      <c r="H49" s="17">
        <f>21.7986 * CHOOSE(CONTROL!$C$9, $D$9, 100%, $F$9) + CHOOSE(CONTROL!$C$27, 0.0021, 0)</f>
        <v>21.800699999999999</v>
      </c>
      <c r="I49" s="17">
        <f>21.7986 * CHOOSE(CONTROL!$C$9, $D$9, 100%, $F$9) + CHOOSE(CONTROL!$C$27, 0.0021, 0)</f>
        <v>21.800699999999999</v>
      </c>
      <c r="J49" s="17">
        <f>21.7986 * CHOOSE(CONTROL!$C$9, $D$9, 100%, $F$9) + CHOOSE(CONTROL!$C$27, 0.0021, 0)</f>
        <v>21.800699999999999</v>
      </c>
      <c r="K49" s="17">
        <f>21.7986 * CHOOSE(CONTROL!$C$9, $D$9, 100%, $F$9) + CHOOSE(CONTROL!$C$27, 0.0021, 0)</f>
        <v>21.800699999999999</v>
      </c>
      <c r="L49" s="17"/>
    </row>
    <row r="50" spans="1:12" ht="15" x14ac:dyDescent="0.2">
      <c r="A50" s="16">
        <v>42430</v>
      </c>
      <c r="B50" s="17">
        <f>22.0319 * CHOOSE(CONTROL!$C$9, $D$9, 100%, $F$9) + CHOOSE(CONTROL!$C$27, 0.0021, 0)</f>
        <v>22.033999999999999</v>
      </c>
      <c r="C50" s="17">
        <f>21.5996 * CHOOSE(CONTROL!$C$9, $D$9, 100%, $F$9) + CHOOSE(CONTROL!$C$27, 0.0021, 0)</f>
        <v>21.601699999999997</v>
      </c>
      <c r="D50" s="17">
        <f>21.5996 * CHOOSE(CONTROL!$C$9, $D$9, 100%, $F$9) + CHOOSE(CONTROL!$C$27, 0.0021, 0)</f>
        <v>21.601699999999997</v>
      </c>
      <c r="E50" s="17">
        <f>21.463 * CHOOSE(CONTROL!$C$9, $D$9, 100%, $F$9) + CHOOSE(CONTROL!$C$27, 0.0021, 0)</f>
        <v>21.4651</v>
      </c>
      <c r="F50" s="17">
        <f>21.463 * CHOOSE(CONTROL!$C$9, $D$9, 100%, $F$9) + CHOOSE(CONTROL!$C$27, 0.0021, 0)</f>
        <v>21.4651</v>
      </c>
      <c r="G50" s="17">
        <f>21.7344 * CHOOSE(CONTROL!$C$9, $D$9, 100%, $F$9) + CHOOSE(CONTROL!$C$27, 0.0021, 0)</f>
        <v>21.736499999999999</v>
      </c>
      <c r="H50" s="17">
        <f>21.5996 * CHOOSE(CONTROL!$C$9, $D$9, 100%, $F$9) + CHOOSE(CONTROL!$C$27, 0.0021, 0)</f>
        <v>21.601699999999997</v>
      </c>
      <c r="I50" s="17">
        <f>21.5996 * CHOOSE(CONTROL!$C$9, $D$9, 100%, $F$9) + CHOOSE(CONTROL!$C$27, 0.0021, 0)</f>
        <v>21.601699999999997</v>
      </c>
      <c r="J50" s="17">
        <f>21.5996 * CHOOSE(CONTROL!$C$9, $D$9, 100%, $F$9) + CHOOSE(CONTROL!$C$27, 0.0021, 0)</f>
        <v>21.601699999999997</v>
      </c>
      <c r="K50" s="17">
        <f>21.5996 * CHOOSE(CONTROL!$C$9, $D$9, 100%, $F$9) + CHOOSE(CONTROL!$C$27, 0.0021, 0)</f>
        <v>21.601699999999997</v>
      </c>
      <c r="L50" s="17"/>
    </row>
    <row r="51" spans="1:12" ht="15" x14ac:dyDescent="0.2">
      <c r="A51" s="16">
        <v>42461</v>
      </c>
      <c r="B51" s="17">
        <f>21.7853 * CHOOSE(CONTROL!$C$9, $D$9, 100%, $F$9) + CHOOSE(CONTROL!$C$27, 0.0021, 0)</f>
        <v>21.787399999999998</v>
      </c>
      <c r="C51" s="17">
        <f>21.3531 * CHOOSE(CONTROL!$C$9, $D$9, 100%, $F$9) + CHOOSE(CONTROL!$C$27, 0.0021, 0)</f>
        <v>21.3552</v>
      </c>
      <c r="D51" s="17">
        <f>21.3531 * CHOOSE(CONTROL!$C$9, $D$9, 100%, $F$9) + CHOOSE(CONTROL!$C$27, 0.0021, 0)</f>
        <v>21.3552</v>
      </c>
      <c r="E51" s="17">
        <f>21.2164 * CHOOSE(CONTROL!$C$9, $D$9, 100%, $F$9) + CHOOSE(CONTROL!$C$27, 0.0021, 0)</f>
        <v>21.218499999999999</v>
      </c>
      <c r="F51" s="17">
        <f>21.2164 * CHOOSE(CONTROL!$C$9, $D$9, 100%, $F$9) + CHOOSE(CONTROL!$C$27, 0.0021, 0)</f>
        <v>21.218499999999999</v>
      </c>
      <c r="G51" s="17">
        <f>21.4878 * CHOOSE(CONTROL!$C$9, $D$9, 100%, $F$9) + CHOOSE(CONTROL!$C$27, 0.0021, 0)</f>
        <v>21.489899999999999</v>
      </c>
      <c r="H51" s="17">
        <f>21.3531 * CHOOSE(CONTROL!$C$9, $D$9, 100%, $F$9) + CHOOSE(CONTROL!$C$27, 0.0021, 0)</f>
        <v>21.3552</v>
      </c>
      <c r="I51" s="17">
        <f>21.3531 * CHOOSE(CONTROL!$C$9, $D$9, 100%, $F$9) + CHOOSE(CONTROL!$C$27, 0.0021, 0)</f>
        <v>21.3552</v>
      </c>
      <c r="J51" s="17">
        <f>21.3531 * CHOOSE(CONTROL!$C$9, $D$9, 100%, $F$9) + CHOOSE(CONTROL!$C$27, 0.0021, 0)</f>
        <v>21.3552</v>
      </c>
      <c r="K51" s="17">
        <f>21.3531 * CHOOSE(CONTROL!$C$9, $D$9, 100%, $F$9) + CHOOSE(CONTROL!$C$27, 0.0021, 0)</f>
        <v>21.3552</v>
      </c>
      <c r="L51" s="17"/>
    </row>
    <row r="52" spans="1:12" ht="15" x14ac:dyDescent="0.2">
      <c r="A52" s="16">
        <v>42491</v>
      </c>
      <c r="B52" s="17">
        <f>22.2357 * CHOOSE(CONTROL!$C$9, $D$9, 100%, $F$9) + CHOOSE(CONTROL!$C$27, 0.0021, 0)</f>
        <v>22.2378</v>
      </c>
      <c r="C52" s="17">
        <f>21.8034 * CHOOSE(CONTROL!$C$9, $D$9, 100%, $F$9) + CHOOSE(CONTROL!$C$27, 0.0021, 0)</f>
        <v>21.805499999999999</v>
      </c>
      <c r="D52" s="17">
        <f>21.8034 * CHOOSE(CONTROL!$C$9, $D$9, 100%, $F$9) + CHOOSE(CONTROL!$C$27, 0.0021, 0)</f>
        <v>21.805499999999999</v>
      </c>
      <c r="E52" s="17">
        <f>21.6668 * CHOOSE(CONTROL!$C$9, $D$9, 100%, $F$9) + CHOOSE(CONTROL!$C$27, 0.0021, 0)</f>
        <v>21.668899999999997</v>
      </c>
      <c r="F52" s="17">
        <f>21.6668 * CHOOSE(CONTROL!$C$9, $D$9, 100%, $F$9) + CHOOSE(CONTROL!$C$27, 0.0021, 0)</f>
        <v>21.668899999999997</v>
      </c>
      <c r="G52" s="17">
        <f>21.9381 * CHOOSE(CONTROL!$C$9, $D$9, 100%, $F$9) + CHOOSE(CONTROL!$C$27, 0.0021, 0)</f>
        <v>21.940199999999997</v>
      </c>
      <c r="H52" s="17">
        <f>21.8034 * CHOOSE(CONTROL!$C$9, $D$9, 100%, $F$9) + CHOOSE(CONTROL!$C$27, 0.0021, 0)</f>
        <v>21.805499999999999</v>
      </c>
      <c r="I52" s="17">
        <f>21.8034 * CHOOSE(CONTROL!$C$9, $D$9, 100%, $F$9) + CHOOSE(CONTROL!$C$27, 0.0021, 0)</f>
        <v>21.805499999999999</v>
      </c>
      <c r="J52" s="17">
        <f>21.8034 * CHOOSE(CONTROL!$C$9, $D$9, 100%, $F$9) + CHOOSE(CONTROL!$C$27, 0.0021, 0)</f>
        <v>21.805499999999999</v>
      </c>
      <c r="K52" s="17">
        <f>21.8034 * CHOOSE(CONTROL!$C$9, $D$9, 100%, $F$9) + CHOOSE(CONTROL!$C$27, 0.0021, 0)</f>
        <v>21.805499999999999</v>
      </c>
      <c r="L52" s="17"/>
    </row>
    <row r="53" spans="1:12" ht="15" x14ac:dyDescent="0.2">
      <c r="A53" s="16">
        <v>42522</v>
      </c>
      <c r="B53" s="17">
        <f>22.5229 * CHOOSE(CONTROL!$C$9, $D$9, 100%, $F$9) + CHOOSE(CONTROL!$C$27, 0.0021, 0)</f>
        <v>22.524999999999999</v>
      </c>
      <c r="C53" s="17">
        <f>22.0907 * CHOOSE(CONTROL!$C$9, $D$9, 100%, $F$9) + CHOOSE(CONTROL!$C$27, 0.0021, 0)</f>
        <v>22.092799999999997</v>
      </c>
      <c r="D53" s="17">
        <f>22.0907 * CHOOSE(CONTROL!$C$9, $D$9, 100%, $F$9) + CHOOSE(CONTROL!$C$27, 0.0021, 0)</f>
        <v>22.092799999999997</v>
      </c>
      <c r="E53" s="17">
        <f>21.954 * CHOOSE(CONTROL!$C$9, $D$9, 100%, $F$9) + CHOOSE(CONTROL!$C$27, 0.0021, 0)</f>
        <v>21.956099999999999</v>
      </c>
      <c r="F53" s="17">
        <f>21.954 * CHOOSE(CONTROL!$C$9, $D$9, 100%, $F$9) + CHOOSE(CONTROL!$C$27, 0.0021, 0)</f>
        <v>21.956099999999999</v>
      </c>
      <c r="G53" s="17">
        <f>22.2254 * CHOOSE(CONTROL!$C$9, $D$9, 100%, $F$9) + CHOOSE(CONTROL!$C$27, 0.0021, 0)</f>
        <v>22.227499999999999</v>
      </c>
      <c r="H53" s="17">
        <f>22.0907 * CHOOSE(CONTROL!$C$9, $D$9, 100%, $F$9) + CHOOSE(CONTROL!$C$27, 0.0021, 0)</f>
        <v>22.092799999999997</v>
      </c>
      <c r="I53" s="17">
        <f>22.0907 * CHOOSE(CONTROL!$C$9, $D$9, 100%, $F$9) + CHOOSE(CONTROL!$C$27, 0.0021, 0)</f>
        <v>22.092799999999997</v>
      </c>
      <c r="J53" s="17">
        <f>22.0907 * CHOOSE(CONTROL!$C$9, $D$9, 100%, $F$9) + CHOOSE(CONTROL!$C$27, 0.0021, 0)</f>
        <v>22.092799999999997</v>
      </c>
      <c r="K53" s="17">
        <f>22.0907 * CHOOSE(CONTROL!$C$9, $D$9, 100%, $F$9) + CHOOSE(CONTROL!$C$27, 0.0021, 0)</f>
        <v>22.092799999999997</v>
      </c>
      <c r="L53" s="17"/>
    </row>
    <row r="54" spans="1:12" ht="15" x14ac:dyDescent="0.2">
      <c r="A54" s="16">
        <v>42552</v>
      </c>
      <c r="B54" s="17">
        <f>22.9716 * CHOOSE(CONTROL!$C$9, $D$9, 100%, $F$9) + CHOOSE(CONTROL!$C$27, 0.0021, 0)</f>
        <v>22.973699999999997</v>
      </c>
      <c r="C54" s="17">
        <f>22.5393 * CHOOSE(CONTROL!$C$9, $D$9, 100%, $F$9) + CHOOSE(CONTROL!$C$27, 0.0021, 0)</f>
        <v>22.541399999999999</v>
      </c>
      <c r="D54" s="17">
        <f>22.5393 * CHOOSE(CONTROL!$C$9, $D$9, 100%, $F$9) + CHOOSE(CONTROL!$C$27, 0.0021, 0)</f>
        <v>22.541399999999999</v>
      </c>
      <c r="E54" s="17">
        <f>22.4027 * CHOOSE(CONTROL!$C$9, $D$9, 100%, $F$9) + CHOOSE(CONTROL!$C$27, 0.0021, 0)</f>
        <v>22.404799999999998</v>
      </c>
      <c r="F54" s="17">
        <f>22.4027 * CHOOSE(CONTROL!$C$9, $D$9, 100%, $F$9) + CHOOSE(CONTROL!$C$27, 0.0021, 0)</f>
        <v>22.404799999999998</v>
      </c>
      <c r="G54" s="17">
        <f>22.6741 * CHOOSE(CONTROL!$C$9, $D$9, 100%, $F$9) + CHOOSE(CONTROL!$C$27, 0.0021, 0)</f>
        <v>22.676199999999998</v>
      </c>
      <c r="H54" s="17">
        <f>22.5393 * CHOOSE(CONTROL!$C$9, $D$9, 100%, $F$9) + CHOOSE(CONTROL!$C$27, 0.0021, 0)</f>
        <v>22.541399999999999</v>
      </c>
      <c r="I54" s="17">
        <f>22.5393 * CHOOSE(CONTROL!$C$9, $D$9, 100%, $F$9) + CHOOSE(CONTROL!$C$27, 0.0021, 0)</f>
        <v>22.541399999999999</v>
      </c>
      <c r="J54" s="17">
        <f>22.5393 * CHOOSE(CONTROL!$C$9, $D$9, 100%, $F$9) + CHOOSE(CONTROL!$C$27, 0.0021, 0)</f>
        <v>22.541399999999999</v>
      </c>
      <c r="K54" s="17">
        <f>22.5393 * CHOOSE(CONTROL!$C$9, $D$9, 100%, $F$9) + CHOOSE(CONTROL!$C$27, 0.0021, 0)</f>
        <v>22.541399999999999</v>
      </c>
      <c r="L54" s="17"/>
    </row>
    <row r="55" spans="1:12" ht="15" x14ac:dyDescent="0.2">
      <c r="A55" s="16">
        <v>42583</v>
      </c>
      <c r="B55" s="17">
        <f>23.1387 * CHOOSE(CONTROL!$C$9, $D$9, 100%, $F$9) + CHOOSE(CONTROL!$C$27, 0.0021, 0)</f>
        <v>23.140799999999999</v>
      </c>
      <c r="C55" s="17">
        <f>22.7064 * CHOOSE(CONTROL!$C$9, $D$9, 100%, $F$9) + CHOOSE(CONTROL!$C$27, 0.0021, 0)</f>
        <v>22.708499999999997</v>
      </c>
      <c r="D55" s="17">
        <f>22.7064 * CHOOSE(CONTROL!$C$9, $D$9, 100%, $F$9) + CHOOSE(CONTROL!$C$27, 0.0021, 0)</f>
        <v>22.708499999999997</v>
      </c>
      <c r="E55" s="17">
        <f>22.5698 * CHOOSE(CONTROL!$C$9, $D$9, 100%, $F$9) + CHOOSE(CONTROL!$C$27, 0.0021, 0)</f>
        <v>22.571899999999999</v>
      </c>
      <c r="F55" s="17">
        <f>22.5698 * CHOOSE(CONTROL!$C$9, $D$9, 100%, $F$9) + CHOOSE(CONTROL!$C$27, 0.0021, 0)</f>
        <v>22.571899999999999</v>
      </c>
      <c r="G55" s="17">
        <f>22.8411 * CHOOSE(CONTROL!$C$9, $D$9, 100%, $F$9) + CHOOSE(CONTROL!$C$27, 0.0021, 0)</f>
        <v>22.8432</v>
      </c>
      <c r="H55" s="17">
        <f>22.7064 * CHOOSE(CONTROL!$C$9, $D$9, 100%, $F$9) + CHOOSE(CONTROL!$C$27, 0.0021, 0)</f>
        <v>22.708499999999997</v>
      </c>
      <c r="I55" s="17">
        <f>22.7064 * CHOOSE(CONTROL!$C$9, $D$9, 100%, $F$9) + CHOOSE(CONTROL!$C$27, 0.0021, 0)</f>
        <v>22.708499999999997</v>
      </c>
      <c r="J55" s="17">
        <f>22.7064 * CHOOSE(CONTROL!$C$9, $D$9, 100%, $F$9) + CHOOSE(CONTROL!$C$27, 0.0021, 0)</f>
        <v>22.708499999999997</v>
      </c>
      <c r="K55" s="17">
        <f>22.7064 * CHOOSE(CONTROL!$C$9, $D$9, 100%, $F$9) + CHOOSE(CONTROL!$C$27, 0.0021, 0)</f>
        <v>22.708499999999997</v>
      </c>
      <c r="L55" s="17"/>
    </row>
    <row r="56" spans="1:12" ht="15" x14ac:dyDescent="0.2">
      <c r="A56" s="16">
        <v>42614</v>
      </c>
      <c r="B56" s="17">
        <f>23.6064 * CHOOSE(CONTROL!$C$9, $D$9, 100%, $F$9) + CHOOSE(CONTROL!$C$27, 0.0021, 0)</f>
        <v>23.608499999999999</v>
      </c>
      <c r="C56" s="17">
        <f>23.1741 * CHOOSE(CONTROL!$C$9, $D$9, 100%, $F$9) + CHOOSE(CONTROL!$C$27, 0.0021, 0)</f>
        <v>23.176199999999998</v>
      </c>
      <c r="D56" s="17">
        <f>23.1741 * CHOOSE(CONTROL!$C$9, $D$9, 100%, $F$9) + CHOOSE(CONTROL!$C$27, 0.0021, 0)</f>
        <v>23.176199999999998</v>
      </c>
      <c r="E56" s="17">
        <f>23.0375 * CHOOSE(CONTROL!$C$9, $D$9, 100%, $F$9) + CHOOSE(CONTROL!$C$27, 0.0021, 0)</f>
        <v>23.0396</v>
      </c>
      <c r="F56" s="17">
        <f>23.0375 * CHOOSE(CONTROL!$C$9, $D$9, 100%, $F$9) + CHOOSE(CONTROL!$C$27, 0.0021, 0)</f>
        <v>23.0396</v>
      </c>
      <c r="G56" s="17">
        <f>23.3089 * CHOOSE(CONTROL!$C$9, $D$9, 100%, $F$9) + CHOOSE(CONTROL!$C$27, 0.0021, 0)</f>
        <v>23.311</v>
      </c>
      <c r="H56" s="17">
        <f>23.1741 * CHOOSE(CONTROL!$C$9, $D$9, 100%, $F$9) + CHOOSE(CONTROL!$C$27, 0.0021, 0)</f>
        <v>23.176199999999998</v>
      </c>
      <c r="I56" s="17">
        <f>23.1741 * CHOOSE(CONTROL!$C$9, $D$9, 100%, $F$9) + CHOOSE(CONTROL!$C$27, 0.0021, 0)</f>
        <v>23.176199999999998</v>
      </c>
      <c r="J56" s="17">
        <f>23.1741 * CHOOSE(CONTROL!$C$9, $D$9, 100%, $F$9) + CHOOSE(CONTROL!$C$27, 0.0021, 0)</f>
        <v>23.176199999999998</v>
      </c>
      <c r="K56" s="17">
        <f>23.1741 * CHOOSE(CONTROL!$C$9, $D$9, 100%, $F$9) + CHOOSE(CONTROL!$C$27, 0.0021, 0)</f>
        <v>23.176199999999998</v>
      </c>
      <c r="L56" s="17"/>
    </row>
    <row r="57" spans="1:12" ht="15" x14ac:dyDescent="0.2">
      <c r="A57" s="16">
        <v>42644</v>
      </c>
      <c r="B57" s="17">
        <f>24.1891 * CHOOSE(CONTROL!$C$9, $D$9, 100%, $F$9) + CHOOSE(CONTROL!$C$27, 0.0021, 0)</f>
        <v>24.191199999999998</v>
      </c>
      <c r="C57" s="17">
        <f>23.7569 * CHOOSE(CONTROL!$C$9, $D$9, 100%, $F$9) + CHOOSE(CONTROL!$C$27, 0.0021, 0)</f>
        <v>23.759</v>
      </c>
      <c r="D57" s="17">
        <f>23.7569 * CHOOSE(CONTROL!$C$9, $D$9, 100%, $F$9) + CHOOSE(CONTROL!$C$27, 0.0021, 0)</f>
        <v>23.759</v>
      </c>
      <c r="E57" s="17">
        <f>23.6202 * CHOOSE(CONTROL!$C$9, $D$9, 100%, $F$9) + CHOOSE(CONTROL!$C$27, 0.0021, 0)</f>
        <v>23.622299999999999</v>
      </c>
      <c r="F57" s="17">
        <f>23.6202 * CHOOSE(CONTROL!$C$9, $D$9, 100%, $F$9) + CHOOSE(CONTROL!$C$27, 0.0021, 0)</f>
        <v>23.622299999999999</v>
      </c>
      <c r="G57" s="17">
        <f>23.8916 * CHOOSE(CONTROL!$C$9, $D$9, 100%, $F$9) + CHOOSE(CONTROL!$C$27, 0.0021, 0)</f>
        <v>23.893699999999999</v>
      </c>
      <c r="H57" s="17">
        <f>23.7569 * CHOOSE(CONTROL!$C$9, $D$9, 100%, $F$9) + CHOOSE(CONTROL!$C$27, 0.0021, 0)</f>
        <v>23.759</v>
      </c>
      <c r="I57" s="17">
        <f>23.7569 * CHOOSE(CONTROL!$C$9, $D$9, 100%, $F$9) + CHOOSE(CONTROL!$C$27, 0.0021, 0)</f>
        <v>23.759</v>
      </c>
      <c r="J57" s="17">
        <f>23.7569 * CHOOSE(CONTROL!$C$9, $D$9, 100%, $F$9) + CHOOSE(CONTROL!$C$27, 0.0021, 0)</f>
        <v>23.759</v>
      </c>
      <c r="K57" s="17">
        <f>23.7569 * CHOOSE(CONTROL!$C$9, $D$9, 100%, $F$9) + CHOOSE(CONTROL!$C$27, 0.0021, 0)</f>
        <v>23.759</v>
      </c>
      <c r="L57" s="17"/>
    </row>
    <row r="58" spans="1:12" ht="15" x14ac:dyDescent="0.2">
      <c r="A58" s="16">
        <v>42675</v>
      </c>
      <c r="B58" s="17">
        <f>24.2849 * CHOOSE(CONTROL!$C$9, $D$9, 100%, $F$9) + CHOOSE(CONTROL!$C$27, 0.0021, 0)</f>
        <v>24.286999999999999</v>
      </c>
      <c r="C58" s="17">
        <f>23.8526 * CHOOSE(CONTROL!$C$9, $D$9, 100%, $F$9) + CHOOSE(CONTROL!$C$27, 0.0021, 0)</f>
        <v>23.854699999999998</v>
      </c>
      <c r="D58" s="17">
        <f>23.8526 * CHOOSE(CONTROL!$C$9, $D$9, 100%, $F$9) + CHOOSE(CONTROL!$C$27, 0.0021, 0)</f>
        <v>23.854699999999998</v>
      </c>
      <c r="E58" s="17">
        <f>23.716 * CHOOSE(CONTROL!$C$9, $D$9, 100%, $F$9) + CHOOSE(CONTROL!$C$27, 0.0021, 0)</f>
        <v>23.7181</v>
      </c>
      <c r="F58" s="17">
        <f>23.716 * CHOOSE(CONTROL!$C$9, $D$9, 100%, $F$9) + CHOOSE(CONTROL!$C$27, 0.0021, 0)</f>
        <v>23.7181</v>
      </c>
      <c r="G58" s="17">
        <f>23.9874 * CHOOSE(CONTROL!$C$9, $D$9, 100%, $F$9) + CHOOSE(CONTROL!$C$27, 0.0021, 0)</f>
        <v>23.9895</v>
      </c>
      <c r="H58" s="17">
        <f>23.8526 * CHOOSE(CONTROL!$C$9, $D$9, 100%, $F$9) + CHOOSE(CONTROL!$C$27, 0.0021, 0)</f>
        <v>23.854699999999998</v>
      </c>
      <c r="I58" s="17">
        <f>23.8526 * CHOOSE(CONTROL!$C$9, $D$9, 100%, $F$9) + CHOOSE(CONTROL!$C$27, 0.0021, 0)</f>
        <v>23.854699999999998</v>
      </c>
      <c r="J58" s="17">
        <f>23.8526 * CHOOSE(CONTROL!$C$9, $D$9, 100%, $F$9) + CHOOSE(CONTROL!$C$27, 0.0021, 0)</f>
        <v>23.854699999999998</v>
      </c>
      <c r="K58" s="17">
        <f>23.8526 * CHOOSE(CONTROL!$C$9, $D$9, 100%, $F$9) + CHOOSE(CONTROL!$C$27, 0.0021, 0)</f>
        <v>23.854699999999998</v>
      </c>
      <c r="L58" s="17"/>
    </row>
    <row r="59" spans="1:12" ht="15" x14ac:dyDescent="0.2">
      <c r="A59" s="16">
        <v>42705</v>
      </c>
      <c r="B59" s="17">
        <f>23.8981 * CHOOSE(CONTROL!$C$9, $D$9, 100%, $F$9) + CHOOSE(CONTROL!$C$27, 0.0021, 0)</f>
        <v>23.900199999999998</v>
      </c>
      <c r="C59" s="17">
        <f>23.4658 * CHOOSE(CONTROL!$C$9, $D$9, 100%, $F$9) + CHOOSE(CONTROL!$C$27, 0.0021, 0)</f>
        <v>23.4679</v>
      </c>
      <c r="D59" s="17">
        <f>23.4658 * CHOOSE(CONTROL!$C$9, $D$9, 100%, $F$9) + CHOOSE(CONTROL!$C$27, 0.0021, 0)</f>
        <v>23.4679</v>
      </c>
      <c r="E59" s="17">
        <f>23.3292 * CHOOSE(CONTROL!$C$9, $D$9, 100%, $F$9) + CHOOSE(CONTROL!$C$27, 0.0021, 0)</f>
        <v>23.331299999999999</v>
      </c>
      <c r="F59" s="17">
        <f>23.3292 * CHOOSE(CONTROL!$C$9, $D$9, 100%, $F$9) + CHOOSE(CONTROL!$C$27, 0.0021, 0)</f>
        <v>23.331299999999999</v>
      </c>
      <c r="G59" s="17">
        <f>23.6006 * CHOOSE(CONTROL!$C$9, $D$9, 100%, $F$9) + CHOOSE(CONTROL!$C$27, 0.0021, 0)</f>
        <v>23.602699999999999</v>
      </c>
      <c r="H59" s="17">
        <f>23.4658 * CHOOSE(CONTROL!$C$9, $D$9, 100%, $F$9) + CHOOSE(CONTROL!$C$27, 0.0021, 0)</f>
        <v>23.4679</v>
      </c>
      <c r="I59" s="17">
        <f>23.4658 * CHOOSE(CONTROL!$C$9, $D$9, 100%, $F$9) + CHOOSE(CONTROL!$C$27, 0.0021, 0)</f>
        <v>23.4679</v>
      </c>
      <c r="J59" s="17">
        <f>23.4658 * CHOOSE(CONTROL!$C$9, $D$9, 100%, $F$9) + CHOOSE(CONTROL!$C$27, 0.0021, 0)</f>
        <v>23.4679</v>
      </c>
      <c r="K59" s="17">
        <f>23.4658 * CHOOSE(CONTROL!$C$9, $D$9, 100%, $F$9) + CHOOSE(CONTROL!$C$27, 0.0021, 0)</f>
        <v>23.4679</v>
      </c>
      <c r="L59" s="17"/>
    </row>
    <row r="60" spans="1:12" ht="15" x14ac:dyDescent="0.2">
      <c r="A60" s="16">
        <v>42736</v>
      </c>
      <c r="B60" s="17">
        <f>23.2594 * CHOOSE(CONTROL!$C$9, $D$9, 100%, $F$9) + CHOOSE(CONTROL!$C$27, 0.0021, 0)</f>
        <v>23.261499999999998</v>
      </c>
      <c r="C60" s="17">
        <f>22.8271 * CHOOSE(CONTROL!$C$9, $D$9, 100%, $F$9) + CHOOSE(CONTROL!$C$27, 0.0021, 0)</f>
        <v>22.8292</v>
      </c>
      <c r="D60" s="17">
        <f>22.8271 * CHOOSE(CONTROL!$C$9, $D$9, 100%, $F$9) + CHOOSE(CONTROL!$C$27, 0.0021, 0)</f>
        <v>22.8292</v>
      </c>
      <c r="E60" s="17">
        <f>22.6904 * CHOOSE(CONTROL!$C$9, $D$9, 100%, $F$9) + CHOOSE(CONTROL!$C$27, 0.0021, 0)</f>
        <v>22.692499999999999</v>
      </c>
      <c r="F60" s="17">
        <f>22.6904 * CHOOSE(CONTROL!$C$9, $D$9, 100%, $F$9) + CHOOSE(CONTROL!$C$27, 0.0021, 0)</f>
        <v>22.692499999999999</v>
      </c>
      <c r="G60" s="17">
        <f>22.9618 * CHOOSE(CONTROL!$C$9, $D$9, 100%, $F$9) + CHOOSE(CONTROL!$C$27, 0.0021, 0)</f>
        <v>22.963899999999999</v>
      </c>
      <c r="H60" s="17">
        <f>22.8271 * CHOOSE(CONTROL!$C$9, $D$9, 100%, $F$9) + CHOOSE(CONTROL!$C$27, 0.0021, 0)</f>
        <v>22.8292</v>
      </c>
      <c r="I60" s="17">
        <f>22.8271 * CHOOSE(CONTROL!$C$9, $D$9, 100%, $F$9) + CHOOSE(CONTROL!$C$27, 0.0021, 0)</f>
        <v>22.8292</v>
      </c>
      <c r="J60" s="17">
        <f>22.8271 * CHOOSE(CONTROL!$C$9, $D$9, 100%, $F$9) + CHOOSE(CONTROL!$C$27, 0.0021, 0)</f>
        <v>22.8292</v>
      </c>
      <c r="K60" s="17">
        <f>22.8271 * CHOOSE(CONTROL!$C$9, $D$9, 100%, $F$9) + CHOOSE(CONTROL!$C$27, 0.0021, 0)</f>
        <v>22.8292</v>
      </c>
      <c r="L60" s="17"/>
    </row>
    <row r="61" spans="1:12" ht="15" x14ac:dyDescent="0.2">
      <c r="A61" s="16">
        <v>42767</v>
      </c>
      <c r="B61" s="17">
        <f>22.7083 * CHOOSE(CONTROL!$C$9, $D$9, 100%, $F$9) + CHOOSE(CONTROL!$C$27, 0.0021, 0)</f>
        <v>22.7104</v>
      </c>
      <c r="C61" s="17">
        <f>22.276 * CHOOSE(CONTROL!$C$9, $D$9, 100%, $F$9) + CHOOSE(CONTROL!$C$27, 0.0021, 0)</f>
        <v>22.278099999999998</v>
      </c>
      <c r="D61" s="17">
        <f>22.276 * CHOOSE(CONTROL!$C$9, $D$9, 100%, $F$9) + CHOOSE(CONTROL!$C$27, 0.0021, 0)</f>
        <v>22.278099999999998</v>
      </c>
      <c r="E61" s="17">
        <f>22.1394 * CHOOSE(CONTROL!$C$9, $D$9, 100%, $F$9) + CHOOSE(CONTROL!$C$27, 0.0021, 0)</f>
        <v>22.141499999999997</v>
      </c>
      <c r="F61" s="17">
        <f>22.1394 * CHOOSE(CONTROL!$C$9, $D$9, 100%, $F$9) + CHOOSE(CONTROL!$C$27, 0.0021, 0)</f>
        <v>22.141499999999997</v>
      </c>
      <c r="G61" s="17">
        <f>22.4107 * CHOOSE(CONTROL!$C$9, $D$9, 100%, $F$9) + CHOOSE(CONTROL!$C$27, 0.0021, 0)</f>
        <v>22.412799999999997</v>
      </c>
      <c r="H61" s="17">
        <f>22.276 * CHOOSE(CONTROL!$C$9, $D$9, 100%, $F$9) + CHOOSE(CONTROL!$C$27, 0.0021, 0)</f>
        <v>22.278099999999998</v>
      </c>
      <c r="I61" s="17">
        <f>22.276 * CHOOSE(CONTROL!$C$9, $D$9, 100%, $F$9) + CHOOSE(CONTROL!$C$27, 0.0021, 0)</f>
        <v>22.278099999999998</v>
      </c>
      <c r="J61" s="17">
        <f>22.276 * CHOOSE(CONTROL!$C$9, $D$9, 100%, $F$9) + CHOOSE(CONTROL!$C$27, 0.0021, 0)</f>
        <v>22.278099999999998</v>
      </c>
      <c r="K61" s="17">
        <f>22.276 * CHOOSE(CONTROL!$C$9, $D$9, 100%, $F$9) + CHOOSE(CONTROL!$C$27, 0.0021, 0)</f>
        <v>22.278099999999998</v>
      </c>
      <c r="L61" s="17"/>
    </row>
    <row r="62" spans="1:12" ht="15" x14ac:dyDescent="0.2">
      <c r="A62" s="16">
        <v>42795</v>
      </c>
      <c r="B62" s="17">
        <f>22.5045 * CHOOSE(CONTROL!$C$9, $D$9, 100%, $F$9) + CHOOSE(CONTROL!$C$27, 0.0021, 0)</f>
        <v>22.506599999999999</v>
      </c>
      <c r="C62" s="17">
        <f>22.0722 * CHOOSE(CONTROL!$C$9, $D$9, 100%, $F$9) + CHOOSE(CONTROL!$C$27, 0.0021, 0)</f>
        <v>22.074299999999997</v>
      </c>
      <c r="D62" s="17">
        <f>22.0722 * CHOOSE(CONTROL!$C$9, $D$9, 100%, $F$9) + CHOOSE(CONTROL!$C$27, 0.0021, 0)</f>
        <v>22.074299999999997</v>
      </c>
      <c r="E62" s="17">
        <f>21.9356 * CHOOSE(CONTROL!$C$9, $D$9, 100%, $F$9) + CHOOSE(CONTROL!$C$27, 0.0021, 0)</f>
        <v>21.9377</v>
      </c>
      <c r="F62" s="17">
        <f>21.9356 * CHOOSE(CONTROL!$C$9, $D$9, 100%, $F$9) + CHOOSE(CONTROL!$C$27, 0.0021, 0)</f>
        <v>21.9377</v>
      </c>
      <c r="G62" s="17">
        <f>22.207 * CHOOSE(CONTROL!$C$9, $D$9, 100%, $F$9) + CHOOSE(CONTROL!$C$27, 0.0021, 0)</f>
        <v>22.209099999999999</v>
      </c>
      <c r="H62" s="17">
        <f>22.0722 * CHOOSE(CONTROL!$C$9, $D$9, 100%, $F$9) + CHOOSE(CONTROL!$C$27, 0.0021, 0)</f>
        <v>22.074299999999997</v>
      </c>
      <c r="I62" s="17">
        <f>22.0722 * CHOOSE(CONTROL!$C$9, $D$9, 100%, $F$9) + CHOOSE(CONTROL!$C$27, 0.0021, 0)</f>
        <v>22.074299999999997</v>
      </c>
      <c r="J62" s="17">
        <f>22.0722 * CHOOSE(CONTROL!$C$9, $D$9, 100%, $F$9) + CHOOSE(CONTROL!$C$27, 0.0021, 0)</f>
        <v>22.074299999999997</v>
      </c>
      <c r="K62" s="17">
        <f>22.0722 * CHOOSE(CONTROL!$C$9, $D$9, 100%, $F$9) + CHOOSE(CONTROL!$C$27, 0.0021, 0)</f>
        <v>22.074299999999997</v>
      </c>
      <c r="L62" s="17"/>
    </row>
    <row r="63" spans="1:12" ht="15" x14ac:dyDescent="0.2">
      <c r="A63" s="16">
        <v>42826</v>
      </c>
      <c r="B63" s="17">
        <f>22.252 * CHOOSE(CONTROL!$C$9, $D$9, 100%, $F$9) + CHOOSE(CONTROL!$C$27, 0.0021, 0)</f>
        <v>22.254099999999998</v>
      </c>
      <c r="C63" s="17">
        <f>21.8198 * CHOOSE(CONTROL!$C$9, $D$9, 100%, $F$9) + CHOOSE(CONTROL!$C$27, 0.0021, 0)</f>
        <v>21.821899999999999</v>
      </c>
      <c r="D63" s="17">
        <f>21.8198 * CHOOSE(CONTROL!$C$9, $D$9, 100%, $F$9) + CHOOSE(CONTROL!$C$27, 0.0021, 0)</f>
        <v>21.821899999999999</v>
      </c>
      <c r="E63" s="17">
        <f>21.6831 * CHOOSE(CONTROL!$C$9, $D$9, 100%, $F$9) + CHOOSE(CONTROL!$C$27, 0.0021, 0)</f>
        <v>21.685199999999998</v>
      </c>
      <c r="F63" s="17">
        <f>21.6831 * CHOOSE(CONTROL!$C$9, $D$9, 100%, $F$9) + CHOOSE(CONTROL!$C$27, 0.0021, 0)</f>
        <v>21.685199999999998</v>
      </c>
      <c r="G63" s="17">
        <f>21.9545 * CHOOSE(CONTROL!$C$9, $D$9, 100%, $F$9) + CHOOSE(CONTROL!$C$27, 0.0021, 0)</f>
        <v>21.956599999999998</v>
      </c>
      <c r="H63" s="17">
        <f>21.8198 * CHOOSE(CONTROL!$C$9, $D$9, 100%, $F$9) + CHOOSE(CONTROL!$C$27, 0.0021, 0)</f>
        <v>21.821899999999999</v>
      </c>
      <c r="I63" s="17">
        <f>21.8198 * CHOOSE(CONTROL!$C$9, $D$9, 100%, $F$9) + CHOOSE(CONTROL!$C$27, 0.0021, 0)</f>
        <v>21.821899999999999</v>
      </c>
      <c r="J63" s="17">
        <f>21.8198 * CHOOSE(CONTROL!$C$9, $D$9, 100%, $F$9) + CHOOSE(CONTROL!$C$27, 0.0021, 0)</f>
        <v>21.821899999999999</v>
      </c>
      <c r="K63" s="17">
        <f>21.8198 * CHOOSE(CONTROL!$C$9, $D$9, 100%, $F$9) + CHOOSE(CONTROL!$C$27, 0.0021, 0)</f>
        <v>21.821899999999999</v>
      </c>
      <c r="L63" s="17"/>
    </row>
    <row r="64" spans="1:12" ht="15" x14ac:dyDescent="0.2">
      <c r="A64" s="16">
        <v>42856</v>
      </c>
      <c r="B64" s="17">
        <f>22.7131 * CHOOSE(CONTROL!$C$9, $D$9, 100%, $F$9) + CHOOSE(CONTROL!$C$27, 0.0021, 0)</f>
        <v>22.715199999999999</v>
      </c>
      <c r="C64" s="17">
        <f>22.2809 * CHOOSE(CONTROL!$C$9, $D$9, 100%, $F$9) + CHOOSE(CONTROL!$C$27, 0.0021, 0)</f>
        <v>22.282999999999998</v>
      </c>
      <c r="D64" s="17">
        <f>22.2809 * CHOOSE(CONTROL!$C$9, $D$9, 100%, $F$9) + CHOOSE(CONTROL!$C$27, 0.0021, 0)</f>
        <v>22.282999999999998</v>
      </c>
      <c r="E64" s="17">
        <f>22.1442 * CHOOSE(CONTROL!$C$9, $D$9, 100%, $F$9) + CHOOSE(CONTROL!$C$27, 0.0021, 0)</f>
        <v>22.1463</v>
      </c>
      <c r="F64" s="17">
        <f>22.1442 * CHOOSE(CONTROL!$C$9, $D$9, 100%, $F$9) + CHOOSE(CONTROL!$C$27, 0.0021, 0)</f>
        <v>22.1463</v>
      </c>
      <c r="G64" s="17">
        <f>22.4156 * CHOOSE(CONTROL!$C$9, $D$9, 100%, $F$9) + CHOOSE(CONTROL!$C$27, 0.0021, 0)</f>
        <v>22.4177</v>
      </c>
      <c r="H64" s="17">
        <f>22.2809 * CHOOSE(CONTROL!$C$9, $D$9, 100%, $F$9) + CHOOSE(CONTROL!$C$27, 0.0021, 0)</f>
        <v>22.282999999999998</v>
      </c>
      <c r="I64" s="17">
        <f>22.2809 * CHOOSE(CONTROL!$C$9, $D$9, 100%, $F$9) + CHOOSE(CONTROL!$C$27, 0.0021, 0)</f>
        <v>22.282999999999998</v>
      </c>
      <c r="J64" s="17">
        <f>22.2809 * CHOOSE(CONTROL!$C$9, $D$9, 100%, $F$9) + CHOOSE(CONTROL!$C$27, 0.0021, 0)</f>
        <v>22.282999999999998</v>
      </c>
      <c r="K64" s="17">
        <f>22.2809 * CHOOSE(CONTROL!$C$9, $D$9, 100%, $F$9) + CHOOSE(CONTROL!$C$27, 0.0021, 0)</f>
        <v>22.282999999999998</v>
      </c>
      <c r="L64" s="17"/>
    </row>
    <row r="65" spans="1:12" ht="15" x14ac:dyDescent="0.2">
      <c r="A65" s="16">
        <v>42887</v>
      </c>
      <c r="B65" s="17">
        <f>23.0073 * CHOOSE(CONTROL!$C$9, $D$9, 100%, $F$9) + CHOOSE(CONTROL!$C$27, 0.0021, 0)</f>
        <v>23.009399999999999</v>
      </c>
      <c r="C65" s="17">
        <f>22.575 * CHOOSE(CONTROL!$C$9, $D$9, 100%, $F$9) + CHOOSE(CONTROL!$C$27, 0.0021, 0)</f>
        <v>22.577099999999998</v>
      </c>
      <c r="D65" s="17">
        <f>22.575 * CHOOSE(CONTROL!$C$9, $D$9, 100%, $F$9) + CHOOSE(CONTROL!$C$27, 0.0021, 0)</f>
        <v>22.577099999999998</v>
      </c>
      <c r="E65" s="17">
        <f>22.4384 * CHOOSE(CONTROL!$C$9, $D$9, 100%, $F$9) + CHOOSE(CONTROL!$C$27, 0.0021, 0)</f>
        <v>22.4405</v>
      </c>
      <c r="F65" s="17">
        <f>22.4384 * CHOOSE(CONTROL!$C$9, $D$9, 100%, $F$9) + CHOOSE(CONTROL!$C$27, 0.0021, 0)</f>
        <v>22.4405</v>
      </c>
      <c r="G65" s="17">
        <f>22.7098 * CHOOSE(CONTROL!$C$9, $D$9, 100%, $F$9) + CHOOSE(CONTROL!$C$27, 0.0021, 0)</f>
        <v>22.7119</v>
      </c>
      <c r="H65" s="17">
        <f>22.575 * CHOOSE(CONTROL!$C$9, $D$9, 100%, $F$9) + CHOOSE(CONTROL!$C$27, 0.0021, 0)</f>
        <v>22.577099999999998</v>
      </c>
      <c r="I65" s="17">
        <f>22.575 * CHOOSE(CONTROL!$C$9, $D$9, 100%, $F$9) + CHOOSE(CONTROL!$C$27, 0.0021, 0)</f>
        <v>22.577099999999998</v>
      </c>
      <c r="J65" s="17">
        <f>22.575 * CHOOSE(CONTROL!$C$9, $D$9, 100%, $F$9) + CHOOSE(CONTROL!$C$27, 0.0021, 0)</f>
        <v>22.577099999999998</v>
      </c>
      <c r="K65" s="17">
        <f>22.575 * CHOOSE(CONTROL!$C$9, $D$9, 100%, $F$9) + CHOOSE(CONTROL!$C$27, 0.0021, 0)</f>
        <v>22.577099999999998</v>
      </c>
      <c r="L65" s="17"/>
    </row>
    <row r="66" spans="1:12" ht="15" x14ac:dyDescent="0.2">
      <c r="A66" s="16">
        <v>42917</v>
      </c>
      <c r="B66" s="17">
        <f>23.4667 * CHOOSE(CONTROL!$C$9, $D$9, 100%, $F$9) + CHOOSE(CONTROL!$C$27, 0.0021, 0)</f>
        <v>23.468799999999998</v>
      </c>
      <c r="C66" s="17">
        <f>23.0344 * CHOOSE(CONTROL!$C$9, $D$9, 100%, $F$9) + CHOOSE(CONTROL!$C$27, 0.0021, 0)</f>
        <v>23.0365</v>
      </c>
      <c r="D66" s="17">
        <f>23.0344 * CHOOSE(CONTROL!$C$9, $D$9, 100%, $F$9) + CHOOSE(CONTROL!$C$27, 0.0021, 0)</f>
        <v>23.0365</v>
      </c>
      <c r="E66" s="17">
        <f>22.8978 * CHOOSE(CONTROL!$C$9, $D$9, 100%, $F$9) + CHOOSE(CONTROL!$C$27, 0.0021, 0)</f>
        <v>22.899899999999999</v>
      </c>
      <c r="F66" s="17">
        <f>22.8978 * CHOOSE(CONTROL!$C$9, $D$9, 100%, $F$9) + CHOOSE(CONTROL!$C$27, 0.0021, 0)</f>
        <v>22.899899999999999</v>
      </c>
      <c r="G66" s="17">
        <f>23.1692 * CHOOSE(CONTROL!$C$9, $D$9, 100%, $F$9) + CHOOSE(CONTROL!$C$27, 0.0021, 0)</f>
        <v>23.171299999999999</v>
      </c>
      <c r="H66" s="17">
        <f>23.0344 * CHOOSE(CONTROL!$C$9, $D$9, 100%, $F$9) + CHOOSE(CONTROL!$C$27, 0.0021, 0)</f>
        <v>23.0365</v>
      </c>
      <c r="I66" s="17">
        <f>23.0344 * CHOOSE(CONTROL!$C$9, $D$9, 100%, $F$9) + CHOOSE(CONTROL!$C$27, 0.0021, 0)</f>
        <v>23.0365</v>
      </c>
      <c r="J66" s="17">
        <f>23.0344 * CHOOSE(CONTROL!$C$9, $D$9, 100%, $F$9) + CHOOSE(CONTROL!$C$27, 0.0021, 0)</f>
        <v>23.0365</v>
      </c>
      <c r="K66" s="17">
        <f>23.0344 * CHOOSE(CONTROL!$C$9, $D$9, 100%, $F$9) + CHOOSE(CONTROL!$C$27, 0.0021, 0)</f>
        <v>23.0365</v>
      </c>
      <c r="L66" s="17"/>
    </row>
    <row r="67" spans="1:12" ht="15" x14ac:dyDescent="0.2">
      <c r="A67" s="16">
        <v>42948</v>
      </c>
      <c r="B67" s="17">
        <f>23.6378 * CHOOSE(CONTROL!$C$9, $D$9, 100%, $F$9) + CHOOSE(CONTROL!$C$27, 0.0021, 0)</f>
        <v>23.639899999999997</v>
      </c>
      <c r="C67" s="17">
        <f>23.2055 * CHOOSE(CONTROL!$C$9, $D$9, 100%, $F$9) + CHOOSE(CONTROL!$C$27, 0.0021, 0)</f>
        <v>23.207599999999999</v>
      </c>
      <c r="D67" s="17">
        <f>23.2055 * CHOOSE(CONTROL!$C$9, $D$9, 100%, $F$9) + CHOOSE(CONTROL!$C$27, 0.0021, 0)</f>
        <v>23.207599999999999</v>
      </c>
      <c r="E67" s="17">
        <f>23.0689 * CHOOSE(CONTROL!$C$9, $D$9, 100%, $F$9) + CHOOSE(CONTROL!$C$27, 0.0021, 0)</f>
        <v>23.070999999999998</v>
      </c>
      <c r="F67" s="17">
        <f>23.0689 * CHOOSE(CONTROL!$C$9, $D$9, 100%, $F$9) + CHOOSE(CONTROL!$C$27, 0.0021, 0)</f>
        <v>23.070999999999998</v>
      </c>
      <c r="G67" s="17">
        <f>23.3402 * CHOOSE(CONTROL!$C$9, $D$9, 100%, $F$9) + CHOOSE(CONTROL!$C$27, 0.0021, 0)</f>
        <v>23.342299999999998</v>
      </c>
      <c r="H67" s="17">
        <f>23.2055 * CHOOSE(CONTROL!$C$9, $D$9, 100%, $F$9) + CHOOSE(CONTROL!$C$27, 0.0021, 0)</f>
        <v>23.207599999999999</v>
      </c>
      <c r="I67" s="17">
        <f>23.2055 * CHOOSE(CONTROL!$C$9, $D$9, 100%, $F$9) + CHOOSE(CONTROL!$C$27, 0.0021, 0)</f>
        <v>23.207599999999999</v>
      </c>
      <c r="J67" s="17">
        <f>23.2055 * CHOOSE(CONTROL!$C$9, $D$9, 100%, $F$9) + CHOOSE(CONTROL!$C$27, 0.0021, 0)</f>
        <v>23.207599999999999</v>
      </c>
      <c r="K67" s="17">
        <f>23.2055 * CHOOSE(CONTROL!$C$9, $D$9, 100%, $F$9) + CHOOSE(CONTROL!$C$27, 0.0021, 0)</f>
        <v>23.207599999999999</v>
      </c>
      <c r="L67" s="17"/>
    </row>
    <row r="68" spans="1:12" ht="15" x14ac:dyDescent="0.2">
      <c r="A68" s="16">
        <v>42979</v>
      </c>
      <c r="B68" s="17">
        <f>24.1167 * CHOOSE(CONTROL!$C$9, $D$9, 100%, $F$9) + CHOOSE(CONTROL!$C$27, 0.0021, 0)</f>
        <v>24.1188</v>
      </c>
      <c r="C68" s="17">
        <f>23.6844 * CHOOSE(CONTROL!$C$9, $D$9, 100%, $F$9) + CHOOSE(CONTROL!$C$27, 0.0021, 0)</f>
        <v>23.686499999999999</v>
      </c>
      <c r="D68" s="17">
        <f>23.6844 * CHOOSE(CONTROL!$C$9, $D$9, 100%, $F$9) + CHOOSE(CONTROL!$C$27, 0.0021, 0)</f>
        <v>23.686499999999999</v>
      </c>
      <c r="E68" s="17">
        <f>23.5478 * CHOOSE(CONTROL!$C$9, $D$9, 100%, $F$9) + CHOOSE(CONTROL!$C$27, 0.0021, 0)</f>
        <v>23.549899999999997</v>
      </c>
      <c r="F68" s="17">
        <f>23.5478 * CHOOSE(CONTROL!$C$9, $D$9, 100%, $F$9) + CHOOSE(CONTROL!$C$27, 0.0021, 0)</f>
        <v>23.549899999999997</v>
      </c>
      <c r="G68" s="17">
        <f>23.8192 * CHOOSE(CONTROL!$C$9, $D$9, 100%, $F$9) + CHOOSE(CONTROL!$C$27, 0.0021, 0)</f>
        <v>23.821299999999997</v>
      </c>
      <c r="H68" s="17">
        <f>23.6844 * CHOOSE(CONTROL!$C$9, $D$9, 100%, $F$9) + CHOOSE(CONTROL!$C$27, 0.0021, 0)</f>
        <v>23.686499999999999</v>
      </c>
      <c r="I68" s="17">
        <f>23.6844 * CHOOSE(CONTROL!$C$9, $D$9, 100%, $F$9) + CHOOSE(CONTROL!$C$27, 0.0021, 0)</f>
        <v>23.686499999999999</v>
      </c>
      <c r="J68" s="17">
        <f>23.6844 * CHOOSE(CONTROL!$C$9, $D$9, 100%, $F$9) + CHOOSE(CONTROL!$C$27, 0.0021, 0)</f>
        <v>23.686499999999999</v>
      </c>
      <c r="K68" s="17">
        <f>23.6844 * CHOOSE(CONTROL!$C$9, $D$9, 100%, $F$9) + CHOOSE(CONTROL!$C$27, 0.0021, 0)</f>
        <v>23.686499999999999</v>
      </c>
      <c r="L68" s="17"/>
    </row>
    <row r="69" spans="1:12" ht="15" x14ac:dyDescent="0.2">
      <c r="A69" s="16">
        <v>43009</v>
      </c>
      <c r="B69" s="17">
        <f>24.7133 * CHOOSE(CONTROL!$C$9, $D$9, 100%, $F$9) + CHOOSE(CONTROL!$C$27, 0.0021, 0)</f>
        <v>24.715399999999999</v>
      </c>
      <c r="C69" s="17">
        <f>24.2811 * CHOOSE(CONTROL!$C$9, $D$9, 100%, $F$9) + CHOOSE(CONTROL!$C$27, 0.0021, 0)</f>
        <v>24.283199999999997</v>
      </c>
      <c r="D69" s="17">
        <f>24.2811 * CHOOSE(CONTROL!$C$9, $D$9, 100%, $F$9) + CHOOSE(CONTROL!$C$27, 0.0021, 0)</f>
        <v>24.283199999999997</v>
      </c>
      <c r="E69" s="17">
        <f>24.1444 * CHOOSE(CONTROL!$C$9, $D$9, 100%, $F$9) + CHOOSE(CONTROL!$C$27, 0.0021, 0)</f>
        <v>24.1465</v>
      </c>
      <c r="F69" s="17">
        <f>24.1444 * CHOOSE(CONTROL!$C$9, $D$9, 100%, $F$9) + CHOOSE(CONTROL!$C$27, 0.0021, 0)</f>
        <v>24.1465</v>
      </c>
      <c r="G69" s="17">
        <f>24.4158 * CHOOSE(CONTROL!$C$9, $D$9, 100%, $F$9) + CHOOSE(CONTROL!$C$27, 0.0021, 0)</f>
        <v>24.417899999999999</v>
      </c>
      <c r="H69" s="17">
        <f>24.2811 * CHOOSE(CONTROL!$C$9, $D$9, 100%, $F$9) + CHOOSE(CONTROL!$C$27, 0.0021, 0)</f>
        <v>24.283199999999997</v>
      </c>
      <c r="I69" s="17">
        <f>24.2811 * CHOOSE(CONTROL!$C$9, $D$9, 100%, $F$9) + CHOOSE(CONTROL!$C$27, 0.0021, 0)</f>
        <v>24.283199999999997</v>
      </c>
      <c r="J69" s="17">
        <f>24.2811 * CHOOSE(CONTROL!$C$9, $D$9, 100%, $F$9) + CHOOSE(CONTROL!$C$27, 0.0021, 0)</f>
        <v>24.283199999999997</v>
      </c>
      <c r="K69" s="17">
        <f>24.2811 * CHOOSE(CONTROL!$C$9, $D$9, 100%, $F$9) + CHOOSE(CONTROL!$C$27, 0.0021, 0)</f>
        <v>24.283199999999997</v>
      </c>
      <c r="L69" s="17"/>
    </row>
    <row r="70" spans="1:12" ht="15" x14ac:dyDescent="0.2">
      <c r="A70" s="16">
        <v>43040</v>
      </c>
      <c r="B70" s="17">
        <f>24.8114 * CHOOSE(CONTROL!$C$9, $D$9, 100%, $F$9) + CHOOSE(CONTROL!$C$27, 0.0021, 0)</f>
        <v>24.813499999999998</v>
      </c>
      <c r="C70" s="17">
        <f>24.3792 * CHOOSE(CONTROL!$C$9, $D$9, 100%, $F$9) + CHOOSE(CONTROL!$C$27, 0.0021, 0)</f>
        <v>24.3813</v>
      </c>
      <c r="D70" s="17">
        <f>24.3792 * CHOOSE(CONTROL!$C$9, $D$9, 100%, $F$9) + CHOOSE(CONTROL!$C$27, 0.0021, 0)</f>
        <v>24.3813</v>
      </c>
      <c r="E70" s="17">
        <f>24.2425 * CHOOSE(CONTROL!$C$9, $D$9, 100%, $F$9) + CHOOSE(CONTROL!$C$27, 0.0021, 0)</f>
        <v>24.244599999999998</v>
      </c>
      <c r="F70" s="17">
        <f>24.2425 * CHOOSE(CONTROL!$C$9, $D$9, 100%, $F$9) + CHOOSE(CONTROL!$C$27, 0.0021, 0)</f>
        <v>24.244599999999998</v>
      </c>
      <c r="G70" s="17">
        <f>24.5139 * CHOOSE(CONTROL!$C$9, $D$9, 100%, $F$9) + CHOOSE(CONTROL!$C$27, 0.0021, 0)</f>
        <v>24.515999999999998</v>
      </c>
      <c r="H70" s="17">
        <f>24.3792 * CHOOSE(CONTROL!$C$9, $D$9, 100%, $F$9) + CHOOSE(CONTROL!$C$27, 0.0021, 0)</f>
        <v>24.3813</v>
      </c>
      <c r="I70" s="17">
        <f>24.3792 * CHOOSE(CONTROL!$C$9, $D$9, 100%, $F$9) + CHOOSE(CONTROL!$C$27, 0.0021, 0)</f>
        <v>24.3813</v>
      </c>
      <c r="J70" s="17">
        <f>24.3792 * CHOOSE(CONTROL!$C$9, $D$9, 100%, $F$9) + CHOOSE(CONTROL!$C$27, 0.0021, 0)</f>
        <v>24.3813</v>
      </c>
      <c r="K70" s="17">
        <f>24.3792 * CHOOSE(CONTROL!$C$9, $D$9, 100%, $F$9) + CHOOSE(CONTROL!$C$27, 0.0021, 0)</f>
        <v>24.3813</v>
      </c>
      <c r="L70" s="17"/>
    </row>
    <row r="71" spans="1:12" ht="15" x14ac:dyDescent="0.2">
      <c r="A71" s="16">
        <v>43070</v>
      </c>
      <c r="B71" s="17">
        <f>24.4154 * CHOOSE(CONTROL!$C$9, $D$9, 100%, $F$9) + CHOOSE(CONTROL!$C$27, 0.0021, 0)</f>
        <v>24.4175</v>
      </c>
      <c r="C71" s="17">
        <f>23.9831 * CHOOSE(CONTROL!$C$9, $D$9, 100%, $F$9) + CHOOSE(CONTROL!$C$27, 0.0021, 0)</f>
        <v>23.985199999999999</v>
      </c>
      <c r="D71" s="17">
        <f>23.9831 * CHOOSE(CONTROL!$C$9, $D$9, 100%, $F$9) + CHOOSE(CONTROL!$C$27, 0.0021, 0)</f>
        <v>23.985199999999999</v>
      </c>
      <c r="E71" s="17">
        <f>23.8465 * CHOOSE(CONTROL!$C$9, $D$9, 100%, $F$9) + CHOOSE(CONTROL!$C$27, 0.0021, 0)</f>
        <v>23.848599999999998</v>
      </c>
      <c r="F71" s="17">
        <f>23.8465 * CHOOSE(CONTROL!$C$9, $D$9, 100%, $F$9) + CHOOSE(CONTROL!$C$27, 0.0021, 0)</f>
        <v>23.848599999999998</v>
      </c>
      <c r="G71" s="17">
        <f>24.1178 * CHOOSE(CONTROL!$C$9, $D$9, 100%, $F$9) + CHOOSE(CONTROL!$C$27, 0.0021, 0)</f>
        <v>24.119899999999998</v>
      </c>
      <c r="H71" s="17">
        <f>23.9831 * CHOOSE(CONTROL!$C$9, $D$9, 100%, $F$9) + CHOOSE(CONTROL!$C$27, 0.0021, 0)</f>
        <v>23.985199999999999</v>
      </c>
      <c r="I71" s="17">
        <f>23.9831 * CHOOSE(CONTROL!$C$9, $D$9, 100%, $F$9) + CHOOSE(CONTROL!$C$27, 0.0021, 0)</f>
        <v>23.985199999999999</v>
      </c>
      <c r="J71" s="17">
        <f>23.9831 * CHOOSE(CONTROL!$C$9, $D$9, 100%, $F$9) + CHOOSE(CONTROL!$C$27, 0.0021, 0)</f>
        <v>23.985199999999999</v>
      </c>
      <c r="K71" s="17">
        <f>23.9831 * CHOOSE(CONTROL!$C$9, $D$9, 100%, $F$9) + CHOOSE(CONTROL!$C$27, 0.0021, 0)</f>
        <v>23.985199999999999</v>
      </c>
      <c r="L71" s="17"/>
    </row>
    <row r="72" spans="1:12" ht="15" x14ac:dyDescent="0.2">
      <c r="A72" s="16">
        <v>43101</v>
      </c>
      <c r="B72" s="17">
        <f>24.5699 * CHOOSE(CONTROL!$C$9, $D$9, 100%, $F$9) + CHOOSE(CONTROL!$C$27, 0.0021, 0)</f>
        <v>24.571999999999999</v>
      </c>
      <c r="C72" s="17">
        <f>24.1377 * CHOOSE(CONTROL!$C$9, $D$9, 100%, $F$9) + CHOOSE(CONTROL!$C$27, 0.0021, 0)</f>
        <v>24.139799999999997</v>
      </c>
      <c r="D72" s="17">
        <f>24.1377 * CHOOSE(CONTROL!$C$9, $D$9, 100%, $F$9) + CHOOSE(CONTROL!$C$27, 0.0021, 0)</f>
        <v>24.139799999999997</v>
      </c>
      <c r="E72" s="17">
        <f>24.001 * CHOOSE(CONTROL!$C$9, $D$9, 100%, $F$9) + CHOOSE(CONTROL!$C$27, 0.0021, 0)</f>
        <v>24.0031</v>
      </c>
      <c r="F72" s="17">
        <f>24.001 * CHOOSE(CONTROL!$C$9, $D$9, 100%, $F$9) + CHOOSE(CONTROL!$C$27, 0.0021, 0)</f>
        <v>24.0031</v>
      </c>
      <c r="G72" s="17">
        <f>24.2724 * CHOOSE(CONTROL!$C$9, $D$9, 100%, $F$9) + CHOOSE(CONTROL!$C$27, 0.0021, 0)</f>
        <v>24.2745</v>
      </c>
      <c r="H72" s="17">
        <f>24.1377 * CHOOSE(CONTROL!$C$9, $D$9, 100%, $F$9) + CHOOSE(CONTROL!$C$27, 0.0021, 0)</f>
        <v>24.139799999999997</v>
      </c>
      <c r="I72" s="17">
        <f>24.1377 * CHOOSE(CONTROL!$C$9, $D$9, 100%, $F$9) + CHOOSE(CONTROL!$C$27, 0.0021, 0)</f>
        <v>24.139799999999997</v>
      </c>
      <c r="J72" s="17">
        <f>24.1377 * CHOOSE(CONTROL!$C$9, $D$9, 100%, $F$9) + CHOOSE(CONTROL!$C$27, 0.0021, 0)</f>
        <v>24.139799999999997</v>
      </c>
      <c r="K72" s="17">
        <f>24.1377 * CHOOSE(CONTROL!$C$9, $D$9, 100%, $F$9) + CHOOSE(CONTROL!$C$27, 0.0021, 0)</f>
        <v>24.139799999999997</v>
      </c>
      <c r="L72" s="17"/>
    </row>
    <row r="73" spans="1:12" ht="15" x14ac:dyDescent="0.2">
      <c r="A73" s="16">
        <v>43132</v>
      </c>
      <c r="B73" s="17">
        <f>23.9844 * CHOOSE(CONTROL!$C$9, $D$9, 100%, $F$9) + CHOOSE(CONTROL!$C$27, 0.0021, 0)</f>
        <v>23.986499999999999</v>
      </c>
      <c r="C73" s="17">
        <f>23.5521 * CHOOSE(CONTROL!$C$9, $D$9, 100%, $F$9) + CHOOSE(CONTROL!$C$27, 0.0021, 0)</f>
        <v>23.554199999999998</v>
      </c>
      <c r="D73" s="17">
        <f>23.5521 * CHOOSE(CONTROL!$C$9, $D$9, 100%, $F$9) + CHOOSE(CONTROL!$C$27, 0.0021, 0)</f>
        <v>23.554199999999998</v>
      </c>
      <c r="E73" s="17">
        <f>23.4155 * CHOOSE(CONTROL!$C$9, $D$9, 100%, $F$9) + CHOOSE(CONTROL!$C$27, 0.0021, 0)</f>
        <v>23.4176</v>
      </c>
      <c r="F73" s="17">
        <f>23.4155 * CHOOSE(CONTROL!$C$9, $D$9, 100%, $F$9) + CHOOSE(CONTROL!$C$27, 0.0021, 0)</f>
        <v>23.4176</v>
      </c>
      <c r="G73" s="17">
        <f>23.6869 * CHOOSE(CONTROL!$C$9, $D$9, 100%, $F$9) + CHOOSE(CONTROL!$C$27, 0.0021, 0)</f>
        <v>23.689</v>
      </c>
      <c r="H73" s="17">
        <f>23.5521 * CHOOSE(CONTROL!$C$9, $D$9, 100%, $F$9) + CHOOSE(CONTROL!$C$27, 0.0021, 0)</f>
        <v>23.554199999999998</v>
      </c>
      <c r="I73" s="17">
        <f>23.5521 * CHOOSE(CONTROL!$C$9, $D$9, 100%, $F$9) + CHOOSE(CONTROL!$C$27, 0.0021, 0)</f>
        <v>23.554199999999998</v>
      </c>
      <c r="J73" s="17">
        <f>23.5521 * CHOOSE(CONTROL!$C$9, $D$9, 100%, $F$9) + CHOOSE(CONTROL!$C$27, 0.0021, 0)</f>
        <v>23.554199999999998</v>
      </c>
      <c r="K73" s="17">
        <f>23.5521 * CHOOSE(CONTROL!$C$9, $D$9, 100%, $F$9) + CHOOSE(CONTROL!$C$27, 0.0021, 0)</f>
        <v>23.554199999999998</v>
      </c>
      <c r="L73" s="17"/>
    </row>
    <row r="74" spans="1:12" ht="15" x14ac:dyDescent="0.2">
      <c r="A74" s="16">
        <v>43160</v>
      </c>
      <c r="B74" s="17">
        <f>23.7679 * CHOOSE(CONTROL!$C$9, $D$9, 100%, $F$9) + CHOOSE(CONTROL!$C$27, 0.0021, 0)</f>
        <v>23.77</v>
      </c>
      <c r="C74" s="17">
        <f>23.3356 * CHOOSE(CONTROL!$C$9, $D$9, 100%, $F$9) + CHOOSE(CONTROL!$C$27, 0.0021, 0)</f>
        <v>23.337699999999998</v>
      </c>
      <c r="D74" s="17">
        <f>23.3356 * CHOOSE(CONTROL!$C$9, $D$9, 100%, $F$9) + CHOOSE(CONTROL!$C$27, 0.0021, 0)</f>
        <v>23.337699999999998</v>
      </c>
      <c r="E74" s="17">
        <f>23.199 * CHOOSE(CONTROL!$C$9, $D$9, 100%, $F$9) + CHOOSE(CONTROL!$C$27, 0.0021, 0)</f>
        <v>23.2011</v>
      </c>
      <c r="F74" s="17">
        <f>23.199 * CHOOSE(CONTROL!$C$9, $D$9, 100%, $F$9) + CHOOSE(CONTROL!$C$27, 0.0021, 0)</f>
        <v>23.2011</v>
      </c>
      <c r="G74" s="17">
        <f>23.4704 * CHOOSE(CONTROL!$C$9, $D$9, 100%, $F$9) + CHOOSE(CONTROL!$C$27, 0.0021, 0)</f>
        <v>23.4725</v>
      </c>
      <c r="H74" s="17">
        <f>23.3356 * CHOOSE(CONTROL!$C$9, $D$9, 100%, $F$9) + CHOOSE(CONTROL!$C$27, 0.0021, 0)</f>
        <v>23.337699999999998</v>
      </c>
      <c r="I74" s="17">
        <f>23.3356 * CHOOSE(CONTROL!$C$9, $D$9, 100%, $F$9) + CHOOSE(CONTROL!$C$27, 0.0021, 0)</f>
        <v>23.337699999999998</v>
      </c>
      <c r="J74" s="17">
        <f>23.3356 * CHOOSE(CONTROL!$C$9, $D$9, 100%, $F$9) + CHOOSE(CONTROL!$C$27, 0.0021, 0)</f>
        <v>23.337699999999998</v>
      </c>
      <c r="K74" s="17">
        <f>23.3356 * CHOOSE(CONTROL!$C$9, $D$9, 100%, $F$9) + CHOOSE(CONTROL!$C$27, 0.0021, 0)</f>
        <v>23.337699999999998</v>
      </c>
      <c r="L74" s="17"/>
    </row>
    <row r="75" spans="1:12" ht="15" x14ac:dyDescent="0.2">
      <c r="A75" s="16">
        <v>43191</v>
      </c>
      <c r="B75" s="17">
        <f>23.4996 * CHOOSE(CONTROL!$C$9, $D$9, 100%, $F$9) + CHOOSE(CONTROL!$C$27, 0.0021, 0)</f>
        <v>23.5017</v>
      </c>
      <c r="C75" s="17">
        <f>23.0674 * CHOOSE(CONTROL!$C$9, $D$9, 100%, $F$9) + CHOOSE(CONTROL!$C$27, 0.0021, 0)</f>
        <v>23.069499999999998</v>
      </c>
      <c r="D75" s="17">
        <f>23.0674 * CHOOSE(CONTROL!$C$9, $D$9, 100%, $F$9) + CHOOSE(CONTROL!$C$27, 0.0021, 0)</f>
        <v>23.069499999999998</v>
      </c>
      <c r="E75" s="17">
        <f>22.9307 * CHOOSE(CONTROL!$C$9, $D$9, 100%, $F$9) + CHOOSE(CONTROL!$C$27, 0.0021, 0)</f>
        <v>22.9328</v>
      </c>
      <c r="F75" s="17">
        <f>22.9307 * CHOOSE(CONTROL!$C$9, $D$9, 100%, $F$9) + CHOOSE(CONTROL!$C$27, 0.0021, 0)</f>
        <v>22.9328</v>
      </c>
      <c r="G75" s="17">
        <f>23.2021 * CHOOSE(CONTROL!$C$9, $D$9, 100%, $F$9) + CHOOSE(CONTROL!$C$27, 0.0021, 0)</f>
        <v>23.2042</v>
      </c>
      <c r="H75" s="17">
        <f>23.0674 * CHOOSE(CONTROL!$C$9, $D$9, 100%, $F$9) + CHOOSE(CONTROL!$C$27, 0.0021, 0)</f>
        <v>23.069499999999998</v>
      </c>
      <c r="I75" s="17">
        <f>23.0674 * CHOOSE(CONTROL!$C$9, $D$9, 100%, $F$9) + CHOOSE(CONTROL!$C$27, 0.0021, 0)</f>
        <v>23.069499999999998</v>
      </c>
      <c r="J75" s="17">
        <f>23.0674 * CHOOSE(CONTROL!$C$9, $D$9, 100%, $F$9) + CHOOSE(CONTROL!$C$27, 0.0021, 0)</f>
        <v>23.069499999999998</v>
      </c>
      <c r="K75" s="17">
        <f>23.0674 * CHOOSE(CONTROL!$C$9, $D$9, 100%, $F$9) + CHOOSE(CONTROL!$C$27, 0.0021, 0)</f>
        <v>23.069499999999998</v>
      </c>
      <c r="L75" s="17"/>
    </row>
    <row r="76" spans="1:12" ht="15" x14ac:dyDescent="0.2">
      <c r="A76" s="16">
        <v>43221</v>
      </c>
      <c r="B76" s="17">
        <f>23.9896 * CHOOSE(CONTROL!$C$9, $D$9, 100%, $F$9) + CHOOSE(CONTROL!$C$27, 0.0021, 0)</f>
        <v>23.991699999999998</v>
      </c>
      <c r="C76" s="17">
        <f>23.5573 * CHOOSE(CONTROL!$C$9, $D$9, 100%, $F$9) + CHOOSE(CONTROL!$C$27, 0.0021, 0)</f>
        <v>23.5594</v>
      </c>
      <c r="D76" s="17">
        <f>23.5573 * CHOOSE(CONTROL!$C$9, $D$9, 100%, $F$9) + CHOOSE(CONTROL!$C$27, 0.0021, 0)</f>
        <v>23.5594</v>
      </c>
      <c r="E76" s="17">
        <f>23.4207 * CHOOSE(CONTROL!$C$9, $D$9, 100%, $F$9) + CHOOSE(CONTROL!$C$27, 0.0021, 0)</f>
        <v>23.422799999999999</v>
      </c>
      <c r="F76" s="17">
        <f>23.4207 * CHOOSE(CONTROL!$C$9, $D$9, 100%, $F$9) + CHOOSE(CONTROL!$C$27, 0.0021, 0)</f>
        <v>23.422799999999999</v>
      </c>
      <c r="G76" s="17">
        <f>23.692 * CHOOSE(CONTROL!$C$9, $D$9, 100%, $F$9) + CHOOSE(CONTROL!$C$27, 0.0021, 0)</f>
        <v>23.694099999999999</v>
      </c>
      <c r="H76" s="17">
        <f>23.5573 * CHOOSE(CONTROL!$C$9, $D$9, 100%, $F$9) + CHOOSE(CONTROL!$C$27, 0.0021, 0)</f>
        <v>23.5594</v>
      </c>
      <c r="I76" s="17">
        <f>23.5573 * CHOOSE(CONTROL!$C$9, $D$9, 100%, $F$9) + CHOOSE(CONTROL!$C$27, 0.0021, 0)</f>
        <v>23.5594</v>
      </c>
      <c r="J76" s="17">
        <f>23.5573 * CHOOSE(CONTROL!$C$9, $D$9, 100%, $F$9) + CHOOSE(CONTROL!$C$27, 0.0021, 0)</f>
        <v>23.5594</v>
      </c>
      <c r="K76" s="17">
        <f>23.5573 * CHOOSE(CONTROL!$C$9, $D$9, 100%, $F$9) + CHOOSE(CONTROL!$C$27, 0.0021, 0)</f>
        <v>23.5594</v>
      </c>
      <c r="L76" s="17"/>
    </row>
    <row r="77" spans="1:12" ht="15" x14ac:dyDescent="0.2">
      <c r="A77" s="16">
        <v>43252</v>
      </c>
      <c r="B77" s="17">
        <f>24.3021 * CHOOSE(CONTROL!$C$9, $D$9, 100%, $F$9) + CHOOSE(CONTROL!$C$27, 0.0021, 0)</f>
        <v>24.304199999999998</v>
      </c>
      <c r="C77" s="17">
        <f>23.8699 * CHOOSE(CONTROL!$C$9, $D$9, 100%, $F$9) + CHOOSE(CONTROL!$C$27, 0.0021, 0)</f>
        <v>23.872</v>
      </c>
      <c r="D77" s="17">
        <f>23.8699 * CHOOSE(CONTROL!$C$9, $D$9, 100%, $F$9) + CHOOSE(CONTROL!$C$27, 0.0021, 0)</f>
        <v>23.872</v>
      </c>
      <c r="E77" s="17">
        <f>23.7332 * CHOOSE(CONTROL!$C$9, $D$9, 100%, $F$9) + CHOOSE(CONTROL!$C$27, 0.0021, 0)</f>
        <v>23.735299999999999</v>
      </c>
      <c r="F77" s="17">
        <f>23.7332 * CHOOSE(CONTROL!$C$9, $D$9, 100%, $F$9) + CHOOSE(CONTROL!$C$27, 0.0021, 0)</f>
        <v>23.735299999999999</v>
      </c>
      <c r="G77" s="17">
        <f>24.0046 * CHOOSE(CONTROL!$C$9, $D$9, 100%, $F$9) + CHOOSE(CONTROL!$C$27, 0.0021, 0)</f>
        <v>24.006699999999999</v>
      </c>
      <c r="H77" s="17">
        <f>23.8699 * CHOOSE(CONTROL!$C$9, $D$9, 100%, $F$9) + CHOOSE(CONTROL!$C$27, 0.0021, 0)</f>
        <v>23.872</v>
      </c>
      <c r="I77" s="17">
        <f>23.8699 * CHOOSE(CONTROL!$C$9, $D$9, 100%, $F$9) + CHOOSE(CONTROL!$C$27, 0.0021, 0)</f>
        <v>23.872</v>
      </c>
      <c r="J77" s="17">
        <f>23.8699 * CHOOSE(CONTROL!$C$9, $D$9, 100%, $F$9) + CHOOSE(CONTROL!$C$27, 0.0021, 0)</f>
        <v>23.872</v>
      </c>
      <c r="K77" s="17">
        <f>23.8699 * CHOOSE(CONTROL!$C$9, $D$9, 100%, $F$9) + CHOOSE(CONTROL!$C$27, 0.0021, 0)</f>
        <v>23.872</v>
      </c>
      <c r="L77" s="17"/>
    </row>
    <row r="78" spans="1:12" ht="15" x14ac:dyDescent="0.2">
      <c r="A78" s="16">
        <v>43282</v>
      </c>
      <c r="B78" s="17">
        <f>24.7902 * CHOOSE(CONTROL!$C$9, $D$9, 100%, $F$9) + CHOOSE(CONTROL!$C$27, 0.0021, 0)</f>
        <v>24.792299999999997</v>
      </c>
      <c r="C78" s="17">
        <f>24.358 * CHOOSE(CONTROL!$C$9, $D$9, 100%, $F$9) + CHOOSE(CONTROL!$C$27, 0.0021, 0)</f>
        <v>24.360099999999999</v>
      </c>
      <c r="D78" s="17">
        <f>24.358 * CHOOSE(CONTROL!$C$9, $D$9, 100%, $F$9) + CHOOSE(CONTROL!$C$27, 0.0021, 0)</f>
        <v>24.360099999999999</v>
      </c>
      <c r="E78" s="17">
        <f>24.2213 * CHOOSE(CONTROL!$C$9, $D$9, 100%, $F$9) + CHOOSE(CONTROL!$C$27, 0.0021, 0)</f>
        <v>24.223399999999998</v>
      </c>
      <c r="F78" s="17">
        <f>24.2213 * CHOOSE(CONTROL!$C$9, $D$9, 100%, $F$9) + CHOOSE(CONTROL!$C$27, 0.0021, 0)</f>
        <v>24.223399999999998</v>
      </c>
      <c r="G78" s="17">
        <f>24.4927 * CHOOSE(CONTROL!$C$9, $D$9, 100%, $F$9) + CHOOSE(CONTROL!$C$27, 0.0021, 0)</f>
        <v>24.494799999999998</v>
      </c>
      <c r="H78" s="17">
        <f>24.358 * CHOOSE(CONTROL!$C$9, $D$9, 100%, $F$9) + CHOOSE(CONTROL!$C$27, 0.0021, 0)</f>
        <v>24.360099999999999</v>
      </c>
      <c r="I78" s="17">
        <f>24.358 * CHOOSE(CONTROL!$C$9, $D$9, 100%, $F$9) + CHOOSE(CONTROL!$C$27, 0.0021, 0)</f>
        <v>24.360099999999999</v>
      </c>
      <c r="J78" s="17">
        <f>24.358 * CHOOSE(CONTROL!$C$9, $D$9, 100%, $F$9) + CHOOSE(CONTROL!$C$27, 0.0021, 0)</f>
        <v>24.360099999999999</v>
      </c>
      <c r="K78" s="17">
        <f>24.358 * CHOOSE(CONTROL!$C$9, $D$9, 100%, $F$9) + CHOOSE(CONTROL!$C$27, 0.0021, 0)</f>
        <v>24.360099999999999</v>
      </c>
      <c r="L78" s="17"/>
    </row>
    <row r="79" spans="1:12" ht="15" x14ac:dyDescent="0.2">
      <c r="A79" s="16">
        <v>43313</v>
      </c>
      <c r="B79" s="17">
        <f>24.972 * CHOOSE(CONTROL!$C$9, $D$9, 100%, $F$9) + CHOOSE(CONTROL!$C$27, 0.0021, 0)</f>
        <v>24.9741</v>
      </c>
      <c r="C79" s="17">
        <f>24.5397 * CHOOSE(CONTROL!$C$9, $D$9, 100%, $F$9) + CHOOSE(CONTROL!$C$27, 0.0021, 0)</f>
        <v>24.541799999999999</v>
      </c>
      <c r="D79" s="17">
        <f>24.5397 * CHOOSE(CONTROL!$C$9, $D$9, 100%, $F$9) + CHOOSE(CONTROL!$C$27, 0.0021, 0)</f>
        <v>24.541799999999999</v>
      </c>
      <c r="E79" s="17">
        <f>24.4031 * CHOOSE(CONTROL!$C$9, $D$9, 100%, $F$9) + CHOOSE(CONTROL!$C$27, 0.0021, 0)</f>
        <v>24.405199999999997</v>
      </c>
      <c r="F79" s="17">
        <f>24.4031 * CHOOSE(CONTROL!$C$9, $D$9, 100%, $F$9) + CHOOSE(CONTROL!$C$27, 0.0021, 0)</f>
        <v>24.405199999999997</v>
      </c>
      <c r="G79" s="17">
        <f>24.6745 * CHOOSE(CONTROL!$C$9, $D$9, 100%, $F$9) + CHOOSE(CONTROL!$C$27, 0.0021, 0)</f>
        <v>24.676599999999997</v>
      </c>
      <c r="H79" s="17">
        <f>24.5397 * CHOOSE(CONTROL!$C$9, $D$9, 100%, $F$9) + CHOOSE(CONTROL!$C$27, 0.0021, 0)</f>
        <v>24.541799999999999</v>
      </c>
      <c r="I79" s="17">
        <f>24.5397 * CHOOSE(CONTROL!$C$9, $D$9, 100%, $F$9) + CHOOSE(CONTROL!$C$27, 0.0021, 0)</f>
        <v>24.541799999999999</v>
      </c>
      <c r="J79" s="17">
        <f>24.5397 * CHOOSE(CONTROL!$C$9, $D$9, 100%, $F$9) + CHOOSE(CONTROL!$C$27, 0.0021, 0)</f>
        <v>24.541799999999999</v>
      </c>
      <c r="K79" s="17">
        <f>24.5397 * CHOOSE(CONTROL!$C$9, $D$9, 100%, $F$9) + CHOOSE(CONTROL!$C$27, 0.0021, 0)</f>
        <v>24.541799999999999</v>
      </c>
      <c r="L79" s="17"/>
    </row>
    <row r="80" spans="1:12" ht="15" x14ac:dyDescent="0.2">
      <c r="A80" s="16">
        <v>43344</v>
      </c>
      <c r="B80" s="17">
        <f>25.4809 * CHOOSE(CONTROL!$C$9, $D$9, 100%, $F$9) + CHOOSE(CONTROL!$C$27, 0.0021, 0)</f>
        <v>25.482999999999997</v>
      </c>
      <c r="C80" s="17">
        <f>25.0486 * CHOOSE(CONTROL!$C$9, $D$9, 100%, $F$9) + CHOOSE(CONTROL!$C$27, 0.0021, 0)</f>
        <v>25.050699999999999</v>
      </c>
      <c r="D80" s="17">
        <f>25.0486 * CHOOSE(CONTROL!$C$9, $D$9, 100%, $F$9) + CHOOSE(CONTROL!$C$27, 0.0021, 0)</f>
        <v>25.050699999999999</v>
      </c>
      <c r="E80" s="17">
        <f>24.9119 * CHOOSE(CONTROL!$C$9, $D$9, 100%, $F$9) + CHOOSE(CONTROL!$C$27, 0.0021, 0)</f>
        <v>24.913999999999998</v>
      </c>
      <c r="F80" s="17">
        <f>24.9119 * CHOOSE(CONTROL!$C$9, $D$9, 100%, $F$9) + CHOOSE(CONTROL!$C$27, 0.0021, 0)</f>
        <v>24.913999999999998</v>
      </c>
      <c r="G80" s="17">
        <f>25.1833 * CHOOSE(CONTROL!$C$9, $D$9, 100%, $F$9) + CHOOSE(CONTROL!$C$27, 0.0021, 0)</f>
        <v>25.185399999999998</v>
      </c>
      <c r="H80" s="17">
        <f>25.0486 * CHOOSE(CONTROL!$C$9, $D$9, 100%, $F$9) + CHOOSE(CONTROL!$C$27, 0.0021, 0)</f>
        <v>25.050699999999999</v>
      </c>
      <c r="I80" s="17">
        <f>25.0486 * CHOOSE(CONTROL!$C$9, $D$9, 100%, $F$9) + CHOOSE(CONTROL!$C$27, 0.0021, 0)</f>
        <v>25.050699999999999</v>
      </c>
      <c r="J80" s="17">
        <f>25.0486 * CHOOSE(CONTROL!$C$9, $D$9, 100%, $F$9) + CHOOSE(CONTROL!$C$27, 0.0021, 0)</f>
        <v>25.050699999999999</v>
      </c>
      <c r="K80" s="17">
        <f>25.0486 * CHOOSE(CONTROL!$C$9, $D$9, 100%, $F$9) + CHOOSE(CONTROL!$C$27, 0.0021, 0)</f>
        <v>25.050699999999999</v>
      </c>
      <c r="L80" s="17"/>
    </row>
    <row r="81" spans="1:12" ht="15" x14ac:dyDescent="0.2">
      <c r="A81" s="16">
        <v>43374</v>
      </c>
      <c r="B81" s="17">
        <f>26.1148 * CHOOSE(CONTROL!$C$9, $D$9, 100%, $F$9) + CHOOSE(CONTROL!$C$27, 0.0021, 0)</f>
        <v>26.116899999999998</v>
      </c>
      <c r="C81" s="17">
        <f>25.6826 * CHOOSE(CONTROL!$C$9, $D$9, 100%, $F$9) + CHOOSE(CONTROL!$C$27, 0.0021, 0)</f>
        <v>25.684699999999999</v>
      </c>
      <c r="D81" s="17">
        <f>25.6826 * CHOOSE(CONTROL!$C$9, $D$9, 100%, $F$9) + CHOOSE(CONTROL!$C$27, 0.0021, 0)</f>
        <v>25.684699999999999</v>
      </c>
      <c r="E81" s="17">
        <f>25.5459 * CHOOSE(CONTROL!$C$9, $D$9, 100%, $F$9) + CHOOSE(CONTROL!$C$27, 0.0021, 0)</f>
        <v>25.547999999999998</v>
      </c>
      <c r="F81" s="17">
        <f>25.5459 * CHOOSE(CONTROL!$C$9, $D$9, 100%, $F$9) + CHOOSE(CONTROL!$C$27, 0.0021, 0)</f>
        <v>25.547999999999998</v>
      </c>
      <c r="G81" s="17">
        <f>25.8173 * CHOOSE(CONTROL!$C$9, $D$9, 100%, $F$9) + CHOOSE(CONTROL!$C$27, 0.0021, 0)</f>
        <v>25.819399999999998</v>
      </c>
      <c r="H81" s="17">
        <f>25.6826 * CHOOSE(CONTROL!$C$9, $D$9, 100%, $F$9) + CHOOSE(CONTROL!$C$27, 0.0021, 0)</f>
        <v>25.684699999999999</v>
      </c>
      <c r="I81" s="17">
        <f>25.6826 * CHOOSE(CONTROL!$C$9, $D$9, 100%, $F$9) + CHOOSE(CONTROL!$C$27, 0.0021, 0)</f>
        <v>25.684699999999999</v>
      </c>
      <c r="J81" s="17">
        <f>25.6826 * CHOOSE(CONTROL!$C$9, $D$9, 100%, $F$9) + CHOOSE(CONTROL!$C$27, 0.0021, 0)</f>
        <v>25.684699999999999</v>
      </c>
      <c r="K81" s="17">
        <f>25.6826 * CHOOSE(CONTROL!$C$9, $D$9, 100%, $F$9) + CHOOSE(CONTROL!$C$27, 0.0021, 0)</f>
        <v>25.684699999999999</v>
      </c>
      <c r="L81" s="17"/>
    </row>
    <row r="82" spans="1:12" ht="15" x14ac:dyDescent="0.2">
      <c r="A82" s="16">
        <v>43405</v>
      </c>
      <c r="B82" s="17">
        <f>26.219 * CHOOSE(CONTROL!$C$9, $D$9, 100%, $F$9) + CHOOSE(CONTROL!$C$27, 0.0021, 0)</f>
        <v>26.2211</v>
      </c>
      <c r="C82" s="17">
        <f>25.7868 * CHOOSE(CONTROL!$C$9, $D$9, 100%, $F$9) + CHOOSE(CONTROL!$C$27, 0.0021, 0)</f>
        <v>25.788899999999998</v>
      </c>
      <c r="D82" s="17">
        <f>25.7868 * CHOOSE(CONTROL!$C$9, $D$9, 100%, $F$9) + CHOOSE(CONTROL!$C$27, 0.0021, 0)</f>
        <v>25.788899999999998</v>
      </c>
      <c r="E82" s="17">
        <f>25.6501 * CHOOSE(CONTROL!$C$9, $D$9, 100%, $F$9) + CHOOSE(CONTROL!$C$27, 0.0021, 0)</f>
        <v>25.652199999999997</v>
      </c>
      <c r="F82" s="17">
        <f>25.6501 * CHOOSE(CONTROL!$C$9, $D$9, 100%, $F$9) + CHOOSE(CONTROL!$C$27, 0.0021, 0)</f>
        <v>25.652199999999997</v>
      </c>
      <c r="G82" s="17">
        <f>25.9215 * CHOOSE(CONTROL!$C$9, $D$9, 100%, $F$9) + CHOOSE(CONTROL!$C$27, 0.0021, 0)</f>
        <v>25.9236</v>
      </c>
      <c r="H82" s="17">
        <f>25.7868 * CHOOSE(CONTROL!$C$9, $D$9, 100%, $F$9) + CHOOSE(CONTROL!$C$27, 0.0021, 0)</f>
        <v>25.788899999999998</v>
      </c>
      <c r="I82" s="17">
        <f>25.7868 * CHOOSE(CONTROL!$C$9, $D$9, 100%, $F$9) + CHOOSE(CONTROL!$C$27, 0.0021, 0)</f>
        <v>25.788899999999998</v>
      </c>
      <c r="J82" s="17">
        <f>25.7868 * CHOOSE(CONTROL!$C$9, $D$9, 100%, $F$9) + CHOOSE(CONTROL!$C$27, 0.0021, 0)</f>
        <v>25.788899999999998</v>
      </c>
      <c r="K82" s="17">
        <f>25.7868 * CHOOSE(CONTROL!$C$9, $D$9, 100%, $F$9) + CHOOSE(CONTROL!$C$27, 0.0021, 0)</f>
        <v>25.788899999999998</v>
      </c>
      <c r="L82" s="17"/>
    </row>
    <row r="83" spans="1:12" ht="15" x14ac:dyDescent="0.2">
      <c r="A83" s="16">
        <v>43435</v>
      </c>
      <c r="B83" s="17">
        <f>25.7982 * CHOOSE(CONTROL!$C$9, $D$9, 100%, $F$9) + CHOOSE(CONTROL!$C$27, 0.0021, 0)</f>
        <v>25.8003</v>
      </c>
      <c r="C83" s="17">
        <f>25.3659 * CHOOSE(CONTROL!$C$9, $D$9, 100%, $F$9) + CHOOSE(CONTROL!$C$27, 0.0021, 0)</f>
        <v>25.367999999999999</v>
      </c>
      <c r="D83" s="17">
        <f>25.3659 * CHOOSE(CONTROL!$C$9, $D$9, 100%, $F$9) + CHOOSE(CONTROL!$C$27, 0.0021, 0)</f>
        <v>25.367999999999999</v>
      </c>
      <c r="E83" s="17">
        <f>25.2293 * CHOOSE(CONTROL!$C$9, $D$9, 100%, $F$9) + CHOOSE(CONTROL!$C$27, 0.0021, 0)</f>
        <v>25.231399999999997</v>
      </c>
      <c r="F83" s="17">
        <f>25.2293 * CHOOSE(CONTROL!$C$9, $D$9, 100%, $F$9) + CHOOSE(CONTROL!$C$27, 0.0021, 0)</f>
        <v>25.231399999999997</v>
      </c>
      <c r="G83" s="17">
        <f>25.5007 * CHOOSE(CONTROL!$C$9, $D$9, 100%, $F$9) + CHOOSE(CONTROL!$C$27, 0.0021, 0)</f>
        <v>25.502799999999997</v>
      </c>
      <c r="H83" s="17">
        <f>25.3659 * CHOOSE(CONTROL!$C$9, $D$9, 100%, $F$9) + CHOOSE(CONTROL!$C$27, 0.0021, 0)</f>
        <v>25.367999999999999</v>
      </c>
      <c r="I83" s="17">
        <f>25.3659 * CHOOSE(CONTROL!$C$9, $D$9, 100%, $F$9) + CHOOSE(CONTROL!$C$27, 0.0021, 0)</f>
        <v>25.367999999999999</v>
      </c>
      <c r="J83" s="17">
        <f>25.3659 * CHOOSE(CONTROL!$C$9, $D$9, 100%, $F$9) + CHOOSE(CONTROL!$C$27, 0.0021, 0)</f>
        <v>25.367999999999999</v>
      </c>
      <c r="K83" s="17">
        <f>25.3659 * CHOOSE(CONTROL!$C$9, $D$9, 100%, $F$9) + CHOOSE(CONTROL!$C$27, 0.0021, 0)</f>
        <v>25.367999999999999</v>
      </c>
      <c r="L83" s="17"/>
    </row>
    <row r="84" spans="1:12" ht="15" x14ac:dyDescent="0.2">
      <c r="A84" s="16">
        <v>43466</v>
      </c>
      <c r="B84" s="17">
        <f>25.1821 * CHOOSE(CONTROL!$C$9, $D$9, 100%, $F$9) + CHOOSE(CONTROL!$C$27, 0.0021, 0)</f>
        <v>25.184199999999997</v>
      </c>
      <c r="C84" s="17">
        <f>24.7498 * CHOOSE(CONTROL!$C$9, $D$9, 100%, $F$9) + CHOOSE(CONTROL!$C$27, 0.0021, 0)</f>
        <v>24.751899999999999</v>
      </c>
      <c r="D84" s="17">
        <f>24.7498 * CHOOSE(CONTROL!$C$9, $D$9, 100%, $F$9) + CHOOSE(CONTROL!$C$27, 0.0021, 0)</f>
        <v>24.751899999999999</v>
      </c>
      <c r="E84" s="17">
        <f>24.6132 * CHOOSE(CONTROL!$C$9, $D$9, 100%, $F$9) + CHOOSE(CONTROL!$C$27, 0.0021, 0)</f>
        <v>24.615299999999998</v>
      </c>
      <c r="F84" s="17">
        <f>24.6132 * CHOOSE(CONTROL!$C$9, $D$9, 100%, $F$9) + CHOOSE(CONTROL!$C$27, 0.0021, 0)</f>
        <v>24.615299999999998</v>
      </c>
      <c r="G84" s="17">
        <f>24.8845 * CHOOSE(CONTROL!$C$9, $D$9, 100%, $F$9) + CHOOSE(CONTROL!$C$27, 0.0021, 0)</f>
        <v>24.886599999999998</v>
      </c>
      <c r="H84" s="17">
        <f>24.7498 * CHOOSE(CONTROL!$C$9, $D$9, 100%, $F$9) + CHOOSE(CONTROL!$C$27, 0.0021, 0)</f>
        <v>24.751899999999999</v>
      </c>
      <c r="I84" s="17">
        <f>24.7498 * CHOOSE(CONTROL!$C$9, $D$9, 100%, $F$9) + CHOOSE(CONTROL!$C$27, 0.0021, 0)</f>
        <v>24.751899999999999</v>
      </c>
      <c r="J84" s="17">
        <f>24.7498 * CHOOSE(CONTROL!$C$9, $D$9, 100%, $F$9) + CHOOSE(CONTROL!$C$27, 0.0021, 0)</f>
        <v>24.751899999999999</v>
      </c>
      <c r="K84" s="17">
        <f>24.7498 * CHOOSE(CONTROL!$C$9, $D$9, 100%, $F$9) + CHOOSE(CONTROL!$C$27, 0.0021, 0)</f>
        <v>24.751899999999999</v>
      </c>
      <c r="L84" s="17"/>
    </row>
    <row r="85" spans="1:12" ht="15" x14ac:dyDescent="0.2">
      <c r="A85" s="16">
        <v>43497</v>
      </c>
      <c r="B85" s="17">
        <f>24.5804 * CHOOSE(CONTROL!$C$9, $D$9, 100%, $F$9) + CHOOSE(CONTROL!$C$27, 0.0021, 0)</f>
        <v>24.5825</v>
      </c>
      <c r="C85" s="17">
        <f>24.1482 * CHOOSE(CONTROL!$C$9, $D$9, 100%, $F$9) + CHOOSE(CONTROL!$C$27, 0.0021, 0)</f>
        <v>24.150299999999998</v>
      </c>
      <c r="D85" s="17">
        <f>24.1482 * CHOOSE(CONTROL!$C$9, $D$9, 100%, $F$9) + CHOOSE(CONTROL!$C$27, 0.0021, 0)</f>
        <v>24.150299999999998</v>
      </c>
      <c r="E85" s="17">
        <f>24.0115 * CHOOSE(CONTROL!$C$9, $D$9, 100%, $F$9) + CHOOSE(CONTROL!$C$27, 0.0021, 0)</f>
        <v>24.0136</v>
      </c>
      <c r="F85" s="17">
        <f>24.0115 * CHOOSE(CONTROL!$C$9, $D$9, 100%, $F$9) + CHOOSE(CONTROL!$C$27, 0.0021, 0)</f>
        <v>24.0136</v>
      </c>
      <c r="G85" s="17">
        <f>24.2829 * CHOOSE(CONTROL!$C$9, $D$9, 100%, $F$9) + CHOOSE(CONTROL!$C$27, 0.0021, 0)</f>
        <v>24.285</v>
      </c>
      <c r="H85" s="17">
        <f>24.1482 * CHOOSE(CONTROL!$C$9, $D$9, 100%, $F$9) + CHOOSE(CONTROL!$C$27, 0.0021, 0)</f>
        <v>24.150299999999998</v>
      </c>
      <c r="I85" s="17">
        <f>24.1482 * CHOOSE(CONTROL!$C$9, $D$9, 100%, $F$9) + CHOOSE(CONTROL!$C$27, 0.0021, 0)</f>
        <v>24.150299999999998</v>
      </c>
      <c r="J85" s="17">
        <f>24.1482 * CHOOSE(CONTROL!$C$9, $D$9, 100%, $F$9) + CHOOSE(CONTROL!$C$27, 0.0021, 0)</f>
        <v>24.150299999999998</v>
      </c>
      <c r="K85" s="17">
        <f>24.1482 * CHOOSE(CONTROL!$C$9, $D$9, 100%, $F$9) + CHOOSE(CONTROL!$C$27, 0.0021, 0)</f>
        <v>24.150299999999998</v>
      </c>
      <c r="L85" s="17"/>
    </row>
    <row r="86" spans="1:12" ht="15" x14ac:dyDescent="0.2">
      <c r="A86" s="16">
        <v>43525</v>
      </c>
      <c r="B86" s="17">
        <f>24.358 * CHOOSE(CONTROL!$C$9, $D$9, 100%, $F$9) + CHOOSE(CONTROL!$C$27, 0.0021, 0)</f>
        <v>24.360099999999999</v>
      </c>
      <c r="C86" s="17">
        <f>23.9257 * CHOOSE(CONTROL!$C$9, $D$9, 100%, $F$9) + CHOOSE(CONTROL!$C$27, 0.0021, 0)</f>
        <v>23.927799999999998</v>
      </c>
      <c r="D86" s="17">
        <f>23.9257 * CHOOSE(CONTROL!$C$9, $D$9, 100%, $F$9) + CHOOSE(CONTROL!$C$27, 0.0021, 0)</f>
        <v>23.927799999999998</v>
      </c>
      <c r="E86" s="17">
        <f>23.7891 * CHOOSE(CONTROL!$C$9, $D$9, 100%, $F$9) + CHOOSE(CONTROL!$C$27, 0.0021, 0)</f>
        <v>23.7912</v>
      </c>
      <c r="F86" s="17">
        <f>23.7891 * CHOOSE(CONTROL!$C$9, $D$9, 100%, $F$9) + CHOOSE(CONTROL!$C$27, 0.0021, 0)</f>
        <v>23.7912</v>
      </c>
      <c r="G86" s="17">
        <f>24.0605 * CHOOSE(CONTROL!$C$9, $D$9, 100%, $F$9) + CHOOSE(CONTROL!$C$27, 0.0021, 0)</f>
        <v>24.0626</v>
      </c>
      <c r="H86" s="17">
        <f>23.9257 * CHOOSE(CONTROL!$C$9, $D$9, 100%, $F$9) + CHOOSE(CONTROL!$C$27, 0.0021, 0)</f>
        <v>23.927799999999998</v>
      </c>
      <c r="I86" s="17">
        <f>23.9257 * CHOOSE(CONTROL!$C$9, $D$9, 100%, $F$9) + CHOOSE(CONTROL!$C$27, 0.0021, 0)</f>
        <v>23.927799999999998</v>
      </c>
      <c r="J86" s="17">
        <f>23.9257 * CHOOSE(CONTROL!$C$9, $D$9, 100%, $F$9) + CHOOSE(CONTROL!$C$27, 0.0021, 0)</f>
        <v>23.927799999999998</v>
      </c>
      <c r="K86" s="17">
        <f>23.9257 * CHOOSE(CONTROL!$C$9, $D$9, 100%, $F$9) + CHOOSE(CONTROL!$C$27, 0.0021, 0)</f>
        <v>23.927799999999998</v>
      </c>
      <c r="L86" s="17"/>
    </row>
    <row r="87" spans="1:12" ht="15" x14ac:dyDescent="0.2">
      <c r="A87" s="16">
        <v>43556</v>
      </c>
      <c r="B87" s="17">
        <f>24.0823 * CHOOSE(CONTROL!$C$9, $D$9, 100%, $F$9) + CHOOSE(CONTROL!$C$27, 0.0021, 0)</f>
        <v>24.084399999999999</v>
      </c>
      <c r="C87" s="17">
        <f>23.6501 * CHOOSE(CONTROL!$C$9, $D$9, 100%, $F$9) + CHOOSE(CONTROL!$C$27, 0.0021, 0)</f>
        <v>23.652199999999997</v>
      </c>
      <c r="D87" s="17">
        <f>23.6501 * CHOOSE(CONTROL!$C$9, $D$9, 100%, $F$9) + CHOOSE(CONTROL!$C$27, 0.0021, 0)</f>
        <v>23.652199999999997</v>
      </c>
      <c r="E87" s="17">
        <f>23.5134 * CHOOSE(CONTROL!$C$9, $D$9, 100%, $F$9) + CHOOSE(CONTROL!$C$27, 0.0021, 0)</f>
        <v>23.515499999999999</v>
      </c>
      <c r="F87" s="17">
        <f>23.5134 * CHOOSE(CONTROL!$C$9, $D$9, 100%, $F$9) + CHOOSE(CONTROL!$C$27, 0.0021, 0)</f>
        <v>23.515499999999999</v>
      </c>
      <c r="G87" s="17">
        <f>23.7848 * CHOOSE(CONTROL!$C$9, $D$9, 100%, $F$9) + CHOOSE(CONTROL!$C$27, 0.0021, 0)</f>
        <v>23.786899999999999</v>
      </c>
      <c r="H87" s="17">
        <f>23.6501 * CHOOSE(CONTROL!$C$9, $D$9, 100%, $F$9) + CHOOSE(CONTROL!$C$27, 0.0021, 0)</f>
        <v>23.652199999999997</v>
      </c>
      <c r="I87" s="17">
        <f>23.6501 * CHOOSE(CONTROL!$C$9, $D$9, 100%, $F$9) + CHOOSE(CONTROL!$C$27, 0.0021, 0)</f>
        <v>23.652199999999997</v>
      </c>
      <c r="J87" s="17">
        <f>23.6501 * CHOOSE(CONTROL!$C$9, $D$9, 100%, $F$9) + CHOOSE(CONTROL!$C$27, 0.0021, 0)</f>
        <v>23.652199999999997</v>
      </c>
      <c r="K87" s="17">
        <f>23.6501 * CHOOSE(CONTROL!$C$9, $D$9, 100%, $F$9) + CHOOSE(CONTROL!$C$27, 0.0021, 0)</f>
        <v>23.652199999999997</v>
      </c>
      <c r="L87" s="17"/>
    </row>
    <row r="88" spans="1:12" ht="15" x14ac:dyDescent="0.2">
      <c r="A88" s="16">
        <v>43586</v>
      </c>
      <c r="B88" s="17">
        <f>24.5858 * CHOOSE(CONTROL!$C$9, $D$9, 100%, $F$9) + CHOOSE(CONTROL!$C$27, 0.0021, 0)</f>
        <v>24.587899999999998</v>
      </c>
      <c r="C88" s="17">
        <f>24.1535 * CHOOSE(CONTROL!$C$9, $D$9, 100%, $F$9) + CHOOSE(CONTROL!$C$27, 0.0021, 0)</f>
        <v>24.1556</v>
      </c>
      <c r="D88" s="17">
        <f>24.1535 * CHOOSE(CONTROL!$C$9, $D$9, 100%, $F$9) + CHOOSE(CONTROL!$C$27, 0.0021, 0)</f>
        <v>24.1556</v>
      </c>
      <c r="E88" s="17">
        <f>24.0169 * CHOOSE(CONTROL!$C$9, $D$9, 100%, $F$9) + CHOOSE(CONTROL!$C$27, 0.0021, 0)</f>
        <v>24.018999999999998</v>
      </c>
      <c r="F88" s="17">
        <f>24.0169 * CHOOSE(CONTROL!$C$9, $D$9, 100%, $F$9) + CHOOSE(CONTROL!$C$27, 0.0021, 0)</f>
        <v>24.018999999999998</v>
      </c>
      <c r="G88" s="17">
        <f>24.2882 * CHOOSE(CONTROL!$C$9, $D$9, 100%, $F$9) + CHOOSE(CONTROL!$C$27, 0.0021, 0)</f>
        <v>24.290299999999998</v>
      </c>
      <c r="H88" s="17">
        <f>24.1535 * CHOOSE(CONTROL!$C$9, $D$9, 100%, $F$9) + CHOOSE(CONTROL!$C$27, 0.0021, 0)</f>
        <v>24.1556</v>
      </c>
      <c r="I88" s="17">
        <f>24.1535 * CHOOSE(CONTROL!$C$9, $D$9, 100%, $F$9) + CHOOSE(CONTROL!$C$27, 0.0021, 0)</f>
        <v>24.1556</v>
      </c>
      <c r="J88" s="17">
        <f>24.1535 * CHOOSE(CONTROL!$C$9, $D$9, 100%, $F$9) + CHOOSE(CONTROL!$C$27, 0.0021, 0)</f>
        <v>24.1556</v>
      </c>
      <c r="K88" s="17">
        <f>24.1535 * CHOOSE(CONTROL!$C$9, $D$9, 100%, $F$9) + CHOOSE(CONTROL!$C$27, 0.0021, 0)</f>
        <v>24.1556</v>
      </c>
      <c r="L88" s="17"/>
    </row>
    <row r="89" spans="1:12" ht="15" x14ac:dyDescent="0.2">
      <c r="A89" s="16">
        <v>43617</v>
      </c>
      <c r="B89" s="17">
        <f>24.9069 * CHOOSE(CONTROL!$C$9, $D$9, 100%, $F$9) + CHOOSE(CONTROL!$C$27, 0.0021, 0)</f>
        <v>24.908999999999999</v>
      </c>
      <c r="C89" s="17">
        <f>24.4747 * CHOOSE(CONTROL!$C$9, $D$9, 100%, $F$9) + CHOOSE(CONTROL!$C$27, 0.0021, 0)</f>
        <v>24.476799999999997</v>
      </c>
      <c r="D89" s="17">
        <f>24.4747 * CHOOSE(CONTROL!$C$9, $D$9, 100%, $F$9) + CHOOSE(CONTROL!$C$27, 0.0021, 0)</f>
        <v>24.476799999999997</v>
      </c>
      <c r="E89" s="17">
        <f>24.338 * CHOOSE(CONTROL!$C$9, $D$9, 100%, $F$9) + CHOOSE(CONTROL!$C$27, 0.0021, 0)</f>
        <v>24.3401</v>
      </c>
      <c r="F89" s="17">
        <f>24.338 * CHOOSE(CONTROL!$C$9, $D$9, 100%, $F$9) + CHOOSE(CONTROL!$C$27, 0.0021, 0)</f>
        <v>24.3401</v>
      </c>
      <c r="G89" s="17">
        <f>24.6094 * CHOOSE(CONTROL!$C$9, $D$9, 100%, $F$9) + CHOOSE(CONTROL!$C$27, 0.0021, 0)</f>
        <v>24.611499999999999</v>
      </c>
      <c r="H89" s="17">
        <f>24.4747 * CHOOSE(CONTROL!$C$9, $D$9, 100%, $F$9) + CHOOSE(CONTROL!$C$27, 0.0021, 0)</f>
        <v>24.476799999999997</v>
      </c>
      <c r="I89" s="17">
        <f>24.4747 * CHOOSE(CONTROL!$C$9, $D$9, 100%, $F$9) + CHOOSE(CONTROL!$C$27, 0.0021, 0)</f>
        <v>24.476799999999997</v>
      </c>
      <c r="J89" s="17">
        <f>24.4747 * CHOOSE(CONTROL!$C$9, $D$9, 100%, $F$9) + CHOOSE(CONTROL!$C$27, 0.0021, 0)</f>
        <v>24.476799999999997</v>
      </c>
      <c r="K89" s="17">
        <f>24.4747 * CHOOSE(CONTROL!$C$9, $D$9, 100%, $F$9) + CHOOSE(CONTROL!$C$27, 0.0021, 0)</f>
        <v>24.476799999999997</v>
      </c>
      <c r="L89" s="17"/>
    </row>
    <row r="90" spans="1:12" ht="15" x14ac:dyDescent="0.2">
      <c r="A90" s="16">
        <v>43647</v>
      </c>
      <c r="B90" s="17">
        <f>25.4084 * CHOOSE(CONTROL!$C$9, $D$9, 100%, $F$9) + CHOOSE(CONTROL!$C$27, 0.0021, 0)</f>
        <v>25.410499999999999</v>
      </c>
      <c r="C90" s="17">
        <f>24.9762 * CHOOSE(CONTROL!$C$9, $D$9, 100%, $F$9) + CHOOSE(CONTROL!$C$27, 0.0021, 0)</f>
        <v>24.978299999999997</v>
      </c>
      <c r="D90" s="17">
        <f>24.9762 * CHOOSE(CONTROL!$C$9, $D$9, 100%, $F$9) + CHOOSE(CONTROL!$C$27, 0.0021, 0)</f>
        <v>24.978299999999997</v>
      </c>
      <c r="E90" s="17">
        <f>24.8395 * CHOOSE(CONTROL!$C$9, $D$9, 100%, $F$9) + CHOOSE(CONTROL!$C$27, 0.0021, 0)</f>
        <v>24.8416</v>
      </c>
      <c r="F90" s="17">
        <f>24.8395 * CHOOSE(CONTROL!$C$9, $D$9, 100%, $F$9) + CHOOSE(CONTROL!$C$27, 0.0021, 0)</f>
        <v>24.8416</v>
      </c>
      <c r="G90" s="17">
        <f>25.1109 * CHOOSE(CONTROL!$C$9, $D$9, 100%, $F$9) + CHOOSE(CONTROL!$C$27, 0.0021, 0)</f>
        <v>25.113</v>
      </c>
      <c r="H90" s="17">
        <f>24.9762 * CHOOSE(CONTROL!$C$9, $D$9, 100%, $F$9) + CHOOSE(CONTROL!$C$27, 0.0021, 0)</f>
        <v>24.978299999999997</v>
      </c>
      <c r="I90" s="17">
        <f>24.9762 * CHOOSE(CONTROL!$C$9, $D$9, 100%, $F$9) + CHOOSE(CONTROL!$C$27, 0.0021, 0)</f>
        <v>24.978299999999997</v>
      </c>
      <c r="J90" s="17">
        <f>24.9762 * CHOOSE(CONTROL!$C$9, $D$9, 100%, $F$9) + CHOOSE(CONTROL!$C$27, 0.0021, 0)</f>
        <v>24.978299999999997</v>
      </c>
      <c r="K90" s="17">
        <f>24.9762 * CHOOSE(CONTROL!$C$9, $D$9, 100%, $F$9) + CHOOSE(CONTROL!$C$27, 0.0021, 0)</f>
        <v>24.978299999999997</v>
      </c>
      <c r="L90" s="17"/>
    </row>
    <row r="91" spans="1:12" ht="15" x14ac:dyDescent="0.2">
      <c r="A91" s="16">
        <v>43678</v>
      </c>
      <c r="B91" s="17">
        <f>25.5952 * CHOOSE(CONTROL!$C$9, $D$9, 100%, $F$9) + CHOOSE(CONTROL!$C$27, 0.0021, 0)</f>
        <v>25.597299999999997</v>
      </c>
      <c r="C91" s="17">
        <f>25.1629 * CHOOSE(CONTROL!$C$9, $D$9, 100%, $F$9) + CHOOSE(CONTROL!$C$27, 0.0021, 0)</f>
        <v>25.164999999999999</v>
      </c>
      <c r="D91" s="17">
        <f>25.1629 * CHOOSE(CONTROL!$C$9, $D$9, 100%, $F$9) + CHOOSE(CONTROL!$C$27, 0.0021, 0)</f>
        <v>25.164999999999999</v>
      </c>
      <c r="E91" s="17">
        <f>25.0263 * CHOOSE(CONTROL!$C$9, $D$9, 100%, $F$9) + CHOOSE(CONTROL!$C$27, 0.0021, 0)</f>
        <v>25.028399999999998</v>
      </c>
      <c r="F91" s="17">
        <f>25.0263 * CHOOSE(CONTROL!$C$9, $D$9, 100%, $F$9) + CHOOSE(CONTROL!$C$27, 0.0021, 0)</f>
        <v>25.028399999999998</v>
      </c>
      <c r="G91" s="17">
        <f>25.2976 * CHOOSE(CONTROL!$C$9, $D$9, 100%, $F$9) + CHOOSE(CONTROL!$C$27, 0.0021, 0)</f>
        <v>25.299699999999998</v>
      </c>
      <c r="H91" s="17">
        <f>25.1629 * CHOOSE(CONTROL!$C$9, $D$9, 100%, $F$9) + CHOOSE(CONTROL!$C$27, 0.0021, 0)</f>
        <v>25.164999999999999</v>
      </c>
      <c r="I91" s="17">
        <f>25.1629 * CHOOSE(CONTROL!$C$9, $D$9, 100%, $F$9) + CHOOSE(CONTROL!$C$27, 0.0021, 0)</f>
        <v>25.164999999999999</v>
      </c>
      <c r="J91" s="17">
        <f>25.1629 * CHOOSE(CONTROL!$C$9, $D$9, 100%, $F$9) + CHOOSE(CONTROL!$C$27, 0.0021, 0)</f>
        <v>25.164999999999999</v>
      </c>
      <c r="K91" s="17">
        <f>25.1629 * CHOOSE(CONTROL!$C$9, $D$9, 100%, $F$9) + CHOOSE(CONTROL!$C$27, 0.0021, 0)</f>
        <v>25.164999999999999</v>
      </c>
      <c r="L91" s="17"/>
    </row>
    <row r="92" spans="1:12" ht="15" x14ac:dyDescent="0.2">
      <c r="A92" s="16">
        <v>43709</v>
      </c>
      <c r="B92" s="17">
        <f>26.118 * CHOOSE(CONTROL!$C$9, $D$9, 100%, $F$9) + CHOOSE(CONTROL!$C$27, 0.0021, 0)</f>
        <v>26.120099999999997</v>
      </c>
      <c r="C92" s="17">
        <f>25.6858 * CHOOSE(CONTROL!$C$9, $D$9, 100%, $F$9) + CHOOSE(CONTROL!$C$27, 0.0021, 0)</f>
        <v>25.687899999999999</v>
      </c>
      <c r="D92" s="17">
        <f>25.6858 * CHOOSE(CONTROL!$C$9, $D$9, 100%, $F$9) + CHOOSE(CONTROL!$C$27, 0.0021, 0)</f>
        <v>25.687899999999999</v>
      </c>
      <c r="E92" s="17">
        <f>25.5491 * CHOOSE(CONTROL!$C$9, $D$9, 100%, $F$9) + CHOOSE(CONTROL!$C$27, 0.0021, 0)</f>
        <v>25.551199999999998</v>
      </c>
      <c r="F92" s="17">
        <f>25.5491 * CHOOSE(CONTROL!$C$9, $D$9, 100%, $F$9) + CHOOSE(CONTROL!$C$27, 0.0021, 0)</f>
        <v>25.551199999999998</v>
      </c>
      <c r="G92" s="17">
        <f>25.8205 * CHOOSE(CONTROL!$C$9, $D$9, 100%, $F$9) + CHOOSE(CONTROL!$C$27, 0.0021, 0)</f>
        <v>25.822599999999998</v>
      </c>
      <c r="H92" s="17">
        <f>25.6858 * CHOOSE(CONTROL!$C$9, $D$9, 100%, $F$9) + CHOOSE(CONTROL!$C$27, 0.0021, 0)</f>
        <v>25.687899999999999</v>
      </c>
      <c r="I92" s="17">
        <f>25.6858 * CHOOSE(CONTROL!$C$9, $D$9, 100%, $F$9) + CHOOSE(CONTROL!$C$27, 0.0021, 0)</f>
        <v>25.687899999999999</v>
      </c>
      <c r="J92" s="17">
        <f>25.6858 * CHOOSE(CONTROL!$C$9, $D$9, 100%, $F$9) + CHOOSE(CONTROL!$C$27, 0.0021, 0)</f>
        <v>25.687899999999999</v>
      </c>
      <c r="K92" s="17">
        <f>25.6858 * CHOOSE(CONTROL!$C$9, $D$9, 100%, $F$9) + CHOOSE(CONTROL!$C$27, 0.0021, 0)</f>
        <v>25.687899999999999</v>
      </c>
      <c r="L92" s="17"/>
    </row>
    <row r="93" spans="1:12" ht="15" x14ac:dyDescent="0.2">
      <c r="A93" s="16">
        <v>43739</v>
      </c>
      <c r="B93" s="17">
        <f>26.7694 * CHOOSE(CONTROL!$C$9, $D$9, 100%, $F$9) + CHOOSE(CONTROL!$C$27, 0.0021, 0)</f>
        <v>26.7715</v>
      </c>
      <c r="C93" s="17">
        <f>26.3371 * CHOOSE(CONTROL!$C$9, $D$9, 100%, $F$9) + CHOOSE(CONTROL!$C$27, 0.0021, 0)</f>
        <v>26.339199999999998</v>
      </c>
      <c r="D93" s="17">
        <f>26.3371 * CHOOSE(CONTROL!$C$9, $D$9, 100%, $F$9) + CHOOSE(CONTROL!$C$27, 0.0021, 0)</f>
        <v>26.339199999999998</v>
      </c>
      <c r="E93" s="17">
        <f>26.2005 * CHOOSE(CONTROL!$C$9, $D$9, 100%, $F$9) + CHOOSE(CONTROL!$C$27, 0.0021, 0)</f>
        <v>26.2026</v>
      </c>
      <c r="F93" s="17">
        <f>26.2005 * CHOOSE(CONTROL!$C$9, $D$9, 100%, $F$9) + CHOOSE(CONTROL!$C$27, 0.0021, 0)</f>
        <v>26.2026</v>
      </c>
      <c r="G93" s="17">
        <f>26.4719 * CHOOSE(CONTROL!$C$9, $D$9, 100%, $F$9) + CHOOSE(CONTROL!$C$27, 0.0021, 0)</f>
        <v>26.474</v>
      </c>
      <c r="H93" s="17">
        <f>26.3371 * CHOOSE(CONTROL!$C$9, $D$9, 100%, $F$9) + CHOOSE(CONTROL!$C$27, 0.0021, 0)</f>
        <v>26.339199999999998</v>
      </c>
      <c r="I93" s="17">
        <f>26.3371 * CHOOSE(CONTROL!$C$9, $D$9, 100%, $F$9) + CHOOSE(CONTROL!$C$27, 0.0021, 0)</f>
        <v>26.339199999999998</v>
      </c>
      <c r="J93" s="17">
        <f>26.3371 * CHOOSE(CONTROL!$C$9, $D$9, 100%, $F$9) + CHOOSE(CONTROL!$C$27, 0.0021, 0)</f>
        <v>26.339199999999998</v>
      </c>
      <c r="K93" s="17">
        <f>26.3371 * CHOOSE(CONTROL!$C$9, $D$9, 100%, $F$9) + CHOOSE(CONTROL!$C$27, 0.0021, 0)</f>
        <v>26.339199999999998</v>
      </c>
      <c r="L93" s="17"/>
    </row>
    <row r="94" spans="1:12" ht="15" x14ac:dyDescent="0.2">
      <c r="A94" s="16">
        <v>43770</v>
      </c>
      <c r="B94" s="17">
        <f>26.8765 * CHOOSE(CONTROL!$C$9, $D$9, 100%, $F$9) + CHOOSE(CONTROL!$C$27, 0.0021, 0)</f>
        <v>26.878599999999999</v>
      </c>
      <c r="C94" s="17">
        <f>26.4442 * CHOOSE(CONTROL!$C$9, $D$9, 100%, $F$9) + CHOOSE(CONTROL!$C$27, 0.0021, 0)</f>
        <v>26.446299999999997</v>
      </c>
      <c r="D94" s="17">
        <f>26.4442 * CHOOSE(CONTROL!$C$9, $D$9, 100%, $F$9) + CHOOSE(CONTROL!$C$27, 0.0021, 0)</f>
        <v>26.446299999999997</v>
      </c>
      <c r="E94" s="17">
        <f>26.3076 * CHOOSE(CONTROL!$C$9, $D$9, 100%, $F$9) + CHOOSE(CONTROL!$C$27, 0.0021, 0)</f>
        <v>26.309699999999999</v>
      </c>
      <c r="F94" s="17">
        <f>26.3076 * CHOOSE(CONTROL!$C$9, $D$9, 100%, $F$9) + CHOOSE(CONTROL!$C$27, 0.0021, 0)</f>
        <v>26.309699999999999</v>
      </c>
      <c r="G94" s="17">
        <f>26.5789 * CHOOSE(CONTROL!$C$9, $D$9, 100%, $F$9) + CHOOSE(CONTROL!$C$27, 0.0021, 0)</f>
        <v>26.581</v>
      </c>
      <c r="H94" s="17">
        <f>26.4442 * CHOOSE(CONTROL!$C$9, $D$9, 100%, $F$9) + CHOOSE(CONTROL!$C$27, 0.0021, 0)</f>
        <v>26.446299999999997</v>
      </c>
      <c r="I94" s="17">
        <f>26.4442 * CHOOSE(CONTROL!$C$9, $D$9, 100%, $F$9) + CHOOSE(CONTROL!$C$27, 0.0021, 0)</f>
        <v>26.446299999999997</v>
      </c>
      <c r="J94" s="17">
        <f>26.4442 * CHOOSE(CONTROL!$C$9, $D$9, 100%, $F$9) + CHOOSE(CONTROL!$C$27, 0.0021, 0)</f>
        <v>26.446299999999997</v>
      </c>
      <c r="K94" s="17">
        <f>26.4442 * CHOOSE(CONTROL!$C$9, $D$9, 100%, $F$9) + CHOOSE(CONTROL!$C$27, 0.0021, 0)</f>
        <v>26.446299999999997</v>
      </c>
      <c r="L94" s="17"/>
    </row>
    <row r="95" spans="1:12" ht="15" x14ac:dyDescent="0.2">
      <c r="A95" s="16">
        <v>43800</v>
      </c>
      <c r="B95" s="17">
        <f>26.4441 * CHOOSE(CONTROL!$C$9, $D$9, 100%, $F$9) + CHOOSE(CONTROL!$C$27, 0.0021, 0)</f>
        <v>26.446199999999997</v>
      </c>
      <c r="C95" s="17">
        <f>26.0118 * CHOOSE(CONTROL!$C$9, $D$9, 100%, $F$9) + CHOOSE(CONTROL!$C$27, 0.0021, 0)</f>
        <v>26.0139</v>
      </c>
      <c r="D95" s="17">
        <f>26.0118 * CHOOSE(CONTROL!$C$9, $D$9, 100%, $F$9) + CHOOSE(CONTROL!$C$27, 0.0021, 0)</f>
        <v>26.0139</v>
      </c>
      <c r="E95" s="17">
        <f>25.8752 * CHOOSE(CONTROL!$C$9, $D$9, 100%, $F$9) + CHOOSE(CONTROL!$C$27, 0.0021, 0)</f>
        <v>25.877299999999998</v>
      </c>
      <c r="F95" s="17">
        <f>25.8752 * CHOOSE(CONTROL!$C$9, $D$9, 100%, $F$9) + CHOOSE(CONTROL!$C$27, 0.0021, 0)</f>
        <v>25.877299999999998</v>
      </c>
      <c r="G95" s="17">
        <f>26.1466 * CHOOSE(CONTROL!$C$9, $D$9, 100%, $F$9) + CHOOSE(CONTROL!$C$27, 0.0021, 0)</f>
        <v>26.148699999999998</v>
      </c>
      <c r="H95" s="17">
        <f>26.0118 * CHOOSE(CONTROL!$C$9, $D$9, 100%, $F$9) + CHOOSE(CONTROL!$C$27, 0.0021, 0)</f>
        <v>26.0139</v>
      </c>
      <c r="I95" s="17">
        <f>26.0118 * CHOOSE(CONTROL!$C$9, $D$9, 100%, $F$9) + CHOOSE(CONTROL!$C$27, 0.0021, 0)</f>
        <v>26.0139</v>
      </c>
      <c r="J95" s="17">
        <f>26.0118 * CHOOSE(CONTROL!$C$9, $D$9, 100%, $F$9) + CHOOSE(CONTROL!$C$27, 0.0021, 0)</f>
        <v>26.0139</v>
      </c>
      <c r="K95" s="17">
        <f>26.0118 * CHOOSE(CONTROL!$C$9, $D$9, 100%, $F$9) + CHOOSE(CONTROL!$C$27, 0.0021, 0)</f>
        <v>26.0139</v>
      </c>
      <c r="L95" s="17"/>
    </row>
    <row r="96" spans="1:12" ht="15" x14ac:dyDescent="0.2">
      <c r="A96" s="16">
        <v>43831</v>
      </c>
      <c r="B96" s="17">
        <f>25.9432 * CHOOSE(CONTROL!$C$9, $D$9, 100%, $F$9) + CHOOSE(CONTROL!$C$27, 0.0021, 0)</f>
        <v>25.9453</v>
      </c>
      <c r="C96" s="17">
        <f>25.511 * CHOOSE(CONTROL!$C$9, $D$9, 100%, $F$9) + CHOOSE(CONTROL!$C$27, 0.0021, 0)</f>
        <v>25.513099999999998</v>
      </c>
      <c r="D96" s="17">
        <f>25.511 * CHOOSE(CONTROL!$C$9, $D$9, 100%, $F$9) + CHOOSE(CONTROL!$C$27, 0.0021, 0)</f>
        <v>25.513099999999998</v>
      </c>
      <c r="E96" s="17">
        <f>25.3743 * CHOOSE(CONTROL!$C$9, $D$9, 100%, $F$9) + CHOOSE(CONTROL!$C$27, 0.0021, 0)</f>
        <v>25.3764</v>
      </c>
      <c r="F96" s="17">
        <f>25.3743 * CHOOSE(CONTROL!$C$9, $D$9, 100%, $F$9) + CHOOSE(CONTROL!$C$27, 0.0021, 0)</f>
        <v>25.3764</v>
      </c>
      <c r="G96" s="17">
        <f>25.6457 * CHOOSE(CONTROL!$C$9, $D$9, 100%, $F$9) + CHOOSE(CONTROL!$C$27, 0.0021, 0)</f>
        <v>25.6478</v>
      </c>
      <c r="H96" s="17">
        <f>25.511 * CHOOSE(CONTROL!$C$9, $D$9, 100%, $F$9) + CHOOSE(CONTROL!$C$27, 0.0021, 0)</f>
        <v>25.513099999999998</v>
      </c>
      <c r="I96" s="17">
        <f>25.511 * CHOOSE(CONTROL!$C$9, $D$9, 100%, $F$9) + CHOOSE(CONTROL!$C$27, 0.0021, 0)</f>
        <v>25.513099999999998</v>
      </c>
      <c r="J96" s="17">
        <f>25.511 * CHOOSE(CONTROL!$C$9, $D$9, 100%, $F$9) + CHOOSE(CONTROL!$C$27, 0.0021, 0)</f>
        <v>25.513099999999998</v>
      </c>
      <c r="K96" s="17">
        <f>25.511 * CHOOSE(CONTROL!$C$9, $D$9, 100%, $F$9) + CHOOSE(CONTROL!$C$27, 0.0021, 0)</f>
        <v>25.513099999999998</v>
      </c>
      <c r="L96" s="17"/>
    </row>
    <row r="97" spans="1:12" ht="15" x14ac:dyDescent="0.2">
      <c r="A97" s="16">
        <v>43862</v>
      </c>
      <c r="B97" s="17">
        <f>25.3216 * CHOOSE(CONTROL!$C$9, $D$9, 100%, $F$9) + CHOOSE(CONTROL!$C$27, 0.0021, 0)</f>
        <v>25.323699999999999</v>
      </c>
      <c r="C97" s="17">
        <f>24.8894 * CHOOSE(CONTROL!$C$9, $D$9, 100%, $F$9) + CHOOSE(CONTROL!$C$27, 0.0021, 0)</f>
        <v>24.891499999999997</v>
      </c>
      <c r="D97" s="17">
        <f>24.8894 * CHOOSE(CONTROL!$C$9, $D$9, 100%, $F$9) + CHOOSE(CONTROL!$C$27, 0.0021, 0)</f>
        <v>24.891499999999997</v>
      </c>
      <c r="E97" s="17">
        <f>24.7527 * CHOOSE(CONTROL!$C$9, $D$9, 100%, $F$9) + CHOOSE(CONTROL!$C$27, 0.0021, 0)</f>
        <v>24.754799999999999</v>
      </c>
      <c r="F97" s="17">
        <f>24.7527 * CHOOSE(CONTROL!$C$9, $D$9, 100%, $F$9) + CHOOSE(CONTROL!$C$27, 0.0021, 0)</f>
        <v>24.754799999999999</v>
      </c>
      <c r="G97" s="17">
        <f>25.0241 * CHOOSE(CONTROL!$C$9, $D$9, 100%, $F$9) + CHOOSE(CONTROL!$C$27, 0.0021, 0)</f>
        <v>25.026199999999999</v>
      </c>
      <c r="H97" s="17">
        <f>24.8894 * CHOOSE(CONTROL!$C$9, $D$9, 100%, $F$9) + CHOOSE(CONTROL!$C$27, 0.0021, 0)</f>
        <v>24.891499999999997</v>
      </c>
      <c r="I97" s="17">
        <f>24.8894 * CHOOSE(CONTROL!$C$9, $D$9, 100%, $F$9) + CHOOSE(CONTROL!$C$27, 0.0021, 0)</f>
        <v>24.891499999999997</v>
      </c>
      <c r="J97" s="17">
        <f>24.8894 * CHOOSE(CONTROL!$C$9, $D$9, 100%, $F$9) + CHOOSE(CONTROL!$C$27, 0.0021, 0)</f>
        <v>24.891499999999997</v>
      </c>
      <c r="K97" s="17">
        <f>24.8894 * CHOOSE(CONTROL!$C$9, $D$9, 100%, $F$9) + CHOOSE(CONTROL!$C$27, 0.0021, 0)</f>
        <v>24.891499999999997</v>
      </c>
      <c r="L97" s="17"/>
    </row>
    <row r="98" spans="1:12" ht="15" x14ac:dyDescent="0.2">
      <c r="A98" s="16">
        <v>43891</v>
      </c>
      <c r="B98" s="17">
        <f>25.0918 * CHOOSE(CONTROL!$C$9, $D$9, 100%, $F$9) + CHOOSE(CONTROL!$C$27, 0.0021, 0)</f>
        <v>25.093899999999998</v>
      </c>
      <c r="C98" s="17">
        <f>24.6595 * CHOOSE(CONTROL!$C$9, $D$9, 100%, $F$9) + CHOOSE(CONTROL!$C$27, 0.0021, 0)</f>
        <v>24.6616</v>
      </c>
      <c r="D98" s="17">
        <f>24.6595 * CHOOSE(CONTROL!$C$9, $D$9, 100%, $F$9) + CHOOSE(CONTROL!$C$27, 0.0021, 0)</f>
        <v>24.6616</v>
      </c>
      <c r="E98" s="17">
        <f>24.5228 * CHOOSE(CONTROL!$C$9, $D$9, 100%, $F$9) + CHOOSE(CONTROL!$C$27, 0.0021, 0)</f>
        <v>24.524899999999999</v>
      </c>
      <c r="F98" s="17">
        <f>24.5228 * CHOOSE(CONTROL!$C$9, $D$9, 100%, $F$9) + CHOOSE(CONTROL!$C$27, 0.0021, 0)</f>
        <v>24.524899999999999</v>
      </c>
      <c r="G98" s="17">
        <f>24.7942 * CHOOSE(CONTROL!$C$9, $D$9, 100%, $F$9) + CHOOSE(CONTROL!$C$27, 0.0021, 0)</f>
        <v>24.796299999999999</v>
      </c>
      <c r="H98" s="17">
        <f>24.6595 * CHOOSE(CONTROL!$C$9, $D$9, 100%, $F$9) + CHOOSE(CONTROL!$C$27, 0.0021, 0)</f>
        <v>24.6616</v>
      </c>
      <c r="I98" s="17">
        <f>24.6595 * CHOOSE(CONTROL!$C$9, $D$9, 100%, $F$9) + CHOOSE(CONTROL!$C$27, 0.0021, 0)</f>
        <v>24.6616</v>
      </c>
      <c r="J98" s="17">
        <f>24.6595 * CHOOSE(CONTROL!$C$9, $D$9, 100%, $F$9) + CHOOSE(CONTROL!$C$27, 0.0021, 0)</f>
        <v>24.6616</v>
      </c>
      <c r="K98" s="17">
        <f>24.6595 * CHOOSE(CONTROL!$C$9, $D$9, 100%, $F$9) + CHOOSE(CONTROL!$C$27, 0.0021, 0)</f>
        <v>24.6616</v>
      </c>
      <c r="L98" s="17"/>
    </row>
    <row r="99" spans="1:12" ht="15" x14ac:dyDescent="0.2">
      <c r="A99" s="16">
        <v>43922</v>
      </c>
      <c r="B99" s="17">
        <f>24.8069 * CHOOSE(CONTROL!$C$9, $D$9, 100%, $F$9) + CHOOSE(CONTROL!$C$27, 0.0021, 0)</f>
        <v>24.808999999999997</v>
      </c>
      <c r="C99" s="17">
        <f>24.3747 * CHOOSE(CONTROL!$C$9, $D$9, 100%, $F$9) + CHOOSE(CONTROL!$C$27, 0.0021, 0)</f>
        <v>24.376799999999999</v>
      </c>
      <c r="D99" s="17">
        <f>24.3747 * CHOOSE(CONTROL!$C$9, $D$9, 100%, $F$9) + CHOOSE(CONTROL!$C$27, 0.0021, 0)</f>
        <v>24.376799999999999</v>
      </c>
      <c r="E99" s="17">
        <f>24.238 * CHOOSE(CONTROL!$C$9, $D$9, 100%, $F$9) + CHOOSE(CONTROL!$C$27, 0.0021, 0)</f>
        <v>24.240099999999998</v>
      </c>
      <c r="F99" s="17">
        <f>24.238 * CHOOSE(CONTROL!$C$9, $D$9, 100%, $F$9) + CHOOSE(CONTROL!$C$27, 0.0021, 0)</f>
        <v>24.240099999999998</v>
      </c>
      <c r="G99" s="17">
        <f>24.5094 * CHOOSE(CONTROL!$C$9, $D$9, 100%, $F$9) + CHOOSE(CONTROL!$C$27, 0.0021, 0)</f>
        <v>24.511499999999998</v>
      </c>
      <c r="H99" s="17">
        <f>24.3747 * CHOOSE(CONTROL!$C$9, $D$9, 100%, $F$9) + CHOOSE(CONTROL!$C$27, 0.0021, 0)</f>
        <v>24.376799999999999</v>
      </c>
      <c r="I99" s="17">
        <f>24.3747 * CHOOSE(CONTROL!$C$9, $D$9, 100%, $F$9) + CHOOSE(CONTROL!$C$27, 0.0021, 0)</f>
        <v>24.376799999999999</v>
      </c>
      <c r="J99" s="17">
        <f>24.3747 * CHOOSE(CONTROL!$C$9, $D$9, 100%, $F$9) + CHOOSE(CONTROL!$C$27, 0.0021, 0)</f>
        <v>24.376799999999999</v>
      </c>
      <c r="K99" s="17">
        <f>24.3747 * CHOOSE(CONTROL!$C$9, $D$9, 100%, $F$9) + CHOOSE(CONTROL!$C$27, 0.0021, 0)</f>
        <v>24.376799999999999</v>
      </c>
      <c r="L99" s="17"/>
    </row>
    <row r="100" spans="1:12" ht="15" x14ac:dyDescent="0.2">
      <c r="A100" s="16">
        <v>43952</v>
      </c>
      <c r="B100" s="17">
        <f>25.3271 * CHOOSE(CONTROL!$C$9, $D$9, 100%, $F$9) + CHOOSE(CONTROL!$C$27, 0.0021, 0)</f>
        <v>25.3292</v>
      </c>
      <c r="C100" s="17">
        <f>24.8949 * CHOOSE(CONTROL!$C$9, $D$9, 100%, $F$9) + CHOOSE(CONTROL!$C$27, 0.0021, 0)</f>
        <v>24.896999999999998</v>
      </c>
      <c r="D100" s="17">
        <f>24.8949 * CHOOSE(CONTROL!$C$9, $D$9, 100%, $F$9) + CHOOSE(CONTROL!$C$27, 0.0021, 0)</f>
        <v>24.896999999999998</v>
      </c>
      <c r="E100" s="17">
        <f>24.7582 * CHOOSE(CONTROL!$C$9, $D$9, 100%, $F$9) + CHOOSE(CONTROL!$C$27, 0.0021, 0)</f>
        <v>24.760299999999997</v>
      </c>
      <c r="F100" s="17">
        <f>24.7582 * CHOOSE(CONTROL!$C$9, $D$9, 100%, $F$9) + CHOOSE(CONTROL!$C$27, 0.0021, 0)</f>
        <v>24.760299999999997</v>
      </c>
      <c r="G100" s="17">
        <f>25.0296 * CHOOSE(CONTROL!$C$9, $D$9, 100%, $F$9) + CHOOSE(CONTROL!$C$27, 0.0021, 0)</f>
        <v>25.031699999999997</v>
      </c>
      <c r="H100" s="17">
        <f>24.8949 * CHOOSE(CONTROL!$C$9, $D$9, 100%, $F$9) + CHOOSE(CONTROL!$C$27, 0.0021, 0)</f>
        <v>24.896999999999998</v>
      </c>
      <c r="I100" s="17">
        <f>24.8949 * CHOOSE(CONTROL!$C$9, $D$9, 100%, $F$9) + CHOOSE(CONTROL!$C$27, 0.0021, 0)</f>
        <v>24.896999999999998</v>
      </c>
      <c r="J100" s="17">
        <f>24.8949 * CHOOSE(CONTROL!$C$9, $D$9, 100%, $F$9) + CHOOSE(CONTROL!$C$27, 0.0021, 0)</f>
        <v>24.896999999999998</v>
      </c>
      <c r="K100" s="17">
        <f>24.8949 * CHOOSE(CONTROL!$C$9, $D$9, 100%, $F$9) + CHOOSE(CONTROL!$C$27, 0.0021, 0)</f>
        <v>24.896999999999998</v>
      </c>
      <c r="L100" s="17"/>
    </row>
    <row r="101" spans="1:12" ht="15" x14ac:dyDescent="0.2">
      <c r="A101" s="16">
        <v>43983</v>
      </c>
      <c r="B101" s="17">
        <f>25.6589 * CHOOSE(CONTROL!$C$9, $D$9, 100%, $F$9) + CHOOSE(CONTROL!$C$27, 0.0021, 0)</f>
        <v>25.660999999999998</v>
      </c>
      <c r="C101" s="17">
        <f>25.2267 * CHOOSE(CONTROL!$C$9, $D$9, 100%, $F$9) + CHOOSE(CONTROL!$C$27, 0.0021, 0)</f>
        <v>25.2288</v>
      </c>
      <c r="D101" s="17">
        <f>25.2267 * CHOOSE(CONTROL!$C$9, $D$9, 100%, $F$9) + CHOOSE(CONTROL!$C$27, 0.0021, 0)</f>
        <v>25.2288</v>
      </c>
      <c r="E101" s="17">
        <f>25.09 * CHOOSE(CONTROL!$C$9, $D$9, 100%, $F$9) + CHOOSE(CONTROL!$C$27, 0.0021, 0)</f>
        <v>25.092099999999999</v>
      </c>
      <c r="F101" s="17">
        <f>25.09 * CHOOSE(CONTROL!$C$9, $D$9, 100%, $F$9) + CHOOSE(CONTROL!$C$27, 0.0021, 0)</f>
        <v>25.092099999999999</v>
      </c>
      <c r="G101" s="17">
        <f>25.3614 * CHOOSE(CONTROL!$C$9, $D$9, 100%, $F$9) + CHOOSE(CONTROL!$C$27, 0.0021, 0)</f>
        <v>25.363499999999998</v>
      </c>
      <c r="H101" s="17">
        <f>25.2267 * CHOOSE(CONTROL!$C$9, $D$9, 100%, $F$9) + CHOOSE(CONTROL!$C$27, 0.0021, 0)</f>
        <v>25.2288</v>
      </c>
      <c r="I101" s="17">
        <f>25.2267 * CHOOSE(CONTROL!$C$9, $D$9, 100%, $F$9) + CHOOSE(CONTROL!$C$27, 0.0021, 0)</f>
        <v>25.2288</v>
      </c>
      <c r="J101" s="17">
        <f>25.2267 * CHOOSE(CONTROL!$C$9, $D$9, 100%, $F$9) + CHOOSE(CONTROL!$C$27, 0.0021, 0)</f>
        <v>25.2288</v>
      </c>
      <c r="K101" s="17">
        <f>25.2267 * CHOOSE(CONTROL!$C$9, $D$9, 100%, $F$9) + CHOOSE(CONTROL!$C$27, 0.0021, 0)</f>
        <v>25.2288</v>
      </c>
      <c r="L101" s="17"/>
    </row>
    <row r="102" spans="1:12" ht="15" x14ac:dyDescent="0.2">
      <c r="A102" s="16">
        <v>44013</v>
      </c>
      <c r="B102" s="17">
        <f>26.1771 * CHOOSE(CONTROL!$C$9, $D$9, 100%, $F$9) + CHOOSE(CONTROL!$C$27, 0.0021, 0)</f>
        <v>26.179199999999998</v>
      </c>
      <c r="C102" s="17">
        <f>25.7449 * CHOOSE(CONTROL!$C$9, $D$9, 100%, $F$9) + CHOOSE(CONTROL!$C$27, 0.0021, 0)</f>
        <v>25.747</v>
      </c>
      <c r="D102" s="17">
        <f>25.7449 * CHOOSE(CONTROL!$C$9, $D$9, 100%, $F$9) + CHOOSE(CONTROL!$C$27, 0.0021, 0)</f>
        <v>25.747</v>
      </c>
      <c r="E102" s="17">
        <f>25.6082 * CHOOSE(CONTROL!$C$9, $D$9, 100%, $F$9) + CHOOSE(CONTROL!$C$27, 0.0021, 0)</f>
        <v>25.610299999999999</v>
      </c>
      <c r="F102" s="17">
        <f>25.6082 * CHOOSE(CONTROL!$C$9, $D$9, 100%, $F$9) + CHOOSE(CONTROL!$C$27, 0.0021, 0)</f>
        <v>25.610299999999999</v>
      </c>
      <c r="G102" s="17">
        <f>25.8796 * CHOOSE(CONTROL!$C$9, $D$9, 100%, $F$9) + CHOOSE(CONTROL!$C$27, 0.0021, 0)</f>
        <v>25.881699999999999</v>
      </c>
      <c r="H102" s="17">
        <f>25.7449 * CHOOSE(CONTROL!$C$9, $D$9, 100%, $F$9) + CHOOSE(CONTROL!$C$27, 0.0021, 0)</f>
        <v>25.747</v>
      </c>
      <c r="I102" s="17">
        <f>25.7449 * CHOOSE(CONTROL!$C$9, $D$9, 100%, $F$9) + CHOOSE(CONTROL!$C$27, 0.0021, 0)</f>
        <v>25.747</v>
      </c>
      <c r="J102" s="17">
        <f>25.7449 * CHOOSE(CONTROL!$C$9, $D$9, 100%, $F$9) + CHOOSE(CONTROL!$C$27, 0.0021, 0)</f>
        <v>25.747</v>
      </c>
      <c r="K102" s="17">
        <f>25.7449 * CHOOSE(CONTROL!$C$9, $D$9, 100%, $F$9) + CHOOSE(CONTROL!$C$27, 0.0021, 0)</f>
        <v>25.747</v>
      </c>
      <c r="L102" s="17"/>
    </row>
    <row r="103" spans="1:12" ht="15" x14ac:dyDescent="0.2">
      <c r="A103" s="16">
        <v>44044</v>
      </c>
      <c r="B103" s="17">
        <f>26.3701 * CHOOSE(CONTROL!$C$9, $D$9, 100%, $F$9) + CHOOSE(CONTROL!$C$27, 0.0021, 0)</f>
        <v>26.372199999999999</v>
      </c>
      <c r="C103" s="17">
        <f>25.9378 * CHOOSE(CONTROL!$C$9, $D$9, 100%, $F$9) + CHOOSE(CONTROL!$C$27, 0.0021, 0)</f>
        <v>25.939899999999998</v>
      </c>
      <c r="D103" s="17">
        <f>25.9378 * CHOOSE(CONTROL!$C$9, $D$9, 100%, $F$9) + CHOOSE(CONTROL!$C$27, 0.0021, 0)</f>
        <v>25.939899999999998</v>
      </c>
      <c r="E103" s="17">
        <f>25.8012 * CHOOSE(CONTROL!$C$9, $D$9, 100%, $F$9) + CHOOSE(CONTROL!$C$27, 0.0021, 0)</f>
        <v>25.8033</v>
      </c>
      <c r="F103" s="17">
        <f>25.8012 * CHOOSE(CONTROL!$C$9, $D$9, 100%, $F$9) + CHOOSE(CONTROL!$C$27, 0.0021, 0)</f>
        <v>25.8033</v>
      </c>
      <c r="G103" s="17">
        <f>26.0726 * CHOOSE(CONTROL!$C$9, $D$9, 100%, $F$9) + CHOOSE(CONTROL!$C$27, 0.0021, 0)</f>
        <v>26.0747</v>
      </c>
      <c r="H103" s="17">
        <f>25.9378 * CHOOSE(CONTROL!$C$9, $D$9, 100%, $F$9) + CHOOSE(CONTROL!$C$27, 0.0021, 0)</f>
        <v>25.939899999999998</v>
      </c>
      <c r="I103" s="17">
        <f>25.9378 * CHOOSE(CONTROL!$C$9, $D$9, 100%, $F$9) + CHOOSE(CONTROL!$C$27, 0.0021, 0)</f>
        <v>25.939899999999998</v>
      </c>
      <c r="J103" s="17">
        <f>25.9378 * CHOOSE(CONTROL!$C$9, $D$9, 100%, $F$9) + CHOOSE(CONTROL!$C$27, 0.0021, 0)</f>
        <v>25.939899999999998</v>
      </c>
      <c r="K103" s="17">
        <f>25.9378 * CHOOSE(CONTROL!$C$9, $D$9, 100%, $F$9) + CHOOSE(CONTROL!$C$27, 0.0021, 0)</f>
        <v>25.939899999999998</v>
      </c>
      <c r="L103" s="17"/>
    </row>
    <row r="104" spans="1:12" ht="15" x14ac:dyDescent="0.2">
      <c r="A104" s="16">
        <v>44075</v>
      </c>
      <c r="B104" s="17">
        <f>26.9103 * CHOOSE(CONTROL!$C$9, $D$9, 100%, $F$9) + CHOOSE(CONTROL!$C$27, 0.0021, 0)</f>
        <v>26.912399999999998</v>
      </c>
      <c r="C104" s="17">
        <f>26.4781 * CHOOSE(CONTROL!$C$9, $D$9, 100%, $F$9) + CHOOSE(CONTROL!$C$27, 0.0021, 0)</f>
        <v>26.4802</v>
      </c>
      <c r="D104" s="17">
        <f>26.4781 * CHOOSE(CONTROL!$C$9, $D$9, 100%, $F$9) + CHOOSE(CONTROL!$C$27, 0.0021, 0)</f>
        <v>26.4802</v>
      </c>
      <c r="E104" s="17">
        <f>26.3414 * CHOOSE(CONTROL!$C$9, $D$9, 100%, $F$9) + CHOOSE(CONTROL!$C$27, 0.0021, 0)</f>
        <v>26.343499999999999</v>
      </c>
      <c r="F104" s="17">
        <f>26.3414 * CHOOSE(CONTROL!$C$9, $D$9, 100%, $F$9) + CHOOSE(CONTROL!$C$27, 0.0021, 0)</f>
        <v>26.343499999999999</v>
      </c>
      <c r="G104" s="17">
        <f>26.6128 * CHOOSE(CONTROL!$C$9, $D$9, 100%, $F$9) + CHOOSE(CONTROL!$C$27, 0.0021, 0)</f>
        <v>26.614899999999999</v>
      </c>
      <c r="H104" s="17">
        <f>26.4781 * CHOOSE(CONTROL!$C$9, $D$9, 100%, $F$9) + CHOOSE(CONTROL!$C$27, 0.0021, 0)</f>
        <v>26.4802</v>
      </c>
      <c r="I104" s="17">
        <f>26.4781 * CHOOSE(CONTROL!$C$9, $D$9, 100%, $F$9) + CHOOSE(CONTROL!$C$27, 0.0021, 0)</f>
        <v>26.4802</v>
      </c>
      <c r="J104" s="17">
        <f>26.4781 * CHOOSE(CONTROL!$C$9, $D$9, 100%, $F$9) + CHOOSE(CONTROL!$C$27, 0.0021, 0)</f>
        <v>26.4802</v>
      </c>
      <c r="K104" s="17">
        <f>26.4781 * CHOOSE(CONTROL!$C$9, $D$9, 100%, $F$9) + CHOOSE(CONTROL!$C$27, 0.0021, 0)</f>
        <v>26.4802</v>
      </c>
      <c r="L104" s="17"/>
    </row>
    <row r="105" spans="1:12" ht="15" x14ac:dyDescent="0.2">
      <c r="A105" s="16">
        <v>44105</v>
      </c>
      <c r="B105" s="17">
        <f>27.5834 * CHOOSE(CONTROL!$C$9, $D$9, 100%, $F$9) + CHOOSE(CONTROL!$C$27, 0.0021, 0)</f>
        <v>27.5855</v>
      </c>
      <c r="C105" s="17">
        <f>27.1511 * CHOOSE(CONTROL!$C$9, $D$9, 100%, $F$9) + CHOOSE(CONTROL!$C$27, 0.0021, 0)</f>
        <v>27.153199999999998</v>
      </c>
      <c r="D105" s="17">
        <f>27.1511 * CHOOSE(CONTROL!$C$9, $D$9, 100%, $F$9) + CHOOSE(CONTROL!$C$27, 0.0021, 0)</f>
        <v>27.153199999999998</v>
      </c>
      <c r="E105" s="17">
        <f>27.0144 * CHOOSE(CONTROL!$C$9, $D$9, 100%, $F$9) + CHOOSE(CONTROL!$C$27, 0.0021, 0)</f>
        <v>27.016499999999997</v>
      </c>
      <c r="F105" s="17">
        <f>27.0144 * CHOOSE(CONTROL!$C$9, $D$9, 100%, $F$9) + CHOOSE(CONTROL!$C$27, 0.0021, 0)</f>
        <v>27.016499999999997</v>
      </c>
      <c r="G105" s="17">
        <f>27.2858 * CHOOSE(CONTROL!$C$9, $D$9, 100%, $F$9) + CHOOSE(CONTROL!$C$27, 0.0021, 0)</f>
        <v>27.287899999999997</v>
      </c>
      <c r="H105" s="17">
        <f>27.1511 * CHOOSE(CONTROL!$C$9, $D$9, 100%, $F$9) + CHOOSE(CONTROL!$C$27, 0.0021, 0)</f>
        <v>27.153199999999998</v>
      </c>
      <c r="I105" s="17">
        <f>27.1511 * CHOOSE(CONTROL!$C$9, $D$9, 100%, $F$9) + CHOOSE(CONTROL!$C$27, 0.0021, 0)</f>
        <v>27.153199999999998</v>
      </c>
      <c r="J105" s="17">
        <f>27.1511 * CHOOSE(CONTROL!$C$9, $D$9, 100%, $F$9) + CHOOSE(CONTROL!$C$27, 0.0021, 0)</f>
        <v>27.153199999999998</v>
      </c>
      <c r="K105" s="17">
        <f>27.1511 * CHOOSE(CONTROL!$C$9, $D$9, 100%, $F$9) + CHOOSE(CONTROL!$C$27, 0.0021, 0)</f>
        <v>27.153199999999998</v>
      </c>
      <c r="L105" s="17"/>
    </row>
    <row r="106" spans="1:12" ht="15" x14ac:dyDescent="0.2">
      <c r="A106" s="16">
        <v>44136</v>
      </c>
      <c r="B106" s="17">
        <f>27.694 * CHOOSE(CONTROL!$C$9, $D$9, 100%, $F$9) + CHOOSE(CONTROL!$C$27, 0.0021, 0)</f>
        <v>27.696099999999998</v>
      </c>
      <c r="C106" s="17">
        <f>27.2617 * CHOOSE(CONTROL!$C$9, $D$9, 100%, $F$9) + CHOOSE(CONTROL!$C$27, 0.0021, 0)</f>
        <v>27.2638</v>
      </c>
      <c r="D106" s="17">
        <f>27.2617 * CHOOSE(CONTROL!$C$9, $D$9, 100%, $F$9) + CHOOSE(CONTROL!$C$27, 0.0021, 0)</f>
        <v>27.2638</v>
      </c>
      <c r="E106" s="17">
        <f>27.1251 * CHOOSE(CONTROL!$C$9, $D$9, 100%, $F$9) + CHOOSE(CONTROL!$C$27, 0.0021, 0)</f>
        <v>27.127199999999998</v>
      </c>
      <c r="F106" s="17">
        <f>27.1251 * CHOOSE(CONTROL!$C$9, $D$9, 100%, $F$9) + CHOOSE(CONTROL!$C$27, 0.0021, 0)</f>
        <v>27.127199999999998</v>
      </c>
      <c r="G106" s="17">
        <f>27.3965 * CHOOSE(CONTROL!$C$9, $D$9, 100%, $F$9) + CHOOSE(CONTROL!$C$27, 0.0021, 0)</f>
        <v>27.398599999999998</v>
      </c>
      <c r="H106" s="17">
        <f>27.2617 * CHOOSE(CONTROL!$C$9, $D$9, 100%, $F$9) + CHOOSE(CONTROL!$C$27, 0.0021, 0)</f>
        <v>27.2638</v>
      </c>
      <c r="I106" s="17">
        <f>27.2617 * CHOOSE(CONTROL!$C$9, $D$9, 100%, $F$9) + CHOOSE(CONTROL!$C$27, 0.0021, 0)</f>
        <v>27.2638</v>
      </c>
      <c r="J106" s="17">
        <f>27.2617 * CHOOSE(CONTROL!$C$9, $D$9, 100%, $F$9) + CHOOSE(CONTROL!$C$27, 0.0021, 0)</f>
        <v>27.2638</v>
      </c>
      <c r="K106" s="17">
        <f>27.2617 * CHOOSE(CONTROL!$C$9, $D$9, 100%, $F$9) + CHOOSE(CONTROL!$C$27, 0.0021, 0)</f>
        <v>27.2638</v>
      </c>
      <c r="L106" s="17"/>
    </row>
    <row r="107" spans="1:12" ht="15" x14ac:dyDescent="0.2">
      <c r="A107" s="16">
        <v>44166</v>
      </c>
      <c r="B107" s="17">
        <f>27.2472 * CHOOSE(CONTROL!$C$9, $D$9, 100%, $F$9) + CHOOSE(CONTROL!$C$27, 0.0021, 0)</f>
        <v>27.249299999999998</v>
      </c>
      <c r="C107" s="17">
        <f>26.815 * CHOOSE(CONTROL!$C$9, $D$9, 100%, $F$9) + CHOOSE(CONTROL!$C$27, 0.0021, 0)</f>
        <v>26.8171</v>
      </c>
      <c r="D107" s="17">
        <f>26.815 * CHOOSE(CONTROL!$C$9, $D$9, 100%, $F$9) + CHOOSE(CONTROL!$C$27, 0.0021, 0)</f>
        <v>26.8171</v>
      </c>
      <c r="E107" s="17">
        <f>26.6783 * CHOOSE(CONTROL!$C$9, $D$9, 100%, $F$9) + CHOOSE(CONTROL!$C$27, 0.0021, 0)</f>
        <v>26.680399999999999</v>
      </c>
      <c r="F107" s="17">
        <f>26.6783 * CHOOSE(CONTROL!$C$9, $D$9, 100%, $F$9) + CHOOSE(CONTROL!$C$27, 0.0021, 0)</f>
        <v>26.680399999999999</v>
      </c>
      <c r="G107" s="17">
        <f>26.9497 * CHOOSE(CONTROL!$C$9, $D$9, 100%, $F$9) + CHOOSE(CONTROL!$C$27, 0.0021, 0)</f>
        <v>26.951799999999999</v>
      </c>
      <c r="H107" s="17">
        <f>26.815 * CHOOSE(CONTROL!$C$9, $D$9, 100%, $F$9) + CHOOSE(CONTROL!$C$27, 0.0021, 0)</f>
        <v>26.8171</v>
      </c>
      <c r="I107" s="17">
        <f>26.815 * CHOOSE(CONTROL!$C$9, $D$9, 100%, $F$9) + CHOOSE(CONTROL!$C$27, 0.0021, 0)</f>
        <v>26.8171</v>
      </c>
      <c r="J107" s="17">
        <f>26.815 * CHOOSE(CONTROL!$C$9, $D$9, 100%, $F$9) + CHOOSE(CONTROL!$C$27, 0.0021, 0)</f>
        <v>26.8171</v>
      </c>
      <c r="K107" s="17">
        <f>26.815 * CHOOSE(CONTROL!$C$9, $D$9, 100%, $F$9) + CHOOSE(CONTROL!$C$27, 0.0021, 0)</f>
        <v>26.8171</v>
      </c>
      <c r="L107" s="17"/>
    </row>
    <row r="108" spans="1:12" ht="15" x14ac:dyDescent="0.2">
      <c r="A108" s="16">
        <v>44197</v>
      </c>
      <c r="B108" s="17">
        <f>27.2608 * CHOOSE(CONTROL!$C$9, $D$9, 100%, $F$9) + CHOOSE(CONTROL!$C$27, 0.0021, 0)</f>
        <v>27.262899999999998</v>
      </c>
      <c r="C108" s="17">
        <f>26.8285 * CHOOSE(CONTROL!$C$9, $D$9, 100%, $F$9) + CHOOSE(CONTROL!$C$27, 0.0021, 0)</f>
        <v>26.830599999999997</v>
      </c>
      <c r="D108" s="17">
        <f>26.8285 * CHOOSE(CONTROL!$C$9, $D$9, 100%, $F$9) + CHOOSE(CONTROL!$C$27, 0.0021, 0)</f>
        <v>26.830599999999997</v>
      </c>
      <c r="E108" s="17">
        <f>26.6919 * CHOOSE(CONTROL!$C$9, $D$9, 100%, $F$9) + CHOOSE(CONTROL!$C$27, 0.0021, 0)</f>
        <v>26.693999999999999</v>
      </c>
      <c r="F108" s="17">
        <f>26.6919 * CHOOSE(CONTROL!$C$9, $D$9, 100%, $F$9) + CHOOSE(CONTROL!$C$27, 0.0021, 0)</f>
        <v>26.693999999999999</v>
      </c>
      <c r="G108" s="17">
        <f>26.9633 * CHOOSE(CONTROL!$C$9, $D$9, 100%, $F$9) + CHOOSE(CONTROL!$C$27, 0.0021, 0)</f>
        <v>26.965399999999999</v>
      </c>
      <c r="H108" s="17">
        <f>26.8285 * CHOOSE(CONTROL!$C$9, $D$9, 100%, $F$9) + CHOOSE(CONTROL!$C$27, 0.0021, 0)</f>
        <v>26.830599999999997</v>
      </c>
      <c r="I108" s="17">
        <f>26.8285 * CHOOSE(CONTROL!$C$9, $D$9, 100%, $F$9) + CHOOSE(CONTROL!$C$27, 0.0021, 0)</f>
        <v>26.830599999999997</v>
      </c>
      <c r="J108" s="17">
        <f>26.8285 * CHOOSE(CONTROL!$C$9, $D$9, 100%, $F$9) + CHOOSE(CONTROL!$C$27, 0.0021, 0)</f>
        <v>26.830599999999997</v>
      </c>
      <c r="K108" s="17">
        <f>26.8285 * CHOOSE(CONTROL!$C$9, $D$9, 100%, $F$9) + CHOOSE(CONTROL!$C$27, 0.0021, 0)</f>
        <v>26.830599999999997</v>
      </c>
      <c r="L108" s="17"/>
    </row>
    <row r="109" spans="1:12" ht="15" x14ac:dyDescent="0.2">
      <c r="A109" s="16">
        <v>44228</v>
      </c>
      <c r="B109" s="17">
        <f>26.6045 * CHOOSE(CONTROL!$C$9, $D$9, 100%, $F$9) + CHOOSE(CONTROL!$C$27, 0.0021, 0)</f>
        <v>26.6066</v>
      </c>
      <c r="C109" s="17">
        <f>26.1723 * CHOOSE(CONTROL!$C$9, $D$9, 100%, $F$9) + CHOOSE(CONTROL!$C$27, 0.0021, 0)</f>
        <v>26.174399999999999</v>
      </c>
      <c r="D109" s="17">
        <f>26.1723 * CHOOSE(CONTROL!$C$9, $D$9, 100%, $F$9) + CHOOSE(CONTROL!$C$27, 0.0021, 0)</f>
        <v>26.174399999999999</v>
      </c>
      <c r="E109" s="17">
        <f>26.0356 * CHOOSE(CONTROL!$C$9, $D$9, 100%, $F$9) + CHOOSE(CONTROL!$C$27, 0.0021, 0)</f>
        <v>26.037699999999997</v>
      </c>
      <c r="F109" s="17">
        <f>26.0356 * CHOOSE(CONTROL!$C$9, $D$9, 100%, $F$9) + CHOOSE(CONTROL!$C$27, 0.0021, 0)</f>
        <v>26.037699999999997</v>
      </c>
      <c r="G109" s="17">
        <f>26.307 * CHOOSE(CONTROL!$C$9, $D$9, 100%, $F$9) + CHOOSE(CONTROL!$C$27, 0.0021, 0)</f>
        <v>26.309099999999997</v>
      </c>
      <c r="H109" s="17">
        <f>26.1723 * CHOOSE(CONTROL!$C$9, $D$9, 100%, $F$9) + CHOOSE(CONTROL!$C$27, 0.0021, 0)</f>
        <v>26.174399999999999</v>
      </c>
      <c r="I109" s="17">
        <f>26.1723 * CHOOSE(CONTROL!$C$9, $D$9, 100%, $F$9) + CHOOSE(CONTROL!$C$27, 0.0021, 0)</f>
        <v>26.174399999999999</v>
      </c>
      <c r="J109" s="17">
        <f>26.1723 * CHOOSE(CONTROL!$C$9, $D$9, 100%, $F$9) + CHOOSE(CONTROL!$C$27, 0.0021, 0)</f>
        <v>26.174399999999999</v>
      </c>
      <c r="K109" s="17">
        <f>26.1723 * CHOOSE(CONTROL!$C$9, $D$9, 100%, $F$9) + CHOOSE(CONTROL!$C$27, 0.0021, 0)</f>
        <v>26.174399999999999</v>
      </c>
      <c r="L109" s="17"/>
    </row>
    <row r="110" spans="1:12" ht="15" x14ac:dyDescent="0.2">
      <c r="A110" s="16">
        <v>44256</v>
      </c>
      <c r="B110" s="17">
        <f>26.3619 * CHOOSE(CONTROL!$C$9, $D$9, 100%, $F$9) + CHOOSE(CONTROL!$C$27, 0.0021, 0)</f>
        <v>26.363999999999997</v>
      </c>
      <c r="C110" s="17">
        <f>25.9296 * CHOOSE(CONTROL!$C$9, $D$9, 100%, $F$9) + CHOOSE(CONTROL!$C$27, 0.0021, 0)</f>
        <v>25.931699999999999</v>
      </c>
      <c r="D110" s="17">
        <f>25.9296 * CHOOSE(CONTROL!$C$9, $D$9, 100%, $F$9) + CHOOSE(CONTROL!$C$27, 0.0021, 0)</f>
        <v>25.931699999999999</v>
      </c>
      <c r="E110" s="17">
        <f>25.793 * CHOOSE(CONTROL!$C$9, $D$9, 100%, $F$9) + CHOOSE(CONTROL!$C$27, 0.0021, 0)</f>
        <v>25.795099999999998</v>
      </c>
      <c r="F110" s="17">
        <f>25.793 * CHOOSE(CONTROL!$C$9, $D$9, 100%, $F$9) + CHOOSE(CONTROL!$C$27, 0.0021, 0)</f>
        <v>25.795099999999998</v>
      </c>
      <c r="G110" s="17">
        <f>26.0643 * CHOOSE(CONTROL!$C$9, $D$9, 100%, $F$9) + CHOOSE(CONTROL!$C$27, 0.0021, 0)</f>
        <v>26.066399999999998</v>
      </c>
      <c r="H110" s="17">
        <f>25.9296 * CHOOSE(CONTROL!$C$9, $D$9, 100%, $F$9) + CHOOSE(CONTROL!$C$27, 0.0021, 0)</f>
        <v>25.931699999999999</v>
      </c>
      <c r="I110" s="17">
        <f>25.9296 * CHOOSE(CONTROL!$C$9, $D$9, 100%, $F$9) + CHOOSE(CONTROL!$C$27, 0.0021, 0)</f>
        <v>25.931699999999999</v>
      </c>
      <c r="J110" s="17">
        <f>25.9296 * CHOOSE(CONTROL!$C$9, $D$9, 100%, $F$9) + CHOOSE(CONTROL!$C$27, 0.0021, 0)</f>
        <v>25.931699999999999</v>
      </c>
      <c r="K110" s="17">
        <f>25.9296 * CHOOSE(CONTROL!$C$9, $D$9, 100%, $F$9) + CHOOSE(CONTROL!$C$27, 0.0021, 0)</f>
        <v>25.931699999999999</v>
      </c>
      <c r="L110" s="17"/>
    </row>
    <row r="111" spans="1:12" ht="15" x14ac:dyDescent="0.2">
      <c r="A111" s="16">
        <v>44287</v>
      </c>
      <c r="B111" s="17">
        <f>26.0612 * CHOOSE(CONTROL!$C$9, $D$9, 100%, $F$9) + CHOOSE(CONTROL!$C$27, 0.0021, 0)</f>
        <v>26.063299999999998</v>
      </c>
      <c r="C111" s="17">
        <f>25.6289 * CHOOSE(CONTROL!$C$9, $D$9, 100%, $F$9) + CHOOSE(CONTROL!$C$27, 0.0021, 0)</f>
        <v>25.631</v>
      </c>
      <c r="D111" s="17">
        <f>25.6289 * CHOOSE(CONTROL!$C$9, $D$9, 100%, $F$9) + CHOOSE(CONTROL!$C$27, 0.0021, 0)</f>
        <v>25.631</v>
      </c>
      <c r="E111" s="17">
        <f>25.4923 * CHOOSE(CONTROL!$C$9, $D$9, 100%, $F$9) + CHOOSE(CONTROL!$C$27, 0.0021, 0)</f>
        <v>25.494399999999999</v>
      </c>
      <c r="F111" s="17">
        <f>25.4923 * CHOOSE(CONTROL!$C$9, $D$9, 100%, $F$9) + CHOOSE(CONTROL!$C$27, 0.0021, 0)</f>
        <v>25.494399999999999</v>
      </c>
      <c r="G111" s="17">
        <f>25.7637 * CHOOSE(CONTROL!$C$9, $D$9, 100%, $F$9) + CHOOSE(CONTROL!$C$27, 0.0021, 0)</f>
        <v>25.765799999999999</v>
      </c>
      <c r="H111" s="17">
        <f>25.6289 * CHOOSE(CONTROL!$C$9, $D$9, 100%, $F$9) + CHOOSE(CONTROL!$C$27, 0.0021, 0)</f>
        <v>25.631</v>
      </c>
      <c r="I111" s="17">
        <f>25.6289 * CHOOSE(CONTROL!$C$9, $D$9, 100%, $F$9) + CHOOSE(CONTROL!$C$27, 0.0021, 0)</f>
        <v>25.631</v>
      </c>
      <c r="J111" s="17">
        <f>25.6289 * CHOOSE(CONTROL!$C$9, $D$9, 100%, $F$9) + CHOOSE(CONTROL!$C$27, 0.0021, 0)</f>
        <v>25.631</v>
      </c>
      <c r="K111" s="17">
        <f>25.6289 * CHOOSE(CONTROL!$C$9, $D$9, 100%, $F$9) + CHOOSE(CONTROL!$C$27, 0.0021, 0)</f>
        <v>25.631</v>
      </c>
      <c r="L111" s="17"/>
    </row>
    <row r="112" spans="1:12" ht="15" x14ac:dyDescent="0.2">
      <c r="A112" s="16">
        <v>44317</v>
      </c>
      <c r="B112" s="17">
        <f>26.6103 * CHOOSE(CONTROL!$C$9, $D$9, 100%, $F$9) + CHOOSE(CONTROL!$C$27, 0.0021, 0)</f>
        <v>26.612399999999997</v>
      </c>
      <c r="C112" s="17">
        <f>26.1781 * CHOOSE(CONTROL!$C$9, $D$9, 100%, $F$9) + CHOOSE(CONTROL!$C$27, 0.0021, 0)</f>
        <v>26.180199999999999</v>
      </c>
      <c r="D112" s="17">
        <f>26.1781 * CHOOSE(CONTROL!$C$9, $D$9, 100%, $F$9) + CHOOSE(CONTROL!$C$27, 0.0021, 0)</f>
        <v>26.180199999999999</v>
      </c>
      <c r="E112" s="17">
        <f>26.0414 * CHOOSE(CONTROL!$C$9, $D$9, 100%, $F$9) + CHOOSE(CONTROL!$C$27, 0.0021, 0)</f>
        <v>26.043499999999998</v>
      </c>
      <c r="F112" s="17">
        <f>26.0414 * CHOOSE(CONTROL!$C$9, $D$9, 100%, $F$9) + CHOOSE(CONTROL!$C$27, 0.0021, 0)</f>
        <v>26.043499999999998</v>
      </c>
      <c r="G112" s="17">
        <f>26.3128 * CHOOSE(CONTROL!$C$9, $D$9, 100%, $F$9) + CHOOSE(CONTROL!$C$27, 0.0021, 0)</f>
        <v>26.314899999999998</v>
      </c>
      <c r="H112" s="17">
        <f>26.1781 * CHOOSE(CONTROL!$C$9, $D$9, 100%, $F$9) + CHOOSE(CONTROL!$C$27, 0.0021, 0)</f>
        <v>26.180199999999999</v>
      </c>
      <c r="I112" s="17">
        <f>26.1781 * CHOOSE(CONTROL!$C$9, $D$9, 100%, $F$9) + CHOOSE(CONTROL!$C$27, 0.0021, 0)</f>
        <v>26.180199999999999</v>
      </c>
      <c r="J112" s="17">
        <f>26.1781 * CHOOSE(CONTROL!$C$9, $D$9, 100%, $F$9) + CHOOSE(CONTROL!$C$27, 0.0021, 0)</f>
        <v>26.180199999999999</v>
      </c>
      <c r="K112" s="17">
        <f>26.1781 * CHOOSE(CONTROL!$C$9, $D$9, 100%, $F$9) + CHOOSE(CONTROL!$C$27, 0.0021, 0)</f>
        <v>26.180199999999999</v>
      </c>
      <c r="L112" s="17"/>
    </row>
    <row r="113" spans="1:12" ht="15" x14ac:dyDescent="0.2">
      <c r="A113" s="16">
        <v>44348</v>
      </c>
      <c r="B113" s="17">
        <f>26.9606 * CHOOSE(CONTROL!$C$9, $D$9, 100%, $F$9) + CHOOSE(CONTROL!$C$27, 0.0021, 0)</f>
        <v>26.962699999999998</v>
      </c>
      <c r="C113" s="17">
        <f>26.5284 * CHOOSE(CONTROL!$C$9, $D$9, 100%, $F$9) + CHOOSE(CONTROL!$C$27, 0.0021, 0)</f>
        <v>26.5305</v>
      </c>
      <c r="D113" s="17">
        <f>26.5284 * CHOOSE(CONTROL!$C$9, $D$9, 100%, $F$9) + CHOOSE(CONTROL!$C$27, 0.0021, 0)</f>
        <v>26.5305</v>
      </c>
      <c r="E113" s="17">
        <f>26.3917 * CHOOSE(CONTROL!$C$9, $D$9, 100%, $F$9) + CHOOSE(CONTROL!$C$27, 0.0021, 0)</f>
        <v>26.393799999999999</v>
      </c>
      <c r="F113" s="17">
        <f>26.3917 * CHOOSE(CONTROL!$C$9, $D$9, 100%, $F$9) + CHOOSE(CONTROL!$C$27, 0.0021, 0)</f>
        <v>26.393799999999999</v>
      </c>
      <c r="G113" s="17">
        <f>26.6631 * CHOOSE(CONTROL!$C$9, $D$9, 100%, $F$9) + CHOOSE(CONTROL!$C$27, 0.0021, 0)</f>
        <v>26.665199999999999</v>
      </c>
      <c r="H113" s="17">
        <f>26.5284 * CHOOSE(CONTROL!$C$9, $D$9, 100%, $F$9) + CHOOSE(CONTROL!$C$27, 0.0021, 0)</f>
        <v>26.5305</v>
      </c>
      <c r="I113" s="17">
        <f>26.5284 * CHOOSE(CONTROL!$C$9, $D$9, 100%, $F$9) + CHOOSE(CONTROL!$C$27, 0.0021, 0)</f>
        <v>26.5305</v>
      </c>
      <c r="J113" s="17">
        <f>26.5284 * CHOOSE(CONTROL!$C$9, $D$9, 100%, $F$9) + CHOOSE(CONTROL!$C$27, 0.0021, 0)</f>
        <v>26.5305</v>
      </c>
      <c r="K113" s="17">
        <f>26.5284 * CHOOSE(CONTROL!$C$9, $D$9, 100%, $F$9) + CHOOSE(CONTROL!$C$27, 0.0021, 0)</f>
        <v>26.5305</v>
      </c>
      <c r="L113" s="17"/>
    </row>
    <row r="114" spans="1:12" ht="15" x14ac:dyDescent="0.2">
      <c r="A114" s="16">
        <v>44378</v>
      </c>
      <c r="B114" s="17">
        <f>27.5077 * CHOOSE(CONTROL!$C$9, $D$9, 100%, $F$9) + CHOOSE(CONTROL!$C$27, 0.0021, 0)</f>
        <v>27.509799999999998</v>
      </c>
      <c r="C114" s="17">
        <f>27.0755 * CHOOSE(CONTROL!$C$9, $D$9, 100%, $F$9) + CHOOSE(CONTROL!$C$27, 0.0021, 0)</f>
        <v>27.0776</v>
      </c>
      <c r="D114" s="17">
        <f>27.0755 * CHOOSE(CONTROL!$C$9, $D$9, 100%, $F$9) + CHOOSE(CONTROL!$C$27, 0.0021, 0)</f>
        <v>27.0776</v>
      </c>
      <c r="E114" s="17">
        <f>26.9388 * CHOOSE(CONTROL!$C$9, $D$9, 100%, $F$9) + CHOOSE(CONTROL!$C$27, 0.0021, 0)</f>
        <v>26.940899999999999</v>
      </c>
      <c r="F114" s="17">
        <f>26.9388 * CHOOSE(CONTROL!$C$9, $D$9, 100%, $F$9) + CHOOSE(CONTROL!$C$27, 0.0021, 0)</f>
        <v>26.940899999999999</v>
      </c>
      <c r="G114" s="17">
        <f>27.2102 * CHOOSE(CONTROL!$C$9, $D$9, 100%, $F$9) + CHOOSE(CONTROL!$C$27, 0.0021, 0)</f>
        <v>27.212299999999999</v>
      </c>
      <c r="H114" s="17">
        <f>27.0755 * CHOOSE(CONTROL!$C$9, $D$9, 100%, $F$9) + CHOOSE(CONTROL!$C$27, 0.0021, 0)</f>
        <v>27.0776</v>
      </c>
      <c r="I114" s="17">
        <f>27.0755 * CHOOSE(CONTROL!$C$9, $D$9, 100%, $F$9) + CHOOSE(CONTROL!$C$27, 0.0021, 0)</f>
        <v>27.0776</v>
      </c>
      <c r="J114" s="17">
        <f>27.0755 * CHOOSE(CONTROL!$C$9, $D$9, 100%, $F$9) + CHOOSE(CONTROL!$C$27, 0.0021, 0)</f>
        <v>27.0776</v>
      </c>
      <c r="K114" s="17">
        <f>27.0755 * CHOOSE(CONTROL!$C$9, $D$9, 100%, $F$9) + CHOOSE(CONTROL!$C$27, 0.0021, 0)</f>
        <v>27.0776</v>
      </c>
      <c r="L114" s="17"/>
    </row>
    <row r="115" spans="1:12" ht="15" x14ac:dyDescent="0.2">
      <c r="A115" s="16">
        <v>44409</v>
      </c>
      <c r="B115" s="17">
        <f>27.7114 * CHOOSE(CONTROL!$C$9, $D$9, 100%, $F$9) + CHOOSE(CONTROL!$C$27, 0.0021, 0)</f>
        <v>27.7135</v>
      </c>
      <c r="C115" s="17">
        <f>27.2792 * CHOOSE(CONTROL!$C$9, $D$9, 100%, $F$9) + CHOOSE(CONTROL!$C$27, 0.0021, 0)</f>
        <v>27.281299999999998</v>
      </c>
      <c r="D115" s="17">
        <f>27.2792 * CHOOSE(CONTROL!$C$9, $D$9, 100%, $F$9) + CHOOSE(CONTROL!$C$27, 0.0021, 0)</f>
        <v>27.281299999999998</v>
      </c>
      <c r="E115" s="17">
        <f>27.1425 * CHOOSE(CONTROL!$C$9, $D$9, 100%, $F$9) + CHOOSE(CONTROL!$C$27, 0.0021, 0)</f>
        <v>27.144599999999997</v>
      </c>
      <c r="F115" s="17">
        <f>27.1425 * CHOOSE(CONTROL!$C$9, $D$9, 100%, $F$9) + CHOOSE(CONTROL!$C$27, 0.0021, 0)</f>
        <v>27.144599999999997</v>
      </c>
      <c r="G115" s="17">
        <f>27.4139 * CHOOSE(CONTROL!$C$9, $D$9, 100%, $F$9) + CHOOSE(CONTROL!$C$27, 0.0021, 0)</f>
        <v>27.416</v>
      </c>
      <c r="H115" s="17">
        <f>27.2792 * CHOOSE(CONTROL!$C$9, $D$9, 100%, $F$9) + CHOOSE(CONTROL!$C$27, 0.0021, 0)</f>
        <v>27.281299999999998</v>
      </c>
      <c r="I115" s="17">
        <f>27.2792 * CHOOSE(CONTROL!$C$9, $D$9, 100%, $F$9) + CHOOSE(CONTROL!$C$27, 0.0021, 0)</f>
        <v>27.281299999999998</v>
      </c>
      <c r="J115" s="17">
        <f>27.2792 * CHOOSE(CONTROL!$C$9, $D$9, 100%, $F$9) + CHOOSE(CONTROL!$C$27, 0.0021, 0)</f>
        <v>27.281299999999998</v>
      </c>
      <c r="K115" s="17">
        <f>27.2792 * CHOOSE(CONTROL!$C$9, $D$9, 100%, $F$9) + CHOOSE(CONTROL!$C$27, 0.0021, 0)</f>
        <v>27.281299999999998</v>
      </c>
      <c r="L115" s="17"/>
    </row>
    <row r="116" spans="1:12" ht="15" x14ac:dyDescent="0.2">
      <c r="A116" s="16">
        <v>44440</v>
      </c>
      <c r="B116" s="17">
        <f>28.2817 * CHOOSE(CONTROL!$C$9, $D$9, 100%, $F$9) + CHOOSE(CONTROL!$C$27, 0.0021, 0)</f>
        <v>28.283799999999999</v>
      </c>
      <c r="C116" s="17">
        <f>27.8495 * CHOOSE(CONTROL!$C$9, $D$9, 100%, $F$9) + CHOOSE(CONTROL!$C$27, 0.0021, 0)</f>
        <v>27.851599999999998</v>
      </c>
      <c r="D116" s="17">
        <f>27.8495 * CHOOSE(CONTROL!$C$9, $D$9, 100%, $F$9) + CHOOSE(CONTROL!$C$27, 0.0021, 0)</f>
        <v>27.851599999999998</v>
      </c>
      <c r="E116" s="17">
        <f>27.7128 * CHOOSE(CONTROL!$C$9, $D$9, 100%, $F$9) + CHOOSE(CONTROL!$C$27, 0.0021, 0)</f>
        <v>27.7149</v>
      </c>
      <c r="F116" s="17">
        <f>27.7128 * CHOOSE(CONTROL!$C$9, $D$9, 100%, $F$9) + CHOOSE(CONTROL!$C$27, 0.0021, 0)</f>
        <v>27.7149</v>
      </c>
      <c r="G116" s="17">
        <f>27.9842 * CHOOSE(CONTROL!$C$9, $D$9, 100%, $F$9) + CHOOSE(CONTROL!$C$27, 0.0021, 0)</f>
        <v>27.9863</v>
      </c>
      <c r="H116" s="17">
        <f>27.8495 * CHOOSE(CONTROL!$C$9, $D$9, 100%, $F$9) + CHOOSE(CONTROL!$C$27, 0.0021, 0)</f>
        <v>27.851599999999998</v>
      </c>
      <c r="I116" s="17">
        <f>27.8495 * CHOOSE(CONTROL!$C$9, $D$9, 100%, $F$9) + CHOOSE(CONTROL!$C$27, 0.0021, 0)</f>
        <v>27.851599999999998</v>
      </c>
      <c r="J116" s="17">
        <f>27.8495 * CHOOSE(CONTROL!$C$9, $D$9, 100%, $F$9) + CHOOSE(CONTROL!$C$27, 0.0021, 0)</f>
        <v>27.851599999999998</v>
      </c>
      <c r="K116" s="17">
        <f>27.8495 * CHOOSE(CONTROL!$C$9, $D$9, 100%, $F$9) + CHOOSE(CONTROL!$C$27, 0.0021, 0)</f>
        <v>27.851599999999998</v>
      </c>
      <c r="L116" s="17"/>
    </row>
    <row r="117" spans="1:12" ht="15" x14ac:dyDescent="0.2">
      <c r="A117" s="16">
        <v>44470</v>
      </c>
      <c r="B117" s="17">
        <f>28.9923 * CHOOSE(CONTROL!$C$9, $D$9, 100%, $F$9) + CHOOSE(CONTROL!$C$27, 0.0021, 0)</f>
        <v>28.994399999999999</v>
      </c>
      <c r="C117" s="17">
        <f>28.56 * CHOOSE(CONTROL!$C$9, $D$9, 100%, $F$9) + CHOOSE(CONTROL!$C$27, 0.0021, 0)</f>
        <v>28.562099999999997</v>
      </c>
      <c r="D117" s="17">
        <f>28.56 * CHOOSE(CONTROL!$C$9, $D$9, 100%, $F$9) + CHOOSE(CONTROL!$C$27, 0.0021, 0)</f>
        <v>28.562099999999997</v>
      </c>
      <c r="E117" s="17">
        <f>28.4234 * CHOOSE(CONTROL!$C$9, $D$9, 100%, $F$9) + CHOOSE(CONTROL!$C$27, 0.0021, 0)</f>
        <v>28.4255</v>
      </c>
      <c r="F117" s="17">
        <f>28.4234 * CHOOSE(CONTROL!$C$9, $D$9, 100%, $F$9) + CHOOSE(CONTROL!$C$27, 0.0021, 0)</f>
        <v>28.4255</v>
      </c>
      <c r="G117" s="17">
        <f>28.6947 * CHOOSE(CONTROL!$C$9, $D$9, 100%, $F$9) + CHOOSE(CONTROL!$C$27, 0.0021, 0)</f>
        <v>28.6968</v>
      </c>
      <c r="H117" s="17">
        <f>28.56 * CHOOSE(CONTROL!$C$9, $D$9, 100%, $F$9) + CHOOSE(CONTROL!$C$27, 0.0021, 0)</f>
        <v>28.562099999999997</v>
      </c>
      <c r="I117" s="17">
        <f>28.56 * CHOOSE(CONTROL!$C$9, $D$9, 100%, $F$9) + CHOOSE(CONTROL!$C$27, 0.0021, 0)</f>
        <v>28.562099999999997</v>
      </c>
      <c r="J117" s="17">
        <f>28.56 * CHOOSE(CONTROL!$C$9, $D$9, 100%, $F$9) + CHOOSE(CONTROL!$C$27, 0.0021, 0)</f>
        <v>28.562099999999997</v>
      </c>
      <c r="K117" s="17">
        <f>28.56 * CHOOSE(CONTROL!$C$9, $D$9, 100%, $F$9) + CHOOSE(CONTROL!$C$27, 0.0021, 0)</f>
        <v>28.562099999999997</v>
      </c>
      <c r="L117" s="17"/>
    </row>
    <row r="118" spans="1:12" ht="15" x14ac:dyDescent="0.2">
      <c r="A118" s="16">
        <v>44501</v>
      </c>
      <c r="B118" s="17">
        <f>29.1091 * CHOOSE(CONTROL!$C$9, $D$9, 100%, $F$9) + CHOOSE(CONTROL!$C$27, 0.0021, 0)</f>
        <v>29.1112</v>
      </c>
      <c r="C118" s="17">
        <f>28.6768 * CHOOSE(CONTROL!$C$9, $D$9, 100%, $F$9) + CHOOSE(CONTROL!$C$27, 0.0021, 0)</f>
        <v>28.678899999999999</v>
      </c>
      <c r="D118" s="17">
        <f>28.6768 * CHOOSE(CONTROL!$C$9, $D$9, 100%, $F$9) + CHOOSE(CONTROL!$C$27, 0.0021, 0)</f>
        <v>28.678899999999999</v>
      </c>
      <c r="E118" s="17">
        <f>28.5402 * CHOOSE(CONTROL!$C$9, $D$9, 100%, $F$9) + CHOOSE(CONTROL!$C$27, 0.0021, 0)</f>
        <v>28.542299999999997</v>
      </c>
      <c r="F118" s="17">
        <f>28.5402 * CHOOSE(CONTROL!$C$9, $D$9, 100%, $F$9) + CHOOSE(CONTROL!$C$27, 0.0021, 0)</f>
        <v>28.542299999999997</v>
      </c>
      <c r="G118" s="17">
        <f>28.8115 * CHOOSE(CONTROL!$C$9, $D$9, 100%, $F$9) + CHOOSE(CONTROL!$C$27, 0.0021, 0)</f>
        <v>28.813599999999997</v>
      </c>
      <c r="H118" s="17">
        <f>28.6768 * CHOOSE(CONTROL!$C$9, $D$9, 100%, $F$9) + CHOOSE(CONTROL!$C$27, 0.0021, 0)</f>
        <v>28.678899999999999</v>
      </c>
      <c r="I118" s="17">
        <f>28.6768 * CHOOSE(CONTROL!$C$9, $D$9, 100%, $F$9) + CHOOSE(CONTROL!$C$27, 0.0021, 0)</f>
        <v>28.678899999999999</v>
      </c>
      <c r="J118" s="17">
        <f>28.6768 * CHOOSE(CONTROL!$C$9, $D$9, 100%, $F$9) + CHOOSE(CONTROL!$C$27, 0.0021, 0)</f>
        <v>28.678899999999999</v>
      </c>
      <c r="K118" s="17">
        <f>28.6768 * CHOOSE(CONTROL!$C$9, $D$9, 100%, $F$9) + CHOOSE(CONTROL!$C$27, 0.0021, 0)</f>
        <v>28.678899999999999</v>
      </c>
      <c r="L118" s="17"/>
    </row>
    <row r="119" spans="1:12" ht="15" x14ac:dyDescent="0.2">
      <c r="A119" s="16">
        <v>44531</v>
      </c>
      <c r="B119" s="17">
        <f>28.6374 * CHOOSE(CONTROL!$C$9, $D$9, 100%, $F$9) + CHOOSE(CONTROL!$C$27, 0.0021, 0)</f>
        <v>28.639499999999998</v>
      </c>
      <c r="C119" s="17">
        <f>28.2052 * CHOOSE(CONTROL!$C$9, $D$9, 100%, $F$9) + CHOOSE(CONTROL!$C$27, 0.0021, 0)</f>
        <v>28.2073</v>
      </c>
      <c r="D119" s="17">
        <f>28.2052 * CHOOSE(CONTROL!$C$9, $D$9, 100%, $F$9) + CHOOSE(CONTROL!$C$27, 0.0021, 0)</f>
        <v>28.2073</v>
      </c>
      <c r="E119" s="17">
        <f>28.0685 * CHOOSE(CONTROL!$C$9, $D$9, 100%, $F$9) + CHOOSE(CONTROL!$C$27, 0.0021, 0)</f>
        <v>28.070599999999999</v>
      </c>
      <c r="F119" s="17">
        <f>28.0685 * CHOOSE(CONTROL!$C$9, $D$9, 100%, $F$9) + CHOOSE(CONTROL!$C$27, 0.0021, 0)</f>
        <v>28.070599999999999</v>
      </c>
      <c r="G119" s="17">
        <f>28.3399 * CHOOSE(CONTROL!$C$9, $D$9, 100%, $F$9) + CHOOSE(CONTROL!$C$27, 0.0021, 0)</f>
        <v>28.341999999999999</v>
      </c>
      <c r="H119" s="17">
        <f>28.2052 * CHOOSE(CONTROL!$C$9, $D$9, 100%, $F$9) + CHOOSE(CONTROL!$C$27, 0.0021, 0)</f>
        <v>28.2073</v>
      </c>
      <c r="I119" s="17">
        <f>28.2052 * CHOOSE(CONTROL!$C$9, $D$9, 100%, $F$9) + CHOOSE(CONTROL!$C$27, 0.0021, 0)</f>
        <v>28.2073</v>
      </c>
      <c r="J119" s="17">
        <f>28.2052 * CHOOSE(CONTROL!$C$9, $D$9, 100%, $F$9) + CHOOSE(CONTROL!$C$27, 0.0021, 0)</f>
        <v>28.2073</v>
      </c>
      <c r="K119" s="17">
        <f>28.2052 * CHOOSE(CONTROL!$C$9, $D$9, 100%, $F$9) + CHOOSE(CONTROL!$C$27, 0.0021, 0)</f>
        <v>28.2073</v>
      </c>
      <c r="L119" s="17"/>
    </row>
    <row r="120" spans="1:12" ht="15" x14ac:dyDescent="0.2">
      <c r="A120" s="16">
        <v>44562</v>
      </c>
      <c r="B120" s="17">
        <f>28.6827 * CHOOSE(CONTROL!$C$9, $D$9, 100%, $F$9) + CHOOSE(CONTROL!$C$27, 0.0021, 0)</f>
        <v>28.684799999999999</v>
      </c>
      <c r="C120" s="17">
        <f>28.2504 * CHOOSE(CONTROL!$C$9, $D$9, 100%, $F$9) + CHOOSE(CONTROL!$C$27, 0.0021, 0)</f>
        <v>28.252499999999998</v>
      </c>
      <c r="D120" s="17">
        <f>28.2504 * CHOOSE(CONTROL!$C$9, $D$9, 100%, $F$9) + CHOOSE(CONTROL!$C$27, 0.0021, 0)</f>
        <v>28.252499999999998</v>
      </c>
      <c r="E120" s="17">
        <f>28.1138 * CHOOSE(CONTROL!$C$9, $D$9, 100%, $F$9) + CHOOSE(CONTROL!$C$27, 0.0021, 0)</f>
        <v>28.1159</v>
      </c>
      <c r="F120" s="17">
        <f>28.1138 * CHOOSE(CONTROL!$C$9, $D$9, 100%, $F$9) + CHOOSE(CONTROL!$C$27, 0.0021, 0)</f>
        <v>28.1159</v>
      </c>
      <c r="G120" s="17">
        <f>28.3851 * CHOOSE(CONTROL!$C$9, $D$9, 100%, $F$9) + CHOOSE(CONTROL!$C$27, 0.0021, 0)</f>
        <v>28.3872</v>
      </c>
      <c r="H120" s="17">
        <f>28.2504 * CHOOSE(CONTROL!$C$9, $D$9, 100%, $F$9) + CHOOSE(CONTROL!$C$27, 0.0021, 0)</f>
        <v>28.252499999999998</v>
      </c>
      <c r="I120" s="17">
        <f>28.2504 * CHOOSE(CONTROL!$C$9, $D$9, 100%, $F$9) + CHOOSE(CONTROL!$C$27, 0.0021, 0)</f>
        <v>28.252499999999998</v>
      </c>
      <c r="J120" s="17">
        <f>28.2504 * CHOOSE(CONTROL!$C$9, $D$9, 100%, $F$9) + CHOOSE(CONTROL!$C$27, 0.0021, 0)</f>
        <v>28.252499999999998</v>
      </c>
      <c r="K120" s="17">
        <f>28.2504 * CHOOSE(CONTROL!$C$9, $D$9, 100%, $F$9) + CHOOSE(CONTROL!$C$27, 0.0021, 0)</f>
        <v>28.252499999999998</v>
      </c>
      <c r="L120" s="17"/>
    </row>
    <row r="121" spans="1:12" ht="15" x14ac:dyDescent="0.2">
      <c r="A121" s="16">
        <v>44593</v>
      </c>
      <c r="B121" s="17">
        <f>27.989 * CHOOSE(CONTROL!$C$9, $D$9, 100%, $F$9) + CHOOSE(CONTROL!$C$27, 0.0021, 0)</f>
        <v>27.991099999999999</v>
      </c>
      <c r="C121" s="17">
        <f>27.5568 * CHOOSE(CONTROL!$C$9, $D$9, 100%, $F$9) + CHOOSE(CONTROL!$C$27, 0.0021, 0)</f>
        <v>27.558899999999998</v>
      </c>
      <c r="D121" s="17">
        <f>27.5568 * CHOOSE(CONTROL!$C$9, $D$9, 100%, $F$9) + CHOOSE(CONTROL!$C$27, 0.0021, 0)</f>
        <v>27.558899999999998</v>
      </c>
      <c r="E121" s="17">
        <f>27.4201 * CHOOSE(CONTROL!$C$9, $D$9, 100%, $F$9) + CHOOSE(CONTROL!$C$27, 0.0021, 0)</f>
        <v>27.4222</v>
      </c>
      <c r="F121" s="17">
        <f>27.4201 * CHOOSE(CONTROL!$C$9, $D$9, 100%, $F$9) + CHOOSE(CONTROL!$C$27, 0.0021, 0)</f>
        <v>27.4222</v>
      </c>
      <c r="G121" s="17">
        <f>27.6915 * CHOOSE(CONTROL!$C$9, $D$9, 100%, $F$9) + CHOOSE(CONTROL!$C$27, 0.0021, 0)</f>
        <v>27.6936</v>
      </c>
      <c r="H121" s="17">
        <f>27.5568 * CHOOSE(CONTROL!$C$9, $D$9, 100%, $F$9) + CHOOSE(CONTROL!$C$27, 0.0021, 0)</f>
        <v>27.558899999999998</v>
      </c>
      <c r="I121" s="17">
        <f>27.5568 * CHOOSE(CONTROL!$C$9, $D$9, 100%, $F$9) + CHOOSE(CONTROL!$C$27, 0.0021, 0)</f>
        <v>27.558899999999998</v>
      </c>
      <c r="J121" s="17">
        <f>27.5568 * CHOOSE(CONTROL!$C$9, $D$9, 100%, $F$9) + CHOOSE(CONTROL!$C$27, 0.0021, 0)</f>
        <v>27.558899999999998</v>
      </c>
      <c r="K121" s="17">
        <f>27.5568 * CHOOSE(CONTROL!$C$9, $D$9, 100%, $F$9) + CHOOSE(CONTROL!$C$27, 0.0021, 0)</f>
        <v>27.558899999999998</v>
      </c>
      <c r="L121" s="17"/>
    </row>
    <row r="122" spans="1:12" ht="15" x14ac:dyDescent="0.2">
      <c r="A122" s="16">
        <v>44621</v>
      </c>
      <c r="B122" s="17">
        <f>27.7326 * CHOOSE(CONTROL!$C$9, $D$9, 100%, $F$9) + CHOOSE(CONTROL!$C$27, 0.0021, 0)</f>
        <v>27.7347</v>
      </c>
      <c r="C122" s="17">
        <f>27.3003 * CHOOSE(CONTROL!$C$9, $D$9, 100%, $F$9) + CHOOSE(CONTROL!$C$27, 0.0021, 0)</f>
        <v>27.302399999999999</v>
      </c>
      <c r="D122" s="17">
        <f>27.3003 * CHOOSE(CONTROL!$C$9, $D$9, 100%, $F$9) + CHOOSE(CONTROL!$C$27, 0.0021, 0)</f>
        <v>27.302399999999999</v>
      </c>
      <c r="E122" s="17">
        <f>27.1637 * CHOOSE(CONTROL!$C$9, $D$9, 100%, $F$9) + CHOOSE(CONTROL!$C$27, 0.0021, 0)</f>
        <v>27.165799999999997</v>
      </c>
      <c r="F122" s="17">
        <f>27.1637 * CHOOSE(CONTROL!$C$9, $D$9, 100%, $F$9) + CHOOSE(CONTROL!$C$27, 0.0021, 0)</f>
        <v>27.165799999999997</v>
      </c>
      <c r="G122" s="17">
        <f>27.435 * CHOOSE(CONTROL!$C$9, $D$9, 100%, $F$9) + CHOOSE(CONTROL!$C$27, 0.0021, 0)</f>
        <v>27.437099999999997</v>
      </c>
      <c r="H122" s="17">
        <f>27.3003 * CHOOSE(CONTROL!$C$9, $D$9, 100%, $F$9) + CHOOSE(CONTROL!$C$27, 0.0021, 0)</f>
        <v>27.302399999999999</v>
      </c>
      <c r="I122" s="17">
        <f>27.3003 * CHOOSE(CONTROL!$C$9, $D$9, 100%, $F$9) + CHOOSE(CONTROL!$C$27, 0.0021, 0)</f>
        <v>27.302399999999999</v>
      </c>
      <c r="J122" s="17">
        <f>27.3003 * CHOOSE(CONTROL!$C$9, $D$9, 100%, $F$9) + CHOOSE(CONTROL!$C$27, 0.0021, 0)</f>
        <v>27.302399999999999</v>
      </c>
      <c r="K122" s="17">
        <f>27.3003 * CHOOSE(CONTROL!$C$9, $D$9, 100%, $F$9) + CHOOSE(CONTROL!$C$27, 0.0021, 0)</f>
        <v>27.302399999999999</v>
      </c>
      <c r="L122" s="17"/>
    </row>
    <row r="123" spans="1:12" ht="15" x14ac:dyDescent="0.2">
      <c r="A123" s="16">
        <v>44652</v>
      </c>
      <c r="B123" s="17">
        <f>27.4148 * CHOOSE(CONTROL!$C$9, $D$9, 100%, $F$9) + CHOOSE(CONTROL!$C$27, 0.0021, 0)</f>
        <v>27.416899999999998</v>
      </c>
      <c r="C123" s="17">
        <f>26.9825 * CHOOSE(CONTROL!$C$9, $D$9, 100%, $F$9) + CHOOSE(CONTROL!$C$27, 0.0021, 0)</f>
        <v>26.9846</v>
      </c>
      <c r="D123" s="17">
        <f>26.9825 * CHOOSE(CONTROL!$C$9, $D$9, 100%, $F$9) + CHOOSE(CONTROL!$C$27, 0.0021, 0)</f>
        <v>26.9846</v>
      </c>
      <c r="E123" s="17">
        <f>26.8459 * CHOOSE(CONTROL!$C$9, $D$9, 100%, $F$9) + CHOOSE(CONTROL!$C$27, 0.0021, 0)</f>
        <v>26.847999999999999</v>
      </c>
      <c r="F123" s="17">
        <f>26.8459 * CHOOSE(CONTROL!$C$9, $D$9, 100%, $F$9) + CHOOSE(CONTROL!$C$27, 0.0021, 0)</f>
        <v>26.847999999999999</v>
      </c>
      <c r="G123" s="17">
        <f>27.1172 * CHOOSE(CONTROL!$C$9, $D$9, 100%, $F$9) + CHOOSE(CONTROL!$C$27, 0.0021, 0)</f>
        <v>27.119299999999999</v>
      </c>
      <c r="H123" s="17">
        <f>26.9825 * CHOOSE(CONTROL!$C$9, $D$9, 100%, $F$9) + CHOOSE(CONTROL!$C$27, 0.0021, 0)</f>
        <v>26.9846</v>
      </c>
      <c r="I123" s="17">
        <f>26.9825 * CHOOSE(CONTROL!$C$9, $D$9, 100%, $F$9) + CHOOSE(CONTROL!$C$27, 0.0021, 0)</f>
        <v>26.9846</v>
      </c>
      <c r="J123" s="17">
        <f>26.9825 * CHOOSE(CONTROL!$C$9, $D$9, 100%, $F$9) + CHOOSE(CONTROL!$C$27, 0.0021, 0)</f>
        <v>26.9846</v>
      </c>
      <c r="K123" s="17">
        <f>26.9825 * CHOOSE(CONTROL!$C$9, $D$9, 100%, $F$9) + CHOOSE(CONTROL!$C$27, 0.0021, 0)</f>
        <v>26.9846</v>
      </c>
      <c r="L123" s="17"/>
    </row>
    <row r="124" spans="1:12" ht="15" x14ac:dyDescent="0.2">
      <c r="A124" s="16">
        <v>44682</v>
      </c>
      <c r="B124" s="17">
        <f>27.9952 * CHOOSE(CONTROL!$C$9, $D$9, 100%, $F$9) + CHOOSE(CONTROL!$C$27, 0.0021, 0)</f>
        <v>27.997299999999999</v>
      </c>
      <c r="C124" s="17">
        <f>27.5629 * CHOOSE(CONTROL!$C$9, $D$9, 100%, $F$9) + CHOOSE(CONTROL!$C$27, 0.0021, 0)</f>
        <v>27.564999999999998</v>
      </c>
      <c r="D124" s="17">
        <f>27.5629 * CHOOSE(CONTROL!$C$9, $D$9, 100%, $F$9) + CHOOSE(CONTROL!$C$27, 0.0021, 0)</f>
        <v>27.564999999999998</v>
      </c>
      <c r="E124" s="17">
        <f>27.4263 * CHOOSE(CONTROL!$C$9, $D$9, 100%, $F$9) + CHOOSE(CONTROL!$C$27, 0.0021, 0)</f>
        <v>27.4284</v>
      </c>
      <c r="F124" s="17">
        <f>27.4263 * CHOOSE(CONTROL!$C$9, $D$9, 100%, $F$9) + CHOOSE(CONTROL!$C$27, 0.0021, 0)</f>
        <v>27.4284</v>
      </c>
      <c r="G124" s="17">
        <f>27.6976 * CHOOSE(CONTROL!$C$9, $D$9, 100%, $F$9) + CHOOSE(CONTROL!$C$27, 0.0021, 0)</f>
        <v>27.6997</v>
      </c>
      <c r="H124" s="17">
        <f>27.5629 * CHOOSE(CONTROL!$C$9, $D$9, 100%, $F$9) + CHOOSE(CONTROL!$C$27, 0.0021, 0)</f>
        <v>27.564999999999998</v>
      </c>
      <c r="I124" s="17">
        <f>27.5629 * CHOOSE(CONTROL!$C$9, $D$9, 100%, $F$9) + CHOOSE(CONTROL!$C$27, 0.0021, 0)</f>
        <v>27.564999999999998</v>
      </c>
      <c r="J124" s="17">
        <f>27.5629 * CHOOSE(CONTROL!$C$9, $D$9, 100%, $F$9) + CHOOSE(CONTROL!$C$27, 0.0021, 0)</f>
        <v>27.564999999999998</v>
      </c>
      <c r="K124" s="17">
        <f>27.5629 * CHOOSE(CONTROL!$C$9, $D$9, 100%, $F$9) + CHOOSE(CONTROL!$C$27, 0.0021, 0)</f>
        <v>27.564999999999998</v>
      </c>
      <c r="L124" s="17"/>
    </row>
    <row r="125" spans="1:12" ht="15" x14ac:dyDescent="0.2">
      <c r="A125" s="16">
        <v>44713</v>
      </c>
      <c r="B125" s="17">
        <f>28.3654 * CHOOSE(CONTROL!$C$9, $D$9, 100%, $F$9) + CHOOSE(CONTROL!$C$27, 0.0021, 0)</f>
        <v>28.3675</v>
      </c>
      <c r="C125" s="17">
        <f>27.9332 * CHOOSE(CONTROL!$C$9, $D$9, 100%, $F$9) + CHOOSE(CONTROL!$C$27, 0.0021, 0)</f>
        <v>27.935299999999998</v>
      </c>
      <c r="D125" s="17">
        <f>27.9332 * CHOOSE(CONTROL!$C$9, $D$9, 100%, $F$9) + CHOOSE(CONTROL!$C$27, 0.0021, 0)</f>
        <v>27.935299999999998</v>
      </c>
      <c r="E125" s="17">
        <f>27.7965 * CHOOSE(CONTROL!$C$9, $D$9, 100%, $F$9) + CHOOSE(CONTROL!$C$27, 0.0021, 0)</f>
        <v>27.7986</v>
      </c>
      <c r="F125" s="17">
        <f>27.7965 * CHOOSE(CONTROL!$C$9, $D$9, 100%, $F$9) + CHOOSE(CONTROL!$C$27, 0.0021, 0)</f>
        <v>27.7986</v>
      </c>
      <c r="G125" s="17">
        <f>28.0679 * CHOOSE(CONTROL!$C$9, $D$9, 100%, $F$9) + CHOOSE(CONTROL!$C$27, 0.0021, 0)</f>
        <v>28.07</v>
      </c>
      <c r="H125" s="17">
        <f>27.9332 * CHOOSE(CONTROL!$C$9, $D$9, 100%, $F$9) + CHOOSE(CONTROL!$C$27, 0.0021, 0)</f>
        <v>27.935299999999998</v>
      </c>
      <c r="I125" s="17">
        <f>27.9332 * CHOOSE(CONTROL!$C$9, $D$9, 100%, $F$9) + CHOOSE(CONTROL!$C$27, 0.0021, 0)</f>
        <v>27.935299999999998</v>
      </c>
      <c r="J125" s="17">
        <f>27.9332 * CHOOSE(CONTROL!$C$9, $D$9, 100%, $F$9) + CHOOSE(CONTROL!$C$27, 0.0021, 0)</f>
        <v>27.935299999999998</v>
      </c>
      <c r="K125" s="17">
        <f>27.9332 * CHOOSE(CONTROL!$C$9, $D$9, 100%, $F$9) + CHOOSE(CONTROL!$C$27, 0.0021, 0)</f>
        <v>27.935299999999998</v>
      </c>
      <c r="L125" s="17"/>
    </row>
    <row r="126" spans="1:12" ht="15" x14ac:dyDescent="0.2">
      <c r="A126" s="16">
        <v>44743</v>
      </c>
      <c r="B126" s="17">
        <f>28.9436 * CHOOSE(CONTROL!$C$9, $D$9, 100%, $F$9) + CHOOSE(CONTROL!$C$27, 0.0021, 0)</f>
        <v>28.945699999999999</v>
      </c>
      <c r="C126" s="17">
        <f>28.5114 * CHOOSE(CONTROL!$C$9, $D$9, 100%, $F$9) + CHOOSE(CONTROL!$C$27, 0.0021, 0)</f>
        <v>28.513499999999997</v>
      </c>
      <c r="D126" s="17">
        <f>28.5114 * CHOOSE(CONTROL!$C$9, $D$9, 100%, $F$9) + CHOOSE(CONTROL!$C$27, 0.0021, 0)</f>
        <v>28.513499999999997</v>
      </c>
      <c r="E126" s="17">
        <f>28.3747 * CHOOSE(CONTROL!$C$9, $D$9, 100%, $F$9) + CHOOSE(CONTROL!$C$27, 0.0021, 0)</f>
        <v>28.376799999999999</v>
      </c>
      <c r="F126" s="17">
        <f>28.3747 * CHOOSE(CONTROL!$C$9, $D$9, 100%, $F$9) + CHOOSE(CONTROL!$C$27, 0.0021, 0)</f>
        <v>28.376799999999999</v>
      </c>
      <c r="G126" s="17">
        <f>28.6461 * CHOOSE(CONTROL!$C$9, $D$9, 100%, $F$9) + CHOOSE(CONTROL!$C$27, 0.0021, 0)</f>
        <v>28.648199999999999</v>
      </c>
      <c r="H126" s="17">
        <f>28.5114 * CHOOSE(CONTROL!$C$9, $D$9, 100%, $F$9) + CHOOSE(CONTROL!$C$27, 0.0021, 0)</f>
        <v>28.513499999999997</v>
      </c>
      <c r="I126" s="17">
        <f>28.5114 * CHOOSE(CONTROL!$C$9, $D$9, 100%, $F$9) + CHOOSE(CONTROL!$C$27, 0.0021, 0)</f>
        <v>28.513499999999997</v>
      </c>
      <c r="J126" s="17">
        <f>28.5114 * CHOOSE(CONTROL!$C$9, $D$9, 100%, $F$9) + CHOOSE(CONTROL!$C$27, 0.0021, 0)</f>
        <v>28.513499999999997</v>
      </c>
      <c r="K126" s="17">
        <f>28.5114 * CHOOSE(CONTROL!$C$9, $D$9, 100%, $F$9) + CHOOSE(CONTROL!$C$27, 0.0021, 0)</f>
        <v>28.513499999999997</v>
      </c>
      <c r="L126" s="17"/>
    </row>
    <row r="127" spans="1:12" ht="15" x14ac:dyDescent="0.2">
      <c r="A127" s="16">
        <v>44774</v>
      </c>
      <c r="B127" s="17">
        <f>29.159 * CHOOSE(CONTROL!$C$9, $D$9, 100%, $F$9) + CHOOSE(CONTROL!$C$27, 0.0021, 0)</f>
        <v>29.161099999999998</v>
      </c>
      <c r="C127" s="17">
        <f>28.7267 * CHOOSE(CONTROL!$C$9, $D$9, 100%, $F$9) + CHOOSE(CONTROL!$C$27, 0.0021, 0)</f>
        <v>28.7288</v>
      </c>
      <c r="D127" s="17">
        <f>28.7267 * CHOOSE(CONTROL!$C$9, $D$9, 100%, $F$9) + CHOOSE(CONTROL!$C$27, 0.0021, 0)</f>
        <v>28.7288</v>
      </c>
      <c r="E127" s="17">
        <f>28.5901 * CHOOSE(CONTROL!$C$9, $D$9, 100%, $F$9) + CHOOSE(CONTROL!$C$27, 0.0021, 0)</f>
        <v>28.592199999999998</v>
      </c>
      <c r="F127" s="17">
        <f>28.5901 * CHOOSE(CONTROL!$C$9, $D$9, 100%, $F$9) + CHOOSE(CONTROL!$C$27, 0.0021, 0)</f>
        <v>28.592199999999998</v>
      </c>
      <c r="G127" s="17">
        <f>28.8614 * CHOOSE(CONTROL!$C$9, $D$9, 100%, $F$9) + CHOOSE(CONTROL!$C$27, 0.0021, 0)</f>
        <v>28.863499999999998</v>
      </c>
      <c r="H127" s="17">
        <f>28.7267 * CHOOSE(CONTROL!$C$9, $D$9, 100%, $F$9) + CHOOSE(CONTROL!$C$27, 0.0021, 0)</f>
        <v>28.7288</v>
      </c>
      <c r="I127" s="17">
        <f>28.7267 * CHOOSE(CONTROL!$C$9, $D$9, 100%, $F$9) + CHOOSE(CONTROL!$C$27, 0.0021, 0)</f>
        <v>28.7288</v>
      </c>
      <c r="J127" s="17">
        <f>28.7267 * CHOOSE(CONTROL!$C$9, $D$9, 100%, $F$9) + CHOOSE(CONTROL!$C$27, 0.0021, 0)</f>
        <v>28.7288</v>
      </c>
      <c r="K127" s="17">
        <f>28.7267 * CHOOSE(CONTROL!$C$9, $D$9, 100%, $F$9) + CHOOSE(CONTROL!$C$27, 0.0021, 0)</f>
        <v>28.7288</v>
      </c>
      <c r="L127" s="17"/>
    </row>
    <row r="128" spans="1:12" ht="15" x14ac:dyDescent="0.2">
      <c r="A128" s="16">
        <v>44805</v>
      </c>
      <c r="B128" s="17">
        <f>29.7618 * CHOOSE(CONTROL!$C$9, $D$9, 100%, $F$9) + CHOOSE(CONTROL!$C$27, 0.0021, 0)</f>
        <v>29.7639</v>
      </c>
      <c r="C128" s="17">
        <f>29.3295 * CHOOSE(CONTROL!$C$9, $D$9, 100%, $F$9) + CHOOSE(CONTROL!$C$27, 0.0021, 0)</f>
        <v>29.331599999999998</v>
      </c>
      <c r="D128" s="17">
        <f>29.3295 * CHOOSE(CONTROL!$C$9, $D$9, 100%, $F$9) + CHOOSE(CONTROL!$C$27, 0.0021, 0)</f>
        <v>29.331599999999998</v>
      </c>
      <c r="E128" s="17">
        <f>29.1929 * CHOOSE(CONTROL!$C$9, $D$9, 100%, $F$9) + CHOOSE(CONTROL!$C$27, 0.0021, 0)</f>
        <v>29.195</v>
      </c>
      <c r="F128" s="17">
        <f>29.1929 * CHOOSE(CONTROL!$C$9, $D$9, 100%, $F$9) + CHOOSE(CONTROL!$C$27, 0.0021, 0)</f>
        <v>29.195</v>
      </c>
      <c r="G128" s="17">
        <f>29.4642 * CHOOSE(CONTROL!$C$9, $D$9, 100%, $F$9) + CHOOSE(CONTROL!$C$27, 0.0021, 0)</f>
        <v>29.4663</v>
      </c>
      <c r="H128" s="17">
        <f>29.3295 * CHOOSE(CONTROL!$C$9, $D$9, 100%, $F$9) + CHOOSE(CONTROL!$C$27, 0.0021, 0)</f>
        <v>29.331599999999998</v>
      </c>
      <c r="I128" s="17">
        <f>29.3295 * CHOOSE(CONTROL!$C$9, $D$9, 100%, $F$9) + CHOOSE(CONTROL!$C$27, 0.0021, 0)</f>
        <v>29.331599999999998</v>
      </c>
      <c r="J128" s="17">
        <f>29.3295 * CHOOSE(CONTROL!$C$9, $D$9, 100%, $F$9) + CHOOSE(CONTROL!$C$27, 0.0021, 0)</f>
        <v>29.331599999999998</v>
      </c>
      <c r="K128" s="17">
        <f>29.3295 * CHOOSE(CONTROL!$C$9, $D$9, 100%, $F$9) + CHOOSE(CONTROL!$C$27, 0.0021, 0)</f>
        <v>29.331599999999998</v>
      </c>
      <c r="L128" s="17"/>
    </row>
    <row r="129" spans="1:12" ht="15" x14ac:dyDescent="0.2">
      <c r="A129" s="16">
        <v>44835</v>
      </c>
      <c r="B129" s="17">
        <f>30.5128 * CHOOSE(CONTROL!$C$9, $D$9, 100%, $F$9) + CHOOSE(CONTROL!$C$27, 0.0021, 0)</f>
        <v>30.514899999999997</v>
      </c>
      <c r="C129" s="17">
        <f>30.0805 * CHOOSE(CONTROL!$C$9, $D$9, 100%, $F$9) + CHOOSE(CONTROL!$C$27, 0.0021, 0)</f>
        <v>30.082599999999999</v>
      </c>
      <c r="D129" s="17">
        <f>30.0805 * CHOOSE(CONTROL!$C$9, $D$9, 100%, $F$9) + CHOOSE(CONTROL!$C$27, 0.0021, 0)</f>
        <v>30.082599999999999</v>
      </c>
      <c r="E129" s="17">
        <f>29.9439 * CHOOSE(CONTROL!$C$9, $D$9, 100%, $F$9) + CHOOSE(CONTROL!$C$27, 0.0021, 0)</f>
        <v>29.945999999999998</v>
      </c>
      <c r="F129" s="17">
        <f>29.9439 * CHOOSE(CONTROL!$C$9, $D$9, 100%, $F$9) + CHOOSE(CONTROL!$C$27, 0.0021, 0)</f>
        <v>29.945999999999998</v>
      </c>
      <c r="G129" s="17">
        <f>30.2152 * CHOOSE(CONTROL!$C$9, $D$9, 100%, $F$9) + CHOOSE(CONTROL!$C$27, 0.0021, 0)</f>
        <v>30.217299999999998</v>
      </c>
      <c r="H129" s="17">
        <f>30.0805 * CHOOSE(CONTROL!$C$9, $D$9, 100%, $F$9) + CHOOSE(CONTROL!$C$27, 0.0021, 0)</f>
        <v>30.082599999999999</v>
      </c>
      <c r="I129" s="17">
        <f>30.0805 * CHOOSE(CONTROL!$C$9, $D$9, 100%, $F$9) + CHOOSE(CONTROL!$C$27, 0.0021, 0)</f>
        <v>30.082599999999999</v>
      </c>
      <c r="J129" s="17">
        <f>30.0805 * CHOOSE(CONTROL!$C$9, $D$9, 100%, $F$9) + CHOOSE(CONTROL!$C$27, 0.0021, 0)</f>
        <v>30.082599999999999</v>
      </c>
      <c r="K129" s="17">
        <f>30.0805 * CHOOSE(CONTROL!$C$9, $D$9, 100%, $F$9) + CHOOSE(CONTROL!$C$27, 0.0021, 0)</f>
        <v>30.082599999999999</v>
      </c>
      <c r="L129" s="17"/>
    </row>
    <row r="130" spans="1:12" ht="15" x14ac:dyDescent="0.2">
      <c r="A130" s="16">
        <v>44866</v>
      </c>
      <c r="B130" s="17">
        <f>30.6362 * CHOOSE(CONTROL!$C$9, $D$9, 100%, $F$9) + CHOOSE(CONTROL!$C$27, 0.0021, 0)</f>
        <v>30.638299999999997</v>
      </c>
      <c r="C130" s="17">
        <f>30.204 * CHOOSE(CONTROL!$C$9, $D$9, 100%, $F$9) + CHOOSE(CONTROL!$C$27, 0.0021, 0)</f>
        <v>30.206099999999999</v>
      </c>
      <c r="D130" s="17">
        <f>30.204 * CHOOSE(CONTROL!$C$9, $D$9, 100%, $F$9) + CHOOSE(CONTROL!$C$27, 0.0021, 0)</f>
        <v>30.206099999999999</v>
      </c>
      <c r="E130" s="17">
        <f>30.0673 * CHOOSE(CONTROL!$C$9, $D$9, 100%, $F$9) + CHOOSE(CONTROL!$C$27, 0.0021, 0)</f>
        <v>30.069399999999998</v>
      </c>
      <c r="F130" s="17">
        <f>30.0673 * CHOOSE(CONTROL!$C$9, $D$9, 100%, $F$9) + CHOOSE(CONTROL!$C$27, 0.0021, 0)</f>
        <v>30.069399999999998</v>
      </c>
      <c r="G130" s="17">
        <f>30.3387 * CHOOSE(CONTROL!$C$9, $D$9, 100%, $F$9) + CHOOSE(CONTROL!$C$27, 0.0021, 0)</f>
        <v>30.340799999999998</v>
      </c>
      <c r="H130" s="17">
        <f>30.204 * CHOOSE(CONTROL!$C$9, $D$9, 100%, $F$9) + CHOOSE(CONTROL!$C$27, 0.0021, 0)</f>
        <v>30.206099999999999</v>
      </c>
      <c r="I130" s="17">
        <f>30.204 * CHOOSE(CONTROL!$C$9, $D$9, 100%, $F$9) + CHOOSE(CONTROL!$C$27, 0.0021, 0)</f>
        <v>30.206099999999999</v>
      </c>
      <c r="J130" s="17">
        <f>30.204 * CHOOSE(CONTROL!$C$9, $D$9, 100%, $F$9) + CHOOSE(CONTROL!$C$27, 0.0021, 0)</f>
        <v>30.206099999999999</v>
      </c>
      <c r="K130" s="17">
        <f>30.204 * CHOOSE(CONTROL!$C$9, $D$9, 100%, $F$9) + CHOOSE(CONTROL!$C$27, 0.0021, 0)</f>
        <v>30.206099999999999</v>
      </c>
      <c r="L130" s="17"/>
    </row>
    <row r="131" spans="1:12" ht="15" x14ac:dyDescent="0.2">
      <c r="A131" s="16">
        <v>44896</v>
      </c>
      <c r="B131" s="17">
        <f>30.1377 * CHOOSE(CONTROL!$C$9, $D$9, 100%, $F$9) + CHOOSE(CONTROL!$C$27, 0.0021, 0)</f>
        <v>30.139799999999997</v>
      </c>
      <c r="C131" s="17">
        <f>29.7055 * CHOOSE(CONTROL!$C$9, $D$9, 100%, $F$9) + CHOOSE(CONTROL!$C$27, 0.0021, 0)</f>
        <v>29.707599999999999</v>
      </c>
      <c r="D131" s="17">
        <f>29.7055 * CHOOSE(CONTROL!$C$9, $D$9, 100%, $F$9) + CHOOSE(CONTROL!$C$27, 0.0021, 0)</f>
        <v>29.707599999999999</v>
      </c>
      <c r="E131" s="17">
        <f>29.5688 * CHOOSE(CONTROL!$C$9, $D$9, 100%, $F$9) + CHOOSE(CONTROL!$C$27, 0.0021, 0)</f>
        <v>29.570899999999998</v>
      </c>
      <c r="F131" s="17">
        <f>29.5688 * CHOOSE(CONTROL!$C$9, $D$9, 100%, $F$9) + CHOOSE(CONTROL!$C$27, 0.0021, 0)</f>
        <v>29.570899999999998</v>
      </c>
      <c r="G131" s="17">
        <f>29.8402 * CHOOSE(CONTROL!$C$9, $D$9, 100%, $F$9) + CHOOSE(CONTROL!$C$27, 0.0021, 0)</f>
        <v>29.842299999999998</v>
      </c>
      <c r="H131" s="17">
        <f>29.7055 * CHOOSE(CONTROL!$C$9, $D$9, 100%, $F$9) + CHOOSE(CONTROL!$C$27, 0.0021, 0)</f>
        <v>29.707599999999999</v>
      </c>
      <c r="I131" s="17">
        <f>29.7055 * CHOOSE(CONTROL!$C$9, $D$9, 100%, $F$9) + CHOOSE(CONTROL!$C$27, 0.0021, 0)</f>
        <v>29.707599999999999</v>
      </c>
      <c r="J131" s="17">
        <f>29.7055 * CHOOSE(CONTROL!$C$9, $D$9, 100%, $F$9) + CHOOSE(CONTROL!$C$27, 0.0021, 0)</f>
        <v>29.707599999999999</v>
      </c>
      <c r="K131" s="17">
        <f>29.7055 * CHOOSE(CONTROL!$C$9, $D$9, 100%, $F$9) + CHOOSE(CONTROL!$C$27, 0.0021, 0)</f>
        <v>29.707599999999999</v>
      </c>
      <c r="L131" s="17"/>
    </row>
    <row r="132" spans="1:12" ht="15" x14ac:dyDescent="0.2">
      <c r="A132" s="16">
        <v>44927</v>
      </c>
      <c r="B132" s="17">
        <f>30.0635 * CHOOSE(CONTROL!$C$9, $D$9, 100%, $F$9) + CHOOSE(CONTROL!$C$27, 0.0021, 0)</f>
        <v>30.0656</v>
      </c>
      <c r="C132" s="17">
        <f>29.6312 * CHOOSE(CONTROL!$C$9, $D$9, 100%, $F$9) + CHOOSE(CONTROL!$C$27, 0.0021, 0)</f>
        <v>29.633299999999998</v>
      </c>
      <c r="D132" s="17">
        <f>29.6312 * CHOOSE(CONTROL!$C$9, $D$9, 100%, $F$9) + CHOOSE(CONTROL!$C$27, 0.0021, 0)</f>
        <v>29.633299999999998</v>
      </c>
      <c r="E132" s="17">
        <f>29.4946 * CHOOSE(CONTROL!$C$9, $D$9, 100%, $F$9) + CHOOSE(CONTROL!$C$27, 0.0021, 0)</f>
        <v>29.496699999999997</v>
      </c>
      <c r="F132" s="17">
        <f>29.4946 * CHOOSE(CONTROL!$C$9, $D$9, 100%, $F$9) + CHOOSE(CONTROL!$C$27, 0.0021, 0)</f>
        <v>29.496699999999997</v>
      </c>
      <c r="G132" s="17">
        <f>29.7659 * CHOOSE(CONTROL!$C$9, $D$9, 100%, $F$9) + CHOOSE(CONTROL!$C$27, 0.0021, 0)</f>
        <v>29.767999999999997</v>
      </c>
      <c r="H132" s="17">
        <f>29.6312 * CHOOSE(CONTROL!$C$9, $D$9, 100%, $F$9) + CHOOSE(CONTROL!$C$27, 0.0021, 0)</f>
        <v>29.633299999999998</v>
      </c>
      <c r="I132" s="17">
        <f>29.6312 * CHOOSE(CONTROL!$C$9, $D$9, 100%, $F$9) + CHOOSE(CONTROL!$C$27, 0.0021, 0)</f>
        <v>29.633299999999998</v>
      </c>
      <c r="J132" s="17">
        <f>29.6312 * CHOOSE(CONTROL!$C$9, $D$9, 100%, $F$9) + CHOOSE(CONTROL!$C$27, 0.0021, 0)</f>
        <v>29.633299999999998</v>
      </c>
      <c r="K132" s="17">
        <f>29.6312 * CHOOSE(CONTROL!$C$9, $D$9, 100%, $F$9) + CHOOSE(CONTROL!$C$27, 0.0021, 0)</f>
        <v>29.633299999999998</v>
      </c>
      <c r="L132" s="17"/>
    </row>
    <row r="133" spans="1:12" ht="15" x14ac:dyDescent="0.2">
      <c r="A133" s="16">
        <v>44958</v>
      </c>
      <c r="B133" s="17">
        <f>29.3335 * CHOOSE(CONTROL!$C$9, $D$9, 100%, $F$9) + CHOOSE(CONTROL!$C$27, 0.0021, 0)</f>
        <v>29.335599999999999</v>
      </c>
      <c r="C133" s="17">
        <f>28.9013 * CHOOSE(CONTROL!$C$9, $D$9, 100%, $F$9) + CHOOSE(CONTROL!$C$27, 0.0021, 0)</f>
        <v>28.903399999999998</v>
      </c>
      <c r="D133" s="17">
        <f>28.9013 * CHOOSE(CONTROL!$C$9, $D$9, 100%, $F$9) + CHOOSE(CONTROL!$C$27, 0.0021, 0)</f>
        <v>28.903399999999998</v>
      </c>
      <c r="E133" s="17">
        <f>28.7646 * CHOOSE(CONTROL!$C$9, $D$9, 100%, $F$9) + CHOOSE(CONTROL!$C$27, 0.0021, 0)</f>
        <v>28.7667</v>
      </c>
      <c r="F133" s="17">
        <f>28.7646 * CHOOSE(CONTROL!$C$9, $D$9, 100%, $F$9) + CHOOSE(CONTROL!$C$27, 0.0021, 0)</f>
        <v>28.7667</v>
      </c>
      <c r="G133" s="17">
        <f>29.036 * CHOOSE(CONTROL!$C$9, $D$9, 100%, $F$9) + CHOOSE(CONTROL!$C$27, 0.0021, 0)</f>
        <v>29.0381</v>
      </c>
      <c r="H133" s="17">
        <f>28.9013 * CHOOSE(CONTROL!$C$9, $D$9, 100%, $F$9) + CHOOSE(CONTROL!$C$27, 0.0021, 0)</f>
        <v>28.903399999999998</v>
      </c>
      <c r="I133" s="17">
        <f>28.9013 * CHOOSE(CONTROL!$C$9, $D$9, 100%, $F$9) + CHOOSE(CONTROL!$C$27, 0.0021, 0)</f>
        <v>28.903399999999998</v>
      </c>
      <c r="J133" s="17">
        <f>28.9013 * CHOOSE(CONTROL!$C$9, $D$9, 100%, $F$9) + CHOOSE(CONTROL!$C$27, 0.0021, 0)</f>
        <v>28.903399999999998</v>
      </c>
      <c r="K133" s="17">
        <f>28.9013 * CHOOSE(CONTROL!$C$9, $D$9, 100%, $F$9) + CHOOSE(CONTROL!$C$27, 0.0021, 0)</f>
        <v>28.903399999999998</v>
      </c>
      <c r="L133" s="17"/>
    </row>
    <row r="134" spans="1:12" ht="15" x14ac:dyDescent="0.2">
      <c r="A134" s="16">
        <v>44986</v>
      </c>
      <c r="B134" s="17">
        <f>29.0636 * CHOOSE(CONTROL!$C$9, $D$9, 100%, $F$9) + CHOOSE(CONTROL!$C$27, 0.0021, 0)</f>
        <v>29.0657</v>
      </c>
      <c r="C134" s="17">
        <f>28.6314 * CHOOSE(CONTROL!$C$9, $D$9, 100%, $F$9) + CHOOSE(CONTROL!$C$27, 0.0021, 0)</f>
        <v>28.633499999999998</v>
      </c>
      <c r="D134" s="17">
        <f>28.6314 * CHOOSE(CONTROL!$C$9, $D$9, 100%, $F$9) + CHOOSE(CONTROL!$C$27, 0.0021, 0)</f>
        <v>28.633499999999998</v>
      </c>
      <c r="E134" s="17">
        <f>28.4947 * CHOOSE(CONTROL!$C$9, $D$9, 100%, $F$9) + CHOOSE(CONTROL!$C$27, 0.0021, 0)</f>
        <v>28.4968</v>
      </c>
      <c r="F134" s="17">
        <f>28.4947 * CHOOSE(CONTROL!$C$9, $D$9, 100%, $F$9) + CHOOSE(CONTROL!$C$27, 0.0021, 0)</f>
        <v>28.4968</v>
      </c>
      <c r="G134" s="17">
        <f>28.7661 * CHOOSE(CONTROL!$C$9, $D$9, 100%, $F$9) + CHOOSE(CONTROL!$C$27, 0.0021, 0)</f>
        <v>28.7682</v>
      </c>
      <c r="H134" s="17">
        <f>28.6314 * CHOOSE(CONTROL!$C$9, $D$9, 100%, $F$9) + CHOOSE(CONTROL!$C$27, 0.0021, 0)</f>
        <v>28.633499999999998</v>
      </c>
      <c r="I134" s="17">
        <f>28.6314 * CHOOSE(CONTROL!$C$9, $D$9, 100%, $F$9) + CHOOSE(CONTROL!$C$27, 0.0021, 0)</f>
        <v>28.633499999999998</v>
      </c>
      <c r="J134" s="17">
        <f>28.6314 * CHOOSE(CONTROL!$C$9, $D$9, 100%, $F$9) + CHOOSE(CONTROL!$C$27, 0.0021, 0)</f>
        <v>28.633499999999998</v>
      </c>
      <c r="K134" s="17">
        <f>28.6314 * CHOOSE(CONTROL!$C$9, $D$9, 100%, $F$9) + CHOOSE(CONTROL!$C$27, 0.0021, 0)</f>
        <v>28.633499999999998</v>
      </c>
      <c r="L134" s="17"/>
    </row>
    <row r="135" spans="1:12" ht="15" x14ac:dyDescent="0.2">
      <c r="A135" s="16">
        <v>45017</v>
      </c>
      <c r="B135" s="17">
        <f>28.7292 * CHOOSE(CONTROL!$C$9, $D$9, 100%, $F$9) + CHOOSE(CONTROL!$C$27, 0.0021, 0)</f>
        <v>28.731299999999997</v>
      </c>
      <c r="C135" s="17">
        <f>28.297 * CHOOSE(CONTROL!$C$9, $D$9, 100%, $F$9) + CHOOSE(CONTROL!$C$27, 0.0021, 0)</f>
        <v>28.299099999999999</v>
      </c>
      <c r="D135" s="17">
        <f>28.297 * CHOOSE(CONTROL!$C$9, $D$9, 100%, $F$9) + CHOOSE(CONTROL!$C$27, 0.0021, 0)</f>
        <v>28.299099999999999</v>
      </c>
      <c r="E135" s="17">
        <f>28.1603 * CHOOSE(CONTROL!$C$9, $D$9, 100%, $F$9) + CHOOSE(CONTROL!$C$27, 0.0021, 0)</f>
        <v>28.162399999999998</v>
      </c>
      <c r="F135" s="17">
        <f>28.1603 * CHOOSE(CONTROL!$C$9, $D$9, 100%, $F$9) + CHOOSE(CONTROL!$C$27, 0.0021, 0)</f>
        <v>28.162399999999998</v>
      </c>
      <c r="G135" s="17">
        <f>28.4317 * CHOOSE(CONTROL!$C$9, $D$9, 100%, $F$9) + CHOOSE(CONTROL!$C$27, 0.0021, 0)</f>
        <v>28.433799999999998</v>
      </c>
      <c r="H135" s="17">
        <f>28.297 * CHOOSE(CONTROL!$C$9, $D$9, 100%, $F$9) + CHOOSE(CONTROL!$C$27, 0.0021, 0)</f>
        <v>28.299099999999999</v>
      </c>
      <c r="I135" s="17">
        <f>28.297 * CHOOSE(CONTROL!$C$9, $D$9, 100%, $F$9) + CHOOSE(CONTROL!$C$27, 0.0021, 0)</f>
        <v>28.299099999999999</v>
      </c>
      <c r="J135" s="17">
        <f>28.297 * CHOOSE(CONTROL!$C$9, $D$9, 100%, $F$9) + CHOOSE(CONTROL!$C$27, 0.0021, 0)</f>
        <v>28.299099999999999</v>
      </c>
      <c r="K135" s="17">
        <f>28.297 * CHOOSE(CONTROL!$C$9, $D$9, 100%, $F$9) + CHOOSE(CONTROL!$C$27, 0.0021, 0)</f>
        <v>28.299099999999999</v>
      </c>
      <c r="L135" s="17"/>
    </row>
    <row r="136" spans="1:12" ht="15" x14ac:dyDescent="0.2">
      <c r="A136" s="16">
        <v>45047</v>
      </c>
      <c r="B136" s="17">
        <f>29.34 * CHOOSE(CONTROL!$C$9, $D$9, 100%, $F$9) + CHOOSE(CONTROL!$C$27, 0.0021, 0)</f>
        <v>29.342099999999999</v>
      </c>
      <c r="C136" s="17">
        <f>28.9077 * CHOOSE(CONTROL!$C$9, $D$9, 100%, $F$9) + CHOOSE(CONTROL!$C$27, 0.0021, 0)</f>
        <v>28.909799999999997</v>
      </c>
      <c r="D136" s="17">
        <f>28.9077 * CHOOSE(CONTROL!$C$9, $D$9, 100%, $F$9) + CHOOSE(CONTROL!$C$27, 0.0021, 0)</f>
        <v>28.909799999999997</v>
      </c>
      <c r="E136" s="17">
        <f>28.7711 * CHOOSE(CONTROL!$C$9, $D$9, 100%, $F$9) + CHOOSE(CONTROL!$C$27, 0.0021, 0)</f>
        <v>28.773199999999999</v>
      </c>
      <c r="F136" s="17">
        <f>28.7711 * CHOOSE(CONTROL!$C$9, $D$9, 100%, $F$9) + CHOOSE(CONTROL!$C$27, 0.0021, 0)</f>
        <v>28.773199999999999</v>
      </c>
      <c r="G136" s="17">
        <f>29.0425 * CHOOSE(CONTROL!$C$9, $D$9, 100%, $F$9) + CHOOSE(CONTROL!$C$27, 0.0021, 0)</f>
        <v>29.044599999999999</v>
      </c>
      <c r="H136" s="17">
        <f>28.9077 * CHOOSE(CONTROL!$C$9, $D$9, 100%, $F$9) + CHOOSE(CONTROL!$C$27, 0.0021, 0)</f>
        <v>28.909799999999997</v>
      </c>
      <c r="I136" s="17">
        <f>28.9077 * CHOOSE(CONTROL!$C$9, $D$9, 100%, $F$9) + CHOOSE(CONTROL!$C$27, 0.0021, 0)</f>
        <v>28.909799999999997</v>
      </c>
      <c r="J136" s="17">
        <f>28.9077 * CHOOSE(CONTROL!$C$9, $D$9, 100%, $F$9) + CHOOSE(CONTROL!$C$27, 0.0021, 0)</f>
        <v>28.909799999999997</v>
      </c>
      <c r="K136" s="17">
        <f>28.9077 * CHOOSE(CONTROL!$C$9, $D$9, 100%, $F$9) + CHOOSE(CONTROL!$C$27, 0.0021, 0)</f>
        <v>28.909799999999997</v>
      </c>
      <c r="L136" s="17"/>
    </row>
    <row r="137" spans="1:12" ht="15" x14ac:dyDescent="0.2">
      <c r="A137" s="16">
        <v>45078</v>
      </c>
      <c r="B137" s="17">
        <f>29.7296 * CHOOSE(CONTROL!$C$9, $D$9, 100%, $F$9) + CHOOSE(CONTROL!$C$27, 0.0021, 0)</f>
        <v>29.7317</v>
      </c>
      <c r="C137" s="17">
        <f>29.2974 * CHOOSE(CONTROL!$C$9, $D$9, 100%, $F$9) + CHOOSE(CONTROL!$C$27, 0.0021, 0)</f>
        <v>29.299499999999998</v>
      </c>
      <c r="D137" s="17">
        <f>29.2974 * CHOOSE(CONTROL!$C$9, $D$9, 100%, $F$9) + CHOOSE(CONTROL!$C$27, 0.0021, 0)</f>
        <v>29.299499999999998</v>
      </c>
      <c r="E137" s="17">
        <f>29.1607 * CHOOSE(CONTROL!$C$9, $D$9, 100%, $F$9) + CHOOSE(CONTROL!$C$27, 0.0021, 0)</f>
        <v>29.162799999999997</v>
      </c>
      <c r="F137" s="17">
        <f>29.1607 * CHOOSE(CONTROL!$C$9, $D$9, 100%, $F$9) + CHOOSE(CONTROL!$C$27, 0.0021, 0)</f>
        <v>29.162799999999997</v>
      </c>
      <c r="G137" s="17">
        <f>29.4321 * CHOOSE(CONTROL!$C$9, $D$9, 100%, $F$9) + CHOOSE(CONTROL!$C$27, 0.0021, 0)</f>
        <v>29.434199999999997</v>
      </c>
      <c r="H137" s="17">
        <f>29.2974 * CHOOSE(CONTROL!$C$9, $D$9, 100%, $F$9) + CHOOSE(CONTROL!$C$27, 0.0021, 0)</f>
        <v>29.299499999999998</v>
      </c>
      <c r="I137" s="17">
        <f>29.2974 * CHOOSE(CONTROL!$C$9, $D$9, 100%, $F$9) + CHOOSE(CONTROL!$C$27, 0.0021, 0)</f>
        <v>29.299499999999998</v>
      </c>
      <c r="J137" s="17">
        <f>29.2974 * CHOOSE(CONTROL!$C$9, $D$9, 100%, $F$9) + CHOOSE(CONTROL!$C$27, 0.0021, 0)</f>
        <v>29.299499999999998</v>
      </c>
      <c r="K137" s="17">
        <f>29.2974 * CHOOSE(CONTROL!$C$9, $D$9, 100%, $F$9) + CHOOSE(CONTROL!$C$27, 0.0021, 0)</f>
        <v>29.299499999999998</v>
      </c>
      <c r="L137" s="17"/>
    </row>
    <row r="138" spans="1:12" ht="15" x14ac:dyDescent="0.2">
      <c r="A138" s="16">
        <v>45108</v>
      </c>
      <c r="B138" s="17">
        <f>30.3381 * CHOOSE(CONTROL!$C$9, $D$9, 100%, $F$9) + CHOOSE(CONTROL!$C$27, 0.0021, 0)</f>
        <v>30.340199999999999</v>
      </c>
      <c r="C138" s="17">
        <f>29.9058 * CHOOSE(CONTROL!$C$9, $D$9, 100%, $F$9) + CHOOSE(CONTROL!$C$27, 0.0021, 0)</f>
        <v>29.907899999999998</v>
      </c>
      <c r="D138" s="17">
        <f>29.9058 * CHOOSE(CONTROL!$C$9, $D$9, 100%, $F$9) + CHOOSE(CONTROL!$C$27, 0.0021, 0)</f>
        <v>29.907899999999998</v>
      </c>
      <c r="E138" s="17">
        <f>29.7692 * CHOOSE(CONTROL!$C$9, $D$9, 100%, $F$9) + CHOOSE(CONTROL!$C$27, 0.0021, 0)</f>
        <v>29.7713</v>
      </c>
      <c r="F138" s="17">
        <f>29.7692 * CHOOSE(CONTROL!$C$9, $D$9, 100%, $F$9) + CHOOSE(CONTROL!$C$27, 0.0021, 0)</f>
        <v>29.7713</v>
      </c>
      <c r="G138" s="17">
        <f>30.0405 * CHOOSE(CONTROL!$C$9, $D$9, 100%, $F$9) + CHOOSE(CONTROL!$C$27, 0.0021, 0)</f>
        <v>30.0426</v>
      </c>
      <c r="H138" s="17">
        <f>29.9058 * CHOOSE(CONTROL!$C$9, $D$9, 100%, $F$9) + CHOOSE(CONTROL!$C$27, 0.0021, 0)</f>
        <v>29.907899999999998</v>
      </c>
      <c r="I138" s="17">
        <f>29.9058 * CHOOSE(CONTROL!$C$9, $D$9, 100%, $F$9) + CHOOSE(CONTROL!$C$27, 0.0021, 0)</f>
        <v>29.907899999999998</v>
      </c>
      <c r="J138" s="17">
        <f>29.9058 * CHOOSE(CONTROL!$C$9, $D$9, 100%, $F$9) + CHOOSE(CONTROL!$C$27, 0.0021, 0)</f>
        <v>29.907899999999998</v>
      </c>
      <c r="K138" s="17">
        <f>29.9058 * CHOOSE(CONTROL!$C$9, $D$9, 100%, $F$9) + CHOOSE(CONTROL!$C$27, 0.0021, 0)</f>
        <v>29.907899999999998</v>
      </c>
      <c r="L138" s="17"/>
    </row>
    <row r="139" spans="1:12" ht="15" x14ac:dyDescent="0.2">
      <c r="A139" s="16">
        <v>45139</v>
      </c>
      <c r="B139" s="17">
        <f>30.5647 * CHOOSE(CONTROL!$C$9, $D$9, 100%, $F$9) + CHOOSE(CONTROL!$C$27, 0.0021, 0)</f>
        <v>30.566799999999997</v>
      </c>
      <c r="C139" s="17">
        <f>30.1324 * CHOOSE(CONTROL!$C$9, $D$9, 100%, $F$9) + CHOOSE(CONTROL!$C$27, 0.0021, 0)</f>
        <v>30.134499999999999</v>
      </c>
      <c r="D139" s="17">
        <f>30.1324 * CHOOSE(CONTROL!$C$9, $D$9, 100%, $F$9) + CHOOSE(CONTROL!$C$27, 0.0021, 0)</f>
        <v>30.134499999999999</v>
      </c>
      <c r="E139" s="17">
        <f>29.9958 * CHOOSE(CONTROL!$C$9, $D$9, 100%, $F$9) + CHOOSE(CONTROL!$C$27, 0.0021, 0)</f>
        <v>29.997899999999998</v>
      </c>
      <c r="F139" s="17">
        <f>29.9958 * CHOOSE(CONTROL!$C$9, $D$9, 100%, $F$9) + CHOOSE(CONTROL!$C$27, 0.0021, 0)</f>
        <v>29.997899999999998</v>
      </c>
      <c r="G139" s="17">
        <f>30.2671 * CHOOSE(CONTROL!$C$9, $D$9, 100%, $F$9) + CHOOSE(CONTROL!$C$27, 0.0021, 0)</f>
        <v>30.269199999999998</v>
      </c>
      <c r="H139" s="17">
        <f>30.1324 * CHOOSE(CONTROL!$C$9, $D$9, 100%, $F$9) + CHOOSE(CONTROL!$C$27, 0.0021, 0)</f>
        <v>30.134499999999999</v>
      </c>
      <c r="I139" s="17">
        <f>30.1324 * CHOOSE(CONTROL!$C$9, $D$9, 100%, $F$9) + CHOOSE(CONTROL!$C$27, 0.0021, 0)</f>
        <v>30.134499999999999</v>
      </c>
      <c r="J139" s="17">
        <f>30.1324 * CHOOSE(CONTROL!$C$9, $D$9, 100%, $F$9) + CHOOSE(CONTROL!$C$27, 0.0021, 0)</f>
        <v>30.134499999999999</v>
      </c>
      <c r="K139" s="17">
        <f>30.1324 * CHOOSE(CONTROL!$C$9, $D$9, 100%, $F$9) + CHOOSE(CONTROL!$C$27, 0.0021, 0)</f>
        <v>30.134499999999999</v>
      </c>
      <c r="L139" s="17"/>
    </row>
    <row r="140" spans="1:12" ht="15" x14ac:dyDescent="0.2">
      <c r="A140" s="16">
        <v>45170</v>
      </c>
      <c r="B140" s="17">
        <f>31.199 * CHOOSE(CONTROL!$C$9, $D$9, 100%, $F$9) + CHOOSE(CONTROL!$C$27, 0.0021, 0)</f>
        <v>31.2011</v>
      </c>
      <c r="C140" s="17">
        <f>30.7668 * CHOOSE(CONTROL!$C$9, $D$9, 100%, $F$9) + CHOOSE(CONTROL!$C$27, 0.0021, 0)</f>
        <v>30.768899999999999</v>
      </c>
      <c r="D140" s="17">
        <f>30.7668 * CHOOSE(CONTROL!$C$9, $D$9, 100%, $F$9) + CHOOSE(CONTROL!$C$27, 0.0021, 0)</f>
        <v>30.768899999999999</v>
      </c>
      <c r="E140" s="17">
        <f>30.6301 * CHOOSE(CONTROL!$C$9, $D$9, 100%, $F$9) + CHOOSE(CONTROL!$C$27, 0.0021, 0)</f>
        <v>30.632199999999997</v>
      </c>
      <c r="F140" s="17">
        <f>30.6301 * CHOOSE(CONTROL!$C$9, $D$9, 100%, $F$9) + CHOOSE(CONTROL!$C$27, 0.0021, 0)</f>
        <v>30.632199999999997</v>
      </c>
      <c r="G140" s="17">
        <f>30.9015 * CHOOSE(CONTROL!$C$9, $D$9, 100%, $F$9) + CHOOSE(CONTROL!$C$27, 0.0021, 0)</f>
        <v>30.903599999999997</v>
      </c>
      <c r="H140" s="17">
        <f>30.7668 * CHOOSE(CONTROL!$C$9, $D$9, 100%, $F$9) + CHOOSE(CONTROL!$C$27, 0.0021, 0)</f>
        <v>30.768899999999999</v>
      </c>
      <c r="I140" s="17">
        <f>30.7668 * CHOOSE(CONTROL!$C$9, $D$9, 100%, $F$9) + CHOOSE(CONTROL!$C$27, 0.0021, 0)</f>
        <v>30.768899999999999</v>
      </c>
      <c r="J140" s="17">
        <f>30.7668 * CHOOSE(CONTROL!$C$9, $D$9, 100%, $F$9) + CHOOSE(CONTROL!$C$27, 0.0021, 0)</f>
        <v>30.768899999999999</v>
      </c>
      <c r="K140" s="17">
        <f>30.7668 * CHOOSE(CONTROL!$C$9, $D$9, 100%, $F$9) + CHOOSE(CONTROL!$C$27, 0.0021, 0)</f>
        <v>30.768899999999999</v>
      </c>
      <c r="L140" s="17"/>
    </row>
    <row r="141" spans="1:12" ht="15" x14ac:dyDescent="0.2">
      <c r="A141" s="16">
        <v>45200</v>
      </c>
      <c r="B141" s="17">
        <f>31.9893 * CHOOSE(CONTROL!$C$9, $D$9, 100%, $F$9) + CHOOSE(CONTROL!$C$27, 0.0021, 0)</f>
        <v>31.991399999999999</v>
      </c>
      <c r="C141" s="17">
        <f>31.557 * CHOOSE(CONTROL!$C$9, $D$9, 100%, $F$9) + CHOOSE(CONTROL!$C$27, 0.0021, 0)</f>
        <v>31.559099999999997</v>
      </c>
      <c r="D141" s="17">
        <f>31.557 * CHOOSE(CONTROL!$C$9, $D$9, 100%, $F$9) + CHOOSE(CONTROL!$C$27, 0.0021, 0)</f>
        <v>31.559099999999997</v>
      </c>
      <c r="E141" s="17">
        <f>31.4204 * CHOOSE(CONTROL!$C$9, $D$9, 100%, $F$9) + CHOOSE(CONTROL!$C$27, 0.0021, 0)</f>
        <v>31.422499999999999</v>
      </c>
      <c r="F141" s="17">
        <f>31.4204 * CHOOSE(CONTROL!$C$9, $D$9, 100%, $F$9) + CHOOSE(CONTROL!$C$27, 0.0021, 0)</f>
        <v>31.422499999999999</v>
      </c>
      <c r="G141" s="17">
        <f>31.6918 * CHOOSE(CONTROL!$C$9, $D$9, 100%, $F$9) + CHOOSE(CONTROL!$C$27, 0.0021, 0)</f>
        <v>31.693899999999999</v>
      </c>
      <c r="H141" s="17">
        <f>31.557 * CHOOSE(CONTROL!$C$9, $D$9, 100%, $F$9) + CHOOSE(CONTROL!$C$27, 0.0021, 0)</f>
        <v>31.559099999999997</v>
      </c>
      <c r="I141" s="17">
        <f>31.557 * CHOOSE(CONTROL!$C$9, $D$9, 100%, $F$9) + CHOOSE(CONTROL!$C$27, 0.0021, 0)</f>
        <v>31.559099999999997</v>
      </c>
      <c r="J141" s="17">
        <f>31.557 * CHOOSE(CONTROL!$C$9, $D$9, 100%, $F$9) + CHOOSE(CONTROL!$C$27, 0.0021, 0)</f>
        <v>31.559099999999997</v>
      </c>
      <c r="K141" s="17">
        <f>31.557 * CHOOSE(CONTROL!$C$9, $D$9, 100%, $F$9) + CHOOSE(CONTROL!$C$27, 0.0021, 0)</f>
        <v>31.559099999999997</v>
      </c>
      <c r="L141" s="17"/>
    </row>
    <row r="142" spans="1:12" ht="15" x14ac:dyDescent="0.2">
      <c r="A142" s="16">
        <v>45231</v>
      </c>
      <c r="B142" s="17">
        <f>32.1192 * CHOOSE(CONTROL!$C$9, $D$9, 100%, $F$9) + CHOOSE(CONTROL!$C$27, 0.0021, 0)</f>
        <v>32.121299999999998</v>
      </c>
      <c r="C142" s="17">
        <f>31.687 * CHOOSE(CONTROL!$C$9, $D$9, 100%, $F$9) + CHOOSE(CONTROL!$C$27, 0.0021, 0)</f>
        <v>31.6891</v>
      </c>
      <c r="D142" s="17">
        <f>31.687 * CHOOSE(CONTROL!$C$9, $D$9, 100%, $F$9) + CHOOSE(CONTROL!$C$27, 0.0021, 0)</f>
        <v>31.6891</v>
      </c>
      <c r="E142" s="17">
        <f>31.5503 * CHOOSE(CONTROL!$C$9, $D$9, 100%, $F$9) + CHOOSE(CONTROL!$C$27, 0.0021, 0)</f>
        <v>31.552399999999999</v>
      </c>
      <c r="F142" s="17">
        <f>31.5503 * CHOOSE(CONTROL!$C$9, $D$9, 100%, $F$9) + CHOOSE(CONTROL!$C$27, 0.0021, 0)</f>
        <v>31.552399999999999</v>
      </c>
      <c r="G142" s="17">
        <f>31.8217 * CHOOSE(CONTROL!$C$9, $D$9, 100%, $F$9) + CHOOSE(CONTROL!$C$27, 0.0021, 0)</f>
        <v>31.823799999999999</v>
      </c>
      <c r="H142" s="17">
        <f>31.687 * CHOOSE(CONTROL!$C$9, $D$9, 100%, $F$9) + CHOOSE(CONTROL!$C$27, 0.0021, 0)</f>
        <v>31.6891</v>
      </c>
      <c r="I142" s="17">
        <f>31.687 * CHOOSE(CONTROL!$C$9, $D$9, 100%, $F$9) + CHOOSE(CONTROL!$C$27, 0.0021, 0)</f>
        <v>31.6891</v>
      </c>
      <c r="J142" s="17">
        <f>31.687 * CHOOSE(CONTROL!$C$9, $D$9, 100%, $F$9) + CHOOSE(CONTROL!$C$27, 0.0021, 0)</f>
        <v>31.6891</v>
      </c>
      <c r="K142" s="17">
        <f>31.687 * CHOOSE(CONTROL!$C$9, $D$9, 100%, $F$9) + CHOOSE(CONTROL!$C$27, 0.0021, 0)</f>
        <v>31.6891</v>
      </c>
      <c r="L142" s="17"/>
    </row>
    <row r="143" spans="1:12" ht="15" x14ac:dyDescent="0.2">
      <c r="A143" s="16">
        <v>45261</v>
      </c>
      <c r="B143" s="17">
        <f>31.5946 * CHOOSE(CONTROL!$C$9, $D$9, 100%, $F$9) + CHOOSE(CONTROL!$C$27, 0.0021, 0)</f>
        <v>31.596699999999998</v>
      </c>
      <c r="C143" s="17">
        <f>31.1624 * CHOOSE(CONTROL!$C$9, $D$9, 100%, $F$9) + CHOOSE(CONTROL!$C$27, 0.0021, 0)</f>
        <v>31.1645</v>
      </c>
      <c r="D143" s="17">
        <f>31.1624 * CHOOSE(CONTROL!$C$9, $D$9, 100%, $F$9) + CHOOSE(CONTROL!$C$27, 0.0021, 0)</f>
        <v>31.1645</v>
      </c>
      <c r="E143" s="17">
        <f>31.0257 * CHOOSE(CONTROL!$C$9, $D$9, 100%, $F$9) + CHOOSE(CONTROL!$C$27, 0.0021, 0)</f>
        <v>31.027799999999999</v>
      </c>
      <c r="F143" s="17">
        <f>31.0257 * CHOOSE(CONTROL!$C$9, $D$9, 100%, $F$9) + CHOOSE(CONTROL!$C$27, 0.0021, 0)</f>
        <v>31.027799999999999</v>
      </c>
      <c r="G143" s="17">
        <f>31.2971 * CHOOSE(CONTROL!$C$9, $D$9, 100%, $F$9) + CHOOSE(CONTROL!$C$27, 0.0021, 0)</f>
        <v>31.299199999999999</v>
      </c>
      <c r="H143" s="17">
        <f>31.1624 * CHOOSE(CONTROL!$C$9, $D$9, 100%, $F$9) + CHOOSE(CONTROL!$C$27, 0.0021, 0)</f>
        <v>31.1645</v>
      </c>
      <c r="I143" s="17">
        <f>31.1624 * CHOOSE(CONTROL!$C$9, $D$9, 100%, $F$9) + CHOOSE(CONTROL!$C$27, 0.0021, 0)</f>
        <v>31.1645</v>
      </c>
      <c r="J143" s="17">
        <f>31.1624 * CHOOSE(CONTROL!$C$9, $D$9, 100%, $F$9) + CHOOSE(CONTROL!$C$27, 0.0021, 0)</f>
        <v>31.1645</v>
      </c>
      <c r="K143" s="17">
        <f>31.1624 * CHOOSE(CONTROL!$C$9, $D$9, 100%, $F$9) + CHOOSE(CONTROL!$C$27, 0.0021, 0)</f>
        <v>31.1645</v>
      </c>
      <c r="L143" s="17"/>
    </row>
    <row r="144" spans="1:12" ht="15" x14ac:dyDescent="0.2">
      <c r="A144" s="16">
        <v>45292</v>
      </c>
      <c r="B144" s="17">
        <f>31.4251 * CHOOSE(CONTROL!$C$9, $D$9, 100%, $F$9) + CHOOSE(CONTROL!$C$27, 0.0021, 0)</f>
        <v>31.427199999999999</v>
      </c>
      <c r="C144" s="17">
        <f>30.9929 * CHOOSE(CONTROL!$C$9, $D$9, 100%, $F$9) + CHOOSE(CONTROL!$C$27, 0.0021, 0)</f>
        <v>30.994999999999997</v>
      </c>
      <c r="D144" s="17">
        <f>30.9929 * CHOOSE(CONTROL!$C$9, $D$9, 100%, $F$9) + CHOOSE(CONTROL!$C$27, 0.0021, 0)</f>
        <v>30.994999999999997</v>
      </c>
      <c r="E144" s="17">
        <f>30.8562 * CHOOSE(CONTROL!$C$9, $D$9, 100%, $F$9) + CHOOSE(CONTROL!$C$27, 0.0021, 0)</f>
        <v>30.8583</v>
      </c>
      <c r="F144" s="17">
        <f>30.8562 * CHOOSE(CONTROL!$C$9, $D$9, 100%, $F$9) + CHOOSE(CONTROL!$C$27, 0.0021, 0)</f>
        <v>30.8583</v>
      </c>
      <c r="G144" s="17">
        <f>31.1276 * CHOOSE(CONTROL!$C$9, $D$9, 100%, $F$9) + CHOOSE(CONTROL!$C$27, 0.0021, 0)</f>
        <v>31.1297</v>
      </c>
      <c r="H144" s="17">
        <f>30.9929 * CHOOSE(CONTROL!$C$9, $D$9, 100%, $F$9) + CHOOSE(CONTROL!$C$27, 0.0021, 0)</f>
        <v>30.994999999999997</v>
      </c>
      <c r="I144" s="17">
        <f>30.9929 * CHOOSE(CONTROL!$C$9, $D$9, 100%, $F$9) + CHOOSE(CONTROL!$C$27, 0.0021, 0)</f>
        <v>30.994999999999997</v>
      </c>
      <c r="J144" s="17">
        <f>30.9929 * CHOOSE(CONTROL!$C$9, $D$9, 100%, $F$9) + CHOOSE(CONTROL!$C$27, 0.0021, 0)</f>
        <v>30.994999999999997</v>
      </c>
      <c r="K144" s="17">
        <f>30.9929 * CHOOSE(CONTROL!$C$9, $D$9, 100%, $F$9) + CHOOSE(CONTROL!$C$27, 0.0021, 0)</f>
        <v>30.994999999999997</v>
      </c>
      <c r="L144" s="17"/>
    </row>
    <row r="145" spans="1:12" ht="15" x14ac:dyDescent="0.2">
      <c r="A145" s="16">
        <v>45323</v>
      </c>
      <c r="B145" s="17">
        <f>30.6594 * CHOOSE(CONTROL!$C$9, $D$9, 100%, $F$9) + CHOOSE(CONTROL!$C$27, 0.0021, 0)</f>
        <v>30.6615</v>
      </c>
      <c r="C145" s="17">
        <f>30.2271 * CHOOSE(CONTROL!$C$9, $D$9, 100%, $F$9) + CHOOSE(CONTROL!$C$27, 0.0021, 0)</f>
        <v>30.229199999999999</v>
      </c>
      <c r="D145" s="17">
        <f>30.2271 * CHOOSE(CONTROL!$C$9, $D$9, 100%, $F$9) + CHOOSE(CONTROL!$C$27, 0.0021, 0)</f>
        <v>30.229199999999999</v>
      </c>
      <c r="E145" s="17">
        <f>30.0905 * CHOOSE(CONTROL!$C$9, $D$9, 100%, $F$9) + CHOOSE(CONTROL!$C$27, 0.0021, 0)</f>
        <v>30.092599999999997</v>
      </c>
      <c r="F145" s="17">
        <f>30.0905 * CHOOSE(CONTROL!$C$9, $D$9, 100%, $F$9) + CHOOSE(CONTROL!$C$27, 0.0021, 0)</f>
        <v>30.092599999999997</v>
      </c>
      <c r="G145" s="17">
        <f>30.3619 * CHOOSE(CONTROL!$C$9, $D$9, 100%, $F$9) + CHOOSE(CONTROL!$C$27, 0.0021, 0)</f>
        <v>30.363999999999997</v>
      </c>
      <c r="H145" s="17">
        <f>30.2271 * CHOOSE(CONTROL!$C$9, $D$9, 100%, $F$9) + CHOOSE(CONTROL!$C$27, 0.0021, 0)</f>
        <v>30.229199999999999</v>
      </c>
      <c r="I145" s="17">
        <f>30.2271 * CHOOSE(CONTROL!$C$9, $D$9, 100%, $F$9) + CHOOSE(CONTROL!$C$27, 0.0021, 0)</f>
        <v>30.229199999999999</v>
      </c>
      <c r="J145" s="17">
        <f>30.2271 * CHOOSE(CONTROL!$C$9, $D$9, 100%, $F$9) + CHOOSE(CONTROL!$C$27, 0.0021, 0)</f>
        <v>30.229199999999999</v>
      </c>
      <c r="K145" s="17">
        <f>30.2271 * CHOOSE(CONTROL!$C$9, $D$9, 100%, $F$9) + CHOOSE(CONTROL!$C$27, 0.0021, 0)</f>
        <v>30.229199999999999</v>
      </c>
      <c r="L145" s="17"/>
    </row>
    <row r="146" spans="1:12" ht="15" x14ac:dyDescent="0.2">
      <c r="A146" s="16">
        <v>45352</v>
      </c>
      <c r="B146" s="17">
        <f>30.3763 * CHOOSE(CONTROL!$C$9, $D$9, 100%, $F$9) + CHOOSE(CONTROL!$C$27, 0.0021, 0)</f>
        <v>30.378399999999999</v>
      </c>
      <c r="C146" s="17">
        <f>29.944 * CHOOSE(CONTROL!$C$9, $D$9, 100%, $F$9) + CHOOSE(CONTROL!$C$27, 0.0021, 0)</f>
        <v>29.946099999999998</v>
      </c>
      <c r="D146" s="17">
        <f>29.944 * CHOOSE(CONTROL!$C$9, $D$9, 100%, $F$9) + CHOOSE(CONTROL!$C$27, 0.0021, 0)</f>
        <v>29.946099999999998</v>
      </c>
      <c r="E146" s="17">
        <f>29.8074 * CHOOSE(CONTROL!$C$9, $D$9, 100%, $F$9) + CHOOSE(CONTROL!$C$27, 0.0021, 0)</f>
        <v>29.8095</v>
      </c>
      <c r="F146" s="17">
        <f>29.8074 * CHOOSE(CONTROL!$C$9, $D$9, 100%, $F$9) + CHOOSE(CONTROL!$C$27, 0.0021, 0)</f>
        <v>29.8095</v>
      </c>
      <c r="G146" s="17">
        <f>30.0787 * CHOOSE(CONTROL!$C$9, $D$9, 100%, $F$9) + CHOOSE(CONTROL!$C$27, 0.0021, 0)</f>
        <v>30.0808</v>
      </c>
      <c r="H146" s="17">
        <f>29.944 * CHOOSE(CONTROL!$C$9, $D$9, 100%, $F$9) + CHOOSE(CONTROL!$C$27, 0.0021, 0)</f>
        <v>29.946099999999998</v>
      </c>
      <c r="I146" s="17">
        <f>29.944 * CHOOSE(CONTROL!$C$9, $D$9, 100%, $F$9) + CHOOSE(CONTROL!$C$27, 0.0021, 0)</f>
        <v>29.946099999999998</v>
      </c>
      <c r="J146" s="17">
        <f>29.944 * CHOOSE(CONTROL!$C$9, $D$9, 100%, $F$9) + CHOOSE(CONTROL!$C$27, 0.0021, 0)</f>
        <v>29.946099999999998</v>
      </c>
      <c r="K146" s="17">
        <f>29.944 * CHOOSE(CONTROL!$C$9, $D$9, 100%, $F$9) + CHOOSE(CONTROL!$C$27, 0.0021, 0)</f>
        <v>29.946099999999998</v>
      </c>
      <c r="L146" s="17"/>
    </row>
    <row r="147" spans="1:12" ht="15" x14ac:dyDescent="0.2">
      <c r="A147" s="16">
        <v>45383</v>
      </c>
      <c r="B147" s="17">
        <f>30.0254 * CHOOSE(CONTROL!$C$9, $D$9, 100%, $F$9) + CHOOSE(CONTROL!$C$27, 0.0021, 0)</f>
        <v>30.0275</v>
      </c>
      <c r="C147" s="17">
        <f>29.5932 * CHOOSE(CONTROL!$C$9, $D$9, 100%, $F$9) + CHOOSE(CONTROL!$C$27, 0.0021, 0)</f>
        <v>29.595299999999998</v>
      </c>
      <c r="D147" s="17">
        <f>29.5932 * CHOOSE(CONTROL!$C$9, $D$9, 100%, $F$9) + CHOOSE(CONTROL!$C$27, 0.0021, 0)</f>
        <v>29.595299999999998</v>
      </c>
      <c r="E147" s="17">
        <f>29.4565 * CHOOSE(CONTROL!$C$9, $D$9, 100%, $F$9) + CHOOSE(CONTROL!$C$27, 0.0021, 0)</f>
        <v>29.458599999999997</v>
      </c>
      <c r="F147" s="17">
        <f>29.4565 * CHOOSE(CONTROL!$C$9, $D$9, 100%, $F$9) + CHOOSE(CONTROL!$C$27, 0.0021, 0)</f>
        <v>29.458599999999997</v>
      </c>
      <c r="G147" s="17">
        <f>29.7279 * CHOOSE(CONTROL!$C$9, $D$9, 100%, $F$9) + CHOOSE(CONTROL!$C$27, 0.0021, 0)</f>
        <v>29.73</v>
      </c>
      <c r="H147" s="17">
        <f>29.5932 * CHOOSE(CONTROL!$C$9, $D$9, 100%, $F$9) + CHOOSE(CONTROL!$C$27, 0.0021, 0)</f>
        <v>29.595299999999998</v>
      </c>
      <c r="I147" s="17">
        <f>29.5932 * CHOOSE(CONTROL!$C$9, $D$9, 100%, $F$9) + CHOOSE(CONTROL!$C$27, 0.0021, 0)</f>
        <v>29.595299999999998</v>
      </c>
      <c r="J147" s="17">
        <f>29.5932 * CHOOSE(CONTROL!$C$9, $D$9, 100%, $F$9) + CHOOSE(CONTROL!$C$27, 0.0021, 0)</f>
        <v>29.595299999999998</v>
      </c>
      <c r="K147" s="17">
        <f>29.5932 * CHOOSE(CONTROL!$C$9, $D$9, 100%, $F$9) + CHOOSE(CONTROL!$C$27, 0.0021, 0)</f>
        <v>29.595299999999998</v>
      </c>
      <c r="L147" s="17"/>
    </row>
    <row r="148" spans="1:12" ht="15" x14ac:dyDescent="0.2">
      <c r="A148" s="16">
        <v>45413</v>
      </c>
      <c r="B148" s="17">
        <f>30.6662 * CHOOSE(CONTROL!$C$9, $D$9, 100%, $F$9) + CHOOSE(CONTROL!$C$27, 0.0021, 0)</f>
        <v>30.668299999999999</v>
      </c>
      <c r="C148" s="17">
        <f>30.2339 * CHOOSE(CONTROL!$C$9, $D$9, 100%, $F$9) + CHOOSE(CONTROL!$C$27, 0.0021, 0)</f>
        <v>30.235999999999997</v>
      </c>
      <c r="D148" s="17">
        <f>30.2339 * CHOOSE(CONTROL!$C$9, $D$9, 100%, $F$9) + CHOOSE(CONTROL!$C$27, 0.0021, 0)</f>
        <v>30.235999999999997</v>
      </c>
      <c r="E148" s="17">
        <f>30.0973 * CHOOSE(CONTROL!$C$9, $D$9, 100%, $F$9) + CHOOSE(CONTROL!$C$27, 0.0021, 0)</f>
        <v>30.099399999999999</v>
      </c>
      <c r="F148" s="17">
        <f>30.0973 * CHOOSE(CONTROL!$C$9, $D$9, 100%, $F$9) + CHOOSE(CONTROL!$C$27, 0.0021, 0)</f>
        <v>30.099399999999999</v>
      </c>
      <c r="G148" s="17">
        <f>30.3686 * CHOOSE(CONTROL!$C$9, $D$9, 100%, $F$9) + CHOOSE(CONTROL!$C$27, 0.0021, 0)</f>
        <v>30.370699999999999</v>
      </c>
      <c r="H148" s="17">
        <f>30.2339 * CHOOSE(CONTROL!$C$9, $D$9, 100%, $F$9) + CHOOSE(CONTROL!$C$27, 0.0021, 0)</f>
        <v>30.235999999999997</v>
      </c>
      <c r="I148" s="17">
        <f>30.2339 * CHOOSE(CONTROL!$C$9, $D$9, 100%, $F$9) + CHOOSE(CONTROL!$C$27, 0.0021, 0)</f>
        <v>30.235999999999997</v>
      </c>
      <c r="J148" s="17">
        <f>30.2339 * CHOOSE(CONTROL!$C$9, $D$9, 100%, $F$9) + CHOOSE(CONTROL!$C$27, 0.0021, 0)</f>
        <v>30.235999999999997</v>
      </c>
      <c r="K148" s="17">
        <f>30.2339 * CHOOSE(CONTROL!$C$9, $D$9, 100%, $F$9) + CHOOSE(CONTROL!$C$27, 0.0021, 0)</f>
        <v>30.235999999999997</v>
      </c>
      <c r="L148" s="17"/>
    </row>
    <row r="149" spans="1:12" ht="15" x14ac:dyDescent="0.2">
      <c r="A149" s="16">
        <v>45444</v>
      </c>
      <c r="B149" s="17">
        <f>31.0749 * CHOOSE(CONTROL!$C$9, $D$9, 100%, $F$9) + CHOOSE(CONTROL!$C$27, 0.0021, 0)</f>
        <v>31.076999999999998</v>
      </c>
      <c r="C149" s="17">
        <f>30.6426 * CHOOSE(CONTROL!$C$9, $D$9, 100%, $F$9) + CHOOSE(CONTROL!$C$27, 0.0021, 0)</f>
        <v>30.6447</v>
      </c>
      <c r="D149" s="17">
        <f>30.6426 * CHOOSE(CONTROL!$C$9, $D$9, 100%, $F$9) + CHOOSE(CONTROL!$C$27, 0.0021, 0)</f>
        <v>30.6447</v>
      </c>
      <c r="E149" s="17">
        <f>30.506 * CHOOSE(CONTROL!$C$9, $D$9, 100%, $F$9) + CHOOSE(CONTROL!$C$27, 0.0021, 0)</f>
        <v>30.508099999999999</v>
      </c>
      <c r="F149" s="17">
        <f>30.506 * CHOOSE(CONTROL!$C$9, $D$9, 100%, $F$9) + CHOOSE(CONTROL!$C$27, 0.0021, 0)</f>
        <v>30.508099999999999</v>
      </c>
      <c r="G149" s="17">
        <f>30.7774 * CHOOSE(CONTROL!$C$9, $D$9, 100%, $F$9) + CHOOSE(CONTROL!$C$27, 0.0021, 0)</f>
        <v>30.779499999999999</v>
      </c>
      <c r="H149" s="17">
        <f>30.6426 * CHOOSE(CONTROL!$C$9, $D$9, 100%, $F$9) + CHOOSE(CONTROL!$C$27, 0.0021, 0)</f>
        <v>30.6447</v>
      </c>
      <c r="I149" s="17">
        <f>30.6426 * CHOOSE(CONTROL!$C$9, $D$9, 100%, $F$9) + CHOOSE(CONTROL!$C$27, 0.0021, 0)</f>
        <v>30.6447</v>
      </c>
      <c r="J149" s="17">
        <f>30.6426 * CHOOSE(CONTROL!$C$9, $D$9, 100%, $F$9) + CHOOSE(CONTROL!$C$27, 0.0021, 0)</f>
        <v>30.6447</v>
      </c>
      <c r="K149" s="17">
        <f>30.6426 * CHOOSE(CONTROL!$C$9, $D$9, 100%, $F$9) + CHOOSE(CONTROL!$C$27, 0.0021, 0)</f>
        <v>30.6447</v>
      </c>
      <c r="L149" s="17"/>
    </row>
    <row r="150" spans="1:12" ht="15" x14ac:dyDescent="0.2">
      <c r="A150" s="16">
        <v>45474</v>
      </c>
      <c r="B150" s="17">
        <f>31.7132 * CHOOSE(CONTROL!$C$9, $D$9, 100%, $F$9) + CHOOSE(CONTROL!$C$27, 0.0021, 0)</f>
        <v>31.715299999999999</v>
      </c>
      <c r="C150" s="17">
        <f>31.281 * CHOOSE(CONTROL!$C$9, $D$9, 100%, $F$9) + CHOOSE(CONTROL!$C$27, 0.0021, 0)</f>
        <v>31.283099999999997</v>
      </c>
      <c r="D150" s="17">
        <f>31.281 * CHOOSE(CONTROL!$C$9, $D$9, 100%, $F$9) + CHOOSE(CONTROL!$C$27, 0.0021, 0)</f>
        <v>31.283099999999997</v>
      </c>
      <c r="E150" s="17">
        <f>31.1443 * CHOOSE(CONTROL!$C$9, $D$9, 100%, $F$9) + CHOOSE(CONTROL!$C$27, 0.0021, 0)</f>
        <v>31.1464</v>
      </c>
      <c r="F150" s="17">
        <f>31.1443 * CHOOSE(CONTROL!$C$9, $D$9, 100%, $F$9) + CHOOSE(CONTROL!$C$27, 0.0021, 0)</f>
        <v>31.1464</v>
      </c>
      <c r="G150" s="17">
        <f>31.4157 * CHOOSE(CONTROL!$C$9, $D$9, 100%, $F$9) + CHOOSE(CONTROL!$C$27, 0.0021, 0)</f>
        <v>31.4178</v>
      </c>
      <c r="H150" s="17">
        <f>31.281 * CHOOSE(CONTROL!$C$9, $D$9, 100%, $F$9) + CHOOSE(CONTROL!$C$27, 0.0021, 0)</f>
        <v>31.283099999999997</v>
      </c>
      <c r="I150" s="17">
        <f>31.281 * CHOOSE(CONTROL!$C$9, $D$9, 100%, $F$9) + CHOOSE(CONTROL!$C$27, 0.0021, 0)</f>
        <v>31.283099999999997</v>
      </c>
      <c r="J150" s="17">
        <f>31.281 * CHOOSE(CONTROL!$C$9, $D$9, 100%, $F$9) + CHOOSE(CONTROL!$C$27, 0.0021, 0)</f>
        <v>31.283099999999997</v>
      </c>
      <c r="K150" s="17">
        <f>31.281 * CHOOSE(CONTROL!$C$9, $D$9, 100%, $F$9) + CHOOSE(CONTROL!$C$27, 0.0021, 0)</f>
        <v>31.283099999999997</v>
      </c>
      <c r="L150" s="17"/>
    </row>
    <row r="151" spans="1:12" ht="15" x14ac:dyDescent="0.2">
      <c r="A151" s="16">
        <v>45505</v>
      </c>
      <c r="B151" s="17">
        <f>31.9509 * CHOOSE(CONTROL!$C$9, $D$9, 100%, $F$9) + CHOOSE(CONTROL!$C$27, 0.0021, 0)</f>
        <v>31.952999999999999</v>
      </c>
      <c r="C151" s="17">
        <f>31.5187 * CHOOSE(CONTROL!$C$9, $D$9, 100%, $F$9) + CHOOSE(CONTROL!$C$27, 0.0021, 0)</f>
        <v>31.520799999999998</v>
      </c>
      <c r="D151" s="17">
        <f>31.5187 * CHOOSE(CONTROL!$C$9, $D$9, 100%, $F$9) + CHOOSE(CONTROL!$C$27, 0.0021, 0)</f>
        <v>31.520799999999998</v>
      </c>
      <c r="E151" s="17">
        <f>31.382 * CHOOSE(CONTROL!$C$9, $D$9, 100%, $F$9) + CHOOSE(CONTROL!$C$27, 0.0021, 0)</f>
        <v>31.3841</v>
      </c>
      <c r="F151" s="17">
        <f>31.382 * CHOOSE(CONTROL!$C$9, $D$9, 100%, $F$9) + CHOOSE(CONTROL!$C$27, 0.0021, 0)</f>
        <v>31.3841</v>
      </c>
      <c r="G151" s="17">
        <f>31.6534 * CHOOSE(CONTROL!$C$9, $D$9, 100%, $F$9) + CHOOSE(CONTROL!$C$27, 0.0021, 0)</f>
        <v>31.6555</v>
      </c>
      <c r="H151" s="17">
        <f>31.5187 * CHOOSE(CONTROL!$C$9, $D$9, 100%, $F$9) + CHOOSE(CONTROL!$C$27, 0.0021, 0)</f>
        <v>31.520799999999998</v>
      </c>
      <c r="I151" s="17">
        <f>31.5187 * CHOOSE(CONTROL!$C$9, $D$9, 100%, $F$9) + CHOOSE(CONTROL!$C$27, 0.0021, 0)</f>
        <v>31.520799999999998</v>
      </c>
      <c r="J151" s="17">
        <f>31.5187 * CHOOSE(CONTROL!$C$9, $D$9, 100%, $F$9) + CHOOSE(CONTROL!$C$27, 0.0021, 0)</f>
        <v>31.520799999999998</v>
      </c>
      <c r="K151" s="17">
        <f>31.5187 * CHOOSE(CONTROL!$C$9, $D$9, 100%, $F$9) + CHOOSE(CONTROL!$C$27, 0.0021, 0)</f>
        <v>31.520799999999998</v>
      </c>
      <c r="L151" s="17"/>
    </row>
    <row r="152" spans="1:12" ht="15" x14ac:dyDescent="0.2">
      <c r="A152" s="16">
        <v>45536</v>
      </c>
      <c r="B152" s="17">
        <f>32.6163 * CHOOSE(CONTROL!$C$9, $D$9, 100%, $F$9) + CHOOSE(CONTROL!$C$27, 0.0021, 0)</f>
        <v>32.618400000000001</v>
      </c>
      <c r="C152" s="17">
        <f>32.1841 * CHOOSE(CONTROL!$C$9, $D$9, 100%, $F$9) + CHOOSE(CONTROL!$C$27, 0.0021, 0)</f>
        <v>32.186199999999999</v>
      </c>
      <c r="D152" s="17">
        <f>32.1841 * CHOOSE(CONTROL!$C$9, $D$9, 100%, $F$9) + CHOOSE(CONTROL!$C$27, 0.0021, 0)</f>
        <v>32.186199999999999</v>
      </c>
      <c r="E152" s="17">
        <f>32.0474 * CHOOSE(CONTROL!$C$9, $D$9, 100%, $F$9) + CHOOSE(CONTROL!$C$27, 0.0021, 0)</f>
        <v>32.049500000000002</v>
      </c>
      <c r="F152" s="17">
        <f>32.0474 * CHOOSE(CONTROL!$C$9, $D$9, 100%, $F$9) + CHOOSE(CONTROL!$C$27, 0.0021, 0)</f>
        <v>32.049500000000002</v>
      </c>
      <c r="G152" s="17">
        <f>32.3188 * CHOOSE(CONTROL!$C$9, $D$9, 100%, $F$9) + CHOOSE(CONTROL!$C$27, 0.0021, 0)</f>
        <v>32.320900000000002</v>
      </c>
      <c r="H152" s="17">
        <f>32.1841 * CHOOSE(CONTROL!$C$9, $D$9, 100%, $F$9) + CHOOSE(CONTROL!$C$27, 0.0021, 0)</f>
        <v>32.186199999999999</v>
      </c>
      <c r="I152" s="17">
        <f>32.1841 * CHOOSE(CONTROL!$C$9, $D$9, 100%, $F$9) + CHOOSE(CONTROL!$C$27, 0.0021, 0)</f>
        <v>32.186199999999999</v>
      </c>
      <c r="J152" s="17">
        <f>32.1841 * CHOOSE(CONTROL!$C$9, $D$9, 100%, $F$9) + CHOOSE(CONTROL!$C$27, 0.0021, 0)</f>
        <v>32.186199999999999</v>
      </c>
      <c r="K152" s="17">
        <f>32.1841 * CHOOSE(CONTROL!$C$9, $D$9, 100%, $F$9) + CHOOSE(CONTROL!$C$27, 0.0021, 0)</f>
        <v>32.186199999999999</v>
      </c>
      <c r="L152" s="17"/>
    </row>
    <row r="153" spans="1:12" ht="15" x14ac:dyDescent="0.2">
      <c r="A153" s="16">
        <v>45566</v>
      </c>
      <c r="B153" s="17">
        <f>33.4454 * CHOOSE(CONTROL!$C$9, $D$9, 100%, $F$9) + CHOOSE(CONTROL!$C$27, 0.0021, 0)</f>
        <v>33.447499999999998</v>
      </c>
      <c r="C153" s="17">
        <f>33.0131 * CHOOSE(CONTROL!$C$9, $D$9, 100%, $F$9) + CHOOSE(CONTROL!$C$27, 0.0021, 0)</f>
        <v>33.0152</v>
      </c>
      <c r="D153" s="17">
        <f>33.0131 * CHOOSE(CONTROL!$C$9, $D$9, 100%, $F$9) + CHOOSE(CONTROL!$C$27, 0.0021, 0)</f>
        <v>33.0152</v>
      </c>
      <c r="E153" s="17">
        <f>32.8765 * CHOOSE(CONTROL!$C$9, $D$9, 100%, $F$9) + CHOOSE(CONTROL!$C$27, 0.0021, 0)</f>
        <v>32.878599999999999</v>
      </c>
      <c r="F153" s="17">
        <f>32.8765 * CHOOSE(CONTROL!$C$9, $D$9, 100%, $F$9) + CHOOSE(CONTROL!$C$27, 0.0021, 0)</f>
        <v>32.878599999999999</v>
      </c>
      <c r="G153" s="17">
        <f>33.1478 * CHOOSE(CONTROL!$C$9, $D$9, 100%, $F$9) + CHOOSE(CONTROL!$C$27, 0.0021, 0)</f>
        <v>33.149899999999995</v>
      </c>
      <c r="H153" s="17">
        <f>33.0131 * CHOOSE(CONTROL!$C$9, $D$9, 100%, $F$9) + CHOOSE(CONTROL!$C$27, 0.0021, 0)</f>
        <v>33.0152</v>
      </c>
      <c r="I153" s="17">
        <f>33.0131 * CHOOSE(CONTROL!$C$9, $D$9, 100%, $F$9) + CHOOSE(CONTROL!$C$27, 0.0021, 0)</f>
        <v>33.0152</v>
      </c>
      <c r="J153" s="17">
        <f>33.0131 * CHOOSE(CONTROL!$C$9, $D$9, 100%, $F$9) + CHOOSE(CONTROL!$C$27, 0.0021, 0)</f>
        <v>33.0152</v>
      </c>
      <c r="K153" s="17">
        <f>33.0131 * CHOOSE(CONTROL!$C$9, $D$9, 100%, $F$9) + CHOOSE(CONTROL!$C$27, 0.0021, 0)</f>
        <v>33.0152</v>
      </c>
      <c r="L153" s="17"/>
    </row>
    <row r="154" spans="1:12" ht="15" x14ac:dyDescent="0.2">
      <c r="A154" s="16">
        <v>45597</v>
      </c>
      <c r="B154" s="17">
        <f>33.5817 * CHOOSE(CONTROL!$C$9, $D$9, 100%, $F$9) + CHOOSE(CONTROL!$C$27, 0.0021, 0)</f>
        <v>33.583799999999997</v>
      </c>
      <c r="C154" s="17">
        <f>33.1494 * CHOOSE(CONTROL!$C$9, $D$9, 100%, $F$9) + CHOOSE(CONTROL!$C$27, 0.0021, 0)</f>
        <v>33.151499999999999</v>
      </c>
      <c r="D154" s="17">
        <f>33.1494 * CHOOSE(CONTROL!$C$9, $D$9, 100%, $F$9) + CHOOSE(CONTROL!$C$27, 0.0021, 0)</f>
        <v>33.151499999999999</v>
      </c>
      <c r="E154" s="17">
        <f>33.0128 * CHOOSE(CONTROL!$C$9, $D$9, 100%, $F$9) + CHOOSE(CONTROL!$C$27, 0.0021, 0)</f>
        <v>33.014899999999997</v>
      </c>
      <c r="F154" s="17">
        <f>33.0128 * CHOOSE(CONTROL!$C$9, $D$9, 100%, $F$9) + CHOOSE(CONTROL!$C$27, 0.0021, 0)</f>
        <v>33.014899999999997</v>
      </c>
      <c r="G154" s="17">
        <f>33.2841 * CHOOSE(CONTROL!$C$9, $D$9, 100%, $F$9) + CHOOSE(CONTROL!$C$27, 0.0021, 0)</f>
        <v>33.286200000000001</v>
      </c>
      <c r="H154" s="17">
        <f>33.1494 * CHOOSE(CONTROL!$C$9, $D$9, 100%, $F$9) + CHOOSE(CONTROL!$C$27, 0.0021, 0)</f>
        <v>33.151499999999999</v>
      </c>
      <c r="I154" s="17">
        <f>33.1494 * CHOOSE(CONTROL!$C$9, $D$9, 100%, $F$9) + CHOOSE(CONTROL!$C$27, 0.0021, 0)</f>
        <v>33.151499999999999</v>
      </c>
      <c r="J154" s="17">
        <f>33.1494 * CHOOSE(CONTROL!$C$9, $D$9, 100%, $F$9) + CHOOSE(CONTROL!$C$27, 0.0021, 0)</f>
        <v>33.151499999999999</v>
      </c>
      <c r="K154" s="17">
        <f>33.1494 * CHOOSE(CONTROL!$C$9, $D$9, 100%, $F$9) + CHOOSE(CONTROL!$C$27, 0.0021, 0)</f>
        <v>33.151499999999999</v>
      </c>
      <c r="L154" s="17"/>
    </row>
    <row r="155" spans="1:12" ht="15" x14ac:dyDescent="0.2">
      <c r="A155" s="16">
        <v>45627</v>
      </c>
      <c r="B155" s="17">
        <f>33.0313 * CHOOSE(CONTROL!$C$9, $D$9, 100%, $F$9) + CHOOSE(CONTROL!$C$27, 0.0021, 0)</f>
        <v>33.0334</v>
      </c>
      <c r="C155" s="17">
        <f>32.5991 * CHOOSE(CONTROL!$C$9, $D$9, 100%, $F$9) + CHOOSE(CONTROL!$C$27, 0.0021, 0)</f>
        <v>32.601199999999999</v>
      </c>
      <c r="D155" s="17">
        <f>32.5991 * CHOOSE(CONTROL!$C$9, $D$9, 100%, $F$9) + CHOOSE(CONTROL!$C$27, 0.0021, 0)</f>
        <v>32.601199999999999</v>
      </c>
      <c r="E155" s="17">
        <f>32.4624 * CHOOSE(CONTROL!$C$9, $D$9, 100%, $F$9) + CHOOSE(CONTROL!$C$27, 0.0021, 0)</f>
        <v>32.464500000000001</v>
      </c>
      <c r="F155" s="17">
        <f>32.4624 * CHOOSE(CONTROL!$C$9, $D$9, 100%, $F$9) + CHOOSE(CONTROL!$C$27, 0.0021, 0)</f>
        <v>32.464500000000001</v>
      </c>
      <c r="G155" s="17">
        <f>32.7338 * CHOOSE(CONTROL!$C$9, $D$9, 100%, $F$9) + CHOOSE(CONTROL!$C$27, 0.0021, 0)</f>
        <v>32.735900000000001</v>
      </c>
      <c r="H155" s="17">
        <f>32.5991 * CHOOSE(CONTROL!$C$9, $D$9, 100%, $F$9) + CHOOSE(CONTROL!$C$27, 0.0021, 0)</f>
        <v>32.601199999999999</v>
      </c>
      <c r="I155" s="17">
        <f>32.5991 * CHOOSE(CONTROL!$C$9, $D$9, 100%, $F$9) + CHOOSE(CONTROL!$C$27, 0.0021, 0)</f>
        <v>32.601199999999999</v>
      </c>
      <c r="J155" s="17">
        <f>32.5991 * CHOOSE(CONTROL!$C$9, $D$9, 100%, $F$9) + CHOOSE(CONTROL!$C$27, 0.0021, 0)</f>
        <v>32.601199999999999</v>
      </c>
      <c r="K155" s="17">
        <f>32.5991 * CHOOSE(CONTROL!$C$9, $D$9, 100%, $F$9) + CHOOSE(CONTROL!$C$27, 0.0021, 0)</f>
        <v>32.601199999999999</v>
      </c>
      <c r="L155" s="17"/>
    </row>
    <row r="156" spans="1:12" ht="15" x14ac:dyDescent="0.2">
      <c r="A156" s="16">
        <v>45658</v>
      </c>
      <c r="B156" s="17">
        <f>32.7518 * CHOOSE(CONTROL!$C$9, $D$9, 100%, $F$9) + CHOOSE(CONTROL!$C$27, 0.0021, 0)</f>
        <v>32.753900000000002</v>
      </c>
      <c r="C156" s="17">
        <f>32.3196 * CHOOSE(CONTROL!$C$9, $D$9, 100%, $F$9) + CHOOSE(CONTROL!$C$27, 0.0021, 0)</f>
        <v>32.3217</v>
      </c>
      <c r="D156" s="17">
        <f>32.3196 * CHOOSE(CONTROL!$C$9, $D$9, 100%, $F$9) + CHOOSE(CONTROL!$C$27, 0.0021, 0)</f>
        <v>32.3217</v>
      </c>
      <c r="E156" s="17">
        <f>32.1829 * CHOOSE(CONTROL!$C$9, $D$9, 100%, $F$9) + CHOOSE(CONTROL!$C$27, 0.0021, 0)</f>
        <v>32.184999999999995</v>
      </c>
      <c r="F156" s="17">
        <f>32.1829 * CHOOSE(CONTROL!$C$9, $D$9, 100%, $F$9) + CHOOSE(CONTROL!$C$27, 0.0021, 0)</f>
        <v>32.184999999999995</v>
      </c>
      <c r="G156" s="17">
        <f>32.4543 * CHOOSE(CONTROL!$C$9, $D$9, 100%, $F$9) + CHOOSE(CONTROL!$C$27, 0.0021, 0)</f>
        <v>32.456400000000002</v>
      </c>
      <c r="H156" s="17">
        <f>32.3196 * CHOOSE(CONTROL!$C$9, $D$9, 100%, $F$9) + CHOOSE(CONTROL!$C$27, 0.0021, 0)</f>
        <v>32.3217</v>
      </c>
      <c r="I156" s="17">
        <f>32.3196 * CHOOSE(CONTROL!$C$9, $D$9, 100%, $F$9) + CHOOSE(CONTROL!$C$27, 0.0021, 0)</f>
        <v>32.3217</v>
      </c>
      <c r="J156" s="17">
        <f>32.3196 * CHOOSE(CONTROL!$C$9, $D$9, 100%, $F$9) + CHOOSE(CONTROL!$C$27, 0.0021, 0)</f>
        <v>32.3217</v>
      </c>
      <c r="K156" s="17">
        <f>32.3196 * CHOOSE(CONTROL!$C$9, $D$9, 100%, $F$9) + CHOOSE(CONTROL!$C$27, 0.0021, 0)</f>
        <v>32.3217</v>
      </c>
      <c r="L156" s="17"/>
    </row>
    <row r="157" spans="1:12" ht="15" x14ac:dyDescent="0.2">
      <c r="A157" s="16">
        <v>45689</v>
      </c>
      <c r="B157" s="17">
        <f>31.9512 * CHOOSE(CONTROL!$C$9, $D$9, 100%, $F$9) + CHOOSE(CONTROL!$C$27, 0.0021, 0)</f>
        <v>31.953299999999999</v>
      </c>
      <c r="C157" s="17">
        <f>31.519 * CHOOSE(CONTROL!$C$9, $D$9, 100%, $F$9) + CHOOSE(CONTROL!$C$27, 0.0021, 0)</f>
        <v>31.521099999999997</v>
      </c>
      <c r="D157" s="17">
        <f>31.519 * CHOOSE(CONTROL!$C$9, $D$9, 100%, $F$9) + CHOOSE(CONTROL!$C$27, 0.0021, 0)</f>
        <v>31.521099999999997</v>
      </c>
      <c r="E157" s="17">
        <f>31.3823 * CHOOSE(CONTROL!$C$9, $D$9, 100%, $F$9) + CHOOSE(CONTROL!$C$27, 0.0021, 0)</f>
        <v>31.384399999999999</v>
      </c>
      <c r="F157" s="17">
        <f>31.3823 * CHOOSE(CONTROL!$C$9, $D$9, 100%, $F$9) + CHOOSE(CONTROL!$C$27, 0.0021, 0)</f>
        <v>31.384399999999999</v>
      </c>
      <c r="G157" s="17">
        <f>31.6537 * CHOOSE(CONTROL!$C$9, $D$9, 100%, $F$9) + CHOOSE(CONTROL!$C$27, 0.0021, 0)</f>
        <v>31.655799999999999</v>
      </c>
      <c r="H157" s="17">
        <f>31.519 * CHOOSE(CONTROL!$C$9, $D$9, 100%, $F$9) + CHOOSE(CONTROL!$C$27, 0.0021, 0)</f>
        <v>31.521099999999997</v>
      </c>
      <c r="I157" s="17">
        <f>31.519 * CHOOSE(CONTROL!$C$9, $D$9, 100%, $F$9) + CHOOSE(CONTROL!$C$27, 0.0021, 0)</f>
        <v>31.521099999999997</v>
      </c>
      <c r="J157" s="17">
        <f>31.519 * CHOOSE(CONTROL!$C$9, $D$9, 100%, $F$9) + CHOOSE(CONTROL!$C$27, 0.0021, 0)</f>
        <v>31.521099999999997</v>
      </c>
      <c r="K157" s="17">
        <f>31.519 * CHOOSE(CONTROL!$C$9, $D$9, 100%, $F$9) + CHOOSE(CONTROL!$C$27, 0.0021, 0)</f>
        <v>31.521099999999997</v>
      </c>
      <c r="L157" s="17"/>
    </row>
    <row r="158" spans="1:12" ht="15" x14ac:dyDescent="0.2">
      <c r="A158" s="16">
        <v>45717</v>
      </c>
      <c r="B158" s="17">
        <f>31.6552 * CHOOSE(CONTROL!$C$9, $D$9, 100%, $F$9) + CHOOSE(CONTROL!$C$27, 0.0021, 0)</f>
        <v>31.657299999999999</v>
      </c>
      <c r="C158" s="17">
        <f>31.2229 * CHOOSE(CONTROL!$C$9, $D$9, 100%, $F$9) + CHOOSE(CONTROL!$C$27, 0.0021, 0)</f>
        <v>31.224999999999998</v>
      </c>
      <c r="D158" s="17">
        <f>31.2229 * CHOOSE(CONTROL!$C$9, $D$9, 100%, $F$9) + CHOOSE(CONTROL!$C$27, 0.0021, 0)</f>
        <v>31.224999999999998</v>
      </c>
      <c r="E158" s="17">
        <f>31.0863 * CHOOSE(CONTROL!$C$9, $D$9, 100%, $F$9) + CHOOSE(CONTROL!$C$27, 0.0021, 0)</f>
        <v>31.0884</v>
      </c>
      <c r="F158" s="17">
        <f>31.0863 * CHOOSE(CONTROL!$C$9, $D$9, 100%, $F$9) + CHOOSE(CONTROL!$C$27, 0.0021, 0)</f>
        <v>31.0884</v>
      </c>
      <c r="G158" s="17">
        <f>31.3577 * CHOOSE(CONTROL!$C$9, $D$9, 100%, $F$9) + CHOOSE(CONTROL!$C$27, 0.0021, 0)</f>
        <v>31.3598</v>
      </c>
      <c r="H158" s="17">
        <f>31.2229 * CHOOSE(CONTROL!$C$9, $D$9, 100%, $F$9) + CHOOSE(CONTROL!$C$27, 0.0021, 0)</f>
        <v>31.224999999999998</v>
      </c>
      <c r="I158" s="17">
        <f>31.2229 * CHOOSE(CONTROL!$C$9, $D$9, 100%, $F$9) + CHOOSE(CONTROL!$C$27, 0.0021, 0)</f>
        <v>31.224999999999998</v>
      </c>
      <c r="J158" s="17">
        <f>31.2229 * CHOOSE(CONTROL!$C$9, $D$9, 100%, $F$9) + CHOOSE(CONTROL!$C$27, 0.0021, 0)</f>
        <v>31.224999999999998</v>
      </c>
      <c r="K158" s="17">
        <f>31.2229 * CHOOSE(CONTROL!$C$9, $D$9, 100%, $F$9) + CHOOSE(CONTROL!$C$27, 0.0021, 0)</f>
        <v>31.224999999999998</v>
      </c>
      <c r="L158" s="17"/>
    </row>
    <row r="159" spans="1:12" ht="15" x14ac:dyDescent="0.2">
      <c r="A159" s="16">
        <v>45748</v>
      </c>
      <c r="B159" s="17">
        <f>31.2884 * CHOOSE(CONTROL!$C$9, $D$9, 100%, $F$9) + CHOOSE(CONTROL!$C$27, 0.0021, 0)</f>
        <v>31.290499999999998</v>
      </c>
      <c r="C159" s="17">
        <f>30.8561 * CHOOSE(CONTROL!$C$9, $D$9, 100%, $F$9) + CHOOSE(CONTROL!$C$27, 0.0021, 0)</f>
        <v>30.8582</v>
      </c>
      <c r="D159" s="17">
        <f>30.8561 * CHOOSE(CONTROL!$C$9, $D$9, 100%, $F$9) + CHOOSE(CONTROL!$C$27, 0.0021, 0)</f>
        <v>30.8582</v>
      </c>
      <c r="E159" s="17">
        <f>30.7195 * CHOOSE(CONTROL!$C$9, $D$9, 100%, $F$9) + CHOOSE(CONTROL!$C$27, 0.0021, 0)</f>
        <v>30.721599999999999</v>
      </c>
      <c r="F159" s="17">
        <f>30.7195 * CHOOSE(CONTROL!$C$9, $D$9, 100%, $F$9) + CHOOSE(CONTROL!$C$27, 0.0021, 0)</f>
        <v>30.721599999999999</v>
      </c>
      <c r="G159" s="17">
        <f>30.9909 * CHOOSE(CONTROL!$C$9, $D$9, 100%, $F$9) + CHOOSE(CONTROL!$C$27, 0.0021, 0)</f>
        <v>30.992999999999999</v>
      </c>
      <c r="H159" s="17">
        <f>30.8561 * CHOOSE(CONTROL!$C$9, $D$9, 100%, $F$9) + CHOOSE(CONTROL!$C$27, 0.0021, 0)</f>
        <v>30.8582</v>
      </c>
      <c r="I159" s="17">
        <f>30.8561 * CHOOSE(CONTROL!$C$9, $D$9, 100%, $F$9) + CHOOSE(CONTROL!$C$27, 0.0021, 0)</f>
        <v>30.8582</v>
      </c>
      <c r="J159" s="17">
        <f>30.8561 * CHOOSE(CONTROL!$C$9, $D$9, 100%, $F$9) + CHOOSE(CONTROL!$C$27, 0.0021, 0)</f>
        <v>30.8582</v>
      </c>
      <c r="K159" s="17">
        <f>30.8561 * CHOOSE(CONTROL!$C$9, $D$9, 100%, $F$9) + CHOOSE(CONTROL!$C$27, 0.0021, 0)</f>
        <v>30.8582</v>
      </c>
      <c r="L159" s="17"/>
    </row>
    <row r="160" spans="1:12" ht="15" x14ac:dyDescent="0.2">
      <c r="A160" s="16">
        <v>45778</v>
      </c>
      <c r="B160" s="17">
        <f>31.9583 * CHOOSE(CONTROL!$C$9, $D$9, 100%, $F$9) + CHOOSE(CONTROL!$C$27, 0.0021, 0)</f>
        <v>31.9604</v>
      </c>
      <c r="C160" s="17">
        <f>31.5261 * CHOOSE(CONTROL!$C$9, $D$9, 100%, $F$9) + CHOOSE(CONTROL!$C$27, 0.0021, 0)</f>
        <v>31.528199999999998</v>
      </c>
      <c r="D160" s="17">
        <f>31.5261 * CHOOSE(CONTROL!$C$9, $D$9, 100%, $F$9) + CHOOSE(CONTROL!$C$27, 0.0021, 0)</f>
        <v>31.528199999999998</v>
      </c>
      <c r="E160" s="17">
        <f>31.3894 * CHOOSE(CONTROL!$C$9, $D$9, 100%, $F$9) + CHOOSE(CONTROL!$C$27, 0.0021, 0)</f>
        <v>31.391499999999997</v>
      </c>
      <c r="F160" s="17">
        <f>31.3894 * CHOOSE(CONTROL!$C$9, $D$9, 100%, $F$9) + CHOOSE(CONTROL!$C$27, 0.0021, 0)</f>
        <v>31.391499999999997</v>
      </c>
      <c r="G160" s="17">
        <f>31.6608 * CHOOSE(CONTROL!$C$9, $D$9, 100%, $F$9) + CHOOSE(CONTROL!$C$27, 0.0021, 0)</f>
        <v>31.662899999999997</v>
      </c>
      <c r="H160" s="17">
        <f>31.5261 * CHOOSE(CONTROL!$C$9, $D$9, 100%, $F$9) + CHOOSE(CONTROL!$C$27, 0.0021, 0)</f>
        <v>31.528199999999998</v>
      </c>
      <c r="I160" s="17">
        <f>31.5261 * CHOOSE(CONTROL!$C$9, $D$9, 100%, $F$9) + CHOOSE(CONTROL!$C$27, 0.0021, 0)</f>
        <v>31.528199999999998</v>
      </c>
      <c r="J160" s="17">
        <f>31.5261 * CHOOSE(CONTROL!$C$9, $D$9, 100%, $F$9) + CHOOSE(CONTROL!$C$27, 0.0021, 0)</f>
        <v>31.528199999999998</v>
      </c>
      <c r="K160" s="17">
        <f>31.5261 * CHOOSE(CONTROL!$C$9, $D$9, 100%, $F$9) + CHOOSE(CONTROL!$C$27, 0.0021, 0)</f>
        <v>31.528199999999998</v>
      </c>
      <c r="L160" s="17"/>
    </row>
    <row r="161" spans="1:12" ht="15" x14ac:dyDescent="0.2">
      <c r="A161" s="16">
        <v>45809</v>
      </c>
      <c r="B161" s="17">
        <f>32.3856 * CHOOSE(CONTROL!$C$9, $D$9, 100%, $F$9) + CHOOSE(CONTROL!$C$27, 0.0021, 0)</f>
        <v>32.387699999999995</v>
      </c>
      <c r="C161" s="17">
        <f>31.9534 * CHOOSE(CONTROL!$C$9, $D$9, 100%, $F$9) + CHOOSE(CONTROL!$C$27, 0.0021, 0)</f>
        <v>31.955499999999997</v>
      </c>
      <c r="D161" s="17">
        <f>31.9534 * CHOOSE(CONTROL!$C$9, $D$9, 100%, $F$9) + CHOOSE(CONTROL!$C$27, 0.0021, 0)</f>
        <v>31.955499999999997</v>
      </c>
      <c r="E161" s="17">
        <f>31.8167 * CHOOSE(CONTROL!$C$9, $D$9, 100%, $F$9) + CHOOSE(CONTROL!$C$27, 0.0021, 0)</f>
        <v>31.8188</v>
      </c>
      <c r="F161" s="17">
        <f>31.8167 * CHOOSE(CONTROL!$C$9, $D$9, 100%, $F$9) + CHOOSE(CONTROL!$C$27, 0.0021, 0)</f>
        <v>31.8188</v>
      </c>
      <c r="G161" s="17">
        <f>32.0881 * CHOOSE(CONTROL!$C$9, $D$9, 100%, $F$9) + CHOOSE(CONTROL!$C$27, 0.0021, 0)</f>
        <v>32.090199999999996</v>
      </c>
      <c r="H161" s="17">
        <f>31.9534 * CHOOSE(CONTROL!$C$9, $D$9, 100%, $F$9) + CHOOSE(CONTROL!$C$27, 0.0021, 0)</f>
        <v>31.955499999999997</v>
      </c>
      <c r="I161" s="17">
        <f>31.9534 * CHOOSE(CONTROL!$C$9, $D$9, 100%, $F$9) + CHOOSE(CONTROL!$C$27, 0.0021, 0)</f>
        <v>31.955499999999997</v>
      </c>
      <c r="J161" s="17">
        <f>31.9534 * CHOOSE(CONTROL!$C$9, $D$9, 100%, $F$9) + CHOOSE(CONTROL!$C$27, 0.0021, 0)</f>
        <v>31.955499999999997</v>
      </c>
      <c r="K161" s="17">
        <f>31.9534 * CHOOSE(CONTROL!$C$9, $D$9, 100%, $F$9) + CHOOSE(CONTROL!$C$27, 0.0021, 0)</f>
        <v>31.955499999999997</v>
      </c>
      <c r="L161" s="17"/>
    </row>
    <row r="162" spans="1:12" ht="15" x14ac:dyDescent="0.2">
      <c r="A162" s="16">
        <v>45839</v>
      </c>
      <c r="B162" s="17">
        <f>33.053 * CHOOSE(CONTROL!$C$9, $D$9, 100%, $F$9) + CHOOSE(CONTROL!$C$27, 0.0021, 0)</f>
        <v>33.055099999999996</v>
      </c>
      <c r="C162" s="17">
        <f>32.6208 * CHOOSE(CONTROL!$C$9, $D$9, 100%, $F$9) + CHOOSE(CONTROL!$C$27, 0.0021, 0)</f>
        <v>32.622900000000001</v>
      </c>
      <c r="D162" s="17">
        <f>32.6208 * CHOOSE(CONTROL!$C$9, $D$9, 100%, $F$9) + CHOOSE(CONTROL!$C$27, 0.0021, 0)</f>
        <v>32.622900000000001</v>
      </c>
      <c r="E162" s="17">
        <f>32.4841 * CHOOSE(CONTROL!$C$9, $D$9, 100%, $F$9) + CHOOSE(CONTROL!$C$27, 0.0021, 0)</f>
        <v>32.486199999999997</v>
      </c>
      <c r="F162" s="17">
        <f>32.4841 * CHOOSE(CONTROL!$C$9, $D$9, 100%, $F$9) + CHOOSE(CONTROL!$C$27, 0.0021, 0)</f>
        <v>32.486199999999997</v>
      </c>
      <c r="G162" s="17">
        <f>32.7555 * CHOOSE(CONTROL!$C$9, $D$9, 100%, $F$9) + CHOOSE(CONTROL!$C$27, 0.0021, 0)</f>
        <v>32.757599999999996</v>
      </c>
      <c r="H162" s="17">
        <f>32.6208 * CHOOSE(CONTROL!$C$9, $D$9, 100%, $F$9) + CHOOSE(CONTROL!$C$27, 0.0021, 0)</f>
        <v>32.622900000000001</v>
      </c>
      <c r="I162" s="17">
        <f>32.6208 * CHOOSE(CONTROL!$C$9, $D$9, 100%, $F$9) + CHOOSE(CONTROL!$C$27, 0.0021, 0)</f>
        <v>32.622900000000001</v>
      </c>
      <c r="J162" s="17">
        <f>32.6208 * CHOOSE(CONTROL!$C$9, $D$9, 100%, $F$9) + CHOOSE(CONTROL!$C$27, 0.0021, 0)</f>
        <v>32.622900000000001</v>
      </c>
      <c r="K162" s="17">
        <f>32.6208 * CHOOSE(CONTROL!$C$9, $D$9, 100%, $F$9) + CHOOSE(CONTROL!$C$27, 0.0021, 0)</f>
        <v>32.622900000000001</v>
      </c>
      <c r="L162" s="17"/>
    </row>
    <row r="163" spans="1:12" ht="15" x14ac:dyDescent="0.2">
      <c r="A163" s="16">
        <v>45870</v>
      </c>
      <c r="B163" s="17">
        <f>33.3015 * CHOOSE(CONTROL!$C$9, $D$9, 100%, $F$9) + CHOOSE(CONTROL!$C$27, 0.0021, 0)</f>
        <v>33.303599999999996</v>
      </c>
      <c r="C163" s="17">
        <f>32.8693 * CHOOSE(CONTROL!$C$9, $D$9, 100%, $F$9) + CHOOSE(CONTROL!$C$27, 0.0021, 0)</f>
        <v>32.871400000000001</v>
      </c>
      <c r="D163" s="17">
        <f>32.8693 * CHOOSE(CONTROL!$C$9, $D$9, 100%, $F$9) + CHOOSE(CONTROL!$C$27, 0.0021, 0)</f>
        <v>32.871400000000001</v>
      </c>
      <c r="E163" s="17">
        <f>32.7326 * CHOOSE(CONTROL!$C$9, $D$9, 100%, $F$9) + CHOOSE(CONTROL!$C$27, 0.0021, 0)</f>
        <v>32.734699999999997</v>
      </c>
      <c r="F163" s="17">
        <f>32.7326 * CHOOSE(CONTROL!$C$9, $D$9, 100%, $F$9) + CHOOSE(CONTROL!$C$27, 0.0021, 0)</f>
        <v>32.734699999999997</v>
      </c>
      <c r="G163" s="17">
        <f>33.004 * CHOOSE(CONTROL!$C$9, $D$9, 100%, $F$9) + CHOOSE(CONTROL!$C$27, 0.0021, 0)</f>
        <v>33.006099999999996</v>
      </c>
      <c r="H163" s="17">
        <f>32.8693 * CHOOSE(CONTROL!$C$9, $D$9, 100%, $F$9) + CHOOSE(CONTROL!$C$27, 0.0021, 0)</f>
        <v>32.871400000000001</v>
      </c>
      <c r="I163" s="17">
        <f>32.8693 * CHOOSE(CONTROL!$C$9, $D$9, 100%, $F$9) + CHOOSE(CONTROL!$C$27, 0.0021, 0)</f>
        <v>32.871400000000001</v>
      </c>
      <c r="J163" s="17">
        <f>32.8693 * CHOOSE(CONTROL!$C$9, $D$9, 100%, $F$9) + CHOOSE(CONTROL!$C$27, 0.0021, 0)</f>
        <v>32.871400000000001</v>
      </c>
      <c r="K163" s="17">
        <f>32.8693 * CHOOSE(CONTROL!$C$9, $D$9, 100%, $F$9) + CHOOSE(CONTROL!$C$27, 0.0021, 0)</f>
        <v>32.871400000000001</v>
      </c>
      <c r="L163" s="17"/>
    </row>
    <row r="164" spans="1:12" ht="15" x14ac:dyDescent="0.2">
      <c r="A164" s="16">
        <v>45901</v>
      </c>
      <c r="B164" s="17">
        <f>33.9973 * CHOOSE(CONTROL!$C$9, $D$9, 100%, $F$9) + CHOOSE(CONTROL!$C$27, 0.0021, 0)</f>
        <v>33.999400000000001</v>
      </c>
      <c r="C164" s="17">
        <f>33.565 * CHOOSE(CONTROL!$C$9, $D$9, 100%, $F$9) + CHOOSE(CONTROL!$C$27, 0.0021, 0)</f>
        <v>33.567099999999996</v>
      </c>
      <c r="D164" s="17">
        <f>33.565 * CHOOSE(CONTROL!$C$9, $D$9, 100%, $F$9) + CHOOSE(CONTROL!$C$27, 0.0021, 0)</f>
        <v>33.567099999999996</v>
      </c>
      <c r="E164" s="17">
        <f>33.4284 * CHOOSE(CONTROL!$C$9, $D$9, 100%, $F$9) + CHOOSE(CONTROL!$C$27, 0.0021, 0)</f>
        <v>33.430500000000002</v>
      </c>
      <c r="F164" s="17">
        <f>33.4284 * CHOOSE(CONTROL!$C$9, $D$9, 100%, $F$9) + CHOOSE(CONTROL!$C$27, 0.0021, 0)</f>
        <v>33.430500000000002</v>
      </c>
      <c r="G164" s="17">
        <f>33.6997 * CHOOSE(CONTROL!$C$9, $D$9, 100%, $F$9) + CHOOSE(CONTROL!$C$27, 0.0021, 0)</f>
        <v>33.701799999999999</v>
      </c>
      <c r="H164" s="17">
        <f>33.565 * CHOOSE(CONTROL!$C$9, $D$9, 100%, $F$9) + CHOOSE(CONTROL!$C$27, 0.0021, 0)</f>
        <v>33.567099999999996</v>
      </c>
      <c r="I164" s="17">
        <f>33.565 * CHOOSE(CONTROL!$C$9, $D$9, 100%, $F$9) + CHOOSE(CONTROL!$C$27, 0.0021, 0)</f>
        <v>33.567099999999996</v>
      </c>
      <c r="J164" s="17">
        <f>33.565 * CHOOSE(CONTROL!$C$9, $D$9, 100%, $F$9) + CHOOSE(CONTROL!$C$27, 0.0021, 0)</f>
        <v>33.567099999999996</v>
      </c>
      <c r="K164" s="17">
        <f>33.565 * CHOOSE(CONTROL!$C$9, $D$9, 100%, $F$9) + CHOOSE(CONTROL!$C$27, 0.0021, 0)</f>
        <v>33.567099999999996</v>
      </c>
      <c r="L164" s="17"/>
    </row>
    <row r="165" spans="1:12" ht="15" x14ac:dyDescent="0.2">
      <c r="A165" s="16">
        <v>45931</v>
      </c>
      <c r="B165" s="17">
        <f>34.8641 * CHOOSE(CONTROL!$C$9, $D$9, 100%, $F$9) + CHOOSE(CONTROL!$C$27, 0.0021, 0)</f>
        <v>34.866199999999999</v>
      </c>
      <c r="C165" s="17">
        <f>34.4318 * CHOOSE(CONTROL!$C$9, $D$9, 100%, $F$9) + CHOOSE(CONTROL!$C$27, 0.0021, 0)</f>
        <v>34.433900000000001</v>
      </c>
      <c r="D165" s="17">
        <f>34.4318 * CHOOSE(CONTROL!$C$9, $D$9, 100%, $F$9) + CHOOSE(CONTROL!$C$27, 0.0021, 0)</f>
        <v>34.433900000000001</v>
      </c>
      <c r="E165" s="17">
        <f>34.2952 * CHOOSE(CONTROL!$C$9, $D$9, 100%, $F$9) + CHOOSE(CONTROL!$C$27, 0.0021, 0)</f>
        <v>34.2973</v>
      </c>
      <c r="F165" s="17">
        <f>34.2952 * CHOOSE(CONTROL!$C$9, $D$9, 100%, $F$9) + CHOOSE(CONTROL!$C$27, 0.0021, 0)</f>
        <v>34.2973</v>
      </c>
      <c r="G165" s="17">
        <f>34.5665 * CHOOSE(CONTROL!$C$9, $D$9, 100%, $F$9) + CHOOSE(CONTROL!$C$27, 0.0021, 0)</f>
        <v>34.568599999999996</v>
      </c>
      <c r="H165" s="17">
        <f>34.4318 * CHOOSE(CONTROL!$C$9, $D$9, 100%, $F$9) + CHOOSE(CONTROL!$C$27, 0.0021, 0)</f>
        <v>34.433900000000001</v>
      </c>
      <c r="I165" s="17">
        <f>34.4318 * CHOOSE(CONTROL!$C$9, $D$9, 100%, $F$9) + CHOOSE(CONTROL!$C$27, 0.0021, 0)</f>
        <v>34.433900000000001</v>
      </c>
      <c r="J165" s="17">
        <f>34.4318 * CHOOSE(CONTROL!$C$9, $D$9, 100%, $F$9) + CHOOSE(CONTROL!$C$27, 0.0021, 0)</f>
        <v>34.433900000000001</v>
      </c>
      <c r="K165" s="17">
        <f>34.4318 * CHOOSE(CONTROL!$C$9, $D$9, 100%, $F$9) + CHOOSE(CONTROL!$C$27, 0.0021, 0)</f>
        <v>34.433900000000001</v>
      </c>
      <c r="L165" s="17"/>
    </row>
    <row r="166" spans="1:12" ht="15" x14ac:dyDescent="0.2">
      <c r="A166" s="16">
        <v>45962</v>
      </c>
      <c r="B166" s="17">
        <f>35.0066 * CHOOSE(CONTROL!$C$9, $D$9, 100%, $F$9) + CHOOSE(CONTROL!$C$27, 0.0021, 0)</f>
        <v>35.008699999999997</v>
      </c>
      <c r="C166" s="17">
        <f>34.5743 * CHOOSE(CONTROL!$C$9, $D$9, 100%, $F$9) + CHOOSE(CONTROL!$C$27, 0.0021, 0)</f>
        <v>34.5764</v>
      </c>
      <c r="D166" s="17">
        <f>34.5743 * CHOOSE(CONTROL!$C$9, $D$9, 100%, $F$9) + CHOOSE(CONTROL!$C$27, 0.0021, 0)</f>
        <v>34.5764</v>
      </c>
      <c r="E166" s="17">
        <f>34.4377 * CHOOSE(CONTROL!$C$9, $D$9, 100%, $F$9) + CHOOSE(CONTROL!$C$27, 0.0021, 0)</f>
        <v>34.439799999999998</v>
      </c>
      <c r="F166" s="17">
        <f>34.4377 * CHOOSE(CONTROL!$C$9, $D$9, 100%, $F$9) + CHOOSE(CONTROL!$C$27, 0.0021, 0)</f>
        <v>34.439799999999998</v>
      </c>
      <c r="G166" s="17">
        <f>34.709 * CHOOSE(CONTROL!$C$9, $D$9, 100%, $F$9) + CHOOSE(CONTROL!$C$27, 0.0021, 0)</f>
        <v>34.711100000000002</v>
      </c>
      <c r="H166" s="17">
        <f>34.5743 * CHOOSE(CONTROL!$C$9, $D$9, 100%, $F$9) + CHOOSE(CONTROL!$C$27, 0.0021, 0)</f>
        <v>34.5764</v>
      </c>
      <c r="I166" s="17">
        <f>34.5743 * CHOOSE(CONTROL!$C$9, $D$9, 100%, $F$9) + CHOOSE(CONTROL!$C$27, 0.0021, 0)</f>
        <v>34.5764</v>
      </c>
      <c r="J166" s="17">
        <f>34.5743 * CHOOSE(CONTROL!$C$9, $D$9, 100%, $F$9) + CHOOSE(CONTROL!$C$27, 0.0021, 0)</f>
        <v>34.5764</v>
      </c>
      <c r="K166" s="17">
        <f>34.5743 * CHOOSE(CONTROL!$C$9, $D$9, 100%, $F$9) + CHOOSE(CONTROL!$C$27, 0.0021, 0)</f>
        <v>34.5764</v>
      </c>
      <c r="L166" s="17"/>
    </row>
    <row r="167" spans="1:12" ht="15" x14ac:dyDescent="0.2">
      <c r="A167" s="16">
        <v>45992</v>
      </c>
      <c r="B167" s="17">
        <f>34.4312 * CHOOSE(CONTROL!$C$9, $D$9, 100%, $F$9) + CHOOSE(CONTROL!$C$27, 0.0021, 0)</f>
        <v>34.433299999999996</v>
      </c>
      <c r="C167" s="17">
        <f>33.9989 * CHOOSE(CONTROL!$C$9, $D$9, 100%, $F$9) + CHOOSE(CONTROL!$C$27, 0.0021, 0)</f>
        <v>34.000999999999998</v>
      </c>
      <c r="D167" s="17">
        <f>33.9989 * CHOOSE(CONTROL!$C$9, $D$9, 100%, $F$9) + CHOOSE(CONTROL!$C$27, 0.0021, 0)</f>
        <v>34.000999999999998</v>
      </c>
      <c r="E167" s="17">
        <f>33.8623 * CHOOSE(CONTROL!$C$9, $D$9, 100%, $F$9) + CHOOSE(CONTROL!$C$27, 0.0021, 0)</f>
        <v>33.864399999999996</v>
      </c>
      <c r="F167" s="17">
        <f>33.8623 * CHOOSE(CONTROL!$C$9, $D$9, 100%, $F$9) + CHOOSE(CONTROL!$C$27, 0.0021, 0)</f>
        <v>33.864399999999996</v>
      </c>
      <c r="G167" s="17">
        <f>34.1336 * CHOOSE(CONTROL!$C$9, $D$9, 100%, $F$9) + CHOOSE(CONTROL!$C$27, 0.0021, 0)</f>
        <v>34.1357</v>
      </c>
      <c r="H167" s="17">
        <f>33.9989 * CHOOSE(CONTROL!$C$9, $D$9, 100%, $F$9) + CHOOSE(CONTROL!$C$27, 0.0021, 0)</f>
        <v>34.000999999999998</v>
      </c>
      <c r="I167" s="17">
        <f>33.9989 * CHOOSE(CONTROL!$C$9, $D$9, 100%, $F$9) + CHOOSE(CONTROL!$C$27, 0.0021, 0)</f>
        <v>34.000999999999998</v>
      </c>
      <c r="J167" s="17">
        <f>33.9989 * CHOOSE(CONTROL!$C$9, $D$9, 100%, $F$9) + CHOOSE(CONTROL!$C$27, 0.0021, 0)</f>
        <v>34.000999999999998</v>
      </c>
      <c r="K167" s="17">
        <f>33.9989 * CHOOSE(CONTROL!$C$9, $D$9, 100%, $F$9) + CHOOSE(CONTROL!$C$27, 0.0021, 0)</f>
        <v>34.000999999999998</v>
      </c>
      <c r="L167" s="17"/>
    </row>
    <row r="168" spans="1:12" ht="15" x14ac:dyDescent="0.2">
      <c r="A168" s="16">
        <v>46023</v>
      </c>
      <c r="B168" s="17">
        <f>33.5531 * CHOOSE(CONTROL!$C$9, $D$9, 100%, $F$9) + CHOOSE(CONTROL!$C$27, 0.0021, 0)</f>
        <v>33.555199999999999</v>
      </c>
      <c r="C168" s="17">
        <f>33.1209 * CHOOSE(CONTROL!$C$9, $D$9, 100%, $F$9) + CHOOSE(CONTROL!$C$27, 0.0021, 0)</f>
        <v>33.122999999999998</v>
      </c>
      <c r="D168" s="17">
        <f>33.1209 * CHOOSE(CONTROL!$C$9, $D$9, 100%, $F$9) + CHOOSE(CONTROL!$C$27, 0.0021, 0)</f>
        <v>33.122999999999998</v>
      </c>
      <c r="E168" s="17">
        <f>32.9842 * CHOOSE(CONTROL!$C$9, $D$9, 100%, $F$9) + CHOOSE(CONTROL!$C$27, 0.0021, 0)</f>
        <v>32.9863</v>
      </c>
      <c r="F168" s="17">
        <f>32.9842 * CHOOSE(CONTROL!$C$9, $D$9, 100%, $F$9) + CHOOSE(CONTROL!$C$27, 0.0021, 0)</f>
        <v>32.9863</v>
      </c>
      <c r="G168" s="17">
        <f>33.2556 * CHOOSE(CONTROL!$C$9, $D$9, 100%, $F$9) + CHOOSE(CONTROL!$C$27, 0.0021, 0)</f>
        <v>33.2577</v>
      </c>
      <c r="H168" s="17">
        <f>33.1209 * CHOOSE(CONTROL!$C$9, $D$9, 100%, $F$9) + CHOOSE(CONTROL!$C$27, 0.0021, 0)</f>
        <v>33.122999999999998</v>
      </c>
      <c r="I168" s="17">
        <f>33.1209 * CHOOSE(CONTROL!$C$9, $D$9, 100%, $F$9) + CHOOSE(CONTROL!$C$27, 0.0021, 0)</f>
        <v>33.122999999999998</v>
      </c>
      <c r="J168" s="17">
        <f>33.1209 * CHOOSE(CONTROL!$C$9, $D$9, 100%, $F$9) + CHOOSE(CONTROL!$C$27, 0.0021, 0)</f>
        <v>33.122999999999998</v>
      </c>
      <c r="K168" s="17">
        <f>33.1209 * CHOOSE(CONTROL!$C$9, $D$9, 100%, $F$9) + CHOOSE(CONTROL!$C$27, 0.0021, 0)</f>
        <v>33.122999999999998</v>
      </c>
      <c r="L168" s="17"/>
    </row>
    <row r="169" spans="1:12" ht="15" x14ac:dyDescent="0.2">
      <c r="A169" s="16">
        <v>46054</v>
      </c>
      <c r="B169" s="17">
        <f>32.7315 * CHOOSE(CONTROL!$C$9, $D$9, 100%, $F$9) + CHOOSE(CONTROL!$C$27, 0.0021, 0)</f>
        <v>32.733599999999996</v>
      </c>
      <c r="C169" s="17">
        <f>32.2992 * CHOOSE(CONTROL!$C$9, $D$9, 100%, $F$9) + CHOOSE(CONTROL!$C$27, 0.0021, 0)</f>
        <v>32.301299999999998</v>
      </c>
      <c r="D169" s="17">
        <f>32.2992 * CHOOSE(CONTROL!$C$9, $D$9, 100%, $F$9) + CHOOSE(CONTROL!$C$27, 0.0021, 0)</f>
        <v>32.301299999999998</v>
      </c>
      <c r="E169" s="17">
        <f>32.1626 * CHOOSE(CONTROL!$C$9, $D$9, 100%, $F$9) + CHOOSE(CONTROL!$C$27, 0.0021, 0)</f>
        <v>32.164699999999996</v>
      </c>
      <c r="F169" s="17">
        <f>32.1626 * CHOOSE(CONTROL!$C$9, $D$9, 100%, $F$9) + CHOOSE(CONTROL!$C$27, 0.0021, 0)</f>
        <v>32.164699999999996</v>
      </c>
      <c r="G169" s="17">
        <f>32.434 * CHOOSE(CONTROL!$C$9, $D$9, 100%, $F$9) + CHOOSE(CONTROL!$C$27, 0.0021, 0)</f>
        <v>32.436099999999996</v>
      </c>
      <c r="H169" s="17">
        <f>32.2992 * CHOOSE(CONTROL!$C$9, $D$9, 100%, $F$9) + CHOOSE(CONTROL!$C$27, 0.0021, 0)</f>
        <v>32.301299999999998</v>
      </c>
      <c r="I169" s="17">
        <f>32.2992 * CHOOSE(CONTROL!$C$9, $D$9, 100%, $F$9) + CHOOSE(CONTROL!$C$27, 0.0021, 0)</f>
        <v>32.301299999999998</v>
      </c>
      <c r="J169" s="17">
        <f>32.2992 * CHOOSE(CONTROL!$C$9, $D$9, 100%, $F$9) + CHOOSE(CONTROL!$C$27, 0.0021, 0)</f>
        <v>32.301299999999998</v>
      </c>
      <c r="K169" s="17">
        <f>32.2992 * CHOOSE(CONTROL!$C$9, $D$9, 100%, $F$9) + CHOOSE(CONTROL!$C$27, 0.0021, 0)</f>
        <v>32.301299999999998</v>
      </c>
      <c r="L169" s="17"/>
    </row>
    <row r="170" spans="1:12" ht="15" x14ac:dyDescent="0.2">
      <c r="A170" s="16">
        <v>46082</v>
      </c>
      <c r="B170" s="17">
        <f>32.4277 * CHOOSE(CONTROL!$C$9, $D$9, 100%, $F$9) + CHOOSE(CONTROL!$C$27, 0.0021, 0)</f>
        <v>32.4298</v>
      </c>
      <c r="C170" s="17">
        <f>31.9954 * CHOOSE(CONTROL!$C$9, $D$9, 100%, $F$9) + CHOOSE(CONTROL!$C$27, 0.0021, 0)</f>
        <v>31.997499999999999</v>
      </c>
      <c r="D170" s="17">
        <f>31.9954 * CHOOSE(CONTROL!$C$9, $D$9, 100%, $F$9) + CHOOSE(CONTROL!$C$27, 0.0021, 0)</f>
        <v>31.997499999999999</v>
      </c>
      <c r="E170" s="17">
        <f>31.8588 * CHOOSE(CONTROL!$C$9, $D$9, 100%, $F$9) + CHOOSE(CONTROL!$C$27, 0.0021, 0)</f>
        <v>31.860899999999997</v>
      </c>
      <c r="F170" s="17">
        <f>31.8588 * CHOOSE(CONTROL!$C$9, $D$9, 100%, $F$9) + CHOOSE(CONTROL!$C$27, 0.0021, 0)</f>
        <v>31.860899999999997</v>
      </c>
      <c r="G170" s="17">
        <f>32.1302 * CHOOSE(CONTROL!$C$9, $D$9, 100%, $F$9) + CHOOSE(CONTROL!$C$27, 0.0021, 0)</f>
        <v>32.132300000000001</v>
      </c>
      <c r="H170" s="17">
        <f>31.9954 * CHOOSE(CONTROL!$C$9, $D$9, 100%, $F$9) + CHOOSE(CONTROL!$C$27, 0.0021, 0)</f>
        <v>31.997499999999999</v>
      </c>
      <c r="I170" s="17">
        <f>31.9954 * CHOOSE(CONTROL!$C$9, $D$9, 100%, $F$9) + CHOOSE(CONTROL!$C$27, 0.0021, 0)</f>
        <v>31.997499999999999</v>
      </c>
      <c r="J170" s="17">
        <f>31.9954 * CHOOSE(CONTROL!$C$9, $D$9, 100%, $F$9) + CHOOSE(CONTROL!$C$27, 0.0021, 0)</f>
        <v>31.997499999999999</v>
      </c>
      <c r="K170" s="17">
        <f>31.9954 * CHOOSE(CONTROL!$C$9, $D$9, 100%, $F$9) + CHOOSE(CONTROL!$C$27, 0.0021, 0)</f>
        <v>31.997499999999999</v>
      </c>
      <c r="L170" s="17"/>
    </row>
    <row r="171" spans="1:12" ht="15" x14ac:dyDescent="0.2">
      <c r="A171" s="16">
        <v>46113</v>
      </c>
      <c r="B171" s="17">
        <f>32.0512 * CHOOSE(CONTROL!$C$9, $D$9, 100%, $F$9) + CHOOSE(CONTROL!$C$27, 0.0021, 0)</f>
        <v>32.0533</v>
      </c>
      <c r="C171" s="17">
        <f>31.619 * CHOOSE(CONTROL!$C$9, $D$9, 100%, $F$9) + CHOOSE(CONTROL!$C$27, 0.0021, 0)</f>
        <v>31.621099999999998</v>
      </c>
      <c r="D171" s="17">
        <f>31.619 * CHOOSE(CONTROL!$C$9, $D$9, 100%, $F$9) + CHOOSE(CONTROL!$C$27, 0.0021, 0)</f>
        <v>31.621099999999998</v>
      </c>
      <c r="E171" s="17">
        <f>31.4823 * CHOOSE(CONTROL!$C$9, $D$9, 100%, $F$9) + CHOOSE(CONTROL!$C$27, 0.0021, 0)</f>
        <v>31.484399999999997</v>
      </c>
      <c r="F171" s="17">
        <f>31.4823 * CHOOSE(CONTROL!$C$9, $D$9, 100%, $F$9) + CHOOSE(CONTROL!$C$27, 0.0021, 0)</f>
        <v>31.484399999999997</v>
      </c>
      <c r="G171" s="17">
        <f>31.7537 * CHOOSE(CONTROL!$C$9, $D$9, 100%, $F$9) + CHOOSE(CONTROL!$C$27, 0.0021, 0)</f>
        <v>31.755799999999997</v>
      </c>
      <c r="H171" s="17">
        <f>31.619 * CHOOSE(CONTROL!$C$9, $D$9, 100%, $F$9) + CHOOSE(CONTROL!$C$27, 0.0021, 0)</f>
        <v>31.621099999999998</v>
      </c>
      <c r="I171" s="17">
        <f>31.619 * CHOOSE(CONTROL!$C$9, $D$9, 100%, $F$9) + CHOOSE(CONTROL!$C$27, 0.0021, 0)</f>
        <v>31.621099999999998</v>
      </c>
      <c r="J171" s="17">
        <f>31.619 * CHOOSE(CONTROL!$C$9, $D$9, 100%, $F$9) + CHOOSE(CONTROL!$C$27, 0.0021, 0)</f>
        <v>31.621099999999998</v>
      </c>
      <c r="K171" s="17">
        <f>31.619 * CHOOSE(CONTROL!$C$9, $D$9, 100%, $F$9) + CHOOSE(CONTROL!$C$27, 0.0021, 0)</f>
        <v>31.621099999999998</v>
      </c>
      <c r="L171" s="17"/>
    </row>
    <row r="172" spans="1:12" ht="15" x14ac:dyDescent="0.2">
      <c r="A172" s="16">
        <v>46143</v>
      </c>
      <c r="B172" s="17">
        <f>32.7388 * CHOOSE(CONTROL!$C$9, $D$9, 100%, $F$9) + CHOOSE(CONTROL!$C$27, 0.0021, 0)</f>
        <v>32.740899999999996</v>
      </c>
      <c r="C172" s="17">
        <f>32.3065 * CHOOSE(CONTROL!$C$9, $D$9, 100%, $F$9) + CHOOSE(CONTROL!$C$27, 0.0021, 0)</f>
        <v>32.308599999999998</v>
      </c>
      <c r="D172" s="17">
        <f>32.3065 * CHOOSE(CONTROL!$C$9, $D$9, 100%, $F$9) + CHOOSE(CONTROL!$C$27, 0.0021, 0)</f>
        <v>32.308599999999998</v>
      </c>
      <c r="E172" s="17">
        <f>32.1699 * CHOOSE(CONTROL!$C$9, $D$9, 100%, $F$9) + CHOOSE(CONTROL!$C$27, 0.0021, 0)</f>
        <v>32.171999999999997</v>
      </c>
      <c r="F172" s="17">
        <f>32.1699 * CHOOSE(CONTROL!$C$9, $D$9, 100%, $F$9) + CHOOSE(CONTROL!$C$27, 0.0021, 0)</f>
        <v>32.171999999999997</v>
      </c>
      <c r="G172" s="17">
        <f>32.4412 * CHOOSE(CONTROL!$C$9, $D$9, 100%, $F$9) + CHOOSE(CONTROL!$C$27, 0.0021, 0)</f>
        <v>32.443300000000001</v>
      </c>
      <c r="H172" s="17">
        <f>32.3065 * CHOOSE(CONTROL!$C$9, $D$9, 100%, $F$9) + CHOOSE(CONTROL!$C$27, 0.0021, 0)</f>
        <v>32.308599999999998</v>
      </c>
      <c r="I172" s="17">
        <f>32.3065 * CHOOSE(CONTROL!$C$9, $D$9, 100%, $F$9) + CHOOSE(CONTROL!$C$27, 0.0021, 0)</f>
        <v>32.308599999999998</v>
      </c>
      <c r="J172" s="17">
        <f>32.3065 * CHOOSE(CONTROL!$C$9, $D$9, 100%, $F$9) + CHOOSE(CONTROL!$C$27, 0.0021, 0)</f>
        <v>32.308599999999998</v>
      </c>
      <c r="K172" s="17">
        <f>32.3065 * CHOOSE(CONTROL!$C$9, $D$9, 100%, $F$9) + CHOOSE(CONTROL!$C$27, 0.0021, 0)</f>
        <v>32.308599999999998</v>
      </c>
      <c r="L172" s="17"/>
    </row>
    <row r="173" spans="1:12" ht="15" x14ac:dyDescent="0.2">
      <c r="A173" s="16">
        <v>46174</v>
      </c>
      <c r="B173" s="17">
        <f>33.1773 * CHOOSE(CONTROL!$C$9, $D$9, 100%, $F$9) + CHOOSE(CONTROL!$C$27, 0.0021, 0)</f>
        <v>33.179400000000001</v>
      </c>
      <c r="C173" s="17">
        <f>32.7451 * CHOOSE(CONTROL!$C$9, $D$9, 100%, $F$9) + CHOOSE(CONTROL!$C$27, 0.0021, 0)</f>
        <v>32.747199999999999</v>
      </c>
      <c r="D173" s="17">
        <f>32.7451 * CHOOSE(CONTROL!$C$9, $D$9, 100%, $F$9) + CHOOSE(CONTROL!$C$27, 0.0021, 0)</f>
        <v>32.747199999999999</v>
      </c>
      <c r="E173" s="17">
        <f>32.6084 * CHOOSE(CONTROL!$C$9, $D$9, 100%, $F$9) + CHOOSE(CONTROL!$C$27, 0.0021, 0)</f>
        <v>32.610500000000002</v>
      </c>
      <c r="F173" s="17">
        <f>32.6084 * CHOOSE(CONTROL!$C$9, $D$9, 100%, $F$9) + CHOOSE(CONTROL!$C$27, 0.0021, 0)</f>
        <v>32.610500000000002</v>
      </c>
      <c r="G173" s="17">
        <f>32.8798 * CHOOSE(CONTROL!$C$9, $D$9, 100%, $F$9) + CHOOSE(CONTROL!$C$27, 0.0021, 0)</f>
        <v>32.881900000000002</v>
      </c>
      <c r="H173" s="17">
        <f>32.7451 * CHOOSE(CONTROL!$C$9, $D$9, 100%, $F$9) + CHOOSE(CONTROL!$C$27, 0.0021, 0)</f>
        <v>32.747199999999999</v>
      </c>
      <c r="I173" s="17">
        <f>32.7451 * CHOOSE(CONTROL!$C$9, $D$9, 100%, $F$9) + CHOOSE(CONTROL!$C$27, 0.0021, 0)</f>
        <v>32.747199999999999</v>
      </c>
      <c r="J173" s="17">
        <f>32.7451 * CHOOSE(CONTROL!$C$9, $D$9, 100%, $F$9) + CHOOSE(CONTROL!$C$27, 0.0021, 0)</f>
        <v>32.747199999999999</v>
      </c>
      <c r="K173" s="17">
        <f>32.7451 * CHOOSE(CONTROL!$C$9, $D$9, 100%, $F$9) + CHOOSE(CONTROL!$C$27, 0.0021, 0)</f>
        <v>32.747199999999999</v>
      </c>
      <c r="L173" s="17"/>
    </row>
    <row r="174" spans="1:12" ht="15" x14ac:dyDescent="0.2">
      <c r="A174" s="16">
        <v>46204</v>
      </c>
      <c r="B174" s="17">
        <f>33.8623 * CHOOSE(CONTROL!$C$9, $D$9, 100%, $F$9) + CHOOSE(CONTROL!$C$27, 0.0021, 0)</f>
        <v>33.864399999999996</v>
      </c>
      <c r="C174" s="17">
        <f>33.43 * CHOOSE(CONTROL!$C$9, $D$9, 100%, $F$9) + CHOOSE(CONTROL!$C$27, 0.0021, 0)</f>
        <v>33.432099999999998</v>
      </c>
      <c r="D174" s="17">
        <f>33.43 * CHOOSE(CONTROL!$C$9, $D$9, 100%, $F$9) + CHOOSE(CONTROL!$C$27, 0.0021, 0)</f>
        <v>33.432099999999998</v>
      </c>
      <c r="E174" s="17">
        <f>33.2934 * CHOOSE(CONTROL!$C$9, $D$9, 100%, $F$9) + CHOOSE(CONTROL!$C$27, 0.0021, 0)</f>
        <v>33.295499999999997</v>
      </c>
      <c r="F174" s="17">
        <f>33.2934 * CHOOSE(CONTROL!$C$9, $D$9, 100%, $F$9) + CHOOSE(CONTROL!$C$27, 0.0021, 0)</f>
        <v>33.295499999999997</v>
      </c>
      <c r="G174" s="17">
        <f>33.5647 * CHOOSE(CONTROL!$C$9, $D$9, 100%, $F$9) + CHOOSE(CONTROL!$C$27, 0.0021, 0)</f>
        <v>33.566800000000001</v>
      </c>
      <c r="H174" s="17">
        <f>33.43 * CHOOSE(CONTROL!$C$9, $D$9, 100%, $F$9) + CHOOSE(CONTROL!$C$27, 0.0021, 0)</f>
        <v>33.432099999999998</v>
      </c>
      <c r="I174" s="17">
        <f>33.43 * CHOOSE(CONTROL!$C$9, $D$9, 100%, $F$9) + CHOOSE(CONTROL!$C$27, 0.0021, 0)</f>
        <v>33.432099999999998</v>
      </c>
      <c r="J174" s="17">
        <f>33.43 * CHOOSE(CONTROL!$C$9, $D$9, 100%, $F$9) + CHOOSE(CONTROL!$C$27, 0.0021, 0)</f>
        <v>33.432099999999998</v>
      </c>
      <c r="K174" s="17">
        <f>33.43 * CHOOSE(CONTROL!$C$9, $D$9, 100%, $F$9) + CHOOSE(CONTROL!$C$27, 0.0021, 0)</f>
        <v>33.432099999999998</v>
      </c>
      <c r="L174" s="17"/>
    </row>
    <row r="175" spans="1:12" ht="15" x14ac:dyDescent="0.2">
      <c r="A175" s="16">
        <v>46235</v>
      </c>
      <c r="B175" s="17">
        <f>34.1173 * CHOOSE(CONTROL!$C$9, $D$9, 100%, $F$9) + CHOOSE(CONTROL!$C$27, 0.0021, 0)</f>
        <v>34.119399999999999</v>
      </c>
      <c r="C175" s="17">
        <f>33.6851 * CHOOSE(CONTROL!$C$9, $D$9, 100%, $F$9) + CHOOSE(CONTROL!$C$27, 0.0021, 0)</f>
        <v>33.687199999999997</v>
      </c>
      <c r="D175" s="17">
        <f>33.6851 * CHOOSE(CONTROL!$C$9, $D$9, 100%, $F$9) + CHOOSE(CONTROL!$C$27, 0.0021, 0)</f>
        <v>33.687199999999997</v>
      </c>
      <c r="E175" s="17">
        <f>33.5484 * CHOOSE(CONTROL!$C$9, $D$9, 100%, $F$9) + CHOOSE(CONTROL!$C$27, 0.0021, 0)</f>
        <v>33.5505</v>
      </c>
      <c r="F175" s="17">
        <f>33.5484 * CHOOSE(CONTROL!$C$9, $D$9, 100%, $F$9) + CHOOSE(CONTROL!$C$27, 0.0021, 0)</f>
        <v>33.5505</v>
      </c>
      <c r="G175" s="17">
        <f>33.8198 * CHOOSE(CONTROL!$C$9, $D$9, 100%, $F$9) + CHOOSE(CONTROL!$C$27, 0.0021, 0)</f>
        <v>33.821899999999999</v>
      </c>
      <c r="H175" s="17">
        <f>33.6851 * CHOOSE(CONTROL!$C$9, $D$9, 100%, $F$9) + CHOOSE(CONTROL!$C$27, 0.0021, 0)</f>
        <v>33.687199999999997</v>
      </c>
      <c r="I175" s="17">
        <f>33.6851 * CHOOSE(CONTROL!$C$9, $D$9, 100%, $F$9) + CHOOSE(CONTROL!$C$27, 0.0021, 0)</f>
        <v>33.687199999999997</v>
      </c>
      <c r="J175" s="17">
        <f>33.6851 * CHOOSE(CONTROL!$C$9, $D$9, 100%, $F$9) + CHOOSE(CONTROL!$C$27, 0.0021, 0)</f>
        <v>33.687199999999997</v>
      </c>
      <c r="K175" s="17">
        <f>33.6851 * CHOOSE(CONTROL!$C$9, $D$9, 100%, $F$9) + CHOOSE(CONTROL!$C$27, 0.0021, 0)</f>
        <v>33.687199999999997</v>
      </c>
      <c r="L175" s="17"/>
    </row>
    <row r="176" spans="1:12" ht="15" x14ac:dyDescent="0.2">
      <c r="A176" s="16">
        <v>46266</v>
      </c>
      <c r="B176" s="17">
        <f>34.8314 * CHOOSE(CONTROL!$C$9, $D$9, 100%, $F$9) + CHOOSE(CONTROL!$C$27, 0.0021, 0)</f>
        <v>34.833500000000001</v>
      </c>
      <c r="C176" s="17">
        <f>34.3991 * CHOOSE(CONTROL!$C$9, $D$9, 100%, $F$9) + CHOOSE(CONTROL!$C$27, 0.0021, 0)</f>
        <v>34.401199999999996</v>
      </c>
      <c r="D176" s="17">
        <f>34.3991 * CHOOSE(CONTROL!$C$9, $D$9, 100%, $F$9) + CHOOSE(CONTROL!$C$27, 0.0021, 0)</f>
        <v>34.401199999999996</v>
      </c>
      <c r="E176" s="17">
        <f>34.2625 * CHOOSE(CONTROL!$C$9, $D$9, 100%, $F$9) + CHOOSE(CONTROL!$C$27, 0.0021, 0)</f>
        <v>34.264600000000002</v>
      </c>
      <c r="F176" s="17">
        <f>34.2625 * CHOOSE(CONTROL!$C$9, $D$9, 100%, $F$9) + CHOOSE(CONTROL!$C$27, 0.0021, 0)</f>
        <v>34.264600000000002</v>
      </c>
      <c r="G176" s="17">
        <f>34.5339 * CHOOSE(CONTROL!$C$9, $D$9, 100%, $F$9) + CHOOSE(CONTROL!$C$27, 0.0021, 0)</f>
        <v>34.536000000000001</v>
      </c>
      <c r="H176" s="17">
        <f>34.3991 * CHOOSE(CONTROL!$C$9, $D$9, 100%, $F$9) + CHOOSE(CONTROL!$C$27, 0.0021, 0)</f>
        <v>34.401199999999996</v>
      </c>
      <c r="I176" s="17">
        <f>34.3991 * CHOOSE(CONTROL!$C$9, $D$9, 100%, $F$9) + CHOOSE(CONTROL!$C$27, 0.0021, 0)</f>
        <v>34.401199999999996</v>
      </c>
      <c r="J176" s="17">
        <f>34.3991 * CHOOSE(CONTROL!$C$9, $D$9, 100%, $F$9) + CHOOSE(CONTROL!$C$27, 0.0021, 0)</f>
        <v>34.401199999999996</v>
      </c>
      <c r="K176" s="17">
        <f>34.3991 * CHOOSE(CONTROL!$C$9, $D$9, 100%, $F$9) + CHOOSE(CONTROL!$C$27, 0.0021, 0)</f>
        <v>34.401199999999996</v>
      </c>
      <c r="L176" s="17"/>
    </row>
    <row r="177" spans="1:12" ht="15" x14ac:dyDescent="0.2">
      <c r="A177" s="16">
        <v>46296</v>
      </c>
      <c r="B177" s="17">
        <f>35.721 * CHOOSE(CONTROL!$C$9, $D$9, 100%, $F$9) + CHOOSE(CONTROL!$C$27, 0.0021, 0)</f>
        <v>35.723099999999995</v>
      </c>
      <c r="C177" s="17">
        <f>35.2887 * CHOOSE(CONTROL!$C$9, $D$9, 100%, $F$9) + CHOOSE(CONTROL!$C$27, 0.0021, 0)</f>
        <v>35.290799999999997</v>
      </c>
      <c r="D177" s="17">
        <f>35.2887 * CHOOSE(CONTROL!$C$9, $D$9, 100%, $F$9) + CHOOSE(CONTROL!$C$27, 0.0021, 0)</f>
        <v>35.290799999999997</v>
      </c>
      <c r="E177" s="17">
        <f>35.1521 * CHOOSE(CONTROL!$C$9, $D$9, 100%, $F$9) + CHOOSE(CONTROL!$C$27, 0.0021, 0)</f>
        <v>35.154199999999996</v>
      </c>
      <c r="F177" s="17">
        <f>35.1521 * CHOOSE(CONTROL!$C$9, $D$9, 100%, $F$9) + CHOOSE(CONTROL!$C$27, 0.0021, 0)</f>
        <v>35.154199999999996</v>
      </c>
      <c r="G177" s="17">
        <f>35.4235 * CHOOSE(CONTROL!$C$9, $D$9, 100%, $F$9) + CHOOSE(CONTROL!$C$27, 0.0021, 0)</f>
        <v>35.425599999999996</v>
      </c>
      <c r="H177" s="17">
        <f>35.2887 * CHOOSE(CONTROL!$C$9, $D$9, 100%, $F$9) + CHOOSE(CONTROL!$C$27, 0.0021, 0)</f>
        <v>35.290799999999997</v>
      </c>
      <c r="I177" s="17">
        <f>35.2887 * CHOOSE(CONTROL!$C$9, $D$9, 100%, $F$9) + CHOOSE(CONTROL!$C$27, 0.0021, 0)</f>
        <v>35.290799999999997</v>
      </c>
      <c r="J177" s="17">
        <f>35.2887 * CHOOSE(CONTROL!$C$9, $D$9, 100%, $F$9) + CHOOSE(CONTROL!$C$27, 0.0021, 0)</f>
        <v>35.290799999999997</v>
      </c>
      <c r="K177" s="17">
        <f>35.2887 * CHOOSE(CONTROL!$C$9, $D$9, 100%, $F$9) + CHOOSE(CONTROL!$C$27, 0.0021, 0)</f>
        <v>35.290799999999997</v>
      </c>
      <c r="L177" s="17"/>
    </row>
    <row r="178" spans="1:12" ht="15" x14ac:dyDescent="0.2">
      <c r="A178" s="16">
        <v>46327</v>
      </c>
      <c r="B178" s="17">
        <f>35.8672 * CHOOSE(CONTROL!$C$9, $D$9, 100%, $F$9) + CHOOSE(CONTROL!$C$27, 0.0021, 0)</f>
        <v>35.869299999999996</v>
      </c>
      <c r="C178" s="17">
        <f>35.435 * CHOOSE(CONTROL!$C$9, $D$9, 100%, $F$9) + CHOOSE(CONTROL!$C$27, 0.0021, 0)</f>
        <v>35.437100000000001</v>
      </c>
      <c r="D178" s="17">
        <f>35.435 * CHOOSE(CONTROL!$C$9, $D$9, 100%, $F$9) + CHOOSE(CONTROL!$C$27, 0.0021, 0)</f>
        <v>35.437100000000001</v>
      </c>
      <c r="E178" s="17">
        <f>35.2983 * CHOOSE(CONTROL!$C$9, $D$9, 100%, $F$9) + CHOOSE(CONTROL!$C$27, 0.0021, 0)</f>
        <v>35.300399999999996</v>
      </c>
      <c r="F178" s="17">
        <f>35.2983 * CHOOSE(CONTROL!$C$9, $D$9, 100%, $F$9) + CHOOSE(CONTROL!$C$27, 0.0021, 0)</f>
        <v>35.300399999999996</v>
      </c>
      <c r="G178" s="17">
        <f>35.5697 * CHOOSE(CONTROL!$C$9, $D$9, 100%, $F$9) + CHOOSE(CONTROL!$C$27, 0.0021, 0)</f>
        <v>35.571799999999996</v>
      </c>
      <c r="H178" s="17">
        <f>35.435 * CHOOSE(CONTROL!$C$9, $D$9, 100%, $F$9) + CHOOSE(CONTROL!$C$27, 0.0021, 0)</f>
        <v>35.437100000000001</v>
      </c>
      <c r="I178" s="17">
        <f>35.435 * CHOOSE(CONTROL!$C$9, $D$9, 100%, $F$9) + CHOOSE(CONTROL!$C$27, 0.0021, 0)</f>
        <v>35.437100000000001</v>
      </c>
      <c r="J178" s="17">
        <f>35.435 * CHOOSE(CONTROL!$C$9, $D$9, 100%, $F$9) + CHOOSE(CONTROL!$C$27, 0.0021, 0)</f>
        <v>35.437100000000001</v>
      </c>
      <c r="K178" s="17">
        <f>35.435 * CHOOSE(CONTROL!$C$9, $D$9, 100%, $F$9) + CHOOSE(CONTROL!$C$27, 0.0021, 0)</f>
        <v>35.437100000000001</v>
      </c>
      <c r="L178" s="17"/>
    </row>
    <row r="179" spans="1:12" ht="15" x14ac:dyDescent="0.2">
      <c r="A179" s="16">
        <v>46357</v>
      </c>
      <c r="B179" s="17">
        <f>35.2767 * CHOOSE(CONTROL!$C$9, $D$9, 100%, $F$9) + CHOOSE(CONTROL!$C$27, 0.0021, 0)</f>
        <v>35.278799999999997</v>
      </c>
      <c r="C179" s="17">
        <f>34.8445 * CHOOSE(CONTROL!$C$9, $D$9, 100%, $F$9) + CHOOSE(CONTROL!$C$27, 0.0021, 0)</f>
        <v>34.846599999999995</v>
      </c>
      <c r="D179" s="17">
        <f>34.8445 * CHOOSE(CONTROL!$C$9, $D$9, 100%, $F$9) + CHOOSE(CONTROL!$C$27, 0.0021, 0)</f>
        <v>34.846599999999995</v>
      </c>
      <c r="E179" s="17">
        <f>34.7078 * CHOOSE(CONTROL!$C$9, $D$9, 100%, $F$9) + CHOOSE(CONTROL!$C$27, 0.0021, 0)</f>
        <v>34.709899999999998</v>
      </c>
      <c r="F179" s="17">
        <f>34.7078 * CHOOSE(CONTROL!$C$9, $D$9, 100%, $F$9) + CHOOSE(CONTROL!$C$27, 0.0021, 0)</f>
        <v>34.709899999999998</v>
      </c>
      <c r="G179" s="17">
        <f>34.9792 * CHOOSE(CONTROL!$C$9, $D$9, 100%, $F$9) + CHOOSE(CONTROL!$C$27, 0.0021, 0)</f>
        <v>34.981299999999997</v>
      </c>
      <c r="H179" s="17">
        <f>34.8445 * CHOOSE(CONTROL!$C$9, $D$9, 100%, $F$9) + CHOOSE(CONTROL!$C$27, 0.0021, 0)</f>
        <v>34.846599999999995</v>
      </c>
      <c r="I179" s="17">
        <f>34.8445 * CHOOSE(CONTROL!$C$9, $D$9, 100%, $F$9) + CHOOSE(CONTROL!$C$27, 0.0021, 0)</f>
        <v>34.846599999999995</v>
      </c>
      <c r="J179" s="17">
        <f>34.8445 * CHOOSE(CONTROL!$C$9, $D$9, 100%, $F$9) + CHOOSE(CONTROL!$C$27, 0.0021, 0)</f>
        <v>34.846599999999995</v>
      </c>
      <c r="K179" s="17">
        <f>34.8445 * CHOOSE(CONTROL!$C$9, $D$9, 100%, $F$9) + CHOOSE(CONTROL!$C$27, 0.0021, 0)</f>
        <v>34.846599999999995</v>
      </c>
      <c r="L179" s="17"/>
    </row>
    <row r="180" spans="1:12" ht="15" x14ac:dyDescent="0.2">
      <c r="A180" s="16">
        <v>46388</v>
      </c>
      <c r="B180" s="17">
        <f>34.3369 * CHOOSE(CONTROL!$C$9, $D$9, 100%, $F$9) + CHOOSE(CONTROL!$C$27, 0.0021, 0)</f>
        <v>34.338999999999999</v>
      </c>
      <c r="C180" s="17">
        <f>33.9046 * CHOOSE(CONTROL!$C$9, $D$9, 100%, $F$9) + CHOOSE(CONTROL!$C$27, 0.0021, 0)</f>
        <v>33.906700000000001</v>
      </c>
      <c r="D180" s="17">
        <f>33.9046 * CHOOSE(CONTROL!$C$9, $D$9, 100%, $F$9) + CHOOSE(CONTROL!$C$27, 0.0021, 0)</f>
        <v>33.906700000000001</v>
      </c>
      <c r="E180" s="17">
        <f>33.7679 * CHOOSE(CONTROL!$C$9, $D$9, 100%, $F$9) + CHOOSE(CONTROL!$C$27, 0.0021, 0)</f>
        <v>33.769999999999996</v>
      </c>
      <c r="F180" s="17">
        <f>33.7679 * CHOOSE(CONTROL!$C$9, $D$9, 100%, $F$9) + CHOOSE(CONTROL!$C$27, 0.0021, 0)</f>
        <v>33.769999999999996</v>
      </c>
      <c r="G180" s="17">
        <f>34.0393 * CHOOSE(CONTROL!$C$9, $D$9, 100%, $F$9) + CHOOSE(CONTROL!$C$27, 0.0021, 0)</f>
        <v>34.041399999999996</v>
      </c>
      <c r="H180" s="17">
        <f>33.9046 * CHOOSE(CONTROL!$C$9, $D$9, 100%, $F$9) + CHOOSE(CONTROL!$C$27, 0.0021, 0)</f>
        <v>33.906700000000001</v>
      </c>
      <c r="I180" s="17">
        <f>33.9046 * CHOOSE(CONTROL!$C$9, $D$9, 100%, $F$9) + CHOOSE(CONTROL!$C$27, 0.0021, 0)</f>
        <v>33.906700000000001</v>
      </c>
      <c r="J180" s="17">
        <f>33.9046 * CHOOSE(CONTROL!$C$9, $D$9, 100%, $F$9) + CHOOSE(CONTROL!$C$27, 0.0021, 0)</f>
        <v>33.906700000000001</v>
      </c>
      <c r="K180" s="17">
        <f>33.9046 * CHOOSE(CONTROL!$C$9, $D$9, 100%, $F$9) + CHOOSE(CONTROL!$C$27, 0.0021, 0)</f>
        <v>33.906700000000001</v>
      </c>
      <c r="L180" s="17"/>
    </row>
    <row r="181" spans="1:12" ht="15" x14ac:dyDescent="0.2">
      <c r="A181" s="16">
        <v>46419</v>
      </c>
      <c r="B181" s="17">
        <f>33.4946 * CHOOSE(CONTROL!$C$9, $D$9, 100%, $F$9) + CHOOSE(CONTROL!$C$27, 0.0021, 0)</f>
        <v>33.496699999999997</v>
      </c>
      <c r="C181" s="17">
        <f>33.0624 * CHOOSE(CONTROL!$C$9, $D$9, 100%, $F$9) + CHOOSE(CONTROL!$C$27, 0.0021, 0)</f>
        <v>33.064499999999995</v>
      </c>
      <c r="D181" s="17">
        <f>33.0624 * CHOOSE(CONTROL!$C$9, $D$9, 100%, $F$9) + CHOOSE(CONTROL!$C$27, 0.0021, 0)</f>
        <v>33.064499999999995</v>
      </c>
      <c r="E181" s="17">
        <f>32.9257 * CHOOSE(CONTROL!$C$9, $D$9, 100%, $F$9) + CHOOSE(CONTROL!$C$27, 0.0021, 0)</f>
        <v>32.927799999999998</v>
      </c>
      <c r="F181" s="17">
        <f>32.9257 * CHOOSE(CONTROL!$C$9, $D$9, 100%, $F$9) + CHOOSE(CONTROL!$C$27, 0.0021, 0)</f>
        <v>32.927799999999998</v>
      </c>
      <c r="G181" s="17">
        <f>33.1971 * CHOOSE(CONTROL!$C$9, $D$9, 100%, $F$9) + CHOOSE(CONTROL!$C$27, 0.0021, 0)</f>
        <v>33.199199999999998</v>
      </c>
      <c r="H181" s="17">
        <f>33.0624 * CHOOSE(CONTROL!$C$9, $D$9, 100%, $F$9) + CHOOSE(CONTROL!$C$27, 0.0021, 0)</f>
        <v>33.064499999999995</v>
      </c>
      <c r="I181" s="17">
        <f>33.0624 * CHOOSE(CONTROL!$C$9, $D$9, 100%, $F$9) + CHOOSE(CONTROL!$C$27, 0.0021, 0)</f>
        <v>33.064499999999995</v>
      </c>
      <c r="J181" s="17">
        <f>33.0624 * CHOOSE(CONTROL!$C$9, $D$9, 100%, $F$9) + CHOOSE(CONTROL!$C$27, 0.0021, 0)</f>
        <v>33.064499999999995</v>
      </c>
      <c r="K181" s="17">
        <f>33.0624 * CHOOSE(CONTROL!$C$9, $D$9, 100%, $F$9) + CHOOSE(CONTROL!$C$27, 0.0021, 0)</f>
        <v>33.064499999999995</v>
      </c>
      <c r="L181" s="17"/>
    </row>
    <row r="182" spans="1:12" ht="15" x14ac:dyDescent="0.2">
      <c r="A182" s="16">
        <v>46447</v>
      </c>
      <c r="B182" s="17">
        <f>33.1832 * CHOOSE(CONTROL!$C$9, $D$9, 100%, $F$9) + CHOOSE(CONTROL!$C$27, 0.0021, 0)</f>
        <v>33.185299999999998</v>
      </c>
      <c r="C182" s="17">
        <f>32.7509 * CHOOSE(CONTROL!$C$9, $D$9, 100%, $F$9) + CHOOSE(CONTROL!$C$27, 0.0021, 0)</f>
        <v>32.753</v>
      </c>
      <c r="D182" s="17">
        <f>32.7509 * CHOOSE(CONTROL!$C$9, $D$9, 100%, $F$9) + CHOOSE(CONTROL!$C$27, 0.0021, 0)</f>
        <v>32.753</v>
      </c>
      <c r="E182" s="17">
        <f>32.6143 * CHOOSE(CONTROL!$C$9, $D$9, 100%, $F$9) + CHOOSE(CONTROL!$C$27, 0.0021, 0)</f>
        <v>32.616399999999999</v>
      </c>
      <c r="F182" s="17">
        <f>32.6143 * CHOOSE(CONTROL!$C$9, $D$9, 100%, $F$9) + CHOOSE(CONTROL!$C$27, 0.0021, 0)</f>
        <v>32.616399999999999</v>
      </c>
      <c r="G182" s="17">
        <f>32.8856 * CHOOSE(CONTROL!$C$9, $D$9, 100%, $F$9) + CHOOSE(CONTROL!$C$27, 0.0021, 0)</f>
        <v>32.887699999999995</v>
      </c>
      <c r="H182" s="17">
        <f>32.7509 * CHOOSE(CONTROL!$C$9, $D$9, 100%, $F$9) + CHOOSE(CONTROL!$C$27, 0.0021, 0)</f>
        <v>32.753</v>
      </c>
      <c r="I182" s="17">
        <f>32.7509 * CHOOSE(CONTROL!$C$9, $D$9, 100%, $F$9) + CHOOSE(CONTROL!$C$27, 0.0021, 0)</f>
        <v>32.753</v>
      </c>
      <c r="J182" s="17">
        <f>32.7509 * CHOOSE(CONTROL!$C$9, $D$9, 100%, $F$9) + CHOOSE(CONTROL!$C$27, 0.0021, 0)</f>
        <v>32.753</v>
      </c>
      <c r="K182" s="17">
        <f>32.7509 * CHOOSE(CONTROL!$C$9, $D$9, 100%, $F$9) + CHOOSE(CONTROL!$C$27, 0.0021, 0)</f>
        <v>32.753</v>
      </c>
      <c r="L182" s="17"/>
    </row>
    <row r="183" spans="1:12" ht="15" x14ac:dyDescent="0.2">
      <c r="A183" s="16">
        <v>46478</v>
      </c>
      <c r="B183" s="17">
        <f>32.7973 * CHOOSE(CONTROL!$C$9, $D$9, 100%, $F$9) + CHOOSE(CONTROL!$C$27, 0.0021, 0)</f>
        <v>32.799399999999999</v>
      </c>
      <c r="C183" s="17">
        <f>32.365 * CHOOSE(CONTROL!$C$9, $D$9, 100%, $F$9) + CHOOSE(CONTROL!$C$27, 0.0021, 0)</f>
        <v>32.367100000000001</v>
      </c>
      <c r="D183" s="17">
        <f>32.365 * CHOOSE(CONTROL!$C$9, $D$9, 100%, $F$9) + CHOOSE(CONTROL!$C$27, 0.0021, 0)</f>
        <v>32.367100000000001</v>
      </c>
      <c r="E183" s="17">
        <f>32.2284 * CHOOSE(CONTROL!$C$9, $D$9, 100%, $F$9) + CHOOSE(CONTROL!$C$27, 0.0021, 0)</f>
        <v>32.230499999999999</v>
      </c>
      <c r="F183" s="17">
        <f>32.2284 * CHOOSE(CONTROL!$C$9, $D$9, 100%, $F$9) + CHOOSE(CONTROL!$C$27, 0.0021, 0)</f>
        <v>32.230499999999999</v>
      </c>
      <c r="G183" s="17">
        <f>32.4998 * CHOOSE(CONTROL!$C$9, $D$9, 100%, $F$9) + CHOOSE(CONTROL!$C$27, 0.0021, 0)</f>
        <v>32.501899999999999</v>
      </c>
      <c r="H183" s="17">
        <f>32.365 * CHOOSE(CONTROL!$C$9, $D$9, 100%, $F$9) + CHOOSE(CONTROL!$C$27, 0.0021, 0)</f>
        <v>32.367100000000001</v>
      </c>
      <c r="I183" s="17">
        <f>32.365 * CHOOSE(CONTROL!$C$9, $D$9, 100%, $F$9) + CHOOSE(CONTROL!$C$27, 0.0021, 0)</f>
        <v>32.367100000000001</v>
      </c>
      <c r="J183" s="17">
        <f>32.365 * CHOOSE(CONTROL!$C$9, $D$9, 100%, $F$9) + CHOOSE(CONTROL!$C$27, 0.0021, 0)</f>
        <v>32.367100000000001</v>
      </c>
      <c r="K183" s="17">
        <f>32.365 * CHOOSE(CONTROL!$C$9, $D$9, 100%, $F$9) + CHOOSE(CONTROL!$C$27, 0.0021, 0)</f>
        <v>32.367100000000001</v>
      </c>
      <c r="L183" s="17"/>
    </row>
    <row r="184" spans="1:12" ht="15" x14ac:dyDescent="0.2">
      <c r="A184" s="16">
        <v>46508</v>
      </c>
      <c r="B184" s="17">
        <f>33.5021 * CHOOSE(CONTROL!$C$9, $D$9, 100%, $F$9) + CHOOSE(CONTROL!$C$27, 0.0021, 0)</f>
        <v>33.504199999999997</v>
      </c>
      <c r="C184" s="17">
        <f>33.0698 * CHOOSE(CONTROL!$C$9, $D$9, 100%, $F$9) + CHOOSE(CONTROL!$C$27, 0.0021, 0)</f>
        <v>33.071899999999999</v>
      </c>
      <c r="D184" s="17">
        <f>33.0698 * CHOOSE(CONTROL!$C$9, $D$9, 100%, $F$9) + CHOOSE(CONTROL!$C$27, 0.0021, 0)</f>
        <v>33.071899999999999</v>
      </c>
      <c r="E184" s="17">
        <f>32.9331 * CHOOSE(CONTROL!$C$9, $D$9, 100%, $F$9) + CHOOSE(CONTROL!$C$27, 0.0021, 0)</f>
        <v>32.935200000000002</v>
      </c>
      <c r="F184" s="17">
        <f>32.9331 * CHOOSE(CONTROL!$C$9, $D$9, 100%, $F$9) + CHOOSE(CONTROL!$C$27, 0.0021, 0)</f>
        <v>32.935200000000002</v>
      </c>
      <c r="G184" s="17">
        <f>33.2045 * CHOOSE(CONTROL!$C$9, $D$9, 100%, $F$9) + CHOOSE(CONTROL!$C$27, 0.0021, 0)</f>
        <v>33.206600000000002</v>
      </c>
      <c r="H184" s="17">
        <f>33.0698 * CHOOSE(CONTROL!$C$9, $D$9, 100%, $F$9) + CHOOSE(CONTROL!$C$27, 0.0021, 0)</f>
        <v>33.071899999999999</v>
      </c>
      <c r="I184" s="17">
        <f>33.0698 * CHOOSE(CONTROL!$C$9, $D$9, 100%, $F$9) + CHOOSE(CONTROL!$C$27, 0.0021, 0)</f>
        <v>33.071899999999999</v>
      </c>
      <c r="J184" s="17">
        <f>33.0698 * CHOOSE(CONTROL!$C$9, $D$9, 100%, $F$9) + CHOOSE(CONTROL!$C$27, 0.0021, 0)</f>
        <v>33.071899999999999</v>
      </c>
      <c r="K184" s="17">
        <f>33.0698 * CHOOSE(CONTROL!$C$9, $D$9, 100%, $F$9) + CHOOSE(CONTROL!$C$27, 0.0021, 0)</f>
        <v>33.071899999999999</v>
      </c>
      <c r="L184" s="17"/>
    </row>
    <row r="185" spans="1:12" ht="15" x14ac:dyDescent="0.2">
      <c r="A185" s="16">
        <v>46539</v>
      </c>
      <c r="B185" s="17">
        <f>33.9516 * CHOOSE(CONTROL!$C$9, $D$9, 100%, $F$9) + CHOOSE(CONTROL!$C$27, 0.0021, 0)</f>
        <v>33.953699999999998</v>
      </c>
      <c r="C185" s="17">
        <f>33.5194 * CHOOSE(CONTROL!$C$9, $D$9, 100%, $F$9) + CHOOSE(CONTROL!$C$27, 0.0021, 0)</f>
        <v>33.521499999999996</v>
      </c>
      <c r="D185" s="17">
        <f>33.5194 * CHOOSE(CONTROL!$C$9, $D$9, 100%, $F$9) + CHOOSE(CONTROL!$C$27, 0.0021, 0)</f>
        <v>33.521499999999996</v>
      </c>
      <c r="E185" s="17">
        <f>33.3827 * CHOOSE(CONTROL!$C$9, $D$9, 100%, $F$9) + CHOOSE(CONTROL!$C$27, 0.0021, 0)</f>
        <v>33.384799999999998</v>
      </c>
      <c r="F185" s="17">
        <f>33.3827 * CHOOSE(CONTROL!$C$9, $D$9, 100%, $F$9) + CHOOSE(CONTROL!$C$27, 0.0021, 0)</f>
        <v>33.384799999999998</v>
      </c>
      <c r="G185" s="17">
        <f>33.6541 * CHOOSE(CONTROL!$C$9, $D$9, 100%, $F$9) + CHOOSE(CONTROL!$C$27, 0.0021, 0)</f>
        <v>33.656199999999998</v>
      </c>
      <c r="H185" s="17">
        <f>33.5194 * CHOOSE(CONTROL!$C$9, $D$9, 100%, $F$9) + CHOOSE(CONTROL!$C$27, 0.0021, 0)</f>
        <v>33.521499999999996</v>
      </c>
      <c r="I185" s="17">
        <f>33.5194 * CHOOSE(CONTROL!$C$9, $D$9, 100%, $F$9) + CHOOSE(CONTROL!$C$27, 0.0021, 0)</f>
        <v>33.521499999999996</v>
      </c>
      <c r="J185" s="17">
        <f>33.5194 * CHOOSE(CONTROL!$C$9, $D$9, 100%, $F$9) + CHOOSE(CONTROL!$C$27, 0.0021, 0)</f>
        <v>33.521499999999996</v>
      </c>
      <c r="K185" s="17">
        <f>33.5194 * CHOOSE(CONTROL!$C$9, $D$9, 100%, $F$9) + CHOOSE(CONTROL!$C$27, 0.0021, 0)</f>
        <v>33.521499999999996</v>
      </c>
      <c r="L185" s="17"/>
    </row>
    <row r="186" spans="1:12" ht="15" x14ac:dyDescent="0.2">
      <c r="A186" s="16">
        <v>46569</v>
      </c>
      <c r="B186" s="17">
        <f>34.6537 * CHOOSE(CONTROL!$C$9, $D$9, 100%, $F$9) + CHOOSE(CONTROL!$C$27, 0.0021, 0)</f>
        <v>34.655799999999999</v>
      </c>
      <c r="C186" s="17">
        <f>34.2215 * CHOOSE(CONTROL!$C$9, $D$9, 100%, $F$9) + CHOOSE(CONTROL!$C$27, 0.0021, 0)</f>
        <v>34.223599999999998</v>
      </c>
      <c r="D186" s="17">
        <f>34.2215 * CHOOSE(CONTROL!$C$9, $D$9, 100%, $F$9) + CHOOSE(CONTROL!$C$27, 0.0021, 0)</f>
        <v>34.223599999999998</v>
      </c>
      <c r="E186" s="17">
        <f>34.0848 * CHOOSE(CONTROL!$C$9, $D$9, 100%, $F$9) + CHOOSE(CONTROL!$C$27, 0.0021, 0)</f>
        <v>34.0869</v>
      </c>
      <c r="F186" s="17">
        <f>34.0848 * CHOOSE(CONTROL!$C$9, $D$9, 100%, $F$9) + CHOOSE(CONTROL!$C$27, 0.0021, 0)</f>
        <v>34.0869</v>
      </c>
      <c r="G186" s="17">
        <f>34.3562 * CHOOSE(CONTROL!$C$9, $D$9, 100%, $F$9) + CHOOSE(CONTROL!$C$27, 0.0021, 0)</f>
        <v>34.3583</v>
      </c>
      <c r="H186" s="17">
        <f>34.2215 * CHOOSE(CONTROL!$C$9, $D$9, 100%, $F$9) + CHOOSE(CONTROL!$C$27, 0.0021, 0)</f>
        <v>34.223599999999998</v>
      </c>
      <c r="I186" s="17">
        <f>34.2215 * CHOOSE(CONTROL!$C$9, $D$9, 100%, $F$9) + CHOOSE(CONTROL!$C$27, 0.0021, 0)</f>
        <v>34.223599999999998</v>
      </c>
      <c r="J186" s="17">
        <f>34.2215 * CHOOSE(CONTROL!$C$9, $D$9, 100%, $F$9) + CHOOSE(CONTROL!$C$27, 0.0021, 0)</f>
        <v>34.223599999999998</v>
      </c>
      <c r="K186" s="17">
        <f>34.2215 * CHOOSE(CONTROL!$C$9, $D$9, 100%, $F$9) + CHOOSE(CONTROL!$C$27, 0.0021, 0)</f>
        <v>34.223599999999998</v>
      </c>
      <c r="L186" s="17"/>
    </row>
    <row r="187" spans="1:12" ht="15" x14ac:dyDescent="0.2">
      <c r="A187" s="16">
        <v>46600</v>
      </c>
      <c r="B187" s="17">
        <f>34.9152 * CHOOSE(CONTROL!$C$9, $D$9, 100%, $F$9) + CHOOSE(CONTROL!$C$27, 0.0021, 0)</f>
        <v>34.917299999999997</v>
      </c>
      <c r="C187" s="17">
        <f>34.4829 * CHOOSE(CONTROL!$C$9, $D$9, 100%, $F$9) + CHOOSE(CONTROL!$C$27, 0.0021, 0)</f>
        <v>34.484999999999999</v>
      </c>
      <c r="D187" s="17">
        <f>34.4829 * CHOOSE(CONTROL!$C$9, $D$9, 100%, $F$9) + CHOOSE(CONTROL!$C$27, 0.0021, 0)</f>
        <v>34.484999999999999</v>
      </c>
      <c r="E187" s="17">
        <f>34.3463 * CHOOSE(CONTROL!$C$9, $D$9, 100%, $F$9) + CHOOSE(CONTROL!$C$27, 0.0021, 0)</f>
        <v>34.348399999999998</v>
      </c>
      <c r="F187" s="17">
        <f>34.3463 * CHOOSE(CONTROL!$C$9, $D$9, 100%, $F$9) + CHOOSE(CONTROL!$C$27, 0.0021, 0)</f>
        <v>34.348399999999998</v>
      </c>
      <c r="G187" s="17">
        <f>34.6177 * CHOOSE(CONTROL!$C$9, $D$9, 100%, $F$9) + CHOOSE(CONTROL!$C$27, 0.0021, 0)</f>
        <v>34.619799999999998</v>
      </c>
      <c r="H187" s="17">
        <f>34.4829 * CHOOSE(CONTROL!$C$9, $D$9, 100%, $F$9) + CHOOSE(CONTROL!$C$27, 0.0021, 0)</f>
        <v>34.484999999999999</v>
      </c>
      <c r="I187" s="17">
        <f>34.4829 * CHOOSE(CONTROL!$C$9, $D$9, 100%, $F$9) + CHOOSE(CONTROL!$C$27, 0.0021, 0)</f>
        <v>34.484999999999999</v>
      </c>
      <c r="J187" s="17">
        <f>34.4829 * CHOOSE(CONTROL!$C$9, $D$9, 100%, $F$9) + CHOOSE(CONTROL!$C$27, 0.0021, 0)</f>
        <v>34.484999999999999</v>
      </c>
      <c r="K187" s="17">
        <f>34.4829 * CHOOSE(CONTROL!$C$9, $D$9, 100%, $F$9) + CHOOSE(CONTROL!$C$27, 0.0021, 0)</f>
        <v>34.484999999999999</v>
      </c>
      <c r="L187" s="17"/>
    </row>
    <row r="188" spans="1:12" ht="15" x14ac:dyDescent="0.2">
      <c r="A188" s="16">
        <v>46631</v>
      </c>
      <c r="B188" s="17">
        <f>35.6471 * CHOOSE(CONTROL!$C$9, $D$9, 100%, $F$9) + CHOOSE(CONTROL!$C$27, 0.0021, 0)</f>
        <v>35.6492</v>
      </c>
      <c r="C188" s="17">
        <f>35.2149 * CHOOSE(CONTROL!$C$9, $D$9, 100%, $F$9) + CHOOSE(CONTROL!$C$27, 0.0021, 0)</f>
        <v>35.216999999999999</v>
      </c>
      <c r="D188" s="17">
        <f>35.2149 * CHOOSE(CONTROL!$C$9, $D$9, 100%, $F$9) + CHOOSE(CONTROL!$C$27, 0.0021, 0)</f>
        <v>35.216999999999999</v>
      </c>
      <c r="E188" s="17">
        <f>35.0782 * CHOOSE(CONTROL!$C$9, $D$9, 100%, $F$9) + CHOOSE(CONTROL!$C$27, 0.0021, 0)</f>
        <v>35.080300000000001</v>
      </c>
      <c r="F188" s="17">
        <f>35.0782 * CHOOSE(CONTROL!$C$9, $D$9, 100%, $F$9) + CHOOSE(CONTROL!$C$27, 0.0021, 0)</f>
        <v>35.080300000000001</v>
      </c>
      <c r="G188" s="17">
        <f>35.3496 * CHOOSE(CONTROL!$C$9, $D$9, 100%, $F$9) + CHOOSE(CONTROL!$C$27, 0.0021, 0)</f>
        <v>35.351700000000001</v>
      </c>
      <c r="H188" s="17">
        <f>35.2149 * CHOOSE(CONTROL!$C$9, $D$9, 100%, $F$9) + CHOOSE(CONTROL!$C$27, 0.0021, 0)</f>
        <v>35.216999999999999</v>
      </c>
      <c r="I188" s="17">
        <f>35.2149 * CHOOSE(CONTROL!$C$9, $D$9, 100%, $F$9) + CHOOSE(CONTROL!$C$27, 0.0021, 0)</f>
        <v>35.216999999999999</v>
      </c>
      <c r="J188" s="17">
        <f>35.2149 * CHOOSE(CONTROL!$C$9, $D$9, 100%, $F$9) + CHOOSE(CONTROL!$C$27, 0.0021, 0)</f>
        <v>35.216999999999999</v>
      </c>
      <c r="K188" s="17">
        <f>35.2149 * CHOOSE(CONTROL!$C$9, $D$9, 100%, $F$9) + CHOOSE(CONTROL!$C$27, 0.0021, 0)</f>
        <v>35.216999999999999</v>
      </c>
      <c r="L188" s="17"/>
    </row>
    <row r="189" spans="1:12" ht="15" x14ac:dyDescent="0.2">
      <c r="A189" s="16">
        <v>46661</v>
      </c>
      <c r="B189" s="17">
        <f>36.559 * CHOOSE(CONTROL!$C$9, $D$9, 100%, $F$9) + CHOOSE(CONTROL!$C$27, 0.0021, 0)</f>
        <v>36.561099999999996</v>
      </c>
      <c r="C189" s="17">
        <f>36.1268 * CHOOSE(CONTROL!$C$9, $D$9, 100%, $F$9) + CHOOSE(CONTROL!$C$27, 0.0021, 0)</f>
        <v>36.128900000000002</v>
      </c>
      <c r="D189" s="17">
        <f>36.1268 * CHOOSE(CONTROL!$C$9, $D$9, 100%, $F$9) + CHOOSE(CONTROL!$C$27, 0.0021, 0)</f>
        <v>36.128900000000002</v>
      </c>
      <c r="E189" s="17">
        <f>35.9901 * CHOOSE(CONTROL!$C$9, $D$9, 100%, $F$9) + CHOOSE(CONTROL!$C$27, 0.0021, 0)</f>
        <v>35.992199999999997</v>
      </c>
      <c r="F189" s="17">
        <f>35.9901 * CHOOSE(CONTROL!$C$9, $D$9, 100%, $F$9) + CHOOSE(CONTROL!$C$27, 0.0021, 0)</f>
        <v>35.992199999999997</v>
      </c>
      <c r="G189" s="17">
        <f>36.2615 * CHOOSE(CONTROL!$C$9, $D$9, 100%, $F$9) + CHOOSE(CONTROL!$C$27, 0.0021, 0)</f>
        <v>36.263599999999997</v>
      </c>
      <c r="H189" s="17">
        <f>36.1268 * CHOOSE(CONTROL!$C$9, $D$9, 100%, $F$9) + CHOOSE(CONTROL!$C$27, 0.0021, 0)</f>
        <v>36.128900000000002</v>
      </c>
      <c r="I189" s="17">
        <f>36.1268 * CHOOSE(CONTROL!$C$9, $D$9, 100%, $F$9) + CHOOSE(CONTROL!$C$27, 0.0021, 0)</f>
        <v>36.128900000000002</v>
      </c>
      <c r="J189" s="17">
        <f>36.1268 * CHOOSE(CONTROL!$C$9, $D$9, 100%, $F$9) + CHOOSE(CONTROL!$C$27, 0.0021, 0)</f>
        <v>36.128900000000002</v>
      </c>
      <c r="K189" s="17">
        <f>36.1268 * CHOOSE(CONTROL!$C$9, $D$9, 100%, $F$9) + CHOOSE(CONTROL!$C$27, 0.0021, 0)</f>
        <v>36.128900000000002</v>
      </c>
      <c r="L189" s="17"/>
    </row>
    <row r="190" spans="1:12" ht="15" x14ac:dyDescent="0.2">
      <c r="A190" s="16">
        <v>46692</v>
      </c>
      <c r="B190" s="17">
        <f>36.7089 * CHOOSE(CONTROL!$C$9, $D$9, 100%, $F$9) + CHOOSE(CONTROL!$C$27, 0.0021, 0)</f>
        <v>36.710999999999999</v>
      </c>
      <c r="C190" s="17">
        <f>36.2767 * CHOOSE(CONTROL!$C$9, $D$9, 100%, $F$9) + CHOOSE(CONTROL!$C$27, 0.0021, 0)</f>
        <v>36.278799999999997</v>
      </c>
      <c r="D190" s="17">
        <f>36.2767 * CHOOSE(CONTROL!$C$9, $D$9, 100%, $F$9) + CHOOSE(CONTROL!$C$27, 0.0021, 0)</f>
        <v>36.278799999999997</v>
      </c>
      <c r="E190" s="17">
        <f>36.14 * CHOOSE(CONTROL!$C$9, $D$9, 100%, $F$9) + CHOOSE(CONTROL!$C$27, 0.0021, 0)</f>
        <v>36.142099999999999</v>
      </c>
      <c r="F190" s="17">
        <f>36.14 * CHOOSE(CONTROL!$C$9, $D$9, 100%, $F$9) + CHOOSE(CONTROL!$C$27, 0.0021, 0)</f>
        <v>36.142099999999999</v>
      </c>
      <c r="G190" s="17">
        <f>36.4114 * CHOOSE(CONTROL!$C$9, $D$9, 100%, $F$9) + CHOOSE(CONTROL!$C$27, 0.0021, 0)</f>
        <v>36.413499999999999</v>
      </c>
      <c r="H190" s="17">
        <f>36.2767 * CHOOSE(CONTROL!$C$9, $D$9, 100%, $F$9) + CHOOSE(CONTROL!$C$27, 0.0021, 0)</f>
        <v>36.278799999999997</v>
      </c>
      <c r="I190" s="17">
        <f>36.2767 * CHOOSE(CONTROL!$C$9, $D$9, 100%, $F$9) + CHOOSE(CONTROL!$C$27, 0.0021, 0)</f>
        <v>36.278799999999997</v>
      </c>
      <c r="J190" s="17">
        <f>36.2767 * CHOOSE(CONTROL!$C$9, $D$9, 100%, $F$9) + CHOOSE(CONTROL!$C$27, 0.0021, 0)</f>
        <v>36.278799999999997</v>
      </c>
      <c r="K190" s="17">
        <f>36.2767 * CHOOSE(CONTROL!$C$9, $D$9, 100%, $F$9) + CHOOSE(CONTROL!$C$27, 0.0021, 0)</f>
        <v>36.278799999999997</v>
      </c>
      <c r="L190" s="17"/>
    </row>
    <row r="191" spans="1:12" ht="15" x14ac:dyDescent="0.2">
      <c r="A191" s="16">
        <v>46722</v>
      </c>
      <c r="B191" s="17">
        <f>36.1036 * CHOOSE(CONTROL!$C$9, $D$9, 100%, $F$9) + CHOOSE(CONTROL!$C$27, 0.0021, 0)</f>
        <v>36.105699999999999</v>
      </c>
      <c r="C191" s="17">
        <f>35.6714 * CHOOSE(CONTROL!$C$9, $D$9, 100%, $F$9) + CHOOSE(CONTROL!$C$27, 0.0021, 0)</f>
        <v>35.673499999999997</v>
      </c>
      <c r="D191" s="17">
        <f>35.6714 * CHOOSE(CONTROL!$C$9, $D$9, 100%, $F$9) + CHOOSE(CONTROL!$C$27, 0.0021, 0)</f>
        <v>35.673499999999997</v>
      </c>
      <c r="E191" s="17">
        <f>35.5347 * CHOOSE(CONTROL!$C$9, $D$9, 100%, $F$9) + CHOOSE(CONTROL!$C$27, 0.0021, 0)</f>
        <v>35.536799999999999</v>
      </c>
      <c r="F191" s="17">
        <f>35.5347 * CHOOSE(CONTROL!$C$9, $D$9, 100%, $F$9) + CHOOSE(CONTROL!$C$27, 0.0021, 0)</f>
        <v>35.536799999999999</v>
      </c>
      <c r="G191" s="17">
        <f>35.8061 * CHOOSE(CONTROL!$C$9, $D$9, 100%, $F$9) + CHOOSE(CONTROL!$C$27, 0.0021, 0)</f>
        <v>35.808199999999999</v>
      </c>
      <c r="H191" s="17">
        <f>35.6714 * CHOOSE(CONTROL!$C$9, $D$9, 100%, $F$9) + CHOOSE(CONTROL!$C$27, 0.0021, 0)</f>
        <v>35.673499999999997</v>
      </c>
      <c r="I191" s="17">
        <f>35.6714 * CHOOSE(CONTROL!$C$9, $D$9, 100%, $F$9) + CHOOSE(CONTROL!$C$27, 0.0021, 0)</f>
        <v>35.673499999999997</v>
      </c>
      <c r="J191" s="17">
        <f>35.6714 * CHOOSE(CONTROL!$C$9, $D$9, 100%, $F$9) + CHOOSE(CONTROL!$C$27, 0.0021, 0)</f>
        <v>35.673499999999997</v>
      </c>
      <c r="K191" s="17">
        <f>35.6714 * CHOOSE(CONTROL!$C$9, $D$9, 100%, $F$9) + CHOOSE(CONTROL!$C$27, 0.0021, 0)</f>
        <v>35.673499999999997</v>
      </c>
      <c r="L191" s="17"/>
    </row>
    <row r="192" spans="1:12" ht="15" x14ac:dyDescent="0.2">
      <c r="A192" s="16">
        <v>46753</v>
      </c>
      <c r="B192" s="17">
        <f>35.0763 * CHOOSE(CONTROL!$C$9, $D$9, 100%, $F$9) + CHOOSE(CONTROL!$C$27, 0.0021, 0)</f>
        <v>35.078400000000002</v>
      </c>
      <c r="C192" s="17">
        <f>34.644 * CHOOSE(CONTROL!$C$9, $D$9, 100%, $F$9) + CHOOSE(CONTROL!$C$27, 0.0021, 0)</f>
        <v>34.646099999999997</v>
      </c>
      <c r="D192" s="17">
        <f>34.644 * CHOOSE(CONTROL!$C$9, $D$9, 100%, $F$9) + CHOOSE(CONTROL!$C$27, 0.0021, 0)</f>
        <v>34.646099999999997</v>
      </c>
      <c r="E192" s="17">
        <f>34.5074 * CHOOSE(CONTROL!$C$9, $D$9, 100%, $F$9) + CHOOSE(CONTROL!$C$27, 0.0021, 0)</f>
        <v>34.509499999999996</v>
      </c>
      <c r="F192" s="17">
        <f>34.5074 * CHOOSE(CONTROL!$C$9, $D$9, 100%, $F$9) + CHOOSE(CONTROL!$C$27, 0.0021, 0)</f>
        <v>34.509499999999996</v>
      </c>
      <c r="G192" s="17">
        <f>34.7787 * CHOOSE(CONTROL!$C$9, $D$9, 100%, $F$9) + CHOOSE(CONTROL!$C$27, 0.0021, 0)</f>
        <v>34.780799999999999</v>
      </c>
      <c r="H192" s="17">
        <f>34.644 * CHOOSE(CONTROL!$C$9, $D$9, 100%, $F$9) + CHOOSE(CONTROL!$C$27, 0.0021, 0)</f>
        <v>34.646099999999997</v>
      </c>
      <c r="I192" s="17">
        <f>34.644 * CHOOSE(CONTROL!$C$9, $D$9, 100%, $F$9) + CHOOSE(CONTROL!$C$27, 0.0021, 0)</f>
        <v>34.646099999999997</v>
      </c>
      <c r="J192" s="17">
        <f>34.644 * CHOOSE(CONTROL!$C$9, $D$9, 100%, $F$9) + CHOOSE(CONTROL!$C$27, 0.0021, 0)</f>
        <v>34.646099999999997</v>
      </c>
      <c r="K192" s="17">
        <f>34.644 * CHOOSE(CONTROL!$C$9, $D$9, 100%, $F$9) + CHOOSE(CONTROL!$C$27, 0.0021, 0)</f>
        <v>34.646099999999997</v>
      </c>
      <c r="L192" s="17"/>
    </row>
    <row r="193" spans="1:12" ht="15" x14ac:dyDescent="0.2">
      <c r="A193" s="16">
        <v>46784</v>
      </c>
      <c r="B193" s="17">
        <f>34.2146 * CHOOSE(CONTROL!$C$9, $D$9, 100%, $F$9) + CHOOSE(CONTROL!$C$27, 0.0021, 0)</f>
        <v>34.216699999999996</v>
      </c>
      <c r="C193" s="17">
        <f>33.7823 * CHOOSE(CONTROL!$C$9, $D$9, 100%, $F$9) + CHOOSE(CONTROL!$C$27, 0.0021, 0)</f>
        <v>33.784399999999998</v>
      </c>
      <c r="D193" s="17">
        <f>33.7823 * CHOOSE(CONTROL!$C$9, $D$9, 100%, $F$9) + CHOOSE(CONTROL!$C$27, 0.0021, 0)</f>
        <v>33.784399999999998</v>
      </c>
      <c r="E193" s="17">
        <f>33.6457 * CHOOSE(CONTROL!$C$9, $D$9, 100%, $F$9) + CHOOSE(CONTROL!$C$27, 0.0021, 0)</f>
        <v>33.647799999999997</v>
      </c>
      <c r="F193" s="17">
        <f>33.6457 * CHOOSE(CONTROL!$C$9, $D$9, 100%, $F$9) + CHOOSE(CONTROL!$C$27, 0.0021, 0)</f>
        <v>33.647799999999997</v>
      </c>
      <c r="G193" s="17">
        <f>33.917 * CHOOSE(CONTROL!$C$9, $D$9, 100%, $F$9) + CHOOSE(CONTROL!$C$27, 0.0021, 0)</f>
        <v>33.9191</v>
      </c>
      <c r="H193" s="17">
        <f>33.7823 * CHOOSE(CONTROL!$C$9, $D$9, 100%, $F$9) + CHOOSE(CONTROL!$C$27, 0.0021, 0)</f>
        <v>33.784399999999998</v>
      </c>
      <c r="I193" s="17">
        <f>33.7823 * CHOOSE(CONTROL!$C$9, $D$9, 100%, $F$9) + CHOOSE(CONTROL!$C$27, 0.0021, 0)</f>
        <v>33.784399999999998</v>
      </c>
      <c r="J193" s="17">
        <f>33.7823 * CHOOSE(CONTROL!$C$9, $D$9, 100%, $F$9) + CHOOSE(CONTROL!$C$27, 0.0021, 0)</f>
        <v>33.784399999999998</v>
      </c>
      <c r="K193" s="17">
        <f>33.7823 * CHOOSE(CONTROL!$C$9, $D$9, 100%, $F$9) + CHOOSE(CONTROL!$C$27, 0.0021, 0)</f>
        <v>33.784399999999998</v>
      </c>
      <c r="L193" s="17"/>
    </row>
    <row r="194" spans="1:12" ht="15" x14ac:dyDescent="0.2">
      <c r="A194" s="16">
        <v>46813</v>
      </c>
      <c r="B194" s="17">
        <f>33.896 * CHOOSE(CONTROL!$C$9, $D$9, 100%, $F$9) + CHOOSE(CONTROL!$C$27, 0.0021, 0)</f>
        <v>33.898099999999999</v>
      </c>
      <c r="C194" s="17">
        <f>33.4637 * CHOOSE(CONTROL!$C$9, $D$9, 100%, $F$9) + CHOOSE(CONTROL!$C$27, 0.0021, 0)</f>
        <v>33.465800000000002</v>
      </c>
      <c r="D194" s="17">
        <f>33.4637 * CHOOSE(CONTROL!$C$9, $D$9, 100%, $F$9) + CHOOSE(CONTROL!$C$27, 0.0021, 0)</f>
        <v>33.465800000000002</v>
      </c>
      <c r="E194" s="17">
        <f>33.3271 * CHOOSE(CONTROL!$C$9, $D$9, 100%, $F$9) + CHOOSE(CONTROL!$C$27, 0.0021, 0)</f>
        <v>33.3292</v>
      </c>
      <c r="F194" s="17">
        <f>33.3271 * CHOOSE(CONTROL!$C$9, $D$9, 100%, $F$9) + CHOOSE(CONTROL!$C$27, 0.0021, 0)</f>
        <v>33.3292</v>
      </c>
      <c r="G194" s="17">
        <f>33.5984 * CHOOSE(CONTROL!$C$9, $D$9, 100%, $F$9) + CHOOSE(CONTROL!$C$27, 0.0021, 0)</f>
        <v>33.600499999999997</v>
      </c>
      <c r="H194" s="17">
        <f>33.4637 * CHOOSE(CONTROL!$C$9, $D$9, 100%, $F$9) + CHOOSE(CONTROL!$C$27, 0.0021, 0)</f>
        <v>33.465800000000002</v>
      </c>
      <c r="I194" s="17">
        <f>33.4637 * CHOOSE(CONTROL!$C$9, $D$9, 100%, $F$9) + CHOOSE(CONTROL!$C$27, 0.0021, 0)</f>
        <v>33.465800000000002</v>
      </c>
      <c r="J194" s="17">
        <f>33.4637 * CHOOSE(CONTROL!$C$9, $D$9, 100%, $F$9) + CHOOSE(CONTROL!$C$27, 0.0021, 0)</f>
        <v>33.465800000000002</v>
      </c>
      <c r="K194" s="17">
        <f>33.4637 * CHOOSE(CONTROL!$C$9, $D$9, 100%, $F$9) + CHOOSE(CONTROL!$C$27, 0.0021, 0)</f>
        <v>33.465800000000002</v>
      </c>
      <c r="L194" s="17"/>
    </row>
    <row r="195" spans="1:12" ht="15" x14ac:dyDescent="0.2">
      <c r="A195" s="16">
        <v>46844</v>
      </c>
      <c r="B195" s="17">
        <f>33.5012 * CHOOSE(CONTROL!$C$9, $D$9, 100%, $F$9) + CHOOSE(CONTROL!$C$27, 0.0021, 0)</f>
        <v>33.503299999999996</v>
      </c>
      <c r="C195" s="17">
        <f>33.0689 * CHOOSE(CONTROL!$C$9, $D$9, 100%, $F$9) + CHOOSE(CONTROL!$C$27, 0.0021, 0)</f>
        <v>33.070999999999998</v>
      </c>
      <c r="D195" s="17">
        <f>33.0689 * CHOOSE(CONTROL!$C$9, $D$9, 100%, $F$9) + CHOOSE(CONTROL!$C$27, 0.0021, 0)</f>
        <v>33.070999999999998</v>
      </c>
      <c r="E195" s="17">
        <f>32.9323 * CHOOSE(CONTROL!$C$9, $D$9, 100%, $F$9) + CHOOSE(CONTROL!$C$27, 0.0021, 0)</f>
        <v>32.934399999999997</v>
      </c>
      <c r="F195" s="17">
        <f>32.9323 * CHOOSE(CONTROL!$C$9, $D$9, 100%, $F$9) + CHOOSE(CONTROL!$C$27, 0.0021, 0)</f>
        <v>32.934399999999997</v>
      </c>
      <c r="G195" s="17">
        <f>33.2036 * CHOOSE(CONTROL!$C$9, $D$9, 100%, $F$9) + CHOOSE(CONTROL!$C$27, 0.0021, 0)</f>
        <v>33.2057</v>
      </c>
      <c r="H195" s="17">
        <f>33.0689 * CHOOSE(CONTROL!$C$9, $D$9, 100%, $F$9) + CHOOSE(CONTROL!$C$27, 0.0021, 0)</f>
        <v>33.070999999999998</v>
      </c>
      <c r="I195" s="17">
        <f>33.0689 * CHOOSE(CONTROL!$C$9, $D$9, 100%, $F$9) + CHOOSE(CONTROL!$C$27, 0.0021, 0)</f>
        <v>33.070999999999998</v>
      </c>
      <c r="J195" s="17">
        <f>33.0689 * CHOOSE(CONTROL!$C$9, $D$9, 100%, $F$9) + CHOOSE(CONTROL!$C$27, 0.0021, 0)</f>
        <v>33.070999999999998</v>
      </c>
      <c r="K195" s="17">
        <f>33.0689 * CHOOSE(CONTROL!$C$9, $D$9, 100%, $F$9) + CHOOSE(CONTROL!$C$27, 0.0021, 0)</f>
        <v>33.070999999999998</v>
      </c>
      <c r="L195" s="17"/>
    </row>
    <row r="196" spans="1:12" ht="15" x14ac:dyDescent="0.2">
      <c r="A196" s="16">
        <v>46874</v>
      </c>
      <c r="B196" s="17">
        <f>34.2222 * CHOOSE(CONTROL!$C$9, $D$9, 100%, $F$9) + CHOOSE(CONTROL!$C$27, 0.0021, 0)</f>
        <v>34.224299999999999</v>
      </c>
      <c r="C196" s="17">
        <f>33.79 * CHOOSE(CONTROL!$C$9, $D$9, 100%, $F$9) + CHOOSE(CONTROL!$C$27, 0.0021, 0)</f>
        <v>33.792099999999998</v>
      </c>
      <c r="D196" s="17">
        <f>33.79 * CHOOSE(CONTROL!$C$9, $D$9, 100%, $F$9) + CHOOSE(CONTROL!$C$27, 0.0021, 0)</f>
        <v>33.792099999999998</v>
      </c>
      <c r="E196" s="17">
        <f>33.6533 * CHOOSE(CONTROL!$C$9, $D$9, 100%, $F$9) + CHOOSE(CONTROL!$C$27, 0.0021, 0)</f>
        <v>33.6554</v>
      </c>
      <c r="F196" s="17">
        <f>33.6533 * CHOOSE(CONTROL!$C$9, $D$9, 100%, $F$9) + CHOOSE(CONTROL!$C$27, 0.0021, 0)</f>
        <v>33.6554</v>
      </c>
      <c r="G196" s="17">
        <f>33.9247 * CHOOSE(CONTROL!$C$9, $D$9, 100%, $F$9) + CHOOSE(CONTROL!$C$27, 0.0021, 0)</f>
        <v>33.9268</v>
      </c>
      <c r="H196" s="17">
        <f>33.79 * CHOOSE(CONTROL!$C$9, $D$9, 100%, $F$9) + CHOOSE(CONTROL!$C$27, 0.0021, 0)</f>
        <v>33.792099999999998</v>
      </c>
      <c r="I196" s="17">
        <f>33.79 * CHOOSE(CONTROL!$C$9, $D$9, 100%, $F$9) + CHOOSE(CONTROL!$C$27, 0.0021, 0)</f>
        <v>33.792099999999998</v>
      </c>
      <c r="J196" s="17">
        <f>33.79 * CHOOSE(CONTROL!$C$9, $D$9, 100%, $F$9) + CHOOSE(CONTROL!$C$27, 0.0021, 0)</f>
        <v>33.792099999999998</v>
      </c>
      <c r="K196" s="17">
        <f>33.79 * CHOOSE(CONTROL!$C$9, $D$9, 100%, $F$9) + CHOOSE(CONTROL!$C$27, 0.0021, 0)</f>
        <v>33.792099999999998</v>
      </c>
      <c r="L196" s="17"/>
    </row>
    <row r="197" spans="1:12" ht="15" x14ac:dyDescent="0.2">
      <c r="A197" s="16">
        <v>46905</v>
      </c>
      <c r="B197" s="17">
        <f>34.6822 * CHOOSE(CONTROL!$C$9, $D$9, 100%, $F$9) + CHOOSE(CONTROL!$C$27, 0.0021, 0)</f>
        <v>34.6843</v>
      </c>
      <c r="C197" s="17">
        <f>34.2499 * CHOOSE(CONTROL!$C$9, $D$9, 100%, $F$9) + CHOOSE(CONTROL!$C$27, 0.0021, 0)</f>
        <v>34.251999999999995</v>
      </c>
      <c r="D197" s="17">
        <f>34.2499 * CHOOSE(CONTROL!$C$9, $D$9, 100%, $F$9) + CHOOSE(CONTROL!$C$27, 0.0021, 0)</f>
        <v>34.251999999999995</v>
      </c>
      <c r="E197" s="17">
        <f>34.1132 * CHOOSE(CONTROL!$C$9, $D$9, 100%, $F$9) + CHOOSE(CONTROL!$C$27, 0.0021, 0)</f>
        <v>34.115299999999998</v>
      </c>
      <c r="F197" s="17">
        <f>34.1132 * CHOOSE(CONTROL!$C$9, $D$9, 100%, $F$9) + CHOOSE(CONTROL!$C$27, 0.0021, 0)</f>
        <v>34.115299999999998</v>
      </c>
      <c r="G197" s="17">
        <f>34.3846 * CHOOSE(CONTROL!$C$9, $D$9, 100%, $F$9) + CHOOSE(CONTROL!$C$27, 0.0021, 0)</f>
        <v>34.386699999999998</v>
      </c>
      <c r="H197" s="17">
        <f>34.2499 * CHOOSE(CONTROL!$C$9, $D$9, 100%, $F$9) + CHOOSE(CONTROL!$C$27, 0.0021, 0)</f>
        <v>34.251999999999995</v>
      </c>
      <c r="I197" s="17">
        <f>34.2499 * CHOOSE(CONTROL!$C$9, $D$9, 100%, $F$9) + CHOOSE(CONTROL!$C$27, 0.0021, 0)</f>
        <v>34.251999999999995</v>
      </c>
      <c r="J197" s="17">
        <f>34.2499 * CHOOSE(CONTROL!$C$9, $D$9, 100%, $F$9) + CHOOSE(CONTROL!$C$27, 0.0021, 0)</f>
        <v>34.251999999999995</v>
      </c>
      <c r="K197" s="17">
        <f>34.2499 * CHOOSE(CONTROL!$C$9, $D$9, 100%, $F$9) + CHOOSE(CONTROL!$C$27, 0.0021, 0)</f>
        <v>34.251999999999995</v>
      </c>
      <c r="L197" s="17"/>
    </row>
    <row r="198" spans="1:12" ht="15" x14ac:dyDescent="0.2">
      <c r="A198" s="16">
        <v>46935</v>
      </c>
      <c r="B198" s="17">
        <f>35.4005 * CHOOSE(CONTROL!$C$9, $D$9, 100%, $F$9) + CHOOSE(CONTROL!$C$27, 0.0021, 0)</f>
        <v>35.4026</v>
      </c>
      <c r="C198" s="17">
        <f>34.9682 * CHOOSE(CONTROL!$C$9, $D$9, 100%, $F$9) + CHOOSE(CONTROL!$C$27, 0.0021, 0)</f>
        <v>34.970300000000002</v>
      </c>
      <c r="D198" s="17">
        <f>34.9682 * CHOOSE(CONTROL!$C$9, $D$9, 100%, $F$9) + CHOOSE(CONTROL!$C$27, 0.0021, 0)</f>
        <v>34.970300000000002</v>
      </c>
      <c r="E198" s="17">
        <f>34.8315 * CHOOSE(CONTROL!$C$9, $D$9, 100%, $F$9) + CHOOSE(CONTROL!$C$27, 0.0021, 0)</f>
        <v>34.833599999999997</v>
      </c>
      <c r="F198" s="17">
        <f>34.8315 * CHOOSE(CONTROL!$C$9, $D$9, 100%, $F$9) + CHOOSE(CONTROL!$C$27, 0.0021, 0)</f>
        <v>34.833599999999997</v>
      </c>
      <c r="G198" s="17">
        <f>35.1029 * CHOOSE(CONTROL!$C$9, $D$9, 100%, $F$9) + CHOOSE(CONTROL!$C$27, 0.0021, 0)</f>
        <v>35.104999999999997</v>
      </c>
      <c r="H198" s="17">
        <f>34.9682 * CHOOSE(CONTROL!$C$9, $D$9, 100%, $F$9) + CHOOSE(CONTROL!$C$27, 0.0021, 0)</f>
        <v>34.970300000000002</v>
      </c>
      <c r="I198" s="17">
        <f>34.9682 * CHOOSE(CONTROL!$C$9, $D$9, 100%, $F$9) + CHOOSE(CONTROL!$C$27, 0.0021, 0)</f>
        <v>34.970300000000002</v>
      </c>
      <c r="J198" s="17">
        <f>34.9682 * CHOOSE(CONTROL!$C$9, $D$9, 100%, $F$9) + CHOOSE(CONTROL!$C$27, 0.0021, 0)</f>
        <v>34.970300000000002</v>
      </c>
      <c r="K198" s="17">
        <f>34.9682 * CHOOSE(CONTROL!$C$9, $D$9, 100%, $F$9) + CHOOSE(CONTROL!$C$27, 0.0021, 0)</f>
        <v>34.970300000000002</v>
      </c>
      <c r="L198" s="17"/>
    </row>
    <row r="199" spans="1:12" ht="15" x14ac:dyDescent="0.2">
      <c r="A199" s="16">
        <v>46966</v>
      </c>
      <c r="B199" s="17">
        <f>35.6679 * CHOOSE(CONTROL!$C$9, $D$9, 100%, $F$9) + CHOOSE(CONTROL!$C$27, 0.0021, 0)</f>
        <v>35.67</v>
      </c>
      <c r="C199" s="17">
        <f>35.2357 * CHOOSE(CONTROL!$C$9, $D$9, 100%, $F$9) + CHOOSE(CONTROL!$C$27, 0.0021, 0)</f>
        <v>35.2378</v>
      </c>
      <c r="D199" s="17">
        <f>35.2357 * CHOOSE(CONTROL!$C$9, $D$9, 100%, $F$9) + CHOOSE(CONTROL!$C$27, 0.0021, 0)</f>
        <v>35.2378</v>
      </c>
      <c r="E199" s="17">
        <f>35.099 * CHOOSE(CONTROL!$C$9, $D$9, 100%, $F$9) + CHOOSE(CONTROL!$C$27, 0.0021, 0)</f>
        <v>35.101099999999995</v>
      </c>
      <c r="F199" s="17">
        <f>35.099 * CHOOSE(CONTROL!$C$9, $D$9, 100%, $F$9) + CHOOSE(CONTROL!$C$27, 0.0021, 0)</f>
        <v>35.101099999999995</v>
      </c>
      <c r="G199" s="17">
        <f>35.3704 * CHOOSE(CONTROL!$C$9, $D$9, 100%, $F$9) + CHOOSE(CONTROL!$C$27, 0.0021, 0)</f>
        <v>35.372499999999995</v>
      </c>
      <c r="H199" s="17">
        <f>35.2357 * CHOOSE(CONTROL!$C$9, $D$9, 100%, $F$9) + CHOOSE(CONTROL!$C$27, 0.0021, 0)</f>
        <v>35.2378</v>
      </c>
      <c r="I199" s="17">
        <f>35.2357 * CHOOSE(CONTROL!$C$9, $D$9, 100%, $F$9) + CHOOSE(CONTROL!$C$27, 0.0021, 0)</f>
        <v>35.2378</v>
      </c>
      <c r="J199" s="17">
        <f>35.2357 * CHOOSE(CONTROL!$C$9, $D$9, 100%, $F$9) + CHOOSE(CONTROL!$C$27, 0.0021, 0)</f>
        <v>35.2378</v>
      </c>
      <c r="K199" s="17">
        <f>35.2357 * CHOOSE(CONTROL!$C$9, $D$9, 100%, $F$9) + CHOOSE(CONTROL!$C$27, 0.0021, 0)</f>
        <v>35.2378</v>
      </c>
      <c r="L199" s="17"/>
    </row>
    <row r="200" spans="1:12" ht="15" x14ac:dyDescent="0.2">
      <c r="A200" s="16">
        <v>46997</v>
      </c>
      <c r="B200" s="17">
        <f>36.4168 * CHOOSE(CONTROL!$C$9, $D$9, 100%, $F$9) + CHOOSE(CONTROL!$C$27, 0.0021, 0)</f>
        <v>36.418900000000001</v>
      </c>
      <c r="C200" s="17">
        <f>35.9845 * CHOOSE(CONTROL!$C$9, $D$9, 100%, $F$9) + CHOOSE(CONTROL!$C$27, 0.0021, 0)</f>
        <v>35.986599999999996</v>
      </c>
      <c r="D200" s="17">
        <f>35.9845 * CHOOSE(CONTROL!$C$9, $D$9, 100%, $F$9) + CHOOSE(CONTROL!$C$27, 0.0021, 0)</f>
        <v>35.986599999999996</v>
      </c>
      <c r="E200" s="17">
        <f>35.8479 * CHOOSE(CONTROL!$C$9, $D$9, 100%, $F$9) + CHOOSE(CONTROL!$C$27, 0.0021, 0)</f>
        <v>35.85</v>
      </c>
      <c r="F200" s="17">
        <f>35.8479 * CHOOSE(CONTROL!$C$9, $D$9, 100%, $F$9) + CHOOSE(CONTROL!$C$27, 0.0021, 0)</f>
        <v>35.85</v>
      </c>
      <c r="G200" s="17">
        <f>36.1193 * CHOOSE(CONTROL!$C$9, $D$9, 100%, $F$9) + CHOOSE(CONTROL!$C$27, 0.0021, 0)</f>
        <v>36.121400000000001</v>
      </c>
      <c r="H200" s="17">
        <f>35.9845 * CHOOSE(CONTROL!$C$9, $D$9, 100%, $F$9) + CHOOSE(CONTROL!$C$27, 0.0021, 0)</f>
        <v>35.986599999999996</v>
      </c>
      <c r="I200" s="17">
        <f>35.9845 * CHOOSE(CONTROL!$C$9, $D$9, 100%, $F$9) + CHOOSE(CONTROL!$C$27, 0.0021, 0)</f>
        <v>35.986599999999996</v>
      </c>
      <c r="J200" s="17">
        <f>35.9845 * CHOOSE(CONTROL!$C$9, $D$9, 100%, $F$9) + CHOOSE(CONTROL!$C$27, 0.0021, 0)</f>
        <v>35.986599999999996</v>
      </c>
      <c r="K200" s="17">
        <f>35.9845 * CHOOSE(CONTROL!$C$9, $D$9, 100%, $F$9) + CHOOSE(CONTROL!$C$27, 0.0021, 0)</f>
        <v>35.986599999999996</v>
      </c>
      <c r="L200" s="17"/>
    </row>
    <row r="201" spans="1:12" ht="15" x14ac:dyDescent="0.2">
      <c r="A201" s="16">
        <v>47027</v>
      </c>
      <c r="B201" s="17">
        <f>37.3497 * CHOOSE(CONTROL!$C$9, $D$9, 100%, $F$9) + CHOOSE(CONTROL!$C$27, 0.0021, 0)</f>
        <v>37.351799999999997</v>
      </c>
      <c r="C201" s="17">
        <f>36.9175 * CHOOSE(CONTROL!$C$9, $D$9, 100%, $F$9) + CHOOSE(CONTROL!$C$27, 0.0021, 0)</f>
        <v>36.919599999999996</v>
      </c>
      <c r="D201" s="17">
        <f>36.9175 * CHOOSE(CONTROL!$C$9, $D$9, 100%, $F$9) + CHOOSE(CONTROL!$C$27, 0.0021, 0)</f>
        <v>36.919599999999996</v>
      </c>
      <c r="E201" s="17">
        <f>36.7808 * CHOOSE(CONTROL!$C$9, $D$9, 100%, $F$9) + CHOOSE(CONTROL!$C$27, 0.0021, 0)</f>
        <v>36.782899999999998</v>
      </c>
      <c r="F201" s="17">
        <f>36.7808 * CHOOSE(CONTROL!$C$9, $D$9, 100%, $F$9) + CHOOSE(CONTROL!$C$27, 0.0021, 0)</f>
        <v>36.782899999999998</v>
      </c>
      <c r="G201" s="17">
        <f>37.0522 * CHOOSE(CONTROL!$C$9, $D$9, 100%, $F$9) + CHOOSE(CONTROL!$C$27, 0.0021, 0)</f>
        <v>37.054299999999998</v>
      </c>
      <c r="H201" s="17">
        <f>36.9175 * CHOOSE(CONTROL!$C$9, $D$9, 100%, $F$9) + CHOOSE(CONTROL!$C$27, 0.0021, 0)</f>
        <v>36.919599999999996</v>
      </c>
      <c r="I201" s="17">
        <f>36.9175 * CHOOSE(CONTROL!$C$9, $D$9, 100%, $F$9) + CHOOSE(CONTROL!$C$27, 0.0021, 0)</f>
        <v>36.919599999999996</v>
      </c>
      <c r="J201" s="17">
        <f>36.9175 * CHOOSE(CONTROL!$C$9, $D$9, 100%, $F$9) + CHOOSE(CONTROL!$C$27, 0.0021, 0)</f>
        <v>36.919599999999996</v>
      </c>
      <c r="K201" s="17">
        <f>36.9175 * CHOOSE(CONTROL!$C$9, $D$9, 100%, $F$9) + CHOOSE(CONTROL!$C$27, 0.0021, 0)</f>
        <v>36.919599999999996</v>
      </c>
      <c r="L201" s="17"/>
    </row>
    <row r="202" spans="1:12" ht="15" x14ac:dyDescent="0.2">
      <c r="A202" s="16">
        <v>47058</v>
      </c>
      <c r="B202" s="17">
        <f>37.5031 * CHOOSE(CONTROL!$C$9, $D$9, 100%, $F$9) + CHOOSE(CONTROL!$C$27, 0.0021, 0)</f>
        <v>37.505200000000002</v>
      </c>
      <c r="C202" s="17">
        <f>37.0708 * CHOOSE(CONTROL!$C$9, $D$9, 100%, $F$9) + CHOOSE(CONTROL!$C$27, 0.0021, 0)</f>
        <v>37.072899999999997</v>
      </c>
      <c r="D202" s="17">
        <f>37.0708 * CHOOSE(CONTROL!$C$9, $D$9, 100%, $F$9) + CHOOSE(CONTROL!$C$27, 0.0021, 0)</f>
        <v>37.072899999999997</v>
      </c>
      <c r="E202" s="17">
        <f>36.9342 * CHOOSE(CONTROL!$C$9, $D$9, 100%, $F$9) + CHOOSE(CONTROL!$C$27, 0.0021, 0)</f>
        <v>36.936299999999996</v>
      </c>
      <c r="F202" s="17">
        <f>36.9342 * CHOOSE(CONTROL!$C$9, $D$9, 100%, $F$9) + CHOOSE(CONTROL!$C$27, 0.0021, 0)</f>
        <v>36.936299999999996</v>
      </c>
      <c r="G202" s="17">
        <f>37.2056 * CHOOSE(CONTROL!$C$9, $D$9, 100%, $F$9) + CHOOSE(CONTROL!$C$27, 0.0021, 0)</f>
        <v>37.207699999999996</v>
      </c>
      <c r="H202" s="17">
        <f>37.0708 * CHOOSE(CONTROL!$C$9, $D$9, 100%, $F$9) + CHOOSE(CONTROL!$C$27, 0.0021, 0)</f>
        <v>37.072899999999997</v>
      </c>
      <c r="I202" s="17">
        <f>37.0708 * CHOOSE(CONTROL!$C$9, $D$9, 100%, $F$9) + CHOOSE(CONTROL!$C$27, 0.0021, 0)</f>
        <v>37.072899999999997</v>
      </c>
      <c r="J202" s="17">
        <f>37.0708 * CHOOSE(CONTROL!$C$9, $D$9, 100%, $F$9) + CHOOSE(CONTROL!$C$27, 0.0021, 0)</f>
        <v>37.072899999999997</v>
      </c>
      <c r="K202" s="17">
        <f>37.0708 * CHOOSE(CONTROL!$C$9, $D$9, 100%, $F$9) + CHOOSE(CONTROL!$C$27, 0.0021, 0)</f>
        <v>37.072899999999997</v>
      </c>
      <c r="L202" s="17"/>
    </row>
    <row r="203" spans="1:12" ht="15" x14ac:dyDescent="0.2">
      <c r="A203" s="16">
        <v>47088</v>
      </c>
      <c r="B203" s="17">
        <f>36.8838 * CHOOSE(CONTROL!$C$9, $D$9, 100%, $F$9) + CHOOSE(CONTROL!$C$27, 0.0021, 0)</f>
        <v>36.885899999999999</v>
      </c>
      <c r="C203" s="17">
        <f>36.4515 * CHOOSE(CONTROL!$C$9, $D$9, 100%, $F$9) + CHOOSE(CONTROL!$C$27, 0.0021, 0)</f>
        <v>36.453600000000002</v>
      </c>
      <c r="D203" s="17">
        <f>36.4515 * CHOOSE(CONTROL!$C$9, $D$9, 100%, $F$9) + CHOOSE(CONTROL!$C$27, 0.0021, 0)</f>
        <v>36.453600000000002</v>
      </c>
      <c r="E203" s="17">
        <f>36.3149 * CHOOSE(CONTROL!$C$9, $D$9, 100%, $F$9) + CHOOSE(CONTROL!$C$27, 0.0021, 0)</f>
        <v>36.317</v>
      </c>
      <c r="F203" s="17">
        <f>36.3149 * CHOOSE(CONTROL!$C$9, $D$9, 100%, $F$9) + CHOOSE(CONTROL!$C$27, 0.0021, 0)</f>
        <v>36.317</v>
      </c>
      <c r="G203" s="17">
        <f>36.5863 * CHOOSE(CONTROL!$C$9, $D$9, 100%, $F$9) + CHOOSE(CONTROL!$C$27, 0.0021, 0)</f>
        <v>36.5884</v>
      </c>
      <c r="H203" s="17">
        <f>36.4515 * CHOOSE(CONTROL!$C$9, $D$9, 100%, $F$9) + CHOOSE(CONTROL!$C$27, 0.0021, 0)</f>
        <v>36.453600000000002</v>
      </c>
      <c r="I203" s="17">
        <f>36.4515 * CHOOSE(CONTROL!$C$9, $D$9, 100%, $F$9) + CHOOSE(CONTROL!$C$27, 0.0021, 0)</f>
        <v>36.453600000000002</v>
      </c>
      <c r="J203" s="17">
        <f>36.4515 * CHOOSE(CONTROL!$C$9, $D$9, 100%, $F$9) + CHOOSE(CONTROL!$C$27, 0.0021, 0)</f>
        <v>36.453600000000002</v>
      </c>
      <c r="K203" s="17">
        <f>36.4515 * CHOOSE(CONTROL!$C$9, $D$9, 100%, $F$9) + CHOOSE(CONTROL!$C$27, 0.0021, 0)</f>
        <v>36.453600000000002</v>
      </c>
      <c r="L203" s="17"/>
    </row>
    <row r="204" spans="1:12" ht="15" x14ac:dyDescent="0.2">
      <c r="A204" s="16">
        <v>47119</v>
      </c>
      <c r="B204" s="17">
        <f>35.8509 * CHOOSE(CONTROL!$C$9, $D$9, 100%, $F$9) + CHOOSE(CONTROL!$C$27, 0.0021, 0)</f>
        <v>35.853000000000002</v>
      </c>
      <c r="C204" s="17">
        <f>35.4187 * CHOOSE(CONTROL!$C$9, $D$9, 100%, $F$9) + CHOOSE(CONTROL!$C$27, 0.0021, 0)</f>
        <v>35.4208</v>
      </c>
      <c r="D204" s="17">
        <f>35.4187 * CHOOSE(CONTROL!$C$9, $D$9, 100%, $F$9) + CHOOSE(CONTROL!$C$27, 0.0021, 0)</f>
        <v>35.4208</v>
      </c>
      <c r="E204" s="17">
        <f>35.282 * CHOOSE(CONTROL!$C$9, $D$9, 100%, $F$9) + CHOOSE(CONTROL!$C$27, 0.0021, 0)</f>
        <v>35.284099999999995</v>
      </c>
      <c r="F204" s="17">
        <f>35.282 * CHOOSE(CONTROL!$C$9, $D$9, 100%, $F$9) + CHOOSE(CONTROL!$C$27, 0.0021, 0)</f>
        <v>35.284099999999995</v>
      </c>
      <c r="G204" s="17">
        <f>35.5534 * CHOOSE(CONTROL!$C$9, $D$9, 100%, $F$9) + CHOOSE(CONTROL!$C$27, 0.0021, 0)</f>
        <v>35.555500000000002</v>
      </c>
      <c r="H204" s="17">
        <f>35.4187 * CHOOSE(CONTROL!$C$9, $D$9, 100%, $F$9) + CHOOSE(CONTROL!$C$27, 0.0021, 0)</f>
        <v>35.4208</v>
      </c>
      <c r="I204" s="17">
        <f>35.4187 * CHOOSE(CONTROL!$C$9, $D$9, 100%, $F$9) + CHOOSE(CONTROL!$C$27, 0.0021, 0)</f>
        <v>35.4208</v>
      </c>
      <c r="J204" s="17">
        <f>35.4187 * CHOOSE(CONTROL!$C$9, $D$9, 100%, $F$9) + CHOOSE(CONTROL!$C$27, 0.0021, 0)</f>
        <v>35.4208</v>
      </c>
      <c r="K204" s="17">
        <f>35.4187 * CHOOSE(CONTROL!$C$9, $D$9, 100%, $F$9) + CHOOSE(CONTROL!$C$27, 0.0021, 0)</f>
        <v>35.4208</v>
      </c>
      <c r="L204" s="17"/>
    </row>
    <row r="205" spans="1:12" ht="15" x14ac:dyDescent="0.2">
      <c r="A205" s="16">
        <v>47150</v>
      </c>
      <c r="B205" s="17">
        <f>34.9689 * CHOOSE(CONTROL!$C$9, $D$9, 100%, $F$9) + CHOOSE(CONTROL!$C$27, 0.0021, 0)</f>
        <v>34.970999999999997</v>
      </c>
      <c r="C205" s="17">
        <f>34.5366 * CHOOSE(CONTROL!$C$9, $D$9, 100%, $F$9) + CHOOSE(CONTROL!$C$27, 0.0021, 0)</f>
        <v>34.538699999999999</v>
      </c>
      <c r="D205" s="17">
        <f>34.5366 * CHOOSE(CONTROL!$C$9, $D$9, 100%, $F$9) + CHOOSE(CONTROL!$C$27, 0.0021, 0)</f>
        <v>34.538699999999999</v>
      </c>
      <c r="E205" s="17">
        <f>34.4 * CHOOSE(CONTROL!$C$9, $D$9, 100%, $F$9) + CHOOSE(CONTROL!$C$27, 0.0021, 0)</f>
        <v>34.402099999999997</v>
      </c>
      <c r="F205" s="17">
        <f>34.4 * CHOOSE(CONTROL!$C$9, $D$9, 100%, $F$9) + CHOOSE(CONTROL!$C$27, 0.0021, 0)</f>
        <v>34.402099999999997</v>
      </c>
      <c r="G205" s="17">
        <f>34.6714 * CHOOSE(CONTROL!$C$9, $D$9, 100%, $F$9) + CHOOSE(CONTROL!$C$27, 0.0021, 0)</f>
        <v>34.673499999999997</v>
      </c>
      <c r="H205" s="17">
        <f>34.5366 * CHOOSE(CONTROL!$C$9, $D$9, 100%, $F$9) + CHOOSE(CONTROL!$C$27, 0.0021, 0)</f>
        <v>34.538699999999999</v>
      </c>
      <c r="I205" s="17">
        <f>34.5366 * CHOOSE(CONTROL!$C$9, $D$9, 100%, $F$9) + CHOOSE(CONTROL!$C$27, 0.0021, 0)</f>
        <v>34.538699999999999</v>
      </c>
      <c r="J205" s="17">
        <f>34.5366 * CHOOSE(CONTROL!$C$9, $D$9, 100%, $F$9) + CHOOSE(CONTROL!$C$27, 0.0021, 0)</f>
        <v>34.538699999999999</v>
      </c>
      <c r="K205" s="17">
        <f>34.5366 * CHOOSE(CONTROL!$C$9, $D$9, 100%, $F$9) + CHOOSE(CONTROL!$C$27, 0.0021, 0)</f>
        <v>34.538699999999999</v>
      </c>
      <c r="L205" s="17"/>
    </row>
    <row r="206" spans="1:12" ht="15" x14ac:dyDescent="0.2">
      <c r="A206" s="16">
        <v>47178</v>
      </c>
      <c r="B206" s="17">
        <f>34.6427 * CHOOSE(CONTROL!$C$9, $D$9, 100%, $F$9) + CHOOSE(CONTROL!$C$27, 0.0021, 0)</f>
        <v>34.644799999999996</v>
      </c>
      <c r="C206" s="17">
        <f>34.2105 * CHOOSE(CONTROL!$C$9, $D$9, 100%, $F$9) + CHOOSE(CONTROL!$C$27, 0.0021, 0)</f>
        <v>34.212600000000002</v>
      </c>
      <c r="D206" s="17">
        <f>34.2105 * CHOOSE(CONTROL!$C$9, $D$9, 100%, $F$9) + CHOOSE(CONTROL!$C$27, 0.0021, 0)</f>
        <v>34.212600000000002</v>
      </c>
      <c r="E206" s="17">
        <f>34.0738 * CHOOSE(CONTROL!$C$9, $D$9, 100%, $F$9) + CHOOSE(CONTROL!$C$27, 0.0021, 0)</f>
        <v>34.075899999999997</v>
      </c>
      <c r="F206" s="17">
        <f>34.0738 * CHOOSE(CONTROL!$C$9, $D$9, 100%, $F$9) + CHOOSE(CONTROL!$C$27, 0.0021, 0)</f>
        <v>34.075899999999997</v>
      </c>
      <c r="G206" s="17">
        <f>34.3452 * CHOOSE(CONTROL!$C$9, $D$9, 100%, $F$9) + CHOOSE(CONTROL!$C$27, 0.0021, 0)</f>
        <v>34.347299999999997</v>
      </c>
      <c r="H206" s="17">
        <f>34.2105 * CHOOSE(CONTROL!$C$9, $D$9, 100%, $F$9) + CHOOSE(CONTROL!$C$27, 0.0021, 0)</f>
        <v>34.212600000000002</v>
      </c>
      <c r="I206" s="17">
        <f>34.2105 * CHOOSE(CONTROL!$C$9, $D$9, 100%, $F$9) + CHOOSE(CONTROL!$C$27, 0.0021, 0)</f>
        <v>34.212600000000002</v>
      </c>
      <c r="J206" s="17">
        <f>34.2105 * CHOOSE(CONTROL!$C$9, $D$9, 100%, $F$9) + CHOOSE(CONTROL!$C$27, 0.0021, 0)</f>
        <v>34.212600000000002</v>
      </c>
      <c r="K206" s="17">
        <f>34.2105 * CHOOSE(CONTROL!$C$9, $D$9, 100%, $F$9) + CHOOSE(CONTROL!$C$27, 0.0021, 0)</f>
        <v>34.212600000000002</v>
      </c>
      <c r="L206" s="17"/>
    </row>
    <row r="207" spans="1:12" ht="15" x14ac:dyDescent="0.2">
      <c r="A207" s="16">
        <v>47209</v>
      </c>
      <c r="B207" s="17">
        <f>34.2386 * CHOOSE(CONTROL!$C$9, $D$9, 100%, $F$9) + CHOOSE(CONTROL!$C$27, 0.0021, 0)</f>
        <v>34.240699999999997</v>
      </c>
      <c r="C207" s="17">
        <f>33.8064 * CHOOSE(CONTROL!$C$9, $D$9, 100%, $F$9) + CHOOSE(CONTROL!$C$27, 0.0021, 0)</f>
        <v>33.808499999999995</v>
      </c>
      <c r="D207" s="17">
        <f>33.8064 * CHOOSE(CONTROL!$C$9, $D$9, 100%, $F$9) + CHOOSE(CONTROL!$C$27, 0.0021, 0)</f>
        <v>33.808499999999995</v>
      </c>
      <c r="E207" s="17">
        <f>33.6697 * CHOOSE(CONTROL!$C$9, $D$9, 100%, $F$9) + CHOOSE(CONTROL!$C$27, 0.0021, 0)</f>
        <v>33.671799999999998</v>
      </c>
      <c r="F207" s="17">
        <f>33.6697 * CHOOSE(CONTROL!$C$9, $D$9, 100%, $F$9) + CHOOSE(CONTROL!$C$27, 0.0021, 0)</f>
        <v>33.671799999999998</v>
      </c>
      <c r="G207" s="17">
        <f>33.9411 * CHOOSE(CONTROL!$C$9, $D$9, 100%, $F$9) + CHOOSE(CONTROL!$C$27, 0.0021, 0)</f>
        <v>33.943199999999997</v>
      </c>
      <c r="H207" s="17">
        <f>33.8064 * CHOOSE(CONTROL!$C$9, $D$9, 100%, $F$9) + CHOOSE(CONTROL!$C$27, 0.0021, 0)</f>
        <v>33.808499999999995</v>
      </c>
      <c r="I207" s="17">
        <f>33.8064 * CHOOSE(CONTROL!$C$9, $D$9, 100%, $F$9) + CHOOSE(CONTROL!$C$27, 0.0021, 0)</f>
        <v>33.808499999999995</v>
      </c>
      <c r="J207" s="17">
        <f>33.8064 * CHOOSE(CONTROL!$C$9, $D$9, 100%, $F$9) + CHOOSE(CONTROL!$C$27, 0.0021, 0)</f>
        <v>33.808499999999995</v>
      </c>
      <c r="K207" s="17">
        <f>33.8064 * CHOOSE(CONTROL!$C$9, $D$9, 100%, $F$9) + CHOOSE(CONTROL!$C$27, 0.0021, 0)</f>
        <v>33.808499999999995</v>
      </c>
      <c r="L207" s="17"/>
    </row>
    <row r="208" spans="1:12" ht="15" x14ac:dyDescent="0.2">
      <c r="A208" s="16">
        <v>47239</v>
      </c>
      <c r="B208" s="17">
        <f>34.9767 * CHOOSE(CONTROL!$C$9, $D$9, 100%, $F$9) + CHOOSE(CONTROL!$C$27, 0.0021, 0)</f>
        <v>34.9788</v>
      </c>
      <c r="C208" s="17">
        <f>34.5444 * CHOOSE(CONTROL!$C$9, $D$9, 100%, $F$9) + CHOOSE(CONTROL!$C$27, 0.0021, 0)</f>
        <v>34.546500000000002</v>
      </c>
      <c r="D208" s="17">
        <f>34.5444 * CHOOSE(CONTROL!$C$9, $D$9, 100%, $F$9) + CHOOSE(CONTROL!$C$27, 0.0021, 0)</f>
        <v>34.546500000000002</v>
      </c>
      <c r="E208" s="17">
        <f>34.4078 * CHOOSE(CONTROL!$C$9, $D$9, 100%, $F$9) + CHOOSE(CONTROL!$C$27, 0.0021, 0)</f>
        <v>34.4099</v>
      </c>
      <c r="F208" s="17">
        <f>34.4078 * CHOOSE(CONTROL!$C$9, $D$9, 100%, $F$9) + CHOOSE(CONTROL!$C$27, 0.0021, 0)</f>
        <v>34.4099</v>
      </c>
      <c r="G208" s="17">
        <f>34.6792 * CHOOSE(CONTROL!$C$9, $D$9, 100%, $F$9) + CHOOSE(CONTROL!$C$27, 0.0021, 0)</f>
        <v>34.6813</v>
      </c>
      <c r="H208" s="17">
        <f>34.5444 * CHOOSE(CONTROL!$C$9, $D$9, 100%, $F$9) + CHOOSE(CONTROL!$C$27, 0.0021, 0)</f>
        <v>34.546500000000002</v>
      </c>
      <c r="I208" s="17">
        <f>34.5444 * CHOOSE(CONTROL!$C$9, $D$9, 100%, $F$9) + CHOOSE(CONTROL!$C$27, 0.0021, 0)</f>
        <v>34.546500000000002</v>
      </c>
      <c r="J208" s="17">
        <f>34.5444 * CHOOSE(CONTROL!$C$9, $D$9, 100%, $F$9) + CHOOSE(CONTROL!$C$27, 0.0021, 0)</f>
        <v>34.546500000000002</v>
      </c>
      <c r="K208" s="17">
        <f>34.5444 * CHOOSE(CONTROL!$C$9, $D$9, 100%, $F$9) + CHOOSE(CONTROL!$C$27, 0.0021, 0)</f>
        <v>34.546500000000002</v>
      </c>
      <c r="L208" s="17"/>
    </row>
    <row r="209" spans="1:12" ht="15" x14ac:dyDescent="0.2">
      <c r="A209" s="16">
        <v>47270</v>
      </c>
      <c r="B209" s="17">
        <f>35.4475 * CHOOSE(CONTROL!$C$9, $D$9, 100%, $F$9) + CHOOSE(CONTROL!$C$27, 0.0021, 0)</f>
        <v>35.449599999999997</v>
      </c>
      <c r="C209" s="17">
        <f>35.0153 * CHOOSE(CONTROL!$C$9, $D$9, 100%, $F$9) + CHOOSE(CONTROL!$C$27, 0.0021, 0)</f>
        <v>35.017400000000002</v>
      </c>
      <c r="D209" s="17">
        <f>35.0153 * CHOOSE(CONTROL!$C$9, $D$9, 100%, $F$9) + CHOOSE(CONTROL!$C$27, 0.0021, 0)</f>
        <v>35.017400000000002</v>
      </c>
      <c r="E209" s="17">
        <f>34.8786 * CHOOSE(CONTROL!$C$9, $D$9, 100%, $F$9) + CHOOSE(CONTROL!$C$27, 0.0021, 0)</f>
        <v>34.880699999999997</v>
      </c>
      <c r="F209" s="17">
        <f>34.8786 * CHOOSE(CONTROL!$C$9, $D$9, 100%, $F$9) + CHOOSE(CONTROL!$C$27, 0.0021, 0)</f>
        <v>34.880699999999997</v>
      </c>
      <c r="G209" s="17">
        <f>35.15 * CHOOSE(CONTROL!$C$9, $D$9, 100%, $F$9) + CHOOSE(CONTROL!$C$27, 0.0021, 0)</f>
        <v>35.152099999999997</v>
      </c>
      <c r="H209" s="17">
        <f>35.0153 * CHOOSE(CONTROL!$C$9, $D$9, 100%, $F$9) + CHOOSE(CONTROL!$C$27, 0.0021, 0)</f>
        <v>35.017400000000002</v>
      </c>
      <c r="I209" s="17">
        <f>35.0153 * CHOOSE(CONTROL!$C$9, $D$9, 100%, $F$9) + CHOOSE(CONTROL!$C$27, 0.0021, 0)</f>
        <v>35.017400000000002</v>
      </c>
      <c r="J209" s="17">
        <f>35.0153 * CHOOSE(CONTROL!$C$9, $D$9, 100%, $F$9) + CHOOSE(CONTROL!$C$27, 0.0021, 0)</f>
        <v>35.017400000000002</v>
      </c>
      <c r="K209" s="17">
        <f>35.0153 * CHOOSE(CONTROL!$C$9, $D$9, 100%, $F$9) + CHOOSE(CONTROL!$C$27, 0.0021, 0)</f>
        <v>35.017400000000002</v>
      </c>
      <c r="L209" s="17"/>
    </row>
    <row r="210" spans="1:12" ht="15" x14ac:dyDescent="0.2">
      <c r="A210" s="16">
        <v>47300</v>
      </c>
      <c r="B210" s="17">
        <f>36.1828 * CHOOSE(CONTROL!$C$9, $D$9, 100%, $F$9) + CHOOSE(CONTROL!$C$27, 0.0021, 0)</f>
        <v>36.184899999999999</v>
      </c>
      <c r="C210" s="17">
        <f>35.7505 * CHOOSE(CONTROL!$C$9, $D$9, 100%, $F$9) + CHOOSE(CONTROL!$C$27, 0.0021, 0)</f>
        <v>35.752600000000001</v>
      </c>
      <c r="D210" s="17">
        <f>35.7505 * CHOOSE(CONTROL!$C$9, $D$9, 100%, $F$9) + CHOOSE(CONTROL!$C$27, 0.0021, 0)</f>
        <v>35.752600000000001</v>
      </c>
      <c r="E210" s="17">
        <f>35.6139 * CHOOSE(CONTROL!$C$9, $D$9, 100%, $F$9) + CHOOSE(CONTROL!$C$27, 0.0021, 0)</f>
        <v>35.616</v>
      </c>
      <c r="F210" s="17">
        <f>35.6139 * CHOOSE(CONTROL!$C$9, $D$9, 100%, $F$9) + CHOOSE(CONTROL!$C$27, 0.0021, 0)</f>
        <v>35.616</v>
      </c>
      <c r="G210" s="17">
        <f>35.8853 * CHOOSE(CONTROL!$C$9, $D$9, 100%, $F$9) + CHOOSE(CONTROL!$C$27, 0.0021, 0)</f>
        <v>35.8874</v>
      </c>
      <c r="H210" s="17">
        <f>35.7505 * CHOOSE(CONTROL!$C$9, $D$9, 100%, $F$9) + CHOOSE(CONTROL!$C$27, 0.0021, 0)</f>
        <v>35.752600000000001</v>
      </c>
      <c r="I210" s="17">
        <f>35.7505 * CHOOSE(CONTROL!$C$9, $D$9, 100%, $F$9) + CHOOSE(CONTROL!$C$27, 0.0021, 0)</f>
        <v>35.752600000000001</v>
      </c>
      <c r="J210" s="17">
        <f>35.7505 * CHOOSE(CONTROL!$C$9, $D$9, 100%, $F$9) + CHOOSE(CONTROL!$C$27, 0.0021, 0)</f>
        <v>35.752600000000001</v>
      </c>
      <c r="K210" s="17">
        <f>35.7505 * CHOOSE(CONTROL!$C$9, $D$9, 100%, $F$9) + CHOOSE(CONTROL!$C$27, 0.0021, 0)</f>
        <v>35.752600000000001</v>
      </c>
      <c r="L210" s="17"/>
    </row>
    <row r="211" spans="1:12" ht="15" x14ac:dyDescent="0.2">
      <c r="A211" s="16">
        <v>47331</v>
      </c>
      <c r="B211" s="17">
        <f>36.4566 * CHOOSE(CONTROL!$C$9, $D$9, 100%, $F$9) + CHOOSE(CONTROL!$C$27, 0.0021, 0)</f>
        <v>36.4587</v>
      </c>
      <c r="C211" s="17">
        <f>36.0243 * CHOOSE(CONTROL!$C$9, $D$9, 100%, $F$9) + CHOOSE(CONTROL!$C$27, 0.0021, 0)</f>
        <v>36.026399999999995</v>
      </c>
      <c r="D211" s="17">
        <f>36.0243 * CHOOSE(CONTROL!$C$9, $D$9, 100%, $F$9) + CHOOSE(CONTROL!$C$27, 0.0021, 0)</f>
        <v>36.026399999999995</v>
      </c>
      <c r="E211" s="17">
        <f>35.8877 * CHOOSE(CONTROL!$C$9, $D$9, 100%, $F$9) + CHOOSE(CONTROL!$C$27, 0.0021, 0)</f>
        <v>35.889800000000001</v>
      </c>
      <c r="F211" s="17">
        <f>35.8877 * CHOOSE(CONTROL!$C$9, $D$9, 100%, $F$9) + CHOOSE(CONTROL!$C$27, 0.0021, 0)</f>
        <v>35.889800000000001</v>
      </c>
      <c r="G211" s="17">
        <f>36.1591 * CHOOSE(CONTROL!$C$9, $D$9, 100%, $F$9) + CHOOSE(CONTROL!$C$27, 0.0021, 0)</f>
        <v>36.161200000000001</v>
      </c>
      <c r="H211" s="17">
        <f>36.0243 * CHOOSE(CONTROL!$C$9, $D$9, 100%, $F$9) + CHOOSE(CONTROL!$C$27, 0.0021, 0)</f>
        <v>36.026399999999995</v>
      </c>
      <c r="I211" s="17">
        <f>36.0243 * CHOOSE(CONTROL!$C$9, $D$9, 100%, $F$9) + CHOOSE(CONTROL!$C$27, 0.0021, 0)</f>
        <v>36.026399999999995</v>
      </c>
      <c r="J211" s="17">
        <f>36.0243 * CHOOSE(CONTROL!$C$9, $D$9, 100%, $F$9) + CHOOSE(CONTROL!$C$27, 0.0021, 0)</f>
        <v>36.026399999999995</v>
      </c>
      <c r="K211" s="17">
        <f>36.0243 * CHOOSE(CONTROL!$C$9, $D$9, 100%, $F$9) + CHOOSE(CONTROL!$C$27, 0.0021, 0)</f>
        <v>36.026399999999995</v>
      </c>
      <c r="L211" s="17"/>
    </row>
    <row r="212" spans="1:12" ht="15" x14ac:dyDescent="0.2">
      <c r="A212" s="16">
        <v>47362</v>
      </c>
      <c r="B212" s="17">
        <f>37.2231 * CHOOSE(CONTROL!$C$9, $D$9, 100%, $F$9) + CHOOSE(CONTROL!$C$27, 0.0021, 0)</f>
        <v>37.225200000000001</v>
      </c>
      <c r="C212" s="17">
        <f>36.7909 * CHOOSE(CONTROL!$C$9, $D$9, 100%, $F$9) + CHOOSE(CONTROL!$C$27, 0.0021, 0)</f>
        <v>36.792999999999999</v>
      </c>
      <c r="D212" s="17">
        <f>36.7909 * CHOOSE(CONTROL!$C$9, $D$9, 100%, $F$9) + CHOOSE(CONTROL!$C$27, 0.0021, 0)</f>
        <v>36.792999999999999</v>
      </c>
      <c r="E212" s="17">
        <f>36.6542 * CHOOSE(CONTROL!$C$9, $D$9, 100%, $F$9) + CHOOSE(CONTROL!$C$27, 0.0021, 0)</f>
        <v>36.656300000000002</v>
      </c>
      <c r="F212" s="17">
        <f>36.6542 * CHOOSE(CONTROL!$C$9, $D$9, 100%, $F$9) + CHOOSE(CONTROL!$C$27, 0.0021, 0)</f>
        <v>36.656300000000002</v>
      </c>
      <c r="G212" s="17">
        <f>36.9256 * CHOOSE(CONTROL!$C$9, $D$9, 100%, $F$9) + CHOOSE(CONTROL!$C$27, 0.0021, 0)</f>
        <v>36.927700000000002</v>
      </c>
      <c r="H212" s="17">
        <f>36.7909 * CHOOSE(CONTROL!$C$9, $D$9, 100%, $F$9) + CHOOSE(CONTROL!$C$27, 0.0021, 0)</f>
        <v>36.792999999999999</v>
      </c>
      <c r="I212" s="17">
        <f>36.7909 * CHOOSE(CONTROL!$C$9, $D$9, 100%, $F$9) + CHOOSE(CONTROL!$C$27, 0.0021, 0)</f>
        <v>36.792999999999999</v>
      </c>
      <c r="J212" s="17">
        <f>36.7909 * CHOOSE(CONTROL!$C$9, $D$9, 100%, $F$9) + CHOOSE(CONTROL!$C$27, 0.0021, 0)</f>
        <v>36.792999999999999</v>
      </c>
      <c r="K212" s="17">
        <f>36.7909 * CHOOSE(CONTROL!$C$9, $D$9, 100%, $F$9) + CHOOSE(CONTROL!$C$27, 0.0021, 0)</f>
        <v>36.792999999999999</v>
      </c>
      <c r="L212" s="17"/>
    </row>
    <row r="213" spans="1:12" ht="15" x14ac:dyDescent="0.2">
      <c r="A213" s="16">
        <v>47392</v>
      </c>
      <c r="B213" s="17">
        <f>38.1781 * CHOOSE(CONTROL!$C$9, $D$9, 100%, $F$9) + CHOOSE(CONTROL!$C$27, 0.0021, 0)</f>
        <v>38.180199999999999</v>
      </c>
      <c r="C213" s="17">
        <f>37.7459 * CHOOSE(CONTROL!$C$9, $D$9, 100%, $F$9) + CHOOSE(CONTROL!$C$27, 0.0021, 0)</f>
        <v>37.747999999999998</v>
      </c>
      <c r="D213" s="17">
        <f>37.7459 * CHOOSE(CONTROL!$C$9, $D$9, 100%, $F$9) + CHOOSE(CONTROL!$C$27, 0.0021, 0)</f>
        <v>37.747999999999998</v>
      </c>
      <c r="E213" s="17">
        <f>37.6092 * CHOOSE(CONTROL!$C$9, $D$9, 100%, $F$9) + CHOOSE(CONTROL!$C$27, 0.0021, 0)</f>
        <v>37.6113</v>
      </c>
      <c r="F213" s="17">
        <f>37.6092 * CHOOSE(CONTROL!$C$9, $D$9, 100%, $F$9) + CHOOSE(CONTROL!$C$27, 0.0021, 0)</f>
        <v>37.6113</v>
      </c>
      <c r="G213" s="17">
        <f>37.8806 * CHOOSE(CONTROL!$C$9, $D$9, 100%, $F$9) + CHOOSE(CONTROL!$C$27, 0.0021, 0)</f>
        <v>37.8827</v>
      </c>
      <c r="H213" s="17">
        <f>37.7459 * CHOOSE(CONTROL!$C$9, $D$9, 100%, $F$9) + CHOOSE(CONTROL!$C$27, 0.0021, 0)</f>
        <v>37.747999999999998</v>
      </c>
      <c r="I213" s="17">
        <f>37.7459 * CHOOSE(CONTROL!$C$9, $D$9, 100%, $F$9) + CHOOSE(CONTROL!$C$27, 0.0021, 0)</f>
        <v>37.747999999999998</v>
      </c>
      <c r="J213" s="17">
        <f>37.7459 * CHOOSE(CONTROL!$C$9, $D$9, 100%, $F$9) + CHOOSE(CONTROL!$C$27, 0.0021, 0)</f>
        <v>37.747999999999998</v>
      </c>
      <c r="K213" s="17">
        <f>37.7459 * CHOOSE(CONTROL!$C$9, $D$9, 100%, $F$9) + CHOOSE(CONTROL!$C$27, 0.0021, 0)</f>
        <v>37.747999999999998</v>
      </c>
      <c r="L213" s="17"/>
    </row>
    <row r="214" spans="1:12" ht="15" x14ac:dyDescent="0.2">
      <c r="A214" s="16">
        <v>47423</v>
      </c>
      <c r="B214" s="17">
        <f>38.3351 * CHOOSE(CONTROL!$C$9, $D$9, 100%, $F$9) + CHOOSE(CONTROL!$C$27, 0.0021, 0)</f>
        <v>38.337199999999996</v>
      </c>
      <c r="C214" s="17">
        <f>37.9029 * CHOOSE(CONTROL!$C$9, $D$9, 100%, $F$9) + CHOOSE(CONTROL!$C$27, 0.0021, 0)</f>
        <v>37.905000000000001</v>
      </c>
      <c r="D214" s="17">
        <f>37.9029 * CHOOSE(CONTROL!$C$9, $D$9, 100%, $F$9) + CHOOSE(CONTROL!$C$27, 0.0021, 0)</f>
        <v>37.905000000000001</v>
      </c>
      <c r="E214" s="17">
        <f>37.7662 * CHOOSE(CONTROL!$C$9, $D$9, 100%, $F$9) + CHOOSE(CONTROL!$C$27, 0.0021, 0)</f>
        <v>37.768299999999996</v>
      </c>
      <c r="F214" s="17">
        <f>37.7662 * CHOOSE(CONTROL!$C$9, $D$9, 100%, $F$9) + CHOOSE(CONTROL!$C$27, 0.0021, 0)</f>
        <v>37.768299999999996</v>
      </c>
      <c r="G214" s="17">
        <f>38.0376 * CHOOSE(CONTROL!$C$9, $D$9, 100%, $F$9) + CHOOSE(CONTROL!$C$27, 0.0021, 0)</f>
        <v>38.039699999999996</v>
      </c>
      <c r="H214" s="17">
        <f>37.9029 * CHOOSE(CONTROL!$C$9, $D$9, 100%, $F$9) + CHOOSE(CONTROL!$C$27, 0.0021, 0)</f>
        <v>37.905000000000001</v>
      </c>
      <c r="I214" s="17">
        <f>37.9029 * CHOOSE(CONTROL!$C$9, $D$9, 100%, $F$9) + CHOOSE(CONTROL!$C$27, 0.0021, 0)</f>
        <v>37.905000000000001</v>
      </c>
      <c r="J214" s="17">
        <f>37.9029 * CHOOSE(CONTROL!$C$9, $D$9, 100%, $F$9) + CHOOSE(CONTROL!$C$27, 0.0021, 0)</f>
        <v>37.905000000000001</v>
      </c>
      <c r="K214" s="17">
        <f>37.9029 * CHOOSE(CONTROL!$C$9, $D$9, 100%, $F$9) + CHOOSE(CONTROL!$C$27, 0.0021, 0)</f>
        <v>37.905000000000001</v>
      </c>
      <c r="L214" s="17"/>
    </row>
    <row r="215" spans="1:12" ht="15" x14ac:dyDescent="0.2">
      <c r="A215" s="16">
        <v>47453</v>
      </c>
      <c r="B215" s="17">
        <f>37.7012 * CHOOSE(CONTROL!$C$9, $D$9, 100%, $F$9) + CHOOSE(CONTROL!$C$27, 0.0021, 0)</f>
        <v>37.703299999999999</v>
      </c>
      <c r="C215" s="17">
        <f>37.2689 * CHOOSE(CONTROL!$C$9, $D$9, 100%, $F$9) + CHOOSE(CONTROL!$C$27, 0.0021, 0)</f>
        <v>37.271000000000001</v>
      </c>
      <c r="D215" s="17">
        <f>37.2689 * CHOOSE(CONTROL!$C$9, $D$9, 100%, $F$9) + CHOOSE(CONTROL!$C$27, 0.0021, 0)</f>
        <v>37.271000000000001</v>
      </c>
      <c r="E215" s="17">
        <f>37.1323 * CHOOSE(CONTROL!$C$9, $D$9, 100%, $F$9) + CHOOSE(CONTROL!$C$27, 0.0021, 0)</f>
        <v>37.134399999999999</v>
      </c>
      <c r="F215" s="17">
        <f>37.1323 * CHOOSE(CONTROL!$C$9, $D$9, 100%, $F$9) + CHOOSE(CONTROL!$C$27, 0.0021, 0)</f>
        <v>37.134399999999999</v>
      </c>
      <c r="G215" s="17">
        <f>37.4036 * CHOOSE(CONTROL!$C$9, $D$9, 100%, $F$9) + CHOOSE(CONTROL!$C$27, 0.0021, 0)</f>
        <v>37.405699999999996</v>
      </c>
      <c r="H215" s="17">
        <f>37.2689 * CHOOSE(CONTROL!$C$9, $D$9, 100%, $F$9) + CHOOSE(CONTROL!$C$27, 0.0021, 0)</f>
        <v>37.271000000000001</v>
      </c>
      <c r="I215" s="17">
        <f>37.2689 * CHOOSE(CONTROL!$C$9, $D$9, 100%, $F$9) + CHOOSE(CONTROL!$C$27, 0.0021, 0)</f>
        <v>37.271000000000001</v>
      </c>
      <c r="J215" s="17">
        <f>37.2689 * CHOOSE(CONTROL!$C$9, $D$9, 100%, $F$9) + CHOOSE(CONTROL!$C$27, 0.0021, 0)</f>
        <v>37.271000000000001</v>
      </c>
      <c r="K215" s="17">
        <f>37.2689 * CHOOSE(CONTROL!$C$9, $D$9, 100%, $F$9) + CHOOSE(CONTROL!$C$27, 0.0021, 0)</f>
        <v>37.271000000000001</v>
      </c>
      <c r="L215" s="17"/>
    </row>
    <row r="216" spans="1:12" ht="15" x14ac:dyDescent="0.2">
      <c r="A216" s="16">
        <v>47484</v>
      </c>
      <c r="B216" s="17">
        <f>36.6258 * CHOOSE(CONTROL!$C$9, $D$9, 100%, $F$9) + CHOOSE(CONTROL!$C$27, 0.0021, 0)</f>
        <v>36.627899999999997</v>
      </c>
      <c r="C216" s="17">
        <f>36.1936 * CHOOSE(CONTROL!$C$9, $D$9, 100%, $F$9) + CHOOSE(CONTROL!$C$27, 0.0021, 0)</f>
        <v>36.195700000000002</v>
      </c>
      <c r="D216" s="17">
        <f>36.1936 * CHOOSE(CONTROL!$C$9, $D$9, 100%, $F$9) + CHOOSE(CONTROL!$C$27, 0.0021, 0)</f>
        <v>36.195700000000002</v>
      </c>
      <c r="E216" s="17">
        <f>36.0569 * CHOOSE(CONTROL!$C$9, $D$9, 100%, $F$9) + CHOOSE(CONTROL!$C$27, 0.0021, 0)</f>
        <v>36.058999999999997</v>
      </c>
      <c r="F216" s="17">
        <f>36.0569 * CHOOSE(CONTROL!$C$9, $D$9, 100%, $F$9) + CHOOSE(CONTROL!$C$27, 0.0021, 0)</f>
        <v>36.058999999999997</v>
      </c>
      <c r="G216" s="17">
        <f>36.3283 * CHOOSE(CONTROL!$C$9, $D$9, 100%, $F$9) + CHOOSE(CONTROL!$C$27, 0.0021, 0)</f>
        <v>36.330399999999997</v>
      </c>
      <c r="H216" s="17">
        <f>36.1936 * CHOOSE(CONTROL!$C$9, $D$9, 100%, $F$9) + CHOOSE(CONTROL!$C$27, 0.0021, 0)</f>
        <v>36.195700000000002</v>
      </c>
      <c r="I216" s="17">
        <f>36.1936 * CHOOSE(CONTROL!$C$9, $D$9, 100%, $F$9) + CHOOSE(CONTROL!$C$27, 0.0021, 0)</f>
        <v>36.195700000000002</v>
      </c>
      <c r="J216" s="17">
        <f>36.1936 * CHOOSE(CONTROL!$C$9, $D$9, 100%, $F$9) + CHOOSE(CONTROL!$C$27, 0.0021, 0)</f>
        <v>36.195700000000002</v>
      </c>
      <c r="K216" s="17">
        <f>36.1936 * CHOOSE(CONTROL!$C$9, $D$9, 100%, $F$9) + CHOOSE(CONTROL!$C$27, 0.0021, 0)</f>
        <v>36.195700000000002</v>
      </c>
      <c r="L216" s="17"/>
    </row>
    <row r="217" spans="1:12" ht="15" x14ac:dyDescent="0.2">
      <c r="A217" s="16">
        <v>47515</v>
      </c>
      <c r="B217" s="17">
        <f>35.7234 * CHOOSE(CONTROL!$C$9, $D$9, 100%, $F$9) + CHOOSE(CONTROL!$C$27, 0.0021, 0)</f>
        <v>35.725499999999997</v>
      </c>
      <c r="C217" s="17">
        <f>35.2911 * CHOOSE(CONTROL!$C$9, $D$9, 100%, $F$9) + CHOOSE(CONTROL!$C$27, 0.0021, 0)</f>
        <v>35.293199999999999</v>
      </c>
      <c r="D217" s="17">
        <f>35.2911 * CHOOSE(CONTROL!$C$9, $D$9, 100%, $F$9) + CHOOSE(CONTROL!$C$27, 0.0021, 0)</f>
        <v>35.293199999999999</v>
      </c>
      <c r="E217" s="17">
        <f>35.1545 * CHOOSE(CONTROL!$C$9, $D$9, 100%, $F$9) + CHOOSE(CONTROL!$C$27, 0.0021, 0)</f>
        <v>35.156599999999997</v>
      </c>
      <c r="F217" s="17">
        <f>35.1545 * CHOOSE(CONTROL!$C$9, $D$9, 100%, $F$9) + CHOOSE(CONTROL!$C$27, 0.0021, 0)</f>
        <v>35.156599999999997</v>
      </c>
      <c r="G217" s="17">
        <f>35.4259 * CHOOSE(CONTROL!$C$9, $D$9, 100%, $F$9) + CHOOSE(CONTROL!$C$27, 0.0021, 0)</f>
        <v>35.427999999999997</v>
      </c>
      <c r="H217" s="17">
        <f>35.2911 * CHOOSE(CONTROL!$C$9, $D$9, 100%, $F$9) + CHOOSE(CONTROL!$C$27, 0.0021, 0)</f>
        <v>35.293199999999999</v>
      </c>
      <c r="I217" s="17">
        <f>35.2911 * CHOOSE(CONTROL!$C$9, $D$9, 100%, $F$9) + CHOOSE(CONTROL!$C$27, 0.0021, 0)</f>
        <v>35.293199999999999</v>
      </c>
      <c r="J217" s="17">
        <f>35.2911 * CHOOSE(CONTROL!$C$9, $D$9, 100%, $F$9) + CHOOSE(CONTROL!$C$27, 0.0021, 0)</f>
        <v>35.293199999999999</v>
      </c>
      <c r="K217" s="17">
        <f>35.2911 * CHOOSE(CONTROL!$C$9, $D$9, 100%, $F$9) + CHOOSE(CONTROL!$C$27, 0.0021, 0)</f>
        <v>35.293199999999999</v>
      </c>
      <c r="L217" s="17"/>
    </row>
    <row r="218" spans="1:12" ht="15" x14ac:dyDescent="0.2">
      <c r="A218" s="16">
        <v>47543</v>
      </c>
      <c r="B218" s="17">
        <f>35.3897 * CHOOSE(CONTROL!$C$9, $D$9, 100%, $F$9) + CHOOSE(CONTROL!$C$27, 0.0021, 0)</f>
        <v>35.391799999999996</v>
      </c>
      <c r="C218" s="17">
        <f>34.9575 * CHOOSE(CONTROL!$C$9, $D$9, 100%, $F$9) + CHOOSE(CONTROL!$C$27, 0.0021, 0)</f>
        <v>34.959600000000002</v>
      </c>
      <c r="D218" s="17">
        <f>34.9575 * CHOOSE(CONTROL!$C$9, $D$9, 100%, $F$9) + CHOOSE(CONTROL!$C$27, 0.0021, 0)</f>
        <v>34.959600000000002</v>
      </c>
      <c r="E218" s="17">
        <f>34.8208 * CHOOSE(CONTROL!$C$9, $D$9, 100%, $F$9) + CHOOSE(CONTROL!$C$27, 0.0021, 0)</f>
        <v>34.822899999999997</v>
      </c>
      <c r="F218" s="17">
        <f>34.8208 * CHOOSE(CONTROL!$C$9, $D$9, 100%, $F$9) + CHOOSE(CONTROL!$C$27, 0.0021, 0)</f>
        <v>34.822899999999997</v>
      </c>
      <c r="G218" s="17">
        <f>35.0922 * CHOOSE(CONTROL!$C$9, $D$9, 100%, $F$9) + CHOOSE(CONTROL!$C$27, 0.0021, 0)</f>
        <v>35.094299999999997</v>
      </c>
      <c r="H218" s="17">
        <f>34.9575 * CHOOSE(CONTROL!$C$9, $D$9, 100%, $F$9) + CHOOSE(CONTROL!$C$27, 0.0021, 0)</f>
        <v>34.959600000000002</v>
      </c>
      <c r="I218" s="17">
        <f>34.9575 * CHOOSE(CONTROL!$C$9, $D$9, 100%, $F$9) + CHOOSE(CONTROL!$C$27, 0.0021, 0)</f>
        <v>34.959600000000002</v>
      </c>
      <c r="J218" s="17">
        <f>34.9575 * CHOOSE(CONTROL!$C$9, $D$9, 100%, $F$9) + CHOOSE(CONTROL!$C$27, 0.0021, 0)</f>
        <v>34.959600000000002</v>
      </c>
      <c r="K218" s="17">
        <f>34.9575 * CHOOSE(CONTROL!$C$9, $D$9, 100%, $F$9) + CHOOSE(CONTROL!$C$27, 0.0021, 0)</f>
        <v>34.959600000000002</v>
      </c>
      <c r="L218" s="17"/>
    </row>
    <row r="219" spans="1:12" ht="15" x14ac:dyDescent="0.2">
      <c r="A219" s="16">
        <v>47574</v>
      </c>
      <c r="B219" s="17">
        <f>34.9763 * CHOOSE(CONTROL!$C$9, $D$9, 100%, $F$9) + CHOOSE(CONTROL!$C$27, 0.0021, 0)</f>
        <v>34.978400000000001</v>
      </c>
      <c r="C219" s="17">
        <f>34.544 * CHOOSE(CONTROL!$C$9, $D$9, 100%, $F$9) + CHOOSE(CONTROL!$C$27, 0.0021, 0)</f>
        <v>34.546099999999996</v>
      </c>
      <c r="D219" s="17">
        <f>34.544 * CHOOSE(CONTROL!$C$9, $D$9, 100%, $F$9) + CHOOSE(CONTROL!$C$27, 0.0021, 0)</f>
        <v>34.546099999999996</v>
      </c>
      <c r="E219" s="17">
        <f>34.4074 * CHOOSE(CONTROL!$C$9, $D$9, 100%, $F$9) + CHOOSE(CONTROL!$C$27, 0.0021, 0)</f>
        <v>34.409500000000001</v>
      </c>
      <c r="F219" s="17">
        <f>34.4074 * CHOOSE(CONTROL!$C$9, $D$9, 100%, $F$9) + CHOOSE(CONTROL!$C$27, 0.0021, 0)</f>
        <v>34.409500000000001</v>
      </c>
      <c r="G219" s="17">
        <f>34.6787 * CHOOSE(CONTROL!$C$9, $D$9, 100%, $F$9) + CHOOSE(CONTROL!$C$27, 0.0021, 0)</f>
        <v>34.680799999999998</v>
      </c>
      <c r="H219" s="17">
        <f>34.544 * CHOOSE(CONTROL!$C$9, $D$9, 100%, $F$9) + CHOOSE(CONTROL!$C$27, 0.0021, 0)</f>
        <v>34.546099999999996</v>
      </c>
      <c r="I219" s="17">
        <f>34.544 * CHOOSE(CONTROL!$C$9, $D$9, 100%, $F$9) + CHOOSE(CONTROL!$C$27, 0.0021, 0)</f>
        <v>34.546099999999996</v>
      </c>
      <c r="J219" s="17">
        <f>34.544 * CHOOSE(CONTROL!$C$9, $D$9, 100%, $F$9) + CHOOSE(CONTROL!$C$27, 0.0021, 0)</f>
        <v>34.546099999999996</v>
      </c>
      <c r="K219" s="17">
        <f>34.544 * CHOOSE(CONTROL!$C$9, $D$9, 100%, $F$9) + CHOOSE(CONTROL!$C$27, 0.0021, 0)</f>
        <v>34.546099999999996</v>
      </c>
      <c r="L219" s="17"/>
    </row>
    <row r="220" spans="1:12" ht="15" x14ac:dyDescent="0.2">
      <c r="A220" s="16">
        <v>47604</v>
      </c>
      <c r="B220" s="17">
        <f>35.7314 * CHOOSE(CONTROL!$C$9, $D$9, 100%, $F$9) + CHOOSE(CONTROL!$C$27, 0.0021, 0)</f>
        <v>35.733499999999999</v>
      </c>
      <c r="C220" s="17">
        <f>35.2991 * CHOOSE(CONTROL!$C$9, $D$9, 100%, $F$9) + CHOOSE(CONTROL!$C$27, 0.0021, 0)</f>
        <v>35.301200000000001</v>
      </c>
      <c r="D220" s="17">
        <f>35.2991 * CHOOSE(CONTROL!$C$9, $D$9, 100%, $F$9) + CHOOSE(CONTROL!$C$27, 0.0021, 0)</f>
        <v>35.301200000000001</v>
      </c>
      <c r="E220" s="17">
        <f>35.1625 * CHOOSE(CONTROL!$C$9, $D$9, 100%, $F$9) + CHOOSE(CONTROL!$C$27, 0.0021, 0)</f>
        <v>35.1646</v>
      </c>
      <c r="F220" s="17">
        <f>35.1625 * CHOOSE(CONTROL!$C$9, $D$9, 100%, $F$9) + CHOOSE(CONTROL!$C$27, 0.0021, 0)</f>
        <v>35.1646</v>
      </c>
      <c r="G220" s="17">
        <f>35.4338 * CHOOSE(CONTROL!$C$9, $D$9, 100%, $F$9) + CHOOSE(CONTROL!$C$27, 0.0021, 0)</f>
        <v>35.435899999999997</v>
      </c>
      <c r="H220" s="17">
        <f>35.2991 * CHOOSE(CONTROL!$C$9, $D$9, 100%, $F$9) + CHOOSE(CONTROL!$C$27, 0.0021, 0)</f>
        <v>35.301200000000001</v>
      </c>
      <c r="I220" s="17">
        <f>35.2991 * CHOOSE(CONTROL!$C$9, $D$9, 100%, $F$9) + CHOOSE(CONTROL!$C$27, 0.0021, 0)</f>
        <v>35.301200000000001</v>
      </c>
      <c r="J220" s="17">
        <f>35.2991 * CHOOSE(CONTROL!$C$9, $D$9, 100%, $F$9) + CHOOSE(CONTROL!$C$27, 0.0021, 0)</f>
        <v>35.301200000000001</v>
      </c>
      <c r="K220" s="17">
        <f>35.2991 * CHOOSE(CONTROL!$C$9, $D$9, 100%, $F$9) + CHOOSE(CONTROL!$C$27, 0.0021, 0)</f>
        <v>35.301200000000001</v>
      </c>
      <c r="L220" s="17"/>
    </row>
    <row r="221" spans="1:12" ht="15" x14ac:dyDescent="0.2">
      <c r="A221" s="16">
        <v>47635</v>
      </c>
      <c r="B221" s="17">
        <f>36.2131 * CHOOSE(CONTROL!$C$9, $D$9, 100%, $F$9) + CHOOSE(CONTROL!$C$27, 0.0021, 0)</f>
        <v>36.215199999999996</v>
      </c>
      <c r="C221" s="17">
        <f>35.7808 * CHOOSE(CONTROL!$C$9, $D$9, 100%, $F$9) + CHOOSE(CONTROL!$C$27, 0.0021, 0)</f>
        <v>35.782899999999998</v>
      </c>
      <c r="D221" s="17">
        <f>35.7808 * CHOOSE(CONTROL!$C$9, $D$9, 100%, $F$9) + CHOOSE(CONTROL!$C$27, 0.0021, 0)</f>
        <v>35.782899999999998</v>
      </c>
      <c r="E221" s="17">
        <f>35.6442 * CHOOSE(CONTROL!$C$9, $D$9, 100%, $F$9) + CHOOSE(CONTROL!$C$27, 0.0021, 0)</f>
        <v>35.646299999999997</v>
      </c>
      <c r="F221" s="17">
        <f>35.6442 * CHOOSE(CONTROL!$C$9, $D$9, 100%, $F$9) + CHOOSE(CONTROL!$C$27, 0.0021, 0)</f>
        <v>35.646299999999997</v>
      </c>
      <c r="G221" s="17">
        <f>35.9155 * CHOOSE(CONTROL!$C$9, $D$9, 100%, $F$9) + CHOOSE(CONTROL!$C$27, 0.0021, 0)</f>
        <v>35.9176</v>
      </c>
      <c r="H221" s="17">
        <f>35.7808 * CHOOSE(CONTROL!$C$9, $D$9, 100%, $F$9) + CHOOSE(CONTROL!$C$27, 0.0021, 0)</f>
        <v>35.782899999999998</v>
      </c>
      <c r="I221" s="17">
        <f>35.7808 * CHOOSE(CONTROL!$C$9, $D$9, 100%, $F$9) + CHOOSE(CONTROL!$C$27, 0.0021, 0)</f>
        <v>35.782899999999998</v>
      </c>
      <c r="J221" s="17">
        <f>35.7808 * CHOOSE(CONTROL!$C$9, $D$9, 100%, $F$9) + CHOOSE(CONTROL!$C$27, 0.0021, 0)</f>
        <v>35.782899999999998</v>
      </c>
      <c r="K221" s="17">
        <f>35.7808 * CHOOSE(CONTROL!$C$9, $D$9, 100%, $F$9) + CHOOSE(CONTROL!$C$27, 0.0021, 0)</f>
        <v>35.782899999999998</v>
      </c>
      <c r="L221" s="17"/>
    </row>
    <row r="222" spans="1:12" ht="15" x14ac:dyDescent="0.2">
      <c r="A222" s="16">
        <v>47665</v>
      </c>
      <c r="B222" s="17">
        <f>36.9653 * CHOOSE(CONTROL!$C$9, $D$9, 100%, $F$9) + CHOOSE(CONTROL!$C$27, 0.0021, 0)</f>
        <v>36.967399999999998</v>
      </c>
      <c r="C222" s="17">
        <f>36.5331 * CHOOSE(CONTROL!$C$9, $D$9, 100%, $F$9) + CHOOSE(CONTROL!$C$27, 0.0021, 0)</f>
        <v>36.535199999999996</v>
      </c>
      <c r="D222" s="17">
        <f>36.5331 * CHOOSE(CONTROL!$C$9, $D$9, 100%, $F$9) + CHOOSE(CONTROL!$C$27, 0.0021, 0)</f>
        <v>36.535199999999996</v>
      </c>
      <c r="E222" s="17">
        <f>36.3964 * CHOOSE(CONTROL!$C$9, $D$9, 100%, $F$9) + CHOOSE(CONTROL!$C$27, 0.0021, 0)</f>
        <v>36.398499999999999</v>
      </c>
      <c r="F222" s="17">
        <f>36.3964 * CHOOSE(CONTROL!$C$9, $D$9, 100%, $F$9) + CHOOSE(CONTROL!$C$27, 0.0021, 0)</f>
        <v>36.398499999999999</v>
      </c>
      <c r="G222" s="17">
        <f>36.6678 * CHOOSE(CONTROL!$C$9, $D$9, 100%, $F$9) + CHOOSE(CONTROL!$C$27, 0.0021, 0)</f>
        <v>36.669899999999998</v>
      </c>
      <c r="H222" s="17">
        <f>36.5331 * CHOOSE(CONTROL!$C$9, $D$9, 100%, $F$9) + CHOOSE(CONTROL!$C$27, 0.0021, 0)</f>
        <v>36.535199999999996</v>
      </c>
      <c r="I222" s="17">
        <f>36.5331 * CHOOSE(CONTROL!$C$9, $D$9, 100%, $F$9) + CHOOSE(CONTROL!$C$27, 0.0021, 0)</f>
        <v>36.535199999999996</v>
      </c>
      <c r="J222" s="17">
        <f>36.5331 * CHOOSE(CONTROL!$C$9, $D$9, 100%, $F$9) + CHOOSE(CONTROL!$C$27, 0.0021, 0)</f>
        <v>36.535199999999996</v>
      </c>
      <c r="K222" s="17">
        <f>36.5331 * CHOOSE(CONTROL!$C$9, $D$9, 100%, $F$9) + CHOOSE(CONTROL!$C$27, 0.0021, 0)</f>
        <v>36.535199999999996</v>
      </c>
      <c r="L222" s="17"/>
    </row>
    <row r="223" spans="1:12" ht="15" x14ac:dyDescent="0.2">
      <c r="A223" s="16">
        <v>47696</v>
      </c>
      <c r="B223" s="17">
        <f>37.1736 * CHOOSE(CONTROL!$C$9, $D$9, 100%, $F$9) + CHOOSE(CONTROL!$C$27, 0.0021, 0)</f>
        <v>37.175699999999999</v>
      </c>
      <c r="C223" s="17">
        <f>36.7414 * CHOOSE(CONTROL!$C$9, $D$9, 100%, $F$9) + CHOOSE(CONTROL!$C$27, 0.0021, 0)</f>
        <v>36.743499999999997</v>
      </c>
      <c r="D223" s="17">
        <f>36.7414 * CHOOSE(CONTROL!$C$9, $D$9, 100%, $F$9) + CHOOSE(CONTROL!$C$27, 0.0021, 0)</f>
        <v>36.743499999999997</v>
      </c>
      <c r="E223" s="17">
        <f>36.6047 * CHOOSE(CONTROL!$C$9, $D$9, 100%, $F$9) + CHOOSE(CONTROL!$C$27, 0.0021, 0)</f>
        <v>36.6068</v>
      </c>
      <c r="F223" s="17">
        <f>36.6047 * CHOOSE(CONTROL!$C$9, $D$9, 100%, $F$9) + CHOOSE(CONTROL!$C$27, 0.0021, 0)</f>
        <v>36.6068</v>
      </c>
      <c r="G223" s="17">
        <f>36.8761 * CHOOSE(CONTROL!$C$9, $D$9, 100%, $F$9) + CHOOSE(CONTROL!$C$27, 0.0021, 0)</f>
        <v>36.8782</v>
      </c>
      <c r="H223" s="17">
        <f>36.7414 * CHOOSE(CONTROL!$C$9, $D$9, 100%, $F$9) + CHOOSE(CONTROL!$C$27, 0.0021, 0)</f>
        <v>36.743499999999997</v>
      </c>
      <c r="I223" s="17">
        <f>36.7414 * CHOOSE(CONTROL!$C$9, $D$9, 100%, $F$9) + CHOOSE(CONTROL!$C$27, 0.0021, 0)</f>
        <v>36.743499999999997</v>
      </c>
      <c r="J223" s="17">
        <f>36.7414 * CHOOSE(CONTROL!$C$9, $D$9, 100%, $F$9) + CHOOSE(CONTROL!$C$27, 0.0021, 0)</f>
        <v>36.743499999999997</v>
      </c>
      <c r="K223" s="17">
        <f>36.7414 * CHOOSE(CONTROL!$C$9, $D$9, 100%, $F$9) + CHOOSE(CONTROL!$C$27, 0.0021, 0)</f>
        <v>36.743499999999997</v>
      </c>
      <c r="L223" s="17"/>
    </row>
    <row r="224" spans="1:12" ht="15" x14ac:dyDescent="0.2">
      <c r="A224" s="16">
        <v>47727</v>
      </c>
      <c r="B224" s="17">
        <f>37.8829 * CHOOSE(CONTROL!$C$9, $D$9, 100%, $F$9) + CHOOSE(CONTROL!$C$27, 0.0021, 0)</f>
        <v>37.884999999999998</v>
      </c>
      <c r="C224" s="17">
        <f>37.4507 * CHOOSE(CONTROL!$C$9, $D$9, 100%, $F$9) + CHOOSE(CONTROL!$C$27, 0.0021, 0)</f>
        <v>37.452799999999996</v>
      </c>
      <c r="D224" s="17">
        <f>37.4507 * CHOOSE(CONTROL!$C$9, $D$9, 100%, $F$9) + CHOOSE(CONTROL!$C$27, 0.0021, 0)</f>
        <v>37.452799999999996</v>
      </c>
      <c r="E224" s="17">
        <f>37.314 * CHOOSE(CONTROL!$C$9, $D$9, 100%, $F$9) + CHOOSE(CONTROL!$C$27, 0.0021, 0)</f>
        <v>37.316099999999999</v>
      </c>
      <c r="F224" s="17">
        <f>37.314 * CHOOSE(CONTROL!$C$9, $D$9, 100%, $F$9) + CHOOSE(CONTROL!$C$27, 0.0021, 0)</f>
        <v>37.316099999999999</v>
      </c>
      <c r="G224" s="17">
        <f>37.5854 * CHOOSE(CONTROL!$C$9, $D$9, 100%, $F$9) + CHOOSE(CONTROL!$C$27, 0.0021, 0)</f>
        <v>37.587499999999999</v>
      </c>
      <c r="H224" s="17">
        <f>37.4507 * CHOOSE(CONTROL!$C$9, $D$9, 100%, $F$9) + CHOOSE(CONTROL!$C$27, 0.0021, 0)</f>
        <v>37.452799999999996</v>
      </c>
      <c r="I224" s="17">
        <f>37.4507 * CHOOSE(CONTROL!$C$9, $D$9, 100%, $F$9) + CHOOSE(CONTROL!$C$27, 0.0021, 0)</f>
        <v>37.452799999999996</v>
      </c>
      <c r="J224" s="17">
        <f>37.4507 * CHOOSE(CONTROL!$C$9, $D$9, 100%, $F$9) + CHOOSE(CONTROL!$C$27, 0.0021, 0)</f>
        <v>37.452799999999996</v>
      </c>
      <c r="K224" s="17">
        <f>37.4507 * CHOOSE(CONTROL!$C$9, $D$9, 100%, $F$9) + CHOOSE(CONTROL!$C$27, 0.0021, 0)</f>
        <v>37.452799999999996</v>
      </c>
      <c r="L224" s="17"/>
    </row>
    <row r="225" spans="1:12" ht="15" x14ac:dyDescent="0.2">
      <c r="A225" s="16">
        <v>47757</v>
      </c>
      <c r="B225" s="17">
        <f>38.7808 * CHOOSE(CONTROL!$C$9, $D$9, 100%, $F$9) + CHOOSE(CONTROL!$C$27, 0.0021, 0)</f>
        <v>38.782899999999998</v>
      </c>
      <c r="C225" s="17">
        <f>38.3485 * CHOOSE(CONTROL!$C$9, $D$9, 100%, $F$9) + CHOOSE(CONTROL!$C$27, 0.0021, 0)</f>
        <v>38.3506</v>
      </c>
      <c r="D225" s="17">
        <f>38.3485 * CHOOSE(CONTROL!$C$9, $D$9, 100%, $F$9) + CHOOSE(CONTROL!$C$27, 0.0021, 0)</f>
        <v>38.3506</v>
      </c>
      <c r="E225" s="17">
        <f>38.2119 * CHOOSE(CONTROL!$C$9, $D$9, 100%, $F$9) + CHOOSE(CONTROL!$C$27, 0.0021, 0)</f>
        <v>38.213999999999999</v>
      </c>
      <c r="F225" s="17">
        <f>38.2119 * CHOOSE(CONTROL!$C$9, $D$9, 100%, $F$9) + CHOOSE(CONTROL!$C$27, 0.0021, 0)</f>
        <v>38.213999999999999</v>
      </c>
      <c r="G225" s="17">
        <f>38.4832 * CHOOSE(CONTROL!$C$9, $D$9, 100%, $F$9) + CHOOSE(CONTROL!$C$27, 0.0021, 0)</f>
        <v>38.485299999999995</v>
      </c>
      <c r="H225" s="17">
        <f>38.3485 * CHOOSE(CONTROL!$C$9, $D$9, 100%, $F$9) + CHOOSE(CONTROL!$C$27, 0.0021, 0)</f>
        <v>38.3506</v>
      </c>
      <c r="I225" s="17">
        <f>38.3485 * CHOOSE(CONTROL!$C$9, $D$9, 100%, $F$9) + CHOOSE(CONTROL!$C$27, 0.0021, 0)</f>
        <v>38.3506</v>
      </c>
      <c r="J225" s="17">
        <f>38.3485 * CHOOSE(CONTROL!$C$9, $D$9, 100%, $F$9) + CHOOSE(CONTROL!$C$27, 0.0021, 0)</f>
        <v>38.3506</v>
      </c>
      <c r="K225" s="17">
        <f>38.3485 * CHOOSE(CONTROL!$C$9, $D$9, 100%, $F$9) + CHOOSE(CONTROL!$C$27, 0.0021, 0)</f>
        <v>38.3506</v>
      </c>
      <c r="L225" s="17"/>
    </row>
    <row r="226" spans="1:12" ht="15" x14ac:dyDescent="0.2">
      <c r="A226" s="16">
        <v>47788</v>
      </c>
      <c r="B226" s="17">
        <f>38.8651 * CHOOSE(CONTROL!$C$9, $D$9, 100%, $F$9) + CHOOSE(CONTROL!$C$27, 0.0021, 0)</f>
        <v>38.867199999999997</v>
      </c>
      <c r="C226" s="17">
        <f>38.4328 * CHOOSE(CONTROL!$C$9, $D$9, 100%, $F$9) + CHOOSE(CONTROL!$C$27, 0.0021, 0)</f>
        <v>38.434899999999999</v>
      </c>
      <c r="D226" s="17">
        <f>38.4328 * CHOOSE(CONTROL!$C$9, $D$9, 100%, $F$9) + CHOOSE(CONTROL!$C$27, 0.0021, 0)</f>
        <v>38.434899999999999</v>
      </c>
      <c r="E226" s="17">
        <f>38.2962 * CHOOSE(CONTROL!$C$9, $D$9, 100%, $F$9) + CHOOSE(CONTROL!$C$27, 0.0021, 0)</f>
        <v>38.298299999999998</v>
      </c>
      <c r="F226" s="17">
        <f>38.2962 * CHOOSE(CONTROL!$C$9, $D$9, 100%, $F$9) + CHOOSE(CONTROL!$C$27, 0.0021, 0)</f>
        <v>38.298299999999998</v>
      </c>
      <c r="G226" s="17">
        <f>38.5675 * CHOOSE(CONTROL!$C$9, $D$9, 100%, $F$9) + CHOOSE(CONTROL!$C$27, 0.0021, 0)</f>
        <v>38.569600000000001</v>
      </c>
      <c r="H226" s="17">
        <f>38.4328 * CHOOSE(CONTROL!$C$9, $D$9, 100%, $F$9) + CHOOSE(CONTROL!$C$27, 0.0021, 0)</f>
        <v>38.434899999999999</v>
      </c>
      <c r="I226" s="17">
        <f>38.4328 * CHOOSE(CONTROL!$C$9, $D$9, 100%, $F$9) + CHOOSE(CONTROL!$C$27, 0.0021, 0)</f>
        <v>38.434899999999999</v>
      </c>
      <c r="J226" s="17">
        <f>38.4328 * CHOOSE(CONTROL!$C$9, $D$9, 100%, $F$9) + CHOOSE(CONTROL!$C$27, 0.0021, 0)</f>
        <v>38.434899999999999</v>
      </c>
      <c r="K226" s="17">
        <f>38.4328 * CHOOSE(CONTROL!$C$9, $D$9, 100%, $F$9) + CHOOSE(CONTROL!$C$27, 0.0021, 0)</f>
        <v>38.434899999999999</v>
      </c>
      <c r="L226" s="17"/>
    </row>
    <row r="227" spans="1:12" ht="15" x14ac:dyDescent="0.2">
      <c r="A227" s="16">
        <v>47818</v>
      </c>
      <c r="B227" s="17">
        <f>38.148 * CHOOSE(CONTROL!$C$9, $D$9, 100%, $F$9) + CHOOSE(CONTROL!$C$27, 0.0021, 0)</f>
        <v>38.150100000000002</v>
      </c>
      <c r="C227" s="17">
        <f>37.7157 * CHOOSE(CONTROL!$C$9, $D$9, 100%, $F$9) + CHOOSE(CONTROL!$C$27, 0.0021, 0)</f>
        <v>37.717799999999997</v>
      </c>
      <c r="D227" s="17">
        <f>37.7157 * CHOOSE(CONTROL!$C$9, $D$9, 100%, $F$9) + CHOOSE(CONTROL!$C$27, 0.0021, 0)</f>
        <v>37.717799999999997</v>
      </c>
      <c r="E227" s="17">
        <f>37.579 * CHOOSE(CONTROL!$C$9, $D$9, 100%, $F$9) + CHOOSE(CONTROL!$C$27, 0.0021, 0)</f>
        <v>37.581099999999999</v>
      </c>
      <c r="F227" s="17">
        <f>37.579 * CHOOSE(CONTROL!$C$9, $D$9, 100%, $F$9) + CHOOSE(CONTROL!$C$27, 0.0021, 0)</f>
        <v>37.581099999999999</v>
      </c>
      <c r="G227" s="17">
        <f>37.8504 * CHOOSE(CONTROL!$C$9, $D$9, 100%, $F$9) + CHOOSE(CONTROL!$C$27, 0.0021, 0)</f>
        <v>37.852499999999999</v>
      </c>
      <c r="H227" s="17">
        <f>37.7157 * CHOOSE(CONTROL!$C$9, $D$9, 100%, $F$9) + CHOOSE(CONTROL!$C$27, 0.0021, 0)</f>
        <v>37.717799999999997</v>
      </c>
      <c r="I227" s="17">
        <f>37.7157 * CHOOSE(CONTROL!$C$9, $D$9, 100%, $F$9) + CHOOSE(CONTROL!$C$27, 0.0021, 0)</f>
        <v>37.717799999999997</v>
      </c>
      <c r="J227" s="17">
        <f>37.7157 * CHOOSE(CONTROL!$C$9, $D$9, 100%, $F$9) + CHOOSE(CONTROL!$C$27, 0.0021, 0)</f>
        <v>37.717799999999997</v>
      </c>
      <c r="K227" s="17">
        <f>37.7157 * CHOOSE(CONTROL!$C$9, $D$9, 100%, $F$9) + CHOOSE(CONTROL!$C$27, 0.0021, 0)</f>
        <v>37.717799999999997</v>
      </c>
      <c r="L227" s="17"/>
    </row>
    <row r="228" spans="1:12" ht="15" x14ac:dyDescent="0.2">
      <c r="A228" s="16">
        <v>47849</v>
      </c>
      <c r="B228" s="17">
        <f>37.6947 * CHOOSE(CONTROL!$C$9, $D$9, 100%, $F$9) + CHOOSE(CONTROL!$C$27, 0.0021, 0)</f>
        <v>37.696799999999996</v>
      </c>
      <c r="C228" s="17">
        <f>37.2625 * CHOOSE(CONTROL!$C$9, $D$9, 100%, $F$9) + CHOOSE(CONTROL!$C$27, 0.0021, 0)</f>
        <v>37.264600000000002</v>
      </c>
      <c r="D228" s="17">
        <f>37.2625 * CHOOSE(CONTROL!$C$9, $D$9, 100%, $F$9) + CHOOSE(CONTROL!$C$27, 0.0021, 0)</f>
        <v>37.264600000000002</v>
      </c>
      <c r="E228" s="17">
        <f>37.1258 * CHOOSE(CONTROL!$C$9, $D$9, 100%, $F$9) + CHOOSE(CONTROL!$C$27, 0.0021, 0)</f>
        <v>37.127899999999997</v>
      </c>
      <c r="F228" s="17">
        <f>37.1258 * CHOOSE(CONTROL!$C$9, $D$9, 100%, $F$9) + CHOOSE(CONTROL!$C$27, 0.0021, 0)</f>
        <v>37.127899999999997</v>
      </c>
      <c r="G228" s="17">
        <f>37.3972 * CHOOSE(CONTROL!$C$9, $D$9, 100%, $F$9) + CHOOSE(CONTROL!$C$27, 0.0021, 0)</f>
        <v>37.399299999999997</v>
      </c>
      <c r="H228" s="17">
        <f>37.2625 * CHOOSE(CONTROL!$C$9, $D$9, 100%, $F$9) + CHOOSE(CONTROL!$C$27, 0.0021, 0)</f>
        <v>37.264600000000002</v>
      </c>
      <c r="I228" s="17">
        <f>37.2625 * CHOOSE(CONTROL!$C$9, $D$9, 100%, $F$9) + CHOOSE(CONTROL!$C$27, 0.0021, 0)</f>
        <v>37.264600000000002</v>
      </c>
      <c r="J228" s="17">
        <f>37.2625 * CHOOSE(CONTROL!$C$9, $D$9, 100%, $F$9) + CHOOSE(CONTROL!$C$27, 0.0021, 0)</f>
        <v>37.264600000000002</v>
      </c>
      <c r="K228" s="17">
        <f>37.2625 * CHOOSE(CONTROL!$C$9, $D$9, 100%, $F$9) + CHOOSE(CONTROL!$C$27, 0.0021, 0)</f>
        <v>37.264600000000002</v>
      </c>
      <c r="L228" s="17"/>
    </row>
    <row r="229" spans="1:12" ht="15" x14ac:dyDescent="0.2">
      <c r="A229" s="16">
        <v>47880</v>
      </c>
      <c r="B229" s="17">
        <f>36.6933 * CHOOSE(CONTROL!$C$9, $D$9, 100%, $F$9) + CHOOSE(CONTROL!$C$27, 0.0021, 0)</f>
        <v>36.695399999999999</v>
      </c>
      <c r="C229" s="17">
        <f>36.2611 * CHOOSE(CONTROL!$C$9, $D$9, 100%, $F$9) + CHOOSE(CONTROL!$C$27, 0.0021, 0)</f>
        <v>36.263199999999998</v>
      </c>
      <c r="D229" s="17">
        <f>36.2611 * CHOOSE(CONTROL!$C$9, $D$9, 100%, $F$9) + CHOOSE(CONTROL!$C$27, 0.0021, 0)</f>
        <v>36.263199999999998</v>
      </c>
      <c r="E229" s="17">
        <f>36.1244 * CHOOSE(CONTROL!$C$9, $D$9, 100%, $F$9) + CHOOSE(CONTROL!$C$27, 0.0021, 0)</f>
        <v>36.1265</v>
      </c>
      <c r="F229" s="17">
        <f>36.1244 * CHOOSE(CONTROL!$C$9, $D$9, 100%, $F$9) + CHOOSE(CONTROL!$C$27, 0.0021, 0)</f>
        <v>36.1265</v>
      </c>
      <c r="G229" s="17">
        <f>36.3958 * CHOOSE(CONTROL!$C$9, $D$9, 100%, $F$9) + CHOOSE(CONTROL!$C$27, 0.0021, 0)</f>
        <v>36.3979</v>
      </c>
      <c r="H229" s="17">
        <f>36.2611 * CHOOSE(CONTROL!$C$9, $D$9, 100%, $F$9) + CHOOSE(CONTROL!$C$27, 0.0021, 0)</f>
        <v>36.263199999999998</v>
      </c>
      <c r="I229" s="17">
        <f>36.2611 * CHOOSE(CONTROL!$C$9, $D$9, 100%, $F$9) + CHOOSE(CONTROL!$C$27, 0.0021, 0)</f>
        <v>36.263199999999998</v>
      </c>
      <c r="J229" s="17">
        <f>36.2611 * CHOOSE(CONTROL!$C$9, $D$9, 100%, $F$9) + CHOOSE(CONTROL!$C$27, 0.0021, 0)</f>
        <v>36.263199999999998</v>
      </c>
      <c r="K229" s="17">
        <f>36.2611 * CHOOSE(CONTROL!$C$9, $D$9, 100%, $F$9) + CHOOSE(CONTROL!$C$27, 0.0021, 0)</f>
        <v>36.263199999999998</v>
      </c>
      <c r="L229" s="17"/>
    </row>
    <row r="230" spans="1:12" ht="15" x14ac:dyDescent="0.2">
      <c r="A230" s="16">
        <v>47908</v>
      </c>
      <c r="B230" s="17">
        <f>36.28 * CHOOSE(CONTROL!$C$9, $D$9, 100%, $F$9) + CHOOSE(CONTROL!$C$27, 0.0021, 0)</f>
        <v>36.2821</v>
      </c>
      <c r="C230" s="17">
        <f>35.8477 * CHOOSE(CONTROL!$C$9, $D$9, 100%, $F$9) + CHOOSE(CONTROL!$C$27, 0.0021, 0)</f>
        <v>35.849800000000002</v>
      </c>
      <c r="D230" s="17">
        <f>35.8477 * CHOOSE(CONTROL!$C$9, $D$9, 100%, $F$9) + CHOOSE(CONTROL!$C$27, 0.0021, 0)</f>
        <v>35.849800000000002</v>
      </c>
      <c r="E230" s="17">
        <f>35.7111 * CHOOSE(CONTROL!$C$9, $D$9, 100%, $F$9) + CHOOSE(CONTROL!$C$27, 0.0021, 0)</f>
        <v>35.713200000000001</v>
      </c>
      <c r="F230" s="17">
        <f>35.7111 * CHOOSE(CONTROL!$C$9, $D$9, 100%, $F$9) + CHOOSE(CONTROL!$C$27, 0.0021, 0)</f>
        <v>35.713200000000001</v>
      </c>
      <c r="G230" s="17">
        <f>35.9824 * CHOOSE(CONTROL!$C$9, $D$9, 100%, $F$9) + CHOOSE(CONTROL!$C$27, 0.0021, 0)</f>
        <v>35.984499999999997</v>
      </c>
      <c r="H230" s="17">
        <f>35.8477 * CHOOSE(CONTROL!$C$9, $D$9, 100%, $F$9) + CHOOSE(CONTROL!$C$27, 0.0021, 0)</f>
        <v>35.849800000000002</v>
      </c>
      <c r="I230" s="17">
        <f>35.8477 * CHOOSE(CONTROL!$C$9, $D$9, 100%, $F$9) + CHOOSE(CONTROL!$C$27, 0.0021, 0)</f>
        <v>35.849800000000002</v>
      </c>
      <c r="J230" s="17">
        <f>35.8477 * CHOOSE(CONTROL!$C$9, $D$9, 100%, $F$9) + CHOOSE(CONTROL!$C$27, 0.0021, 0)</f>
        <v>35.849800000000002</v>
      </c>
      <c r="K230" s="17">
        <f>35.8477 * CHOOSE(CONTROL!$C$9, $D$9, 100%, $F$9) + CHOOSE(CONTROL!$C$27, 0.0021, 0)</f>
        <v>35.849800000000002</v>
      </c>
      <c r="L230" s="17"/>
    </row>
    <row r="231" spans="1:12" ht="15" x14ac:dyDescent="0.2">
      <c r="A231" s="16">
        <v>47939</v>
      </c>
      <c r="B231" s="17">
        <f>35.7864 * CHOOSE(CONTROL!$C$9, $D$9, 100%, $F$9) + CHOOSE(CONTROL!$C$27, 0.0021, 0)</f>
        <v>35.788499999999999</v>
      </c>
      <c r="C231" s="17">
        <f>35.3542 * CHOOSE(CONTROL!$C$9, $D$9, 100%, $F$9) + CHOOSE(CONTROL!$C$27, 0.0021, 0)</f>
        <v>35.356299999999997</v>
      </c>
      <c r="D231" s="17">
        <f>35.3542 * CHOOSE(CONTROL!$C$9, $D$9, 100%, $F$9) + CHOOSE(CONTROL!$C$27, 0.0021, 0)</f>
        <v>35.356299999999997</v>
      </c>
      <c r="E231" s="17">
        <f>35.2175 * CHOOSE(CONTROL!$C$9, $D$9, 100%, $F$9) + CHOOSE(CONTROL!$C$27, 0.0021, 0)</f>
        <v>35.2196</v>
      </c>
      <c r="F231" s="17">
        <f>35.2175 * CHOOSE(CONTROL!$C$9, $D$9, 100%, $F$9) + CHOOSE(CONTROL!$C$27, 0.0021, 0)</f>
        <v>35.2196</v>
      </c>
      <c r="G231" s="17">
        <f>35.4889 * CHOOSE(CONTROL!$C$9, $D$9, 100%, $F$9) + CHOOSE(CONTROL!$C$27, 0.0021, 0)</f>
        <v>35.491</v>
      </c>
      <c r="H231" s="17">
        <f>35.3542 * CHOOSE(CONTROL!$C$9, $D$9, 100%, $F$9) + CHOOSE(CONTROL!$C$27, 0.0021, 0)</f>
        <v>35.356299999999997</v>
      </c>
      <c r="I231" s="17">
        <f>35.3542 * CHOOSE(CONTROL!$C$9, $D$9, 100%, $F$9) + CHOOSE(CONTROL!$C$27, 0.0021, 0)</f>
        <v>35.356299999999997</v>
      </c>
      <c r="J231" s="17">
        <f>35.3542 * CHOOSE(CONTROL!$C$9, $D$9, 100%, $F$9) + CHOOSE(CONTROL!$C$27, 0.0021, 0)</f>
        <v>35.356299999999997</v>
      </c>
      <c r="K231" s="17">
        <f>35.3542 * CHOOSE(CONTROL!$C$9, $D$9, 100%, $F$9) + CHOOSE(CONTROL!$C$27, 0.0021, 0)</f>
        <v>35.356299999999997</v>
      </c>
      <c r="L231" s="17"/>
    </row>
    <row r="232" spans="1:12" ht="15" x14ac:dyDescent="0.2">
      <c r="A232" s="16">
        <v>47969</v>
      </c>
      <c r="B232" s="17">
        <f>36.4898 * CHOOSE(CONTROL!$C$9, $D$9, 100%, $F$9) + CHOOSE(CONTROL!$C$27, 0.0021, 0)</f>
        <v>36.491900000000001</v>
      </c>
      <c r="C232" s="17">
        <f>36.0576 * CHOOSE(CONTROL!$C$9, $D$9, 100%, $F$9) + CHOOSE(CONTROL!$C$27, 0.0021, 0)</f>
        <v>36.059699999999999</v>
      </c>
      <c r="D232" s="17">
        <f>36.0576 * CHOOSE(CONTROL!$C$9, $D$9, 100%, $F$9) + CHOOSE(CONTROL!$C$27, 0.0021, 0)</f>
        <v>36.059699999999999</v>
      </c>
      <c r="E232" s="17">
        <f>35.9209 * CHOOSE(CONTROL!$C$9, $D$9, 100%, $F$9) + CHOOSE(CONTROL!$C$27, 0.0021, 0)</f>
        <v>35.923000000000002</v>
      </c>
      <c r="F232" s="17">
        <f>35.9209 * CHOOSE(CONTROL!$C$9, $D$9, 100%, $F$9) + CHOOSE(CONTROL!$C$27, 0.0021, 0)</f>
        <v>35.923000000000002</v>
      </c>
      <c r="G232" s="17">
        <f>36.1923 * CHOOSE(CONTROL!$C$9, $D$9, 100%, $F$9) + CHOOSE(CONTROL!$C$27, 0.0021, 0)</f>
        <v>36.194400000000002</v>
      </c>
      <c r="H232" s="17">
        <f>36.0576 * CHOOSE(CONTROL!$C$9, $D$9, 100%, $F$9) + CHOOSE(CONTROL!$C$27, 0.0021, 0)</f>
        <v>36.059699999999999</v>
      </c>
      <c r="I232" s="17">
        <f>36.0576 * CHOOSE(CONTROL!$C$9, $D$9, 100%, $F$9) + CHOOSE(CONTROL!$C$27, 0.0021, 0)</f>
        <v>36.059699999999999</v>
      </c>
      <c r="J232" s="17">
        <f>36.0576 * CHOOSE(CONTROL!$C$9, $D$9, 100%, $F$9) + CHOOSE(CONTROL!$C$27, 0.0021, 0)</f>
        <v>36.059699999999999</v>
      </c>
      <c r="K232" s="17">
        <f>36.0576 * CHOOSE(CONTROL!$C$9, $D$9, 100%, $F$9) + CHOOSE(CONTROL!$C$27, 0.0021, 0)</f>
        <v>36.059699999999999</v>
      </c>
      <c r="L232" s="17"/>
    </row>
    <row r="233" spans="1:12" ht="15" x14ac:dyDescent="0.2">
      <c r="A233" s="16">
        <v>48000</v>
      </c>
      <c r="B233" s="17">
        <f>36.9111 * CHOOSE(CONTROL!$C$9, $D$9, 100%, $F$9) + CHOOSE(CONTROL!$C$27, 0.0021, 0)</f>
        <v>36.913199999999996</v>
      </c>
      <c r="C233" s="17">
        <f>36.4789 * CHOOSE(CONTROL!$C$9, $D$9, 100%, $F$9) + CHOOSE(CONTROL!$C$27, 0.0021, 0)</f>
        <v>36.481000000000002</v>
      </c>
      <c r="D233" s="17">
        <f>36.4789 * CHOOSE(CONTROL!$C$9, $D$9, 100%, $F$9) + CHOOSE(CONTROL!$C$27, 0.0021, 0)</f>
        <v>36.481000000000002</v>
      </c>
      <c r="E233" s="17">
        <f>36.3422 * CHOOSE(CONTROL!$C$9, $D$9, 100%, $F$9) + CHOOSE(CONTROL!$C$27, 0.0021, 0)</f>
        <v>36.344299999999997</v>
      </c>
      <c r="F233" s="17">
        <f>36.3422 * CHOOSE(CONTROL!$C$9, $D$9, 100%, $F$9) + CHOOSE(CONTROL!$C$27, 0.0021, 0)</f>
        <v>36.344299999999997</v>
      </c>
      <c r="G233" s="17">
        <f>36.6136 * CHOOSE(CONTROL!$C$9, $D$9, 100%, $F$9) + CHOOSE(CONTROL!$C$27, 0.0021, 0)</f>
        <v>36.615699999999997</v>
      </c>
      <c r="H233" s="17">
        <f>36.4789 * CHOOSE(CONTROL!$C$9, $D$9, 100%, $F$9) + CHOOSE(CONTROL!$C$27, 0.0021, 0)</f>
        <v>36.481000000000002</v>
      </c>
      <c r="I233" s="17">
        <f>36.4789 * CHOOSE(CONTROL!$C$9, $D$9, 100%, $F$9) + CHOOSE(CONTROL!$C$27, 0.0021, 0)</f>
        <v>36.481000000000002</v>
      </c>
      <c r="J233" s="17">
        <f>36.4789 * CHOOSE(CONTROL!$C$9, $D$9, 100%, $F$9) + CHOOSE(CONTROL!$C$27, 0.0021, 0)</f>
        <v>36.481000000000002</v>
      </c>
      <c r="K233" s="17">
        <f>36.4789 * CHOOSE(CONTROL!$C$9, $D$9, 100%, $F$9) + CHOOSE(CONTROL!$C$27, 0.0021, 0)</f>
        <v>36.481000000000002</v>
      </c>
      <c r="L233" s="17"/>
    </row>
    <row r="234" spans="1:12" ht="15" x14ac:dyDescent="0.2">
      <c r="A234" s="16">
        <v>48030</v>
      </c>
      <c r="B234" s="17">
        <f>37.6061 * CHOOSE(CONTROL!$C$9, $D$9, 100%, $F$9) + CHOOSE(CONTROL!$C$27, 0.0021, 0)</f>
        <v>37.608199999999997</v>
      </c>
      <c r="C234" s="17">
        <f>37.1738 * CHOOSE(CONTROL!$C$9, $D$9, 100%, $F$9) + CHOOSE(CONTROL!$C$27, 0.0021, 0)</f>
        <v>37.175899999999999</v>
      </c>
      <c r="D234" s="17">
        <f>37.1738 * CHOOSE(CONTROL!$C$9, $D$9, 100%, $F$9) + CHOOSE(CONTROL!$C$27, 0.0021, 0)</f>
        <v>37.175899999999999</v>
      </c>
      <c r="E234" s="17">
        <f>37.0372 * CHOOSE(CONTROL!$C$9, $D$9, 100%, $F$9) + CHOOSE(CONTROL!$C$27, 0.0021, 0)</f>
        <v>37.039299999999997</v>
      </c>
      <c r="F234" s="17">
        <f>37.0372 * CHOOSE(CONTROL!$C$9, $D$9, 100%, $F$9) + CHOOSE(CONTROL!$C$27, 0.0021, 0)</f>
        <v>37.039299999999997</v>
      </c>
      <c r="G234" s="17">
        <f>37.3086 * CHOOSE(CONTROL!$C$9, $D$9, 100%, $F$9) + CHOOSE(CONTROL!$C$27, 0.0021, 0)</f>
        <v>37.310699999999997</v>
      </c>
      <c r="H234" s="17">
        <f>37.1738 * CHOOSE(CONTROL!$C$9, $D$9, 100%, $F$9) + CHOOSE(CONTROL!$C$27, 0.0021, 0)</f>
        <v>37.175899999999999</v>
      </c>
      <c r="I234" s="17">
        <f>37.1738 * CHOOSE(CONTROL!$C$9, $D$9, 100%, $F$9) + CHOOSE(CONTROL!$C$27, 0.0021, 0)</f>
        <v>37.175899999999999</v>
      </c>
      <c r="J234" s="17">
        <f>37.1738 * CHOOSE(CONTROL!$C$9, $D$9, 100%, $F$9) + CHOOSE(CONTROL!$C$27, 0.0021, 0)</f>
        <v>37.175899999999999</v>
      </c>
      <c r="K234" s="17">
        <f>37.1738 * CHOOSE(CONTROL!$C$9, $D$9, 100%, $F$9) + CHOOSE(CONTROL!$C$27, 0.0021, 0)</f>
        <v>37.175899999999999</v>
      </c>
      <c r="L234" s="17"/>
    </row>
    <row r="235" spans="1:12" ht="15" x14ac:dyDescent="0.2">
      <c r="A235" s="16">
        <v>48061</v>
      </c>
      <c r="B235" s="17">
        <f>37.8182 * CHOOSE(CONTROL!$C$9, $D$9, 100%, $F$9) + CHOOSE(CONTROL!$C$27, 0.0021, 0)</f>
        <v>37.820299999999996</v>
      </c>
      <c r="C235" s="17">
        <f>37.386 * CHOOSE(CONTROL!$C$9, $D$9, 100%, $F$9) + CHOOSE(CONTROL!$C$27, 0.0021, 0)</f>
        <v>37.388100000000001</v>
      </c>
      <c r="D235" s="17">
        <f>37.386 * CHOOSE(CONTROL!$C$9, $D$9, 100%, $F$9) + CHOOSE(CONTROL!$C$27, 0.0021, 0)</f>
        <v>37.388100000000001</v>
      </c>
      <c r="E235" s="17">
        <f>37.2493 * CHOOSE(CONTROL!$C$9, $D$9, 100%, $F$9) + CHOOSE(CONTROL!$C$27, 0.0021, 0)</f>
        <v>37.251399999999997</v>
      </c>
      <c r="F235" s="17">
        <f>37.2493 * CHOOSE(CONTROL!$C$9, $D$9, 100%, $F$9) + CHOOSE(CONTROL!$C$27, 0.0021, 0)</f>
        <v>37.251399999999997</v>
      </c>
      <c r="G235" s="17">
        <f>37.5207 * CHOOSE(CONTROL!$C$9, $D$9, 100%, $F$9) + CHOOSE(CONTROL!$C$27, 0.0021, 0)</f>
        <v>37.522799999999997</v>
      </c>
      <c r="H235" s="17">
        <f>37.386 * CHOOSE(CONTROL!$C$9, $D$9, 100%, $F$9) + CHOOSE(CONTROL!$C$27, 0.0021, 0)</f>
        <v>37.388100000000001</v>
      </c>
      <c r="I235" s="17">
        <f>37.386 * CHOOSE(CONTROL!$C$9, $D$9, 100%, $F$9) + CHOOSE(CONTROL!$C$27, 0.0021, 0)</f>
        <v>37.388100000000001</v>
      </c>
      <c r="J235" s="17">
        <f>37.386 * CHOOSE(CONTROL!$C$9, $D$9, 100%, $F$9) + CHOOSE(CONTROL!$C$27, 0.0021, 0)</f>
        <v>37.388100000000001</v>
      </c>
      <c r="K235" s="17">
        <f>37.386 * CHOOSE(CONTROL!$C$9, $D$9, 100%, $F$9) + CHOOSE(CONTROL!$C$27, 0.0021, 0)</f>
        <v>37.388100000000001</v>
      </c>
      <c r="L235" s="17"/>
    </row>
    <row r="236" spans="1:12" ht="15" x14ac:dyDescent="0.2">
      <c r="A236" s="16">
        <v>48092</v>
      </c>
      <c r="B236" s="17">
        <f>38.5406 * CHOOSE(CONTROL!$C$9, $D$9, 100%, $F$9) + CHOOSE(CONTROL!$C$27, 0.0021, 0)</f>
        <v>38.542699999999996</v>
      </c>
      <c r="C236" s="17">
        <f>38.1084 * CHOOSE(CONTROL!$C$9, $D$9, 100%, $F$9) + CHOOSE(CONTROL!$C$27, 0.0021, 0)</f>
        <v>38.110500000000002</v>
      </c>
      <c r="D236" s="17">
        <f>38.1084 * CHOOSE(CONTROL!$C$9, $D$9, 100%, $F$9) + CHOOSE(CONTROL!$C$27, 0.0021, 0)</f>
        <v>38.110500000000002</v>
      </c>
      <c r="E236" s="17">
        <f>37.9717 * CHOOSE(CONTROL!$C$9, $D$9, 100%, $F$9) + CHOOSE(CONTROL!$C$27, 0.0021, 0)</f>
        <v>37.973799999999997</v>
      </c>
      <c r="F236" s="17">
        <f>37.9717 * CHOOSE(CONTROL!$C$9, $D$9, 100%, $F$9) + CHOOSE(CONTROL!$C$27, 0.0021, 0)</f>
        <v>37.973799999999997</v>
      </c>
      <c r="G236" s="17">
        <f>38.2431 * CHOOSE(CONTROL!$C$9, $D$9, 100%, $F$9) + CHOOSE(CONTROL!$C$27, 0.0021, 0)</f>
        <v>38.245199999999997</v>
      </c>
      <c r="H236" s="17">
        <f>38.1084 * CHOOSE(CONTROL!$C$9, $D$9, 100%, $F$9) + CHOOSE(CONTROL!$C$27, 0.0021, 0)</f>
        <v>38.110500000000002</v>
      </c>
      <c r="I236" s="17">
        <f>38.1084 * CHOOSE(CONTROL!$C$9, $D$9, 100%, $F$9) + CHOOSE(CONTROL!$C$27, 0.0021, 0)</f>
        <v>38.110500000000002</v>
      </c>
      <c r="J236" s="17">
        <f>38.1084 * CHOOSE(CONTROL!$C$9, $D$9, 100%, $F$9) + CHOOSE(CONTROL!$C$27, 0.0021, 0)</f>
        <v>38.110500000000002</v>
      </c>
      <c r="K236" s="17">
        <f>38.1084 * CHOOSE(CONTROL!$C$9, $D$9, 100%, $F$9) + CHOOSE(CONTROL!$C$27, 0.0021, 0)</f>
        <v>38.110500000000002</v>
      </c>
      <c r="L236" s="17"/>
    </row>
    <row r="237" spans="1:12" ht="15" x14ac:dyDescent="0.2">
      <c r="A237" s="16">
        <v>48122</v>
      </c>
      <c r="B237" s="17">
        <f>39.4551 * CHOOSE(CONTROL!$C$9, $D$9, 100%, $F$9) + CHOOSE(CONTROL!$C$27, 0.0021, 0)</f>
        <v>39.4572</v>
      </c>
      <c r="C237" s="17">
        <f>39.0229 * CHOOSE(CONTROL!$C$9, $D$9, 100%, $F$9) + CHOOSE(CONTROL!$C$27, 0.0021, 0)</f>
        <v>39.024999999999999</v>
      </c>
      <c r="D237" s="17">
        <f>39.0229 * CHOOSE(CONTROL!$C$9, $D$9, 100%, $F$9) + CHOOSE(CONTROL!$C$27, 0.0021, 0)</f>
        <v>39.024999999999999</v>
      </c>
      <c r="E237" s="17">
        <f>38.8862 * CHOOSE(CONTROL!$C$9, $D$9, 100%, $F$9) + CHOOSE(CONTROL!$C$27, 0.0021, 0)</f>
        <v>38.888300000000001</v>
      </c>
      <c r="F237" s="17">
        <f>38.8862 * CHOOSE(CONTROL!$C$9, $D$9, 100%, $F$9) + CHOOSE(CONTROL!$C$27, 0.0021, 0)</f>
        <v>38.888300000000001</v>
      </c>
      <c r="G237" s="17">
        <f>39.1576 * CHOOSE(CONTROL!$C$9, $D$9, 100%, $F$9) + CHOOSE(CONTROL!$C$27, 0.0021, 0)</f>
        <v>39.159700000000001</v>
      </c>
      <c r="H237" s="17">
        <f>39.0229 * CHOOSE(CONTROL!$C$9, $D$9, 100%, $F$9) + CHOOSE(CONTROL!$C$27, 0.0021, 0)</f>
        <v>39.024999999999999</v>
      </c>
      <c r="I237" s="17">
        <f>39.0229 * CHOOSE(CONTROL!$C$9, $D$9, 100%, $F$9) + CHOOSE(CONTROL!$C$27, 0.0021, 0)</f>
        <v>39.024999999999999</v>
      </c>
      <c r="J237" s="17">
        <f>39.0229 * CHOOSE(CONTROL!$C$9, $D$9, 100%, $F$9) + CHOOSE(CONTROL!$C$27, 0.0021, 0)</f>
        <v>39.024999999999999</v>
      </c>
      <c r="K237" s="17">
        <f>39.0229 * CHOOSE(CONTROL!$C$9, $D$9, 100%, $F$9) + CHOOSE(CONTROL!$C$27, 0.0021, 0)</f>
        <v>39.024999999999999</v>
      </c>
      <c r="L237" s="17"/>
    </row>
    <row r="238" spans="1:12" ht="15" x14ac:dyDescent="0.2">
      <c r="A238" s="16">
        <v>48153</v>
      </c>
      <c r="B238" s="17">
        <f>39.541 * CHOOSE(CONTROL!$C$9, $D$9, 100%, $F$9) + CHOOSE(CONTROL!$C$27, 0.0021, 0)</f>
        <v>39.543099999999995</v>
      </c>
      <c r="C238" s="17">
        <f>39.1087 * CHOOSE(CONTROL!$C$9, $D$9, 100%, $F$9) + CHOOSE(CONTROL!$C$27, 0.0021, 0)</f>
        <v>39.110799999999998</v>
      </c>
      <c r="D238" s="17">
        <f>39.1087 * CHOOSE(CONTROL!$C$9, $D$9, 100%, $F$9) + CHOOSE(CONTROL!$C$27, 0.0021, 0)</f>
        <v>39.110799999999998</v>
      </c>
      <c r="E238" s="17">
        <f>38.972 * CHOOSE(CONTROL!$C$9, $D$9, 100%, $F$9) + CHOOSE(CONTROL!$C$27, 0.0021, 0)</f>
        <v>38.9741</v>
      </c>
      <c r="F238" s="17">
        <f>38.972 * CHOOSE(CONTROL!$C$9, $D$9, 100%, $F$9) + CHOOSE(CONTROL!$C$27, 0.0021, 0)</f>
        <v>38.9741</v>
      </c>
      <c r="G238" s="17">
        <f>39.2434 * CHOOSE(CONTROL!$C$9, $D$9, 100%, $F$9) + CHOOSE(CONTROL!$C$27, 0.0021, 0)</f>
        <v>39.2455</v>
      </c>
      <c r="H238" s="17">
        <f>39.1087 * CHOOSE(CONTROL!$C$9, $D$9, 100%, $F$9) + CHOOSE(CONTROL!$C$27, 0.0021, 0)</f>
        <v>39.110799999999998</v>
      </c>
      <c r="I238" s="17">
        <f>39.1087 * CHOOSE(CONTROL!$C$9, $D$9, 100%, $F$9) + CHOOSE(CONTROL!$C$27, 0.0021, 0)</f>
        <v>39.110799999999998</v>
      </c>
      <c r="J238" s="17">
        <f>39.1087 * CHOOSE(CONTROL!$C$9, $D$9, 100%, $F$9) + CHOOSE(CONTROL!$C$27, 0.0021, 0)</f>
        <v>39.110799999999998</v>
      </c>
      <c r="K238" s="17">
        <f>39.1087 * CHOOSE(CONTROL!$C$9, $D$9, 100%, $F$9) + CHOOSE(CONTROL!$C$27, 0.0021, 0)</f>
        <v>39.110799999999998</v>
      </c>
      <c r="L238" s="17"/>
    </row>
    <row r="239" spans="1:12" ht="15" x14ac:dyDescent="0.2">
      <c r="A239" s="16">
        <v>48183</v>
      </c>
      <c r="B239" s="17">
        <f>38.8106 * CHOOSE(CONTROL!$C$9, $D$9, 100%, $F$9) + CHOOSE(CONTROL!$C$27, 0.0021, 0)</f>
        <v>38.8127</v>
      </c>
      <c r="C239" s="17">
        <f>38.3783 * CHOOSE(CONTROL!$C$9, $D$9, 100%, $F$9) + CHOOSE(CONTROL!$C$27, 0.0021, 0)</f>
        <v>38.380400000000002</v>
      </c>
      <c r="D239" s="17">
        <f>38.3783 * CHOOSE(CONTROL!$C$9, $D$9, 100%, $F$9) + CHOOSE(CONTROL!$C$27, 0.0021, 0)</f>
        <v>38.380400000000002</v>
      </c>
      <c r="E239" s="17">
        <f>38.2417 * CHOOSE(CONTROL!$C$9, $D$9, 100%, $F$9) + CHOOSE(CONTROL!$C$27, 0.0021, 0)</f>
        <v>38.2438</v>
      </c>
      <c r="F239" s="17">
        <f>38.2417 * CHOOSE(CONTROL!$C$9, $D$9, 100%, $F$9) + CHOOSE(CONTROL!$C$27, 0.0021, 0)</f>
        <v>38.2438</v>
      </c>
      <c r="G239" s="17">
        <f>38.5131 * CHOOSE(CONTROL!$C$9, $D$9, 100%, $F$9) + CHOOSE(CONTROL!$C$27, 0.0021, 0)</f>
        <v>38.5152</v>
      </c>
      <c r="H239" s="17">
        <f>38.3783 * CHOOSE(CONTROL!$C$9, $D$9, 100%, $F$9) + CHOOSE(CONTROL!$C$27, 0.0021, 0)</f>
        <v>38.380400000000002</v>
      </c>
      <c r="I239" s="17">
        <f>38.3783 * CHOOSE(CONTROL!$C$9, $D$9, 100%, $F$9) + CHOOSE(CONTROL!$C$27, 0.0021, 0)</f>
        <v>38.380400000000002</v>
      </c>
      <c r="J239" s="17">
        <f>38.3783 * CHOOSE(CONTROL!$C$9, $D$9, 100%, $F$9) + CHOOSE(CONTROL!$C$27, 0.0021, 0)</f>
        <v>38.380400000000002</v>
      </c>
      <c r="K239" s="17">
        <f>38.3783 * CHOOSE(CONTROL!$C$9, $D$9, 100%, $F$9) + CHOOSE(CONTROL!$C$27, 0.0021, 0)</f>
        <v>38.380400000000002</v>
      </c>
      <c r="L239" s="17"/>
    </row>
    <row r="240" spans="1:12" ht="15" x14ac:dyDescent="0.2">
      <c r="A240" s="16">
        <v>48214</v>
      </c>
      <c r="B240" s="17">
        <f>38.349 * CHOOSE(CONTROL!$C$9, $D$9, 100%, $F$9) + CHOOSE(CONTROL!$C$27, 0.0021, 0)</f>
        <v>38.351099999999995</v>
      </c>
      <c r="C240" s="17">
        <f>37.9167 * CHOOSE(CONTROL!$C$9, $D$9, 100%, $F$9) + CHOOSE(CONTROL!$C$27, 0.0021, 0)</f>
        <v>37.918799999999997</v>
      </c>
      <c r="D240" s="17">
        <f>37.9167 * CHOOSE(CONTROL!$C$9, $D$9, 100%, $F$9) + CHOOSE(CONTROL!$C$27, 0.0021, 0)</f>
        <v>37.918799999999997</v>
      </c>
      <c r="E240" s="17">
        <f>37.7801 * CHOOSE(CONTROL!$C$9, $D$9, 100%, $F$9) + CHOOSE(CONTROL!$C$27, 0.0021, 0)</f>
        <v>37.782199999999996</v>
      </c>
      <c r="F240" s="17">
        <f>37.7801 * CHOOSE(CONTROL!$C$9, $D$9, 100%, $F$9) + CHOOSE(CONTROL!$C$27, 0.0021, 0)</f>
        <v>37.782199999999996</v>
      </c>
      <c r="G240" s="17">
        <f>38.0514 * CHOOSE(CONTROL!$C$9, $D$9, 100%, $F$9) + CHOOSE(CONTROL!$C$27, 0.0021, 0)</f>
        <v>38.0535</v>
      </c>
      <c r="H240" s="17">
        <f>37.9167 * CHOOSE(CONTROL!$C$9, $D$9, 100%, $F$9) + CHOOSE(CONTROL!$C$27, 0.0021, 0)</f>
        <v>37.918799999999997</v>
      </c>
      <c r="I240" s="17">
        <f>37.9167 * CHOOSE(CONTROL!$C$9, $D$9, 100%, $F$9) + CHOOSE(CONTROL!$C$27, 0.0021, 0)</f>
        <v>37.918799999999997</v>
      </c>
      <c r="J240" s="17">
        <f>37.9167 * CHOOSE(CONTROL!$C$9, $D$9, 100%, $F$9) + CHOOSE(CONTROL!$C$27, 0.0021, 0)</f>
        <v>37.918799999999997</v>
      </c>
      <c r="K240" s="17">
        <f>37.9167 * CHOOSE(CONTROL!$C$9, $D$9, 100%, $F$9) + CHOOSE(CONTROL!$C$27, 0.0021, 0)</f>
        <v>37.918799999999997</v>
      </c>
      <c r="L240" s="17"/>
    </row>
    <row r="241" spans="1:12" ht="15" x14ac:dyDescent="0.2">
      <c r="A241" s="16">
        <v>48245</v>
      </c>
      <c r="B241" s="17">
        <f>37.3291 * CHOOSE(CONTROL!$C$9, $D$9, 100%, $F$9) + CHOOSE(CONTROL!$C$27, 0.0021, 0)</f>
        <v>37.331199999999995</v>
      </c>
      <c r="C241" s="17">
        <f>36.8968 * CHOOSE(CONTROL!$C$9, $D$9, 100%, $F$9) + CHOOSE(CONTROL!$C$27, 0.0021, 0)</f>
        <v>36.898899999999998</v>
      </c>
      <c r="D241" s="17">
        <f>36.8968 * CHOOSE(CONTROL!$C$9, $D$9, 100%, $F$9) + CHOOSE(CONTROL!$C$27, 0.0021, 0)</f>
        <v>36.898899999999998</v>
      </c>
      <c r="E241" s="17">
        <f>36.7602 * CHOOSE(CONTROL!$C$9, $D$9, 100%, $F$9) + CHOOSE(CONTROL!$C$27, 0.0021, 0)</f>
        <v>36.762299999999996</v>
      </c>
      <c r="F241" s="17">
        <f>36.7602 * CHOOSE(CONTROL!$C$9, $D$9, 100%, $F$9) + CHOOSE(CONTROL!$C$27, 0.0021, 0)</f>
        <v>36.762299999999996</v>
      </c>
      <c r="G241" s="17">
        <f>37.0316 * CHOOSE(CONTROL!$C$9, $D$9, 100%, $F$9) + CHOOSE(CONTROL!$C$27, 0.0021, 0)</f>
        <v>37.033699999999996</v>
      </c>
      <c r="H241" s="17">
        <f>36.8968 * CHOOSE(CONTROL!$C$9, $D$9, 100%, $F$9) + CHOOSE(CONTROL!$C$27, 0.0021, 0)</f>
        <v>36.898899999999998</v>
      </c>
      <c r="I241" s="17">
        <f>36.8968 * CHOOSE(CONTROL!$C$9, $D$9, 100%, $F$9) + CHOOSE(CONTROL!$C$27, 0.0021, 0)</f>
        <v>36.898899999999998</v>
      </c>
      <c r="J241" s="17">
        <f>36.8968 * CHOOSE(CONTROL!$C$9, $D$9, 100%, $F$9) + CHOOSE(CONTROL!$C$27, 0.0021, 0)</f>
        <v>36.898899999999998</v>
      </c>
      <c r="K241" s="17">
        <f>36.8968 * CHOOSE(CONTROL!$C$9, $D$9, 100%, $F$9) + CHOOSE(CONTROL!$C$27, 0.0021, 0)</f>
        <v>36.898899999999998</v>
      </c>
      <c r="L241" s="17"/>
    </row>
    <row r="242" spans="1:12" ht="15" x14ac:dyDescent="0.2">
      <c r="A242" s="16">
        <v>48274</v>
      </c>
      <c r="B242" s="17">
        <f>36.9081 * CHOOSE(CONTROL!$C$9, $D$9, 100%, $F$9) + CHOOSE(CONTROL!$C$27, 0.0021, 0)</f>
        <v>36.910199999999996</v>
      </c>
      <c r="C242" s="17">
        <f>36.4758 * CHOOSE(CONTROL!$C$9, $D$9, 100%, $F$9) + CHOOSE(CONTROL!$C$27, 0.0021, 0)</f>
        <v>36.477899999999998</v>
      </c>
      <c r="D242" s="17">
        <f>36.4758 * CHOOSE(CONTROL!$C$9, $D$9, 100%, $F$9) + CHOOSE(CONTROL!$C$27, 0.0021, 0)</f>
        <v>36.477899999999998</v>
      </c>
      <c r="E242" s="17">
        <f>36.3392 * CHOOSE(CONTROL!$C$9, $D$9, 100%, $F$9) + CHOOSE(CONTROL!$C$27, 0.0021, 0)</f>
        <v>36.341299999999997</v>
      </c>
      <c r="F242" s="17">
        <f>36.3392 * CHOOSE(CONTROL!$C$9, $D$9, 100%, $F$9) + CHOOSE(CONTROL!$C$27, 0.0021, 0)</f>
        <v>36.341299999999997</v>
      </c>
      <c r="G242" s="17">
        <f>36.6106 * CHOOSE(CONTROL!$C$9, $D$9, 100%, $F$9) + CHOOSE(CONTROL!$C$27, 0.0021, 0)</f>
        <v>36.612699999999997</v>
      </c>
      <c r="H242" s="17">
        <f>36.4758 * CHOOSE(CONTROL!$C$9, $D$9, 100%, $F$9) + CHOOSE(CONTROL!$C$27, 0.0021, 0)</f>
        <v>36.477899999999998</v>
      </c>
      <c r="I242" s="17">
        <f>36.4758 * CHOOSE(CONTROL!$C$9, $D$9, 100%, $F$9) + CHOOSE(CONTROL!$C$27, 0.0021, 0)</f>
        <v>36.477899999999998</v>
      </c>
      <c r="J242" s="17">
        <f>36.4758 * CHOOSE(CONTROL!$C$9, $D$9, 100%, $F$9) + CHOOSE(CONTROL!$C$27, 0.0021, 0)</f>
        <v>36.477899999999998</v>
      </c>
      <c r="K242" s="17">
        <f>36.4758 * CHOOSE(CONTROL!$C$9, $D$9, 100%, $F$9) + CHOOSE(CONTROL!$C$27, 0.0021, 0)</f>
        <v>36.477899999999998</v>
      </c>
      <c r="L242" s="17"/>
    </row>
    <row r="243" spans="1:12" ht="15" x14ac:dyDescent="0.2">
      <c r="A243" s="16">
        <v>48305</v>
      </c>
      <c r="B243" s="17">
        <f>36.4054 * CHOOSE(CONTROL!$C$9, $D$9, 100%, $F$9) + CHOOSE(CONTROL!$C$27, 0.0021, 0)</f>
        <v>36.407499999999999</v>
      </c>
      <c r="C243" s="17">
        <f>35.9732 * CHOOSE(CONTROL!$C$9, $D$9, 100%, $F$9) + CHOOSE(CONTROL!$C$27, 0.0021, 0)</f>
        <v>35.975299999999997</v>
      </c>
      <c r="D243" s="17">
        <f>35.9732 * CHOOSE(CONTROL!$C$9, $D$9, 100%, $F$9) + CHOOSE(CONTROL!$C$27, 0.0021, 0)</f>
        <v>35.975299999999997</v>
      </c>
      <c r="E243" s="17">
        <f>35.8365 * CHOOSE(CONTROL!$C$9, $D$9, 100%, $F$9) + CHOOSE(CONTROL!$C$27, 0.0021, 0)</f>
        <v>35.8386</v>
      </c>
      <c r="F243" s="17">
        <f>35.8365 * CHOOSE(CONTROL!$C$9, $D$9, 100%, $F$9) + CHOOSE(CONTROL!$C$27, 0.0021, 0)</f>
        <v>35.8386</v>
      </c>
      <c r="G243" s="17">
        <f>36.1079 * CHOOSE(CONTROL!$C$9, $D$9, 100%, $F$9) + CHOOSE(CONTROL!$C$27, 0.0021, 0)</f>
        <v>36.11</v>
      </c>
      <c r="H243" s="17">
        <f>35.9732 * CHOOSE(CONTROL!$C$9, $D$9, 100%, $F$9) + CHOOSE(CONTROL!$C$27, 0.0021, 0)</f>
        <v>35.975299999999997</v>
      </c>
      <c r="I243" s="17">
        <f>35.9732 * CHOOSE(CONTROL!$C$9, $D$9, 100%, $F$9) + CHOOSE(CONTROL!$C$27, 0.0021, 0)</f>
        <v>35.975299999999997</v>
      </c>
      <c r="J243" s="17">
        <f>35.9732 * CHOOSE(CONTROL!$C$9, $D$9, 100%, $F$9) + CHOOSE(CONTROL!$C$27, 0.0021, 0)</f>
        <v>35.975299999999997</v>
      </c>
      <c r="K243" s="17">
        <f>35.9732 * CHOOSE(CONTROL!$C$9, $D$9, 100%, $F$9) + CHOOSE(CONTROL!$C$27, 0.0021, 0)</f>
        <v>35.975299999999997</v>
      </c>
      <c r="L243" s="17"/>
    </row>
    <row r="244" spans="1:12" ht="15" x14ac:dyDescent="0.2">
      <c r="A244" s="16">
        <v>48335</v>
      </c>
      <c r="B244" s="17">
        <f>37.1218 * CHOOSE(CONTROL!$C$9, $D$9, 100%, $F$9) + CHOOSE(CONTROL!$C$27, 0.0021, 0)</f>
        <v>37.123899999999999</v>
      </c>
      <c r="C244" s="17">
        <f>36.6895 * CHOOSE(CONTROL!$C$9, $D$9, 100%, $F$9) + CHOOSE(CONTROL!$C$27, 0.0021, 0)</f>
        <v>36.691600000000001</v>
      </c>
      <c r="D244" s="17">
        <f>36.6895 * CHOOSE(CONTROL!$C$9, $D$9, 100%, $F$9) + CHOOSE(CONTROL!$C$27, 0.0021, 0)</f>
        <v>36.691600000000001</v>
      </c>
      <c r="E244" s="17">
        <f>36.5529 * CHOOSE(CONTROL!$C$9, $D$9, 100%, $F$9) + CHOOSE(CONTROL!$C$27, 0.0021, 0)</f>
        <v>36.555</v>
      </c>
      <c r="F244" s="17">
        <f>36.5529 * CHOOSE(CONTROL!$C$9, $D$9, 100%, $F$9) + CHOOSE(CONTROL!$C$27, 0.0021, 0)</f>
        <v>36.555</v>
      </c>
      <c r="G244" s="17">
        <f>36.8243 * CHOOSE(CONTROL!$C$9, $D$9, 100%, $F$9) + CHOOSE(CONTROL!$C$27, 0.0021, 0)</f>
        <v>36.8264</v>
      </c>
      <c r="H244" s="17">
        <f>36.6895 * CHOOSE(CONTROL!$C$9, $D$9, 100%, $F$9) + CHOOSE(CONTROL!$C$27, 0.0021, 0)</f>
        <v>36.691600000000001</v>
      </c>
      <c r="I244" s="17">
        <f>36.6895 * CHOOSE(CONTROL!$C$9, $D$9, 100%, $F$9) + CHOOSE(CONTROL!$C$27, 0.0021, 0)</f>
        <v>36.691600000000001</v>
      </c>
      <c r="J244" s="17">
        <f>36.6895 * CHOOSE(CONTROL!$C$9, $D$9, 100%, $F$9) + CHOOSE(CONTROL!$C$27, 0.0021, 0)</f>
        <v>36.691600000000001</v>
      </c>
      <c r="K244" s="17">
        <f>36.6895 * CHOOSE(CONTROL!$C$9, $D$9, 100%, $F$9) + CHOOSE(CONTROL!$C$27, 0.0021, 0)</f>
        <v>36.691600000000001</v>
      </c>
      <c r="L244" s="17"/>
    </row>
    <row r="245" spans="1:12" ht="15" x14ac:dyDescent="0.2">
      <c r="A245" s="16">
        <v>48366</v>
      </c>
      <c r="B245" s="17">
        <f>37.5509 * CHOOSE(CONTROL!$C$9, $D$9, 100%, $F$9) + CHOOSE(CONTROL!$C$27, 0.0021, 0)</f>
        <v>37.552999999999997</v>
      </c>
      <c r="C245" s="17">
        <f>37.1186 * CHOOSE(CONTROL!$C$9, $D$9, 100%, $F$9) + CHOOSE(CONTROL!$C$27, 0.0021, 0)</f>
        <v>37.120699999999999</v>
      </c>
      <c r="D245" s="17">
        <f>37.1186 * CHOOSE(CONTROL!$C$9, $D$9, 100%, $F$9) + CHOOSE(CONTROL!$C$27, 0.0021, 0)</f>
        <v>37.120699999999999</v>
      </c>
      <c r="E245" s="17">
        <f>36.982 * CHOOSE(CONTROL!$C$9, $D$9, 100%, $F$9) + CHOOSE(CONTROL!$C$27, 0.0021, 0)</f>
        <v>36.984099999999998</v>
      </c>
      <c r="F245" s="17">
        <f>36.982 * CHOOSE(CONTROL!$C$9, $D$9, 100%, $F$9) + CHOOSE(CONTROL!$C$27, 0.0021, 0)</f>
        <v>36.984099999999998</v>
      </c>
      <c r="G245" s="17">
        <f>37.2534 * CHOOSE(CONTROL!$C$9, $D$9, 100%, $F$9) + CHOOSE(CONTROL!$C$27, 0.0021, 0)</f>
        <v>37.255499999999998</v>
      </c>
      <c r="H245" s="17">
        <f>37.1186 * CHOOSE(CONTROL!$C$9, $D$9, 100%, $F$9) + CHOOSE(CONTROL!$C$27, 0.0021, 0)</f>
        <v>37.120699999999999</v>
      </c>
      <c r="I245" s="17">
        <f>37.1186 * CHOOSE(CONTROL!$C$9, $D$9, 100%, $F$9) + CHOOSE(CONTROL!$C$27, 0.0021, 0)</f>
        <v>37.120699999999999</v>
      </c>
      <c r="J245" s="17">
        <f>37.1186 * CHOOSE(CONTROL!$C$9, $D$9, 100%, $F$9) + CHOOSE(CONTROL!$C$27, 0.0021, 0)</f>
        <v>37.120699999999999</v>
      </c>
      <c r="K245" s="17">
        <f>37.1186 * CHOOSE(CONTROL!$C$9, $D$9, 100%, $F$9) + CHOOSE(CONTROL!$C$27, 0.0021, 0)</f>
        <v>37.120699999999999</v>
      </c>
      <c r="L245" s="17"/>
    </row>
    <row r="246" spans="1:12" ht="15" x14ac:dyDescent="0.2">
      <c r="A246" s="16">
        <v>48396</v>
      </c>
      <c r="B246" s="17">
        <f>38.2587 * CHOOSE(CONTROL!$C$9, $D$9, 100%, $F$9) + CHOOSE(CONTROL!$C$27, 0.0021, 0)</f>
        <v>38.260799999999996</v>
      </c>
      <c r="C246" s="17">
        <f>37.8265 * CHOOSE(CONTROL!$C$9, $D$9, 100%, $F$9) + CHOOSE(CONTROL!$C$27, 0.0021, 0)</f>
        <v>37.828600000000002</v>
      </c>
      <c r="D246" s="17">
        <f>37.8265 * CHOOSE(CONTROL!$C$9, $D$9, 100%, $F$9) + CHOOSE(CONTROL!$C$27, 0.0021, 0)</f>
        <v>37.828600000000002</v>
      </c>
      <c r="E246" s="17">
        <f>37.6898 * CHOOSE(CONTROL!$C$9, $D$9, 100%, $F$9) + CHOOSE(CONTROL!$C$27, 0.0021, 0)</f>
        <v>37.691899999999997</v>
      </c>
      <c r="F246" s="17">
        <f>37.6898 * CHOOSE(CONTROL!$C$9, $D$9, 100%, $F$9) + CHOOSE(CONTROL!$C$27, 0.0021, 0)</f>
        <v>37.691899999999997</v>
      </c>
      <c r="G246" s="17">
        <f>37.9612 * CHOOSE(CONTROL!$C$9, $D$9, 100%, $F$9) + CHOOSE(CONTROL!$C$27, 0.0021, 0)</f>
        <v>37.963299999999997</v>
      </c>
      <c r="H246" s="17">
        <f>37.8265 * CHOOSE(CONTROL!$C$9, $D$9, 100%, $F$9) + CHOOSE(CONTROL!$C$27, 0.0021, 0)</f>
        <v>37.828600000000002</v>
      </c>
      <c r="I246" s="17">
        <f>37.8265 * CHOOSE(CONTROL!$C$9, $D$9, 100%, $F$9) + CHOOSE(CONTROL!$C$27, 0.0021, 0)</f>
        <v>37.828600000000002</v>
      </c>
      <c r="J246" s="17">
        <f>37.8265 * CHOOSE(CONTROL!$C$9, $D$9, 100%, $F$9) + CHOOSE(CONTROL!$C$27, 0.0021, 0)</f>
        <v>37.828600000000002</v>
      </c>
      <c r="K246" s="17">
        <f>37.8265 * CHOOSE(CONTROL!$C$9, $D$9, 100%, $F$9) + CHOOSE(CONTROL!$C$27, 0.0021, 0)</f>
        <v>37.828600000000002</v>
      </c>
      <c r="L246" s="17"/>
    </row>
    <row r="247" spans="1:12" ht="15" x14ac:dyDescent="0.2">
      <c r="A247" s="16">
        <v>48427</v>
      </c>
      <c r="B247" s="17">
        <f>38.4748 * CHOOSE(CONTROL!$C$9, $D$9, 100%, $F$9) + CHOOSE(CONTROL!$C$27, 0.0021, 0)</f>
        <v>38.476900000000001</v>
      </c>
      <c r="C247" s="17">
        <f>38.0425 * CHOOSE(CONTROL!$C$9, $D$9, 100%, $F$9) + CHOOSE(CONTROL!$C$27, 0.0021, 0)</f>
        <v>38.044599999999996</v>
      </c>
      <c r="D247" s="17">
        <f>38.0425 * CHOOSE(CONTROL!$C$9, $D$9, 100%, $F$9) + CHOOSE(CONTROL!$C$27, 0.0021, 0)</f>
        <v>38.044599999999996</v>
      </c>
      <c r="E247" s="17">
        <f>37.9059 * CHOOSE(CONTROL!$C$9, $D$9, 100%, $F$9) + CHOOSE(CONTROL!$C$27, 0.0021, 0)</f>
        <v>37.908000000000001</v>
      </c>
      <c r="F247" s="17">
        <f>37.9059 * CHOOSE(CONTROL!$C$9, $D$9, 100%, $F$9) + CHOOSE(CONTROL!$C$27, 0.0021, 0)</f>
        <v>37.908000000000001</v>
      </c>
      <c r="G247" s="17">
        <f>38.1772 * CHOOSE(CONTROL!$C$9, $D$9, 100%, $F$9) + CHOOSE(CONTROL!$C$27, 0.0021, 0)</f>
        <v>38.179299999999998</v>
      </c>
      <c r="H247" s="17">
        <f>38.0425 * CHOOSE(CONTROL!$C$9, $D$9, 100%, $F$9) + CHOOSE(CONTROL!$C$27, 0.0021, 0)</f>
        <v>38.044599999999996</v>
      </c>
      <c r="I247" s="17">
        <f>38.0425 * CHOOSE(CONTROL!$C$9, $D$9, 100%, $F$9) + CHOOSE(CONTROL!$C$27, 0.0021, 0)</f>
        <v>38.044599999999996</v>
      </c>
      <c r="J247" s="17">
        <f>38.0425 * CHOOSE(CONTROL!$C$9, $D$9, 100%, $F$9) + CHOOSE(CONTROL!$C$27, 0.0021, 0)</f>
        <v>38.044599999999996</v>
      </c>
      <c r="K247" s="17">
        <f>38.0425 * CHOOSE(CONTROL!$C$9, $D$9, 100%, $F$9) + CHOOSE(CONTROL!$C$27, 0.0021, 0)</f>
        <v>38.044599999999996</v>
      </c>
      <c r="L247" s="17"/>
    </row>
    <row r="248" spans="1:12" ht="15" x14ac:dyDescent="0.2">
      <c r="A248" s="16">
        <v>48458</v>
      </c>
      <c r="B248" s="17">
        <f>39.2105 * CHOOSE(CONTROL!$C$9, $D$9, 100%, $F$9) + CHOOSE(CONTROL!$C$27, 0.0021, 0)</f>
        <v>39.212600000000002</v>
      </c>
      <c r="C248" s="17">
        <f>38.7783 * CHOOSE(CONTROL!$C$9, $D$9, 100%, $F$9) + CHOOSE(CONTROL!$C$27, 0.0021, 0)</f>
        <v>38.7804</v>
      </c>
      <c r="D248" s="17">
        <f>38.7783 * CHOOSE(CONTROL!$C$9, $D$9, 100%, $F$9) + CHOOSE(CONTROL!$C$27, 0.0021, 0)</f>
        <v>38.7804</v>
      </c>
      <c r="E248" s="17">
        <f>38.6416 * CHOOSE(CONTROL!$C$9, $D$9, 100%, $F$9) + CHOOSE(CONTROL!$C$27, 0.0021, 0)</f>
        <v>38.643699999999995</v>
      </c>
      <c r="F248" s="17">
        <f>38.6416 * CHOOSE(CONTROL!$C$9, $D$9, 100%, $F$9) + CHOOSE(CONTROL!$C$27, 0.0021, 0)</f>
        <v>38.643699999999995</v>
      </c>
      <c r="G248" s="17">
        <f>38.913 * CHOOSE(CONTROL!$C$9, $D$9, 100%, $F$9) + CHOOSE(CONTROL!$C$27, 0.0021, 0)</f>
        <v>38.915099999999995</v>
      </c>
      <c r="H248" s="17">
        <f>38.7783 * CHOOSE(CONTROL!$C$9, $D$9, 100%, $F$9) + CHOOSE(CONTROL!$C$27, 0.0021, 0)</f>
        <v>38.7804</v>
      </c>
      <c r="I248" s="17">
        <f>38.7783 * CHOOSE(CONTROL!$C$9, $D$9, 100%, $F$9) + CHOOSE(CONTROL!$C$27, 0.0021, 0)</f>
        <v>38.7804</v>
      </c>
      <c r="J248" s="17">
        <f>38.7783 * CHOOSE(CONTROL!$C$9, $D$9, 100%, $F$9) + CHOOSE(CONTROL!$C$27, 0.0021, 0)</f>
        <v>38.7804</v>
      </c>
      <c r="K248" s="17">
        <f>38.7783 * CHOOSE(CONTROL!$C$9, $D$9, 100%, $F$9) + CHOOSE(CONTROL!$C$27, 0.0021, 0)</f>
        <v>38.7804</v>
      </c>
      <c r="L248" s="17"/>
    </row>
    <row r="249" spans="1:12" ht="15" x14ac:dyDescent="0.2">
      <c r="A249" s="16">
        <v>48488</v>
      </c>
      <c r="B249" s="17">
        <f>40.1419 * CHOOSE(CONTROL!$C$9, $D$9, 100%, $F$9) + CHOOSE(CONTROL!$C$27, 0.0021, 0)</f>
        <v>40.143999999999998</v>
      </c>
      <c r="C249" s="17">
        <f>39.7097 * CHOOSE(CONTROL!$C$9, $D$9, 100%, $F$9) + CHOOSE(CONTROL!$C$27, 0.0021, 0)</f>
        <v>39.711799999999997</v>
      </c>
      <c r="D249" s="17">
        <f>39.7097 * CHOOSE(CONTROL!$C$9, $D$9, 100%, $F$9) + CHOOSE(CONTROL!$C$27, 0.0021, 0)</f>
        <v>39.711799999999997</v>
      </c>
      <c r="E249" s="17">
        <f>39.573 * CHOOSE(CONTROL!$C$9, $D$9, 100%, $F$9) + CHOOSE(CONTROL!$C$27, 0.0021, 0)</f>
        <v>39.575099999999999</v>
      </c>
      <c r="F249" s="17">
        <f>39.573 * CHOOSE(CONTROL!$C$9, $D$9, 100%, $F$9) + CHOOSE(CONTROL!$C$27, 0.0021, 0)</f>
        <v>39.575099999999999</v>
      </c>
      <c r="G249" s="17">
        <f>39.8444 * CHOOSE(CONTROL!$C$9, $D$9, 100%, $F$9) + CHOOSE(CONTROL!$C$27, 0.0021, 0)</f>
        <v>39.846499999999999</v>
      </c>
      <c r="H249" s="17">
        <f>39.7097 * CHOOSE(CONTROL!$C$9, $D$9, 100%, $F$9) + CHOOSE(CONTROL!$C$27, 0.0021, 0)</f>
        <v>39.711799999999997</v>
      </c>
      <c r="I249" s="17">
        <f>39.7097 * CHOOSE(CONTROL!$C$9, $D$9, 100%, $F$9) + CHOOSE(CONTROL!$C$27, 0.0021, 0)</f>
        <v>39.711799999999997</v>
      </c>
      <c r="J249" s="17">
        <f>39.7097 * CHOOSE(CONTROL!$C$9, $D$9, 100%, $F$9) + CHOOSE(CONTROL!$C$27, 0.0021, 0)</f>
        <v>39.711799999999997</v>
      </c>
      <c r="K249" s="17">
        <f>39.7097 * CHOOSE(CONTROL!$C$9, $D$9, 100%, $F$9) + CHOOSE(CONTROL!$C$27, 0.0021, 0)</f>
        <v>39.711799999999997</v>
      </c>
      <c r="L249" s="17"/>
    </row>
    <row r="250" spans="1:12" ht="15" x14ac:dyDescent="0.2">
      <c r="A250" s="16">
        <v>48519</v>
      </c>
      <c r="B250" s="17">
        <f>40.2293 * CHOOSE(CONTROL!$C$9, $D$9, 100%, $F$9) + CHOOSE(CONTROL!$C$27, 0.0021, 0)</f>
        <v>40.231400000000001</v>
      </c>
      <c r="C250" s="17">
        <f>39.7971 * CHOOSE(CONTROL!$C$9, $D$9, 100%, $F$9) + CHOOSE(CONTROL!$C$27, 0.0021, 0)</f>
        <v>39.799199999999999</v>
      </c>
      <c r="D250" s="17">
        <f>39.7971 * CHOOSE(CONTROL!$C$9, $D$9, 100%, $F$9) + CHOOSE(CONTROL!$C$27, 0.0021, 0)</f>
        <v>39.799199999999999</v>
      </c>
      <c r="E250" s="17">
        <f>39.6604 * CHOOSE(CONTROL!$C$9, $D$9, 100%, $F$9) + CHOOSE(CONTROL!$C$27, 0.0021, 0)</f>
        <v>39.662500000000001</v>
      </c>
      <c r="F250" s="17">
        <f>39.6604 * CHOOSE(CONTROL!$C$9, $D$9, 100%, $F$9) + CHOOSE(CONTROL!$C$27, 0.0021, 0)</f>
        <v>39.662500000000001</v>
      </c>
      <c r="G250" s="17">
        <f>39.9318 * CHOOSE(CONTROL!$C$9, $D$9, 100%, $F$9) + CHOOSE(CONTROL!$C$27, 0.0021, 0)</f>
        <v>39.933900000000001</v>
      </c>
      <c r="H250" s="17">
        <f>39.7971 * CHOOSE(CONTROL!$C$9, $D$9, 100%, $F$9) + CHOOSE(CONTROL!$C$27, 0.0021, 0)</f>
        <v>39.799199999999999</v>
      </c>
      <c r="I250" s="17">
        <f>39.7971 * CHOOSE(CONTROL!$C$9, $D$9, 100%, $F$9) + CHOOSE(CONTROL!$C$27, 0.0021, 0)</f>
        <v>39.799199999999999</v>
      </c>
      <c r="J250" s="17">
        <f>39.7971 * CHOOSE(CONTROL!$C$9, $D$9, 100%, $F$9) + CHOOSE(CONTROL!$C$27, 0.0021, 0)</f>
        <v>39.799199999999999</v>
      </c>
      <c r="K250" s="17">
        <f>39.7971 * CHOOSE(CONTROL!$C$9, $D$9, 100%, $F$9) + CHOOSE(CONTROL!$C$27, 0.0021, 0)</f>
        <v>39.799199999999999</v>
      </c>
      <c r="L250" s="17"/>
    </row>
    <row r="251" spans="1:12" ht="15" x14ac:dyDescent="0.2">
      <c r="A251" s="16">
        <v>48549</v>
      </c>
      <c r="B251" s="17">
        <f>39.4855 * CHOOSE(CONTROL!$C$9, $D$9, 100%, $F$9) + CHOOSE(CONTROL!$C$27, 0.0021, 0)</f>
        <v>39.4876</v>
      </c>
      <c r="C251" s="17">
        <f>39.0532 * CHOOSE(CONTROL!$C$9, $D$9, 100%, $F$9) + CHOOSE(CONTROL!$C$27, 0.0021, 0)</f>
        <v>39.055299999999995</v>
      </c>
      <c r="D251" s="17">
        <f>39.0532 * CHOOSE(CONTROL!$C$9, $D$9, 100%, $F$9) + CHOOSE(CONTROL!$C$27, 0.0021, 0)</f>
        <v>39.055299999999995</v>
      </c>
      <c r="E251" s="17">
        <f>38.9166 * CHOOSE(CONTROL!$C$9, $D$9, 100%, $F$9) + CHOOSE(CONTROL!$C$27, 0.0021, 0)</f>
        <v>38.918700000000001</v>
      </c>
      <c r="F251" s="17">
        <f>38.9166 * CHOOSE(CONTROL!$C$9, $D$9, 100%, $F$9) + CHOOSE(CONTROL!$C$27, 0.0021, 0)</f>
        <v>38.918700000000001</v>
      </c>
      <c r="G251" s="17">
        <f>39.1879 * CHOOSE(CONTROL!$C$9, $D$9, 100%, $F$9) + CHOOSE(CONTROL!$C$27, 0.0021, 0)</f>
        <v>39.19</v>
      </c>
      <c r="H251" s="17">
        <f>39.0532 * CHOOSE(CONTROL!$C$9, $D$9, 100%, $F$9) + CHOOSE(CONTROL!$C$27, 0.0021, 0)</f>
        <v>39.055299999999995</v>
      </c>
      <c r="I251" s="17">
        <f>39.0532 * CHOOSE(CONTROL!$C$9, $D$9, 100%, $F$9) + CHOOSE(CONTROL!$C$27, 0.0021, 0)</f>
        <v>39.055299999999995</v>
      </c>
      <c r="J251" s="17">
        <f>39.0532 * CHOOSE(CONTROL!$C$9, $D$9, 100%, $F$9) + CHOOSE(CONTROL!$C$27, 0.0021, 0)</f>
        <v>39.055299999999995</v>
      </c>
      <c r="K251" s="17">
        <f>39.0532 * CHOOSE(CONTROL!$C$9, $D$9, 100%, $F$9) + CHOOSE(CONTROL!$C$27, 0.0021, 0)</f>
        <v>39.055299999999995</v>
      </c>
      <c r="L251" s="17"/>
    </row>
    <row r="252" spans="1:12" ht="15" x14ac:dyDescent="0.2">
      <c r="A252" s="16">
        <v>48580</v>
      </c>
      <c r="B252" s="17">
        <f>39.0153 * CHOOSE(CONTROL!$C$9, $D$9, 100%, $F$9) + CHOOSE(CONTROL!$C$27, 0.0021, 0)</f>
        <v>39.017400000000002</v>
      </c>
      <c r="C252" s="17">
        <f>38.5831 * CHOOSE(CONTROL!$C$9, $D$9, 100%, $F$9) + CHOOSE(CONTROL!$C$27, 0.0021, 0)</f>
        <v>38.5852</v>
      </c>
      <c r="D252" s="17">
        <f>38.5831 * CHOOSE(CONTROL!$C$9, $D$9, 100%, $F$9) + CHOOSE(CONTROL!$C$27, 0.0021, 0)</f>
        <v>38.5852</v>
      </c>
      <c r="E252" s="17">
        <f>38.4464 * CHOOSE(CONTROL!$C$9, $D$9, 100%, $F$9) + CHOOSE(CONTROL!$C$27, 0.0021, 0)</f>
        <v>38.448499999999996</v>
      </c>
      <c r="F252" s="17">
        <f>38.4464 * CHOOSE(CONTROL!$C$9, $D$9, 100%, $F$9) + CHOOSE(CONTROL!$C$27, 0.0021, 0)</f>
        <v>38.448499999999996</v>
      </c>
      <c r="G252" s="17">
        <f>38.7178 * CHOOSE(CONTROL!$C$9, $D$9, 100%, $F$9) + CHOOSE(CONTROL!$C$27, 0.0021, 0)</f>
        <v>38.719899999999996</v>
      </c>
      <c r="H252" s="17">
        <f>38.5831 * CHOOSE(CONTROL!$C$9, $D$9, 100%, $F$9) + CHOOSE(CONTROL!$C$27, 0.0021, 0)</f>
        <v>38.5852</v>
      </c>
      <c r="I252" s="17">
        <f>38.5831 * CHOOSE(CONTROL!$C$9, $D$9, 100%, $F$9) + CHOOSE(CONTROL!$C$27, 0.0021, 0)</f>
        <v>38.5852</v>
      </c>
      <c r="J252" s="17">
        <f>38.5831 * CHOOSE(CONTROL!$C$9, $D$9, 100%, $F$9) + CHOOSE(CONTROL!$C$27, 0.0021, 0)</f>
        <v>38.5852</v>
      </c>
      <c r="K252" s="17">
        <f>38.5831 * CHOOSE(CONTROL!$C$9, $D$9, 100%, $F$9) + CHOOSE(CONTROL!$C$27, 0.0021, 0)</f>
        <v>38.5852</v>
      </c>
      <c r="L252" s="17"/>
    </row>
    <row r="253" spans="1:12" ht="15" x14ac:dyDescent="0.2">
      <c r="A253" s="16">
        <v>48611</v>
      </c>
      <c r="B253" s="17">
        <f>37.9766 * CHOOSE(CONTROL!$C$9, $D$9, 100%, $F$9) + CHOOSE(CONTROL!$C$27, 0.0021, 0)</f>
        <v>37.978699999999996</v>
      </c>
      <c r="C253" s="17">
        <f>37.5444 * CHOOSE(CONTROL!$C$9, $D$9, 100%, $F$9) + CHOOSE(CONTROL!$C$27, 0.0021, 0)</f>
        <v>37.546500000000002</v>
      </c>
      <c r="D253" s="17">
        <f>37.5444 * CHOOSE(CONTROL!$C$9, $D$9, 100%, $F$9) + CHOOSE(CONTROL!$C$27, 0.0021, 0)</f>
        <v>37.546500000000002</v>
      </c>
      <c r="E253" s="17">
        <f>37.4077 * CHOOSE(CONTROL!$C$9, $D$9, 100%, $F$9) + CHOOSE(CONTROL!$C$27, 0.0021, 0)</f>
        <v>37.409799999999997</v>
      </c>
      <c r="F253" s="17">
        <f>37.4077 * CHOOSE(CONTROL!$C$9, $D$9, 100%, $F$9) + CHOOSE(CONTROL!$C$27, 0.0021, 0)</f>
        <v>37.409799999999997</v>
      </c>
      <c r="G253" s="17">
        <f>37.6791 * CHOOSE(CONTROL!$C$9, $D$9, 100%, $F$9) + CHOOSE(CONTROL!$C$27, 0.0021, 0)</f>
        <v>37.681199999999997</v>
      </c>
      <c r="H253" s="17">
        <f>37.5444 * CHOOSE(CONTROL!$C$9, $D$9, 100%, $F$9) + CHOOSE(CONTROL!$C$27, 0.0021, 0)</f>
        <v>37.546500000000002</v>
      </c>
      <c r="I253" s="17">
        <f>37.5444 * CHOOSE(CONTROL!$C$9, $D$9, 100%, $F$9) + CHOOSE(CONTROL!$C$27, 0.0021, 0)</f>
        <v>37.546500000000002</v>
      </c>
      <c r="J253" s="17">
        <f>37.5444 * CHOOSE(CONTROL!$C$9, $D$9, 100%, $F$9) + CHOOSE(CONTROL!$C$27, 0.0021, 0)</f>
        <v>37.546500000000002</v>
      </c>
      <c r="K253" s="17">
        <f>37.5444 * CHOOSE(CONTROL!$C$9, $D$9, 100%, $F$9) + CHOOSE(CONTROL!$C$27, 0.0021, 0)</f>
        <v>37.546500000000002</v>
      </c>
      <c r="L253" s="17"/>
    </row>
    <row r="254" spans="1:12" ht="15" x14ac:dyDescent="0.2">
      <c r="A254" s="16">
        <v>48639</v>
      </c>
      <c r="B254" s="17">
        <f>37.5478 * CHOOSE(CONTROL!$C$9, $D$9, 100%, $F$9) + CHOOSE(CONTROL!$C$27, 0.0021, 0)</f>
        <v>37.549900000000001</v>
      </c>
      <c r="C254" s="17">
        <f>37.1156 * CHOOSE(CONTROL!$C$9, $D$9, 100%, $F$9) + CHOOSE(CONTROL!$C$27, 0.0021, 0)</f>
        <v>37.117699999999999</v>
      </c>
      <c r="D254" s="17">
        <f>37.1156 * CHOOSE(CONTROL!$C$9, $D$9, 100%, $F$9) + CHOOSE(CONTROL!$C$27, 0.0021, 0)</f>
        <v>37.117699999999999</v>
      </c>
      <c r="E254" s="17">
        <f>36.9789 * CHOOSE(CONTROL!$C$9, $D$9, 100%, $F$9) + CHOOSE(CONTROL!$C$27, 0.0021, 0)</f>
        <v>36.981000000000002</v>
      </c>
      <c r="F254" s="17">
        <f>36.9789 * CHOOSE(CONTROL!$C$9, $D$9, 100%, $F$9) + CHOOSE(CONTROL!$C$27, 0.0021, 0)</f>
        <v>36.981000000000002</v>
      </c>
      <c r="G254" s="17">
        <f>37.2503 * CHOOSE(CONTROL!$C$9, $D$9, 100%, $F$9) + CHOOSE(CONTROL!$C$27, 0.0021, 0)</f>
        <v>37.252400000000002</v>
      </c>
      <c r="H254" s="17">
        <f>37.1156 * CHOOSE(CONTROL!$C$9, $D$9, 100%, $F$9) + CHOOSE(CONTROL!$C$27, 0.0021, 0)</f>
        <v>37.117699999999999</v>
      </c>
      <c r="I254" s="17">
        <f>37.1156 * CHOOSE(CONTROL!$C$9, $D$9, 100%, $F$9) + CHOOSE(CONTROL!$C$27, 0.0021, 0)</f>
        <v>37.117699999999999</v>
      </c>
      <c r="J254" s="17">
        <f>37.1156 * CHOOSE(CONTROL!$C$9, $D$9, 100%, $F$9) + CHOOSE(CONTROL!$C$27, 0.0021, 0)</f>
        <v>37.117699999999999</v>
      </c>
      <c r="K254" s="17">
        <f>37.1156 * CHOOSE(CONTROL!$C$9, $D$9, 100%, $F$9) + CHOOSE(CONTROL!$C$27, 0.0021, 0)</f>
        <v>37.117699999999999</v>
      </c>
      <c r="L254" s="17"/>
    </row>
    <row r="255" spans="1:12" ht="15" x14ac:dyDescent="0.2">
      <c r="A255" s="16">
        <v>48670</v>
      </c>
      <c r="B255" s="17">
        <f>37.0358 * CHOOSE(CONTROL!$C$9, $D$9, 100%, $F$9) + CHOOSE(CONTROL!$C$27, 0.0021, 0)</f>
        <v>37.0379</v>
      </c>
      <c r="C255" s="17">
        <f>36.6036 * CHOOSE(CONTROL!$C$9, $D$9, 100%, $F$9) + CHOOSE(CONTROL!$C$27, 0.0021, 0)</f>
        <v>36.605699999999999</v>
      </c>
      <c r="D255" s="17">
        <f>36.6036 * CHOOSE(CONTROL!$C$9, $D$9, 100%, $F$9) + CHOOSE(CONTROL!$C$27, 0.0021, 0)</f>
        <v>36.605699999999999</v>
      </c>
      <c r="E255" s="17">
        <f>36.4669 * CHOOSE(CONTROL!$C$9, $D$9, 100%, $F$9) + CHOOSE(CONTROL!$C$27, 0.0021, 0)</f>
        <v>36.469000000000001</v>
      </c>
      <c r="F255" s="17">
        <f>36.4669 * CHOOSE(CONTROL!$C$9, $D$9, 100%, $F$9) + CHOOSE(CONTROL!$C$27, 0.0021, 0)</f>
        <v>36.469000000000001</v>
      </c>
      <c r="G255" s="17">
        <f>36.7383 * CHOOSE(CONTROL!$C$9, $D$9, 100%, $F$9) + CHOOSE(CONTROL!$C$27, 0.0021, 0)</f>
        <v>36.740400000000001</v>
      </c>
      <c r="H255" s="17">
        <f>36.6036 * CHOOSE(CONTROL!$C$9, $D$9, 100%, $F$9) + CHOOSE(CONTROL!$C$27, 0.0021, 0)</f>
        <v>36.605699999999999</v>
      </c>
      <c r="I255" s="17">
        <f>36.6036 * CHOOSE(CONTROL!$C$9, $D$9, 100%, $F$9) + CHOOSE(CONTROL!$C$27, 0.0021, 0)</f>
        <v>36.605699999999999</v>
      </c>
      <c r="J255" s="17">
        <f>36.6036 * CHOOSE(CONTROL!$C$9, $D$9, 100%, $F$9) + CHOOSE(CONTROL!$C$27, 0.0021, 0)</f>
        <v>36.605699999999999</v>
      </c>
      <c r="K255" s="17">
        <f>36.6036 * CHOOSE(CONTROL!$C$9, $D$9, 100%, $F$9) + CHOOSE(CONTROL!$C$27, 0.0021, 0)</f>
        <v>36.605699999999999</v>
      </c>
      <c r="L255" s="17"/>
    </row>
    <row r="256" spans="1:12" ht="15" x14ac:dyDescent="0.2">
      <c r="A256" s="16">
        <v>48700</v>
      </c>
      <c r="B256" s="17">
        <f>37.7655 * CHOOSE(CONTROL!$C$9, $D$9, 100%, $F$9) + CHOOSE(CONTROL!$C$27, 0.0021, 0)</f>
        <v>37.767600000000002</v>
      </c>
      <c r="C256" s="17">
        <f>37.3332 * CHOOSE(CONTROL!$C$9, $D$9, 100%, $F$9) + CHOOSE(CONTROL!$C$27, 0.0021, 0)</f>
        <v>37.335299999999997</v>
      </c>
      <c r="D256" s="17">
        <f>37.3332 * CHOOSE(CONTROL!$C$9, $D$9, 100%, $F$9) + CHOOSE(CONTROL!$C$27, 0.0021, 0)</f>
        <v>37.335299999999997</v>
      </c>
      <c r="E256" s="17">
        <f>37.1966 * CHOOSE(CONTROL!$C$9, $D$9, 100%, $F$9) + CHOOSE(CONTROL!$C$27, 0.0021, 0)</f>
        <v>37.198699999999995</v>
      </c>
      <c r="F256" s="17">
        <f>37.1966 * CHOOSE(CONTROL!$C$9, $D$9, 100%, $F$9) + CHOOSE(CONTROL!$C$27, 0.0021, 0)</f>
        <v>37.198699999999995</v>
      </c>
      <c r="G256" s="17">
        <f>37.4679 * CHOOSE(CONTROL!$C$9, $D$9, 100%, $F$9) + CHOOSE(CONTROL!$C$27, 0.0021, 0)</f>
        <v>37.47</v>
      </c>
      <c r="H256" s="17">
        <f>37.3332 * CHOOSE(CONTROL!$C$9, $D$9, 100%, $F$9) + CHOOSE(CONTROL!$C$27, 0.0021, 0)</f>
        <v>37.335299999999997</v>
      </c>
      <c r="I256" s="17">
        <f>37.3332 * CHOOSE(CONTROL!$C$9, $D$9, 100%, $F$9) + CHOOSE(CONTROL!$C$27, 0.0021, 0)</f>
        <v>37.335299999999997</v>
      </c>
      <c r="J256" s="17">
        <f>37.3332 * CHOOSE(CONTROL!$C$9, $D$9, 100%, $F$9) + CHOOSE(CONTROL!$C$27, 0.0021, 0)</f>
        <v>37.335299999999997</v>
      </c>
      <c r="K256" s="17">
        <f>37.3332 * CHOOSE(CONTROL!$C$9, $D$9, 100%, $F$9) + CHOOSE(CONTROL!$C$27, 0.0021, 0)</f>
        <v>37.335299999999997</v>
      </c>
      <c r="L256" s="17"/>
    </row>
    <row r="257" spans="1:12" ht="15" x14ac:dyDescent="0.2">
      <c r="A257" s="16">
        <v>48731</v>
      </c>
      <c r="B257" s="17">
        <f>38.2025 * CHOOSE(CONTROL!$C$9, $D$9, 100%, $F$9) + CHOOSE(CONTROL!$C$27, 0.0021, 0)</f>
        <v>38.204599999999999</v>
      </c>
      <c r="C257" s="17">
        <f>37.7702 * CHOOSE(CONTROL!$C$9, $D$9, 100%, $F$9) + CHOOSE(CONTROL!$C$27, 0.0021, 0)</f>
        <v>37.772300000000001</v>
      </c>
      <c r="D257" s="17">
        <f>37.7702 * CHOOSE(CONTROL!$C$9, $D$9, 100%, $F$9) + CHOOSE(CONTROL!$C$27, 0.0021, 0)</f>
        <v>37.772300000000001</v>
      </c>
      <c r="E257" s="17">
        <f>37.6336 * CHOOSE(CONTROL!$C$9, $D$9, 100%, $F$9) + CHOOSE(CONTROL!$C$27, 0.0021, 0)</f>
        <v>37.6357</v>
      </c>
      <c r="F257" s="17">
        <f>37.6336 * CHOOSE(CONTROL!$C$9, $D$9, 100%, $F$9) + CHOOSE(CONTROL!$C$27, 0.0021, 0)</f>
        <v>37.6357</v>
      </c>
      <c r="G257" s="17">
        <f>37.905 * CHOOSE(CONTROL!$C$9, $D$9, 100%, $F$9) + CHOOSE(CONTROL!$C$27, 0.0021, 0)</f>
        <v>37.9071</v>
      </c>
      <c r="H257" s="17">
        <f>37.7702 * CHOOSE(CONTROL!$C$9, $D$9, 100%, $F$9) + CHOOSE(CONTROL!$C$27, 0.0021, 0)</f>
        <v>37.772300000000001</v>
      </c>
      <c r="I257" s="17">
        <f>37.7702 * CHOOSE(CONTROL!$C$9, $D$9, 100%, $F$9) + CHOOSE(CONTROL!$C$27, 0.0021, 0)</f>
        <v>37.772300000000001</v>
      </c>
      <c r="J257" s="17">
        <f>37.7702 * CHOOSE(CONTROL!$C$9, $D$9, 100%, $F$9) + CHOOSE(CONTROL!$C$27, 0.0021, 0)</f>
        <v>37.772300000000001</v>
      </c>
      <c r="K257" s="17">
        <f>37.7702 * CHOOSE(CONTROL!$C$9, $D$9, 100%, $F$9) + CHOOSE(CONTROL!$C$27, 0.0021, 0)</f>
        <v>37.772300000000001</v>
      </c>
      <c r="L257" s="17"/>
    </row>
    <row r="258" spans="1:12" ht="15" x14ac:dyDescent="0.2">
      <c r="A258" s="16">
        <v>48761</v>
      </c>
      <c r="B258" s="17">
        <f>38.9234 * CHOOSE(CONTROL!$C$9, $D$9, 100%, $F$9) + CHOOSE(CONTROL!$C$27, 0.0021, 0)</f>
        <v>38.9255</v>
      </c>
      <c r="C258" s="17">
        <f>38.4912 * CHOOSE(CONTROL!$C$9, $D$9, 100%, $F$9) + CHOOSE(CONTROL!$C$27, 0.0021, 0)</f>
        <v>38.493299999999998</v>
      </c>
      <c r="D258" s="17">
        <f>38.4912 * CHOOSE(CONTROL!$C$9, $D$9, 100%, $F$9) + CHOOSE(CONTROL!$C$27, 0.0021, 0)</f>
        <v>38.493299999999998</v>
      </c>
      <c r="E258" s="17">
        <f>38.3545 * CHOOSE(CONTROL!$C$9, $D$9, 100%, $F$9) + CHOOSE(CONTROL!$C$27, 0.0021, 0)</f>
        <v>38.3566</v>
      </c>
      <c r="F258" s="17">
        <f>38.3545 * CHOOSE(CONTROL!$C$9, $D$9, 100%, $F$9) + CHOOSE(CONTROL!$C$27, 0.0021, 0)</f>
        <v>38.3566</v>
      </c>
      <c r="G258" s="17">
        <f>38.6259 * CHOOSE(CONTROL!$C$9, $D$9, 100%, $F$9) + CHOOSE(CONTROL!$C$27, 0.0021, 0)</f>
        <v>38.628</v>
      </c>
      <c r="H258" s="17">
        <f>38.4912 * CHOOSE(CONTROL!$C$9, $D$9, 100%, $F$9) + CHOOSE(CONTROL!$C$27, 0.0021, 0)</f>
        <v>38.493299999999998</v>
      </c>
      <c r="I258" s="17">
        <f>38.4912 * CHOOSE(CONTROL!$C$9, $D$9, 100%, $F$9) + CHOOSE(CONTROL!$C$27, 0.0021, 0)</f>
        <v>38.493299999999998</v>
      </c>
      <c r="J258" s="17">
        <f>38.4912 * CHOOSE(CONTROL!$C$9, $D$9, 100%, $F$9) + CHOOSE(CONTROL!$C$27, 0.0021, 0)</f>
        <v>38.493299999999998</v>
      </c>
      <c r="K258" s="17">
        <f>38.4912 * CHOOSE(CONTROL!$C$9, $D$9, 100%, $F$9) + CHOOSE(CONTROL!$C$27, 0.0021, 0)</f>
        <v>38.493299999999998</v>
      </c>
      <c r="L258" s="17"/>
    </row>
    <row r="259" spans="1:12" ht="15" x14ac:dyDescent="0.2">
      <c r="A259" s="16">
        <v>48792</v>
      </c>
      <c r="B259" s="17">
        <f>39.1435 * CHOOSE(CONTROL!$C$9, $D$9, 100%, $F$9) + CHOOSE(CONTROL!$C$27, 0.0021, 0)</f>
        <v>39.145600000000002</v>
      </c>
      <c r="C259" s="17">
        <f>38.7112 * CHOOSE(CONTROL!$C$9, $D$9, 100%, $F$9) + CHOOSE(CONTROL!$C$27, 0.0021, 0)</f>
        <v>38.713299999999997</v>
      </c>
      <c r="D259" s="17">
        <f>38.7112 * CHOOSE(CONTROL!$C$9, $D$9, 100%, $F$9) + CHOOSE(CONTROL!$C$27, 0.0021, 0)</f>
        <v>38.713299999999997</v>
      </c>
      <c r="E259" s="17">
        <f>38.5745 * CHOOSE(CONTROL!$C$9, $D$9, 100%, $F$9) + CHOOSE(CONTROL!$C$27, 0.0021, 0)</f>
        <v>38.576599999999999</v>
      </c>
      <c r="F259" s="17">
        <f>38.5745 * CHOOSE(CONTROL!$C$9, $D$9, 100%, $F$9) + CHOOSE(CONTROL!$C$27, 0.0021, 0)</f>
        <v>38.576599999999999</v>
      </c>
      <c r="G259" s="17">
        <f>38.8459 * CHOOSE(CONTROL!$C$9, $D$9, 100%, $F$9) + CHOOSE(CONTROL!$C$27, 0.0021, 0)</f>
        <v>38.847999999999999</v>
      </c>
      <c r="H259" s="17">
        <f>38.7112 * CHOOSE(CONTROL!$C$9, $D$9, 100%, $F$9) + CHOOSE(CONTROL!$C$27, 0.0021, 0)</f>
        <v>38.713299999999997</v>
      </c>
      <c r="I259" s="17">
        <f>38.7112 * CHOOSE(CONTROL!$C$9, $D$9, 100%, $F$9) + CHOOSE(CONTROL!$C$27, 0.0021, 0)</f>
        <v>38.713299999999997</v>
      </c>
      <c r="J259" s="17">
        <f>38.7112 * CHOOSE(CONTROL!$C$9, $D$9, 100%, $F$9) + CHOOSE(CONTROL!$C$27, 0.0021, 0)</f>
        <v>38.713299999999997</v>
      </c>
      <c r="K259" s="17">
        <f>38.7112 * CHOOSE(CONTROL!$C$9, $D$9, 100%, $F$9) + CHOOSE(CONTROL!$C$27, 0.0021, 0)</f>
        <v>38.713299999999997</v>
      </c>
      <c r="L259" s="17"/>
    </row>
    <row r="260" spans="1:12" ht="15" x14ac:dyDescent="0.2">
      <c r="A260" s="16">
        <v>48823</v>
      </c>
      <c r="B260" s="17">
        <f>39.8928 * CHOOSE(CONTROL!$C$9, $D$9, 100%, $F$9) + CHOOSE(CONTROL!$C$27, 0.0021, 0)</f>
        <v>39.8949</v>
      </c>
      <c r="C260" s="17">
        <f>39.4606 * CHOOSE(CONTROL!$C$9, $D$9, 100%, $F$9) + CHOOSE(CONTROL!$C$27, 0.0021, 0)</f>
        <v>39.462699999999998</v>
      </c>
      <c r="D260" s="17">
        <f>39.4606 * CHOOSE(CONTROL!$C$9, $D$9, 100%, $F$9) + CHOOSE(CONTROL!$C$27, 0.0021, 0)</f>
        <v>39.462699999999998</v>
      </c>
      <c r="E260" s="17">
        <f>39.3239 * CHOOSE(CONTROL!$C$9, $D$9, 100%, $F$9) + CHOOSE(CONTROL!$C$27, 0.0021, 0)</f>
        <v>39.326000000000001</v>
      </c>
      <c r="F260" s="17">
        <f>39.3239 * CHOOSE(CONTROL!$C$9, $D$9, 100%, $F$9) + CHOOSE(CONTROL!$C$27, 0.0021, 0)</f>
        <v>39.326000000000001</v>
      </c>
      <c r="G260" s="17">
        <f>39.5953 * CHOOSE(CONTROL!$C$9, $D$9, 100%, $F$9) + CHOOSE(CONTROL!$C$27, 0.0021, 0)</f>
        <v>39.5974</v>
      </c>
      <c r="H260" s="17">
        <f>39.4606 * CHOOSE(CONTROL!$C$9, $D$9, 100%, $F$9) + CHOOSE(CONTROL!$C$27, 0.0021, 0)</f>
        <v>39.462699999999998</v>
      </c>
      <c r="I260" s="17">
        <f>39.4606 * CHOOSE(CONTROL!$C$9, $D$9, 100%, $F$9) + CHOOSE(CONTROL!$C$27, 0.0021, 0)</f>
        <v>39.462699999999998</v>
      </c>
      <c r="J260" s="17">
        <f>39.4606 * CHOOSE(CONTROL!$C$9, $D$9, 100%, $F$9) + CHOOSE(CONTROL!$C$27, 0.0021, 0)</f>
        <v>39.462699999999998</v>
      </c>
      <c r="K260" s="17">
        <f>39.4606 * CHOOSE(CONTROL!$C$9, $D$9, 100%, $F$9) + CHOOSE(CONTROL!$C$27, 0.0021, 0)</f>
        <v>39.462699999999998</v>
      </c>
      <c r="L260" s="17"/>
    </row>
    <row r="261" spans="1:12" ht="15" x14ac:dyDescent="0.2">
      <c r="A261" s="16">
        <v>48853</v>
      </c>
      <c r="B261" s="17">
        <f>40.8414 * CHOOSE(CONTROL!$C$9, $D$9, 100%, $F$9) + CHOOSE(CONTROL!$C$27, 0.0021, 0)</f>
        <v>40.843499999999999</v>
      </c>
      <c r="C261" s="17">
        <f>40.4091 * CHOOSE(CONTROL!$C$9, $D$9, 100%, $F$9) + CHOOSE(CONTROL!$C$27, 0.0021, 0)</f>
        <v>40.411200000000001</v>
      </c>
      <c r="D261" s="17">
        <f>40.4091 * CHOOSE(CONTROL!$C$9, $D$9, 100%, $F$9) + CHOOSE(CONTROL!$C$27, 0.0021, 0)</f>
        <v>40.411200000000001</v>
      </c>
      <c r="E261" s="17">
        <f>40.2725 * CHOOSE(CONTROL!$C$9, $D$9, 100%, $F$9) + CHOOSE(CONTROL!$C$27, 0.0021, 0)</f>
        <v>40.2746</v>
      </c>
      <c r="F261" s="17">
        <f>40.2725 * CHOOSE(CONTROL!$C$9, $D$9, 100%, $F$9) + CHOOSE(CONTROL!$C$27, 0.0021, 0)</f>
        <v>40.2746</v>
      </c>
      <c r="G261" s="17">
        <f>40.5439 * CHOOSE(CONTROL!$C$9, $D$9, 100%, $F$9) + CHOOSE(CONTROL!$C$27, 0.0021, 0)</f>
        <v>40.545999999999999</v>
      </c>
      <c r="H261" s="17">
        <f>40.4091 * CHOOSE(CONTROL!$C$9, $D$9, 100%, $F$9) + CHOOSE(CONTROL!$C$27, 0.0021, 0)</f>
        <v>40.411200000000001</v>
      </c>
      <c r="I261" s="17">
        <f>40.4091 * CHOOSE(CONTROL!$C$9, $D$9, 100%, $F$9) + CHOOSE(CONTROL!$C$27, 0.0021, 0)</f>
        <v>40.411200000000001</v>
      </c>
      <c r="J261" s="17">
        <f>40.4091 * CHOOSE(CONTROL!$C$9, $D$9, 100%, $F$9) + CHOOSE(CONTROL!$C$27, 0.0021, 0)</f>
        <v>40.411200000000001</v>
      </c>
      <c r="K261" s="17">
        <f>40.4091 * CHOOSE(CONTROL!$C$9, $D$9, 100%, $F$9) + CHOOSE(CONTROL!$C$27, 0.0021, 0)</f>
        <v>40.411200000000001</v>
      </c>
      <c r="L261" s="17"/>
    </row>
    <row r="262" spans="1:12" ht="15" x14ac:dyDescent="0.2">
      <c r="A262" s="16">
        <v>48884</v>
      </c>
      <c r="B262" s="17">
        <f>40.9304 * CHOOSE(CONTROL!$C$9, $D$9, 100%, $F$9) + CHOOSE(CONTROL!$C$27, 0.0021, 0)</f>
        <v>40.932499999999997</v>
      </c>
      <c r="C262" s="17">
        <f>40.4982 * CHOOSE(CONTROL!$C$9, $D$9, 100%, $F$9) + CHOOSE(CONTROL!$C$27, 0.0021, 0)</f>
        <v>40.500299999999996</v>
      </c>
      <c r="D262" s="17">
        <f>40.4982 * CHOOSE(CONTROL!$C$9, $D$9, 100%, $F$9) + CHOOSE(CONTROL!$C$27, 0.0021, 0)</f>
        <v>40.500299999999996</v>
      </c>
      <c r="E262" s="17">
        <f>40.3615 * CHOOSE(CONTROL!$C$9, $D$9, 100%, $F$9) + CHOOSE(CONTROL!$C$27, 0.0021, 0)</f>
        <v>40.363599999999998</v>
      </c>
      <c r="F262" s="17">
        <f>40.3615 * CHOOSE(CONTROL!$C$9, $D$9, 100%, $F$9) + CHOOSE(CONTROL!$C$27, 0.0021, 0)</f>
        <v>40.363599999999998</v>
      </c>
      <c r="G262" s="17">
        <f>40.6329 * CHOOSE(CONTROL!$C$9, $D$9, 100%, $F$9) + CHOOSE(CONTROL!$C$27, 0.0021, 0)</f>
        <v>40.634999999999998</v>
      </c>
      <c r="H262" s="17">
        <f>40.4982 * CHOOSE(CONTROL!$C$9, $D$9, 100%, $F$9) + CHOOSE(CONTROL!$C$27, 0.0021, 0)</f>
        <v>40.500299999999996</v>
      </c>
      <c r="I262" s="17">
        <f>40.4982 * CHOOSE(CONTROL!$C$9, $D$9, 100%, $F$9) + CHOOSE(CONTROL!$C$27, 0.0021, 0)</f>
        <v>40.500299999999996</v>
      </c>
      <c r="J262" s="17">
        <f>40.4982 * CHOOSE(CONTROL!$C$9, $D$9, 100%, $F$9) + CHOOSE(CONTROL!$C$27, 0.0021, 0)</f>
        <v>40.500299999999996</v>
      </c>
      <c r="K262" s="17">
        <f>40.4982 * CHOOSE(CONTROL!$C$9, $D$9, 100%, $F$9) + CHOOSE(CONTROL!$C$27, 0.0021, 0)</f>
        <v>40.500299999999996</v>
      </c>
      <c r="L262" s="17"/>
    </row>
    <row r="263" spans="1:12" ht="15" x14ac:dyDescent="0.2">
      <c r="A263" s="16">
        <v>48914</v>
      </c>
      <c r="B263" s="17">
        <f>40.1728 * CHOOSE(CONTROL!$C$9, $D$9, 100%, $F$9) + CHOOSE(CONTROL!$C$27, 0.0021, 0)</f>
        <v>40.174900000000001</v>
      </c>
      <c r="C263" s="17">
        <f>39.7406 * CHOOSE(CONTROL!$C$9, $D$9, 100%, $F$9) + CHOOSE(CONTROL!$C$27, 0.0021, 0)</f>
        <v>39.742699999999999</v>
      </c>
      <c r="D263" s="17">
        <f>39.7406 * CHOOSE(CONTROL!$C$9, $D$9, 100%, $F$9) + CHOOSE(CONTROL!$C$27, 0.0021, 0)</f>
        <v>39.742699999999999</v>
      </c>
      <c r="E263" s="17">
        <f>39.6039 * CHOOSE(CONTROL!$C$9, $D$9, 100%, $F$9) + CHOOSE(CONTROL!$C$27, 0.0021, 0)</f>
        <v>39.606000000000002</v>
      </c>
      <c r="F263" s="17">
        <f>39.6039 * CHOOSE(CONTROL!$C$9, $D$9, 100%, $F$9) + CHOOSE(CONTROL!$C$27, 0.0021, 0)</f>
        <v>39.606000000000002</v>
      </c>
      <c r="G263" s="17">
        <f>39.8753 * CHOOSE(CONTROL!$C$9, $D$9, 100%, $F$9) + CHOOSE(CONTROL!$C$27, 0.0021, 0)</f>
        <v>39.877400000000002</v>
      </c>
      <c r="H263" s="17">
        <f>39.7406 * CHOOSE(CONTROL!$C$9, $D$9, 100%, $F$9) + CHOOSE(CONTROL!$C$27, 0.0021, 0)</f>
        <v>39.742699999999999</v>
      </c>
      <c r="I263" s="17">
        <f>39.7406 * CHOOSE(CONTROL!$C$9, $D$9, 100%, $F$9) + CHOOSE(CONTROL!$C$27, 0.0021, 0)</f>
        <v>39.742699999999999</v>
      </c>
      <c r="J263" s="17">
        <f>39.7406 * CHOOSE(CONTROL!$C$9, $D$9, 100%, $F$9) + CHOOSE(CONTROL!$C$27, 0.0021, 0)</f>
        <v>39.742699999999999</v>
      </c>
      <c r="K263" s="17">
        <f>39.7406 * CHOOSE(CONTROL!$C$9, $D$9, 100%, $F$9) + CHOOSE(CONTROL!$C$27, 0.0021, 0)</f>
        <v>39.742699999999999</v>
      </c>
      <c r="L263" s="17"/>
    </row>
    <row r="264" spans="1:12" ht="15" x14ac:dyDescent="0.2">
      <c r="A264" s="16">
        <v>48945</v>
      </c>
      <c r="B264" s="17">
        <f>39.694 * CHOOSE(CONTROL!$C$9, $D$9, 100%, $F$9) + CHOOSE(CONTROL!$C$27, 0.0021, 0)</f>
        <v>39.696100000000001</v>
      </c>
      <c r="C264" s="17">
        <f>39.2617 * CHOOSE(CONTROL!$C$9, $D$9, 100%, $F$9) + CHOOSE(CONTROL!$C$27, 0.0021, 0)</f>
        <v>39.263799999999996</v>
      </c>
      <c r="D264" s="17">
        <f>39.2617 * CHOOSE(CONTROL!$C$9, $D$9, 100%, $F$9) + CHOOSE(CONTROL!$C$27, 0.0021, 0)</f>
        <v>39.263799999999996</v>
      </c>
      <c r="E264" s="17">
        <f>39.1251 * CHOOSE(CONTROL!$C$9, $D$9, 100%, $F$9) + CHOOSE(CONTROL!$C$27, 0.0021, 0)</f>
        <v>39.127200000000002</v>
      </c>
      <c r="F264" s="17">
        <f>39.1251 * CHOOSE(CONTROL!$C$9, $D$9, 100%, $F$9) + CHOOSE(CONTROL!$C$27, 0.0021, 0)</f>
        <v>39.127200000000002</v>
      </c>
      <c r="G264" s="17">
        <f>39.3965 * CHOOSE(CONTROL!$C$9, $D$9, 100%, $F$9) + CHOOSE(CONTROL!$C$27, 0.0021, 0)</f>
        <v>39.398600000000002</v>
      </c>
      <c r="H264" s="17">
        <f>39.2617 * CHOOSE(CONTROL!$C$9, $D$9, 100%, $F$9) + CHOOSE(CONTROL!$C$27, 0.0021, 0)</f>
        <v>39.263799999999996</v>
      </c>
      <c r="I264" s="17">
        <f>39.2617 * CHOOSE(CONTROL!$C$9, $D$9, 100%, $F$9) + CHOOSE(CONTROL!$C$27, 0.0021, 0)</f>
        <v>39.263799999999996</v>
      </c>
      <c r="J264" s="17">
        <f>39.2617 * CHOOSE(CONTROL!$C$9, $D$9, 100%, $F$9) + CHOOSE(CONTROL!$C$27, 0.0021, 0)</f>
        <v>39.263799999999996</v>
      </c>
      <c r="K264" s="17">
        <f>39.2617 * CHOOSE(CONTROL!$C$9, $D$9, 100%, $F$9) + CHOOSE(CONTROL!$C$27, 0.0021, 0)</f>
        <v>39.263799999999996</v>
      </c>
      <c r="L264" s="17"/>
    </row>
    <row r="265" spans="1:12" ht="15" x14ac:dyDescent="0.2">
      <c r="A265" s="16">
        <v>48976</v>
      </c>
      <c r="B265" s="17">
        <f>38.6361 * CHOOSE(CONTROL!$C$9, $D$9, 100%, $F$9) + CHOOSE(CONTROL!$C$27, 0.0021, 0)</f>
        <v>38.638199999999998</v>
      </c>
      <c r="C265" s="17">
        <f>38.2038 * CHOOSE(CONTROL!$C$9, $D$9, 100%, $F$9) + CHOOSE(CONTROL!$C$27, 0.0021, 0)</f>
        <v>38.2059</v>
      </c>
      <c r="D265" s="17">
        <f>38.2038 * CHOOSE(CONTROL!$C$9, $D$9, 100%, $F$9) + CHOOSE(CONTROL!$C$27, 0.0021, 0)</f>
        <v>38.2059</v>
      </c>
      <c r="E265" s="17">
        <f>38.0672 * CHOOSE(CONTROL!$C$9, $D$9, 100%, $F$9) + CHOOSE(CONTROL!$C$27, 0.0021, 0)</f>
        <v>38.069299999999998</v>
      </c>
      <c r="F265" s="17">
        <f>38.0672 * CHOOSE(CONTROL!$C$9, $D$9, 100%, $F$9) + CHOOSE(CONTROL!$C$27, 0.0021, 0)</f>
        <v>38.069299999999998</v>
      </c>
      <c r="G265" s="17">
        <f>38.3385 * CHOOSE(CONTROL!$C$9, $D$9, 100%, $F$9) + CHOOSE(CONTROL!$C$27, 0.0021, 0)</f>
        <v>38.340600000000002</v>
      </c>
      <c r="H265" s="17">
        <f>38.2038 * CHOOSE(CONTROL!$C$9, $D$9, 100%, $F$9) + CHOOSE(CONTROL!$C$27, 0.0021, 0)</f>
        <v>38.2059</v>
      </c>
      <c r="I265" s="17">
        <f>38.2038 * CHOOSE(CONTROL!$C$9, $D$9, 100%, $F$9) + CHOOSE(CONTROL!$C$27, 0.0021, 0)</f>
        <v>38.2059</v>
      </c>
      <c r="J265" s="17">
        <f>38.2038 * CHOOSE(CONTROL!$C$9, $D$9, 100%, $F$9) + CHOOSE(CONTROL!$C$27, 0.0021, 0)</f>
        <v>38.2059</v>
      </c>
      <c r="K265" s="17">
        <f>38.2038 * CHOOSE(CONTROL!$C$9, $D$9, 100%, $F$9) + CHOOSE(CONTROL!$C$27, 0.0021, 0)</f>
        <v>38.2059</v>
      </c>
      <c r="L265" s="17"/>
    </row>
    <row r="266" spans="1:12" ht="15" x14ac:dyDescent="0.2">
      <c r="A266" s="16">
        <v>49004</v>
      </c>
      <c r="B266" s="17">
        <f>38.1994 * CHOOSE(CONTROL!$C$9, $D$9, 100%, $F$9) + CHOOSE(CONTROL!$C$27, 0.0021, 0)</f>
        <v>38.201499999999996</v>
      </c>
      <c r="C266" s="17">
        <f>37.7671 * CHOOSE(CONTROL!$C$9, $D$9, 100%, $F$9) + CHOOSE(CONTROL!$C$27, 0.0021, 0)</f>
        <v>37.769199999999998</v>
      </c>
      <c r="D266" s="17">
        <f>37.7671 * CHOOSE(CONTROL!$C$9, $D$9, 100%, $F$9) + CHOOSE(CONTROL!$C$27, 0.0021, 0)</f>
        <v>37.769199999999998</v>
      </c>
      <c r="E266" s="17">
        <f>37.6305 * CHOOSE(CONTROL!$C$9, $D$9, 100%, $F$9) + CHOOSE(CONTROL!$C$27, 0.0021, 0)</f>
        <v>37.632599999999996</v>
      </c>
      <c r="F266" s="17">
        <f>37.6305 * CHOOSE(CONTROL!$C$9, $D$9, 100%, $F$9) + CHOOSE(CONTROL!$C$27, 0.0021, 0)</f>
        <v>37.632599999999996</v>
      </c>
      <c r="G266" s="17">
        <f>37.9018 * CHOOSE(CONTROL!$C$9, $D$9, 100%, $F$9) + CHOOSE(CONTROL!$C$27, 0.0021, 0)</f>
        <v>37.9039</v>
      </c>
      <c r="H266" s="17">
        <f>37.7671 * CHOOSE(CONTROL!$C$9, $D$9, 100%, $F$9) + CHOOSE(CONTROL!$C$27, 0.0021, 0)</f>
        <v>37.769199999999998</v>
      </c>
      <c r="I266" s="17">
        <f>37.7671 * CHOOSE(CONTROL!$C$9, $D$9, 100%, $F$9) + CHOOSE(CONTROL!$C$27, 0.0021, 0)</f>
        <v>37.769199999999998</v>
      </c>
      <c r="J266" s="17">
        <f>37.7671 * CHOOSE(CONTROL!$C$9, $D$9, 100%, $F$9) + CHOOSE(CONTROL!$C$27, 0.0021, 0)</f>
        <v>37.769199999999998</v>
      </c>
      <c r="K266" s="17">
        <f>37.7671 * CHOOSE(CONTROL!$C$9, $D$9, 100%, $F$9) + CHOOSE(CONTROL!$C$27, 0.0021, 0)</f>
        <v>37.769199999999998</v>
      </c>
      <c r="L266" s="17"/>
    </row>
    <row r="267" spans="1:12" ht="15" x14ac:dyDescent="0.2">
      <c r="A267" s="16">
        <v>49035</v>
      </c>
      <c r="B267" s="17">
        <f>37.6779 * CHOOSE(CONTROL!$C$9, $D$9, 100%, $F$9) + CHOOSE(CONTROL!$C$27, 0.0021, 0)</f>
        <v>37.68</v>
      </c>
      <c r="C267" s="17">
        <f>37.2457 * CHOOSE(CONTROL!$C$9, $D$9, 100%, $F$9) + CHOOSE(CONTROL!$C$27, 0.0021, 0)</f>
        <v>37.247799999999998</v>
      </c>
      <c r="D267" s="17">
        <f>37.2457 * CHOOSE(CONTROL!$C$9, $D$9, 100%, $F$9) + CHOOSE(CONTROL!$C$27, 0.0021, 0)</f>
        <v>37.247799999999998</v>
      </c>
      <c r="E267" s="17">
        <f>37.109 * CHOOSE(CONTROL!$C$9, $D$9, 100%, $F$9) + CHOOSE(CONTROL!$C$27, 0.0021, 0)</f>
        <v>37.1111</v>
      </c>
      <c r="F267" s="17">
        <f>37.109 * CHOOSE(CONTROL!$C$9, $D$9, 100%, $F$9) + CHOOSE(CONTROL!$C$27, 0.0021, 0)</f>
        <v>37.1111</v>
      </c>
      <c r="G267" s="17">
        <f>37.3804 * CHOOSE(CONTROL!$C$9, $D$9, 100%, $F$9) + CHOOSE(CONTROL!$C$27, 0.0021, 0)</f>
        <v>37.3825</v>
      </c>
      <c r="H267" s="17">
        <f>37.2457 * CHOOSE(CONTROL!$C$9, $D$9, 100%, $F$9) + CHOOSE(CONTROL!$C$27, 0.0021, 0)</f>
        <v>37.247799999999998</v>
      </c>
      <c r="I267" s="17">
        <f>37.2457 * CHOOSE(CONTROL!$C$9, $D$9, 100%, $F$9) + CHOOSE(CONTROL!$C$27, 0.0021, 0)</f>
        <v>37.247799999999998</v>
      </c>
      <c r="J267" s="17">
        <f>37.2457 * CHOOSE(CONTROL!$C$9, $D$9, 100%, $F$9) + CHOOSE(CONTROL!$C$27, 0.0021, 0)</f>
        <v>37.247799999999998</v>
      </c>
      <c r="K267" s="17">
        <f>37.2457 * CHOOSE(CONTROL!$C$9, $D$9, 100%, $F$9) + CHOOSE(CONTROL!$C$27, 0.0021, 0)</f>
        <v>37.247799999999998</v>
      </c>
      <c r="L267" s="17"/>
    </row>
    <row r="268" spans="1:12" ht="15" x14ac:dyDescent="0.2">
      <c r="A268" s="16">
        <v>49065</v>
      </c>
      <c r="B268" s="17">
        <f>38.421 * CHOOSE(CONTROL!$C$9, $D$9, 100%, $F$9) + CHOOSE(CONTROL!$C$27, 0.0021, 0)</f>
        <v>38.423099999999998</v>
      </c>
      <c r="C268" s="17">
        <f>37.9888 * CHOOSE(CONTROL!$C$9, $D$9, 100%, $F$9) + CHOOSE(CONTROL!$C$27, 0.0021, 0)</f>
        <v>37.990899999999996</v>
      </c>
      <c r="D268" s="17">
        <f>37.9888 * CHOOSE(CONTROL!$C$9, $D$9, 100%, $F$9) + CHOOSE(CONTROL!$C$27, 0.0021, 0)</f>
        <v>37.990899999999996</v>
      </c>
      <c r="E268" s="17">
        <f>37.8521 * CHOOSE(CONTROL!$C$9, $D$9, 100%, $F$9) + CHOOSE(CONTROL!$C$27, 0.0021, 0)</f>
        <v>37.854199999999999</v>
      </c>
      <c r="F268" s="17">
        <f>37.8521 * CHOOSE(CONTROL!$C$9, $D$9, 100%, $F$9) + CHOOSE(CONTROL!$C$27, 0.0021, 0)</f>
        <v>37.854199999999999</v>
      </c>
      <c r="G268" s="17">
        <f>38.1235 * CHOOSE(CONTROL!$C$9, $D$9, 100%, $F$9) + CHOOSE(CONTROL!$C$27, 0.0021, 0)</f>
        <v>38.125599999999999</v>
      </c>
      <c r="H268" s="17">
        <f>37.9888 * CHOOSE(CONTROL!$C$9, $D$9, 100%, $F$9) + CHOOSE(CONTROL!$C$27, 0.0021, 0)</f>
        <v>37.990899999999996</v>
      </c>
      <c r="I268" s="17">
        <f>37.9888 * CHOOSE(CONTROL!$C$9, $D$9, 100%, $F$9) + CHOOSE(CONTROL!$C$27, 0.0021, 0)</f>
        <v>37.990899999999996</v>
      </c>
      <c r="J268" s="17">
        <f>37.9888 * CHOOSE(CONTROL!$C$9, $D$9, 100%, $F$9) + CHOOSE(CONTROL!$C$27, 0.0021, 0)</f>
        <v>37.990899999999996</v>
      </c>
      <c r="K268" s="17">
        <f>37.9888 * CHOOSE(CONTROL!$C$9, $D$9, 100%, $F$9) + CHOOSE(CONTROL!$C$27, 0.0021, 0)</f>
        <v>37.990899999999996</v>
      </c>
      <c r="L268" s="17"/>
    </row>
    <row r="269" spans="1:12" ht="15" x14ac:dyDescent="0.2">
      <c r="A269" s="16">
        <v>49096</v>
      </c>
      <c r="B269" s="17">
        <f>38.8661 * CHOOSE(CONTROL!$C$9, $D$9, 100%, $F$9) + CHOOSE(CONTROL!$C$27, 0.0021, 0)</f>
        <v>38.868200000000002</v>
      </c>
      <c r="C269" s="17">
        <f>38.4339 * CHOOSE(CONTROL!$C$9, $D$9, 100%, $F$9) + CHOOSE(CONTROL!$C$27, 0.0021, 0)</f>
        <v>38.436</v>
      </c>
      <c r="D269" s="17">
        <f>38.4339 * CHOOSE(CONTROL!$C$9, $D$9, 100%, $F$9) + CHOOSE(CONTROL!$C$27, 0.0021, 0)</f>
        <v>38.436</v>
      </c>
      <c r="E269" s="17">
        <f>38.2972 * CHOOSE(CONTROL!$C$9, $D$9, 100%, $F$9) + CHOOSE(CONTROL!$C$27, 0.0021, 0)</f>
        <v>38.299299999999995</v>
      </c>
      <c r="F269" s="17">
        <f>38.2972 * CHOOSE(CONTROL!$C$9, $D$9, 100%, $F$9) + CHOOSE(CONTROL!$C$27, 0.0021, 0)</f>
        <v>38.299299999999995</v>
      </c>
      <c r="G269" s="17">
        <f>38.5686 * CHOOSE(CONTROL!$C$9, $D$9, 100%, $F$9) + CHOOSE(CONTROL!$C$27, 0.0021, 0)</f>
        <v>38.570700000000002</v>
      </c>
      <c r="H269" s="17">
        <f>38.4339 * CHOOSE(CONTROL!$C$9, $D$9, 100%, $F$9) + CHOOSE(CONTROL!$C$27, 0.0021, 0)</f>
        <v>38.436</v>
      </c>
      <c r="I269" s="17">
        <f>38.4339 * CHOOSE(CONTROL!$C$9, $D$9, 100%, $F$9) + CHOOSE(CONTROL!$C$27, 0.0021, 0)</f>
        <v>38.436</v>
      </c>
      <c r="J269" s="17">
        <f>38.4339 * CHOOSE(CONTROL!$C$9, $D$9, 100%, $F$9) + CHOOSE(CONTROL!$C$27, 0.0021, 0)</f>
        <v>38.436</v>
      </c>
      <c r="K269" s="17">
        <f>38.4339 * CHOOSE(CONTROL!$C$9, $D$9, 100%, $F$9) + CHOOSE(CONTROL!$C$27, 0.0021, 0)</f>
        <v>38.436</v>
      </c>
      <c r="L269" s="17"/>
    </row>
    <row r="270" spans="1:12" ht="15" x14ac:dyDescent="0.2">
      <c r="A270" s="16">
        <v>49126</v>
      </c>
      <c r="B270" s="17">
        <f>39.6004 * CHOOSE(CONTROL!$C$9, $D$9, 100%, $F$9) + CHOOSE(CONTROL!$C$27, 0.0021, 0)</f>
        <v>39.602499999999999</v>
      </c>
      <c r="C270" s="17">
        <f>39.1681 * CHOOSE(CONTROL!$C$9, $D$9, 100%, $F$9) + CHOOSE(CONTROL!$C$27, 0.0021, 0)</f>
        <v>39.170200000000001</v>
      </c>
      <c r="D270" s="17">
        <f>39.1681 * CHOOSE(CONTROL!$C$9, $D$9, 100%, $F$9) + CHOOSE(CONTROL!$C$27, 0.0021, 0)</f>
        <v>39.170200000000001</v>
      </c>
      <c r="E270" s="17">
        <f>39.0315 * CHOOSE(CONTROL!$C$9, $D$9, 100%, $F$9) + CHOOSE(CONTROL!$C$27, 0.0021, 0)</f>
        <v>39.0336</v>
      </c>
      <c r="F270" s="17">
        <f>39.0315 * CHOOSE(CONTROL!$C$9, $D$9, 100%, $F$9) + CHOOSE(CONTROL!$C$27, 0.0021, 0)</f>
        <v>39.0336</v>
      </c>
      <c r="G270" s="17">
        <f>39.3028 * CHOOSE(CONTROL!$C$9, $D$9, 100%, $F$9) + CHOOSE(CONTROL!$C$27, 0.0021, 0)</f>
        <v>39.304899999999996</v>
      </c>
      <c r="H270" s="17">
        <f>39.1681 * CHOOSE(CONTROL!$C$9, $D$9, 100%, $F$9) + CHOOSE(CONTROL!$C$27, 0.0021, 0)</f>
        <v>39.170200000000001</v>
      </c>
      <c r="I270" s="17">
        <f>39.1681 * CHOOSE(CONTROL!$C$9, $D$9, 100%, $F$9) + CHOOSE(CONTROL!$C$27, 0.0021, 0)</f>
        <v>39.170200000000001</v>
      </c>
      <c r="J270" s="17">
        <f>39.1681 * CHOOSE(CONTROL!$C$9, $D$9, 100%, $F$9) + CHOOSE(CONTROL!$C$27, 0.0021, 0)</f>
        <v>39.170200000000001</v>
      </c>
      <c r="K270" s="17">
        <f>39.1681 * CHOOSE(CONTROL!$C$9, $D$9, 100%, $F$9) + CHOOSE(CONTROL!$C$27, 0.0021, 0)</f>
        <v>39.170200000000001</v>
      </c>
      <c r="L270" s="17"/>
    </row>
    <row r="271" spans="1:12" ht="15" x14ac:dyDescent="0.2">
      <c r="A271" s="16">
        <v>49157</v>
      </c>
      <c r="B271" s="17">
        <f>39.8245 * CHOOSE(CONTROL!$C$9, $D$9, 100%, $F$9) + CHOOSE(CONTROL!$C$27, 0.0021, 0)</f>
        <v>39.826599999999999</v>
      </c>
      <c r="C271" s="17">
        <f>39.3922 * CHOOSE(CONTROL!$C$9, $D$9, 100%, $F$9) + CHOOSE(CONTROL!$C$27, 0.0021, 0)</f>
        <v>39.394300000000001</v>
      </c>
      <c r="D271" s="17">
        <f>39.3922 * CHOOSE(CONTROL!$C$9, $D$9, 100%, $F$9) + CHOOSE(CONTROL!$C$27, 0.0021, 0)</f>
        <v>39.394300000000001</v>
      </c>
      <c r="E271" s="17">
        <f>39.2556 * CHOOSE(CONTROL!$C$9, $D$9, 100%, $F$9) + CHOOSE(CONTROL!$C$27, 0.0021, 0)</f>
        <v>39.2577</v>
      </c>
      <c r="F271" s="17">
        <f>39.2556 * CHOOSE(CONTROL!$C$9, $D$9, 100%, $F$9) + CHOOSE(CONTROL!$C$27, 0.0021, 0)</f>
        <v>39.2577</v>
      </c>
      <c r="G271" s="17">
        <f>39.527 * CHOOSE(CONTROL!$C$9, $D$9, 100%, $F$9) + CHOOSE(CONTROL!$C$27, 0.0021, 0)</f>
        <v>39.5291</v>
      </c>
      <c r="H271" s="17">
        <f>39.3922 * CHOOSE(CONTROL!$C$9, $D$9, 100%, $F$9) + CHOOSE(CONTROL!$C$27, 0.0021, 0)</f>
        <v>39.394300000000001</v>
      </c>
      <c r="I271" s="17">
        <f>39.3922 * CHOOSE(CONTROL!$C$9, $D$9, 100%, $F$9) + CHOOSE(CONTROL!$C$27, 0.0021, 0)</f>
        <v>39.394300000000001</v>
      </c>
      <c r="J271" s="17">
        <f>39.3922 * CHOOSE(CONTROL!$C$9, $D$9, 100%, $F$9) + CHOOSE(CONTROL!$C$27, 0.0021, 0)</f>
        <v>39.394300000000001</v>
      </c>
      <c r="K271" s="17">
        <f>39.3922 * CHOOSE(CONTROL!$C$9, $D$9, 100%, $F$9) + CHOOSE(CONTROL!$C$27, 0.0021, 0)</f>
        <v>39.394300000000001</v>
      </c>
      <c r="L271" s="17"/>
    </row>
    <row r="272" spans="1:12" ht="15" x14ac:dyDescent="0.2">
      <c r="A272" s="16">
        <v>49188</v>
      </c>
      <c r="B272" s="17">
        <f>40.5877 * CHOOSE(CONTROL!$C$9, $D$9, 100%, $F$9) + CHOOSE(CONTROL!$C$27, 0.0021, 0)</f>
        <v>40.589799999999997</v>
      </c>
      <c r="C272" s="17">
        <f>40.1555 * CHOOSE(CONTROL!$C$9, $D$9, 100%, $F$9) + CHOOSE(CONTROL!$C$27, 0.0021, 0)</f>
        <v>40.157600000000002</v>
      </c>
      <c r="D272" s="17">
        <f>40.1555 * CHOOSE(CONTROL!$C$9, $D$9, 100%, $F$9) + CHOOSE(CONTROL!$C$27, 0.0021, 0)</f>
        <v>40.157600000000002</v>
      </c>
      <c r="E272" s="17">
        <f>40.0188 * CHOOSE(CONTROL!$C$9, $D$9, 100%, $F$9) + CHOOSE(CONTROL!$C$27, 0.0021, 0)</f>
        <v>40.020899999999997</v>
      </c>
      <c r="F272" s="17">
        <f>40.0188 * CHOOSE(CONTROL!$C$9, $D$9, 100%, $F$9) + CHOOSE(CONTROL!$C$27, 0.0021, 0)</f>
        <v>40.020899999999997</v>
      </c>
      <c r="G272" s="17">
        <f>40.2902 * CHOOSE(CONTROL!$C$9, $D$9, 100%, $F$9) + CHOOSE(CONTROL!$C$27, 0.0021, 0)</f>
        <v>40.292299999999997</v>
      </c>
      <c r="H272" s="17">
        <f>40.1555 * CHOOSE(CONTROL!$C$9, $D$9, 100%, $F$9) + CHOOSE(CONTROL!$C$27, 0.0021, 0)</f>
        <v>40.157600000000002</v>
      </c>
      <c r="I272" s="17">
        <f>40.1555 * CHOOSE(CONTROL!$C$9, $D$9, 100%, $F$9) + CHOOSE(CONTROL!$C$27, 0.0021, 0)</f>
        <v>40.157600000000002</v>
      </c>
      <c r="J272" s="17">
        <f>40.1555 * CHOOSE(CONTROL!$C$9, $D$9, 100%, $F$9) + CHOOSE(CONTROL!$C$27, 0.0021, 0)</f>
        <v>40.157600000000002</v>
      </c>
      <c r="K272" s="17">
        <f>40.1555 * CHOOSE(CONTROL!$C$9, $D$9, 100%, $F$9) + CHOOSE(CONTROL!$C$27, 0.0021, 0)</f>
        <v>40.157600000000002</v>
      </c>
      <c r="L272" s="17"/>
    </row>
    <row r="273" spans="1:12" ht="15" x14ac:dyDescent="0.2">
      <c r="A273" s="16">
        <v>49218</v>
      </c>
      <c r="B273" s="17">
        <f>41.5538 * CHOOSE(CONTROL!$C$9, $D$9, 100%, $F$9) + CHOOSE(CONTROL!$C$27, 0.0021, 0)</f>
        <v>41.555900000000001</v>
      </c>
      <c r="C273" s="17">
        <f>41.1216 * CHOOSE(CONTROL!$C$9, $D$9, 100%, $F$9) + CHOOSE(CONTROL!$C$27, 0.0021, 0)</f>
        <v>41.123699999999999</v>
      </c>
      <c r="D273" s="17">
        <f>41.1216 * CHOOSE(CONTROL!$C$9, $D$9, 100%, $F$9) + CHOOSE(CONTROL!$C$27, 0.0021, 0)</f>
        <v>41.123699999999999</v>
      </c>
      <c r="E273" s="17">
        <f>40.9849 * CHOOSE(CONTROL!$C$9, $D$9, 100%, $F$9) + CHOOSE(CONTROL!$C$27, 0.0021, 0)</f>
        <v>40.987000000000002</v>
      </c>
      <c r="F273" s="17">
        <f>40.9849 * CHOOSE(CONTROL!$C$9, $D$9, 100%, $F$9) + CHOOSE(CONTROL!$C$27, 0.0021, 0)</f>
        <v>40.987000000000002</v>
      </c>
      <c r="G273" s="17">
        <f>41.2563 * CHOOSE(CONTROL!$C$9, $D$9, 100%, $F$9) + CHOOSE(CONTROL!$C$27, 0.0021, 0)</f>
        <v>41.258400000000002</v>
      </c>
      <c r="H273" s="17">
        <f>41.1216 * CHOOSE(CONTROL!$C$9, $D$9, 100%, $F$9) + CHOOSE(CONTROL!$C$27, 0.0021, 0)</f>
        <v>41.123699999999999</v>
      </c>
      <c r="I273" s="17">
        <f>41.1216 * CHOOSE(CONTROL!$C$9, $D$9, 100%, $F$9) + CHOOSE(CONTROL!$C$27, 0.0021, 0)</f>
        <v>41.123699999999999</v>
      </c>
      <c r="J273" s="17">
        <f>41.1216 * CHOOSE(CONTROL!$C$9, $D$9, 100%, $F$9) + CHOOSE(CONTROL!$C$27, 0.0021, 0)</f>
        <v>41.123699999999999</v>
      </c>
      <c r="K273" s="17">
        <f>41.1216 * CHOOSE(CONTROL!$C$9, $D$9, 100%, $F$9) + CHOOSE(CONTROL!$C$27, 0.0021, 0)</f>
        <v>41.123699999999999</v>
      </c>
      <c r="L273" s="17"/>
    </row>
    <row r="274" spans="1:12" ht="15" x14ac:dyDescent="0.2">
      <c r="A274" s="16">
        <v>49249</v>
      </c>
      <c r="B274" s="17">
        <f>41.6445 * CHOOSE(CONTROL!$C$9, $D$9, 100%, $F$9) + CHOOSE(CONTROL!$C$27, 0.0021, 0)</f>
        <v>41.646599999999999</v>
      </c>
      <c r="C274" s="17">
        <f>41.2123 * CHOOSE(CONTROL!$C$9, $D$9, 100%, $F$9) + CHOOSE(CONTROL!$C$27, 0.0021, 0)</f>
        <v>41.214399999999998</v>
      </c>
      <c r="D274" s="17">
        <f>41.2123 * CHOOSE(CONTROL!$C$9, $D$9, 100%, $F$9) + CHOOSE(CONTROL!$C$27, 0.0021, 0)</f>
        <v>41.214399999999998</v>
      </c>
      <c r="E274" s="17">
        <f>41.0756 * CHOOSE(CONTROL!$C$9, $D$9, 100%, $F$9) + CHOOSE(CONTROL!$C$27, 0.0021, 0)</f>
        <v>41.0777</v>
      </c>
      <c r="F274" s="17">
        <f>41.0756 * CHOOSE(CONTROL!$C$9, $D$9, 100%, $F$9) + CHOOSE(CONTROL!$C$27, 0.0021, 0)</f>
        <v>41.0777</v>
      </c>
      <c r="G274" s="17">
        <f>41.347 * CHOOSE(CONTROL!$C$9, $D$9, 100%, $F$9) + CHOOSE(CONTROL!$C$27, 0.0021, 0)</f>
        <v>41.3491</v>
      </c>
      <c r="H274" s="17">
        <f>41.2123 * CHOOSE(CONTROL!$C$9, $D$9, 100%, $F$9) + CHOOSE(CONTROL!$C$27, 0.0021, 0)</f>
        <v>41.214399999999998</v>
      </c>
      <c r="I274" s="17">
        <f>41.2123 * CHOOSE(CONTROL!$C$9, $D$9, 100%, $F$9) + CHOOSE(CONTROL!$C$27, 0.0021, 0)</f>
        <v>41.214399999999998</v>
      </c>
      <c r="J274" s="17">
        <f>41.2123 * CHOOSE(CONTROL!$C$9, $D$9, 100%, $F$9) + CHOOSE(CONTROL!$C$27, 0.0021, 0)</f>
        <v>41.214399999999998</v>
      </c>
      <c r="K274" s="17">
        <f>41.2123 * CHOOSE(CONTROL!$C$9, $D$9, 100%, $F$9) + CHOOSE(CONTROL!$C$27, 0.0021, 0)</f>
        <v>41.214399999999998</v>
      </c>
      <c r="L274" s="17"/>
    </row>
    <row r="275" spans="1:12" ht="15" x14ac:dyDescent="0.2">
      <c r="A275" s="16">
        <v>49279</v>
      </c>
      <c r="B275" s="17">
        <f>40.8729 * CHOOSE(CONTROL!$C$9, $D$9, 100%, $F$9) + CHOOSE(CONTROL!$C$27, 0.0021, 0)</f>
        <v>40.875</v>
      </c>
      <c r="C275" s="17">
        <f>40.4406 * CHOOSE(CONTROL!$C$9, $D$9, 100%, $F$9) + CHOOSE(CONTROL!$C$27, 0.0021, 0)</f>
        <v>40.442700000000002</v>
      </c>
      <c r="D275" s="17">
        <f>40.4406 * CHOOSE(CONTROL!$C$9, $D$9, 100%, $F$9) + CHOOSE(CONTROL!$C$27, 0.0021, 0)</f>
        <v>40.442700000000002</v>
      </c>
      <c r="E275" s="17">
        <f>40.304 * CHOOSE(CONTROL!$C$9, $D$9, 100%, $F$9) + CHOOSE(CONTROL!$C$27, 0.0021, 0)</f>
        <v>40.306100000000001</v>
      </c>
      <c r="F275" s="17">
        <f>40.304 * CHOOSE(CONTROL!$C$9, $D$9, 100%, $F$9) + CHOOSE(CONTROL!$C$27, 0.0021, 0)</f>
        <v>40.306100000000001</v>
      </c>
      <c r="G275" s="17">
        <f>40.5754 * CHOOSE(CONTROL!$C$9, $D$9, 100%, $F$9) + CHOOSE(CONTROL!$C$27, 0.0021, 0)</f>
        <v>40.577500000000001</v>
      </c>
      <c r="H275" s="17">
        <f>40.4406 * CHOOSE(CONTROL!$C$9, $D$9, 100%, $F$9) + CHOOSE(CONTROL!$C$27, 0.0021, 0)</f>
        <v>40.442700000000002</v>
      </c>
      <c r="I275" s="17">
        <f>40.4406 * CHOOSE(CONTROL!$C$9, $D$9, 100%, $F$9) + CHOOSE(CONTROL!$C$27, 0.0021, 0)</f>
        <v>40.442700000000002</v>
      </c>
      <c r="J275" s="17">
        <f>40.4406 * CHOOSE(CONTROL!$C$9, $D$9, 100%, $F$9) + CHOOSE(CONTROL!$C$27, 0.0021, 0)</f>
        <v>40.442700000000002</v>
      </c>
      <c r="K275" s="17">
        <f>40.4406 * CHOOSE(CONTROL!$C$9, $D$9, 100%, $F$9) + CHOOSE(CONTROL!$C$27, 0.0021, 0)</f>
        <v>40.442700000000002</v>
      </c>
      <c r="L275" s="17"/>
    </row>
    <row r="276" spans="1:12" ht="15" x14ac:dyDescent="0.2">
      <c r="A276" s="16">
        <v>49310</v>
      </c>
      <c r="B276" s="17">
        <f>40.3852 * CHOOSE(CONTROL!$C$9, $D$9, 100%, $F$9) + CHOOSE(CONTROL!$C$27, 0.0021, 0)</f>
        <v>40.387299999999996</v>
      </c>
      <c r="C276" s="17">
        <f>39.953 * CHOOSE(CONTROL!$C$9, $D$9, 100%, $F$9) + CHOOSE(CONTROL!$C$27, 0.0021, 0)</f>
        <v>39.955100000000002</v>
      </c>
      <c r="D276" s="17">
        <f>39.953 * CHOOSE(CONTROL!$C$9, $D$9, 100%, $F$9) + CHOOSE(CONTROL!$C$27, 0.0021, 0)</f>
        <v>39.955100000000002</v>
      </c>
      <c r="E276" s="17">
        <f>39.8163 * CHOOSE(CONTROL!$C$9, $D$9, 100%, $F$9) + CHOOSE(CONTROL!$C$27, 0.0021, 0)</f>
        <v>39.818399999999997</v>
      </c>
      <c r="F276" s="17">
        <f>39.8163 * CHOOSE(CONTROL!$C$9, $D$9, 100%, $F$9) + CHOOSE(CONTROL!$C$27, 0.0021, 0)</f>
        <v>39.818399999999997</v>
      </c>
      <c r="G276" s="17">
        <f>40.0877 * CHOOSE(CONTROL!$C$9, $D$9, 100%, $F$9) + CHOOSE(CONTROL!$C$27, 0.0021, 0)</f>
        <v>40.089799999999997</v>
      </c>
      <c r="H276" s="17">
        <f>39.953 * CHOOSE(CONTROL!$C$9, $D$9, 100%, $F$9) + CHOOSE(CONTROL!$C$27, 0.0021, 0)</f>
        <v>39.955100000000002</v>
      </c>
      <c r="I276" s="17">
        <f>39.953 * CHOOSE(CONTROL!$C$9, $D$9, 100%, $F$9) + CHOOSE(CONTROL!$C$27, 0.0021, 0)</f>
        <v>39.955100000000002</v>
      </c>
      <c r="J276" s="17">
        <f>39.953 * CHOOSE(CONTROL!$C$9, $D$9, 100%, $F$9) + CHOOSE(CONTROL!$C$27, 0.0021, 0)</f>
        <v>39.955100000000002</v>
      </c>
      <c r="K276" s="17">
        <f>39.953 * CHOOSE(CONTROL!$C$9, $D$9, 100%, $F$9) + CHOOSE(CONTROL!$C$27, 0.0021, 0)</f>
        <v>39.955100000000002</v>
      </c>
      <c r="L276" s="17"/>
    </row>
    <row r="277" spans="1:12" ht="15" x14ac:dyDescent="0.2">
      <c r="A277" s="16">
        <v>49341</v>
      </c>
      <c r="B277" s="17">
        <f>39.3077 * CHOOSE(CONTROL!$C$9, $D$9, 100%, $F$9) + CHOOSE(CONTROL!$C$27, 0.0021, 0)</f>
        <v>39.309799999999996</v>
      </c>
      <c r="C277" s="17">
        <f>38.8755 * CHOOSE(CONTROL!$C$9, $D$9, 100%, $F$9) + CHOOSE(CONTROL!$C$27, 0.0021, 0)</f>
        <v>38.877600000000001</v>
      </c>
      <c r="D277" s="17">
        <f>38.8755 * CHOOSE(CONTROL!$C$9, $D$9, 100%, $F$9) + CHOOSE(CONTROL!$C$27, 0.0021, 0)</f>
        <v>38.877600000000001</v>
      </c>
      <c r="E277" s="17">
        <f>38.7388 * CHOOSE(CONTROL!$C$9, $D$9, 100%, $F$9) + CHOOSE(CONTROL!$C$27, 0.0021, 0)</f>
        <v>38.740899999999996</v>
      </c>
      <c r="F277" s="17">
        <f>38.7388 * CHOOSE(CONTROL!$C$9, $D$9, 100%, $F$9) + CHOOSE(CONTROL!$C$27, 0.0021, 0)</f>
        <v>38.740899999999996</v>
      </c>
      <c r="G277" s="17">
        <f>39.0102 * CHOOSE(CONTROL!$C$9, $D$9, 100%, $F$9) + CHOOSE(CONTROL!$C$27, 0.0021, 0)</f>
        <v>39.012299999999996</v>
      </c>
      <c r="H277" s="17">
        <f>38.8755 * CHOOSE(CONTROL!$C$9, $D$9, 100%, $F$9) + CHOOSE(CONTROL!$C$27, 0.0021, 0)</f>
        <v>38.877600000000001</v>
      </c>
      <c r="I277" s="17">
        <f>38.8755 * CHOOSE(CONTROL!$C$9, $D$9, 100%, $F$9) + CHOOSE(CONTROL!$C$27, 0.0021, 0)</f>
        <v>38.877600000000001</v>
      </c>
      <c r="J277" s="17">
        <f>38.8755 * CHOOSE(CONTROL!$C$9, $D$9, 100%, $F$9) + CHOOSE(CONTROL!$C$27, 0.0021, 0)</f>
        <v>38.877600000000001</v>
      </c>
      <c r="K277" s="17">
        <f>38.8755 * CHOOSE(CONTROL!$C$9, $D$9, 100%, $F$9) + CHOOSE(CONTROL!$C$27, 0.0021, 0)</f>
        <v>38.877600000000001</v>
      </c>
      <c r="L277" s="17"/>
    </row>
    <row r="278" spans="1:12" ht="15" x14ac:dyDescent="0.2">
      <c r="A278" s="16">
        <v>49369</v>
      </c>
      <c r="B278" s="17">
        <f>38.863 * CHOOSE(CONTROL!$C$9, $D$9, 100%, $F$9) + CHOOSE(CONTROL!$C$27, 0.0021, 0)</f>
        <v>38.865099999999998</v>
      </c>
      <c r="C278" s="17">
        <f>38.4307 * CHOOSE(CONTROL!$C$9, $D$9, 100%, $F$9) + CHOOSE(CONTROL!$C$27, 0.0021, 0)</f>
        <v>38.4328</v>
      </c>
      <c r="D278" s="17">
        <f>38.4307 * CHOOSE(CONTROL!$C$9, $D$9, 100%, $F$9) + CHOOSE(CONTROL!$C$27, 0.0021, 0)</f>
        <v>38.4328</v>
      </c>
      <c r="E278" s="17">
        <f>38.294 * CHOOSE(CONTROL!$C$9, $D$9, 100%, $F$9) + CHOOSE(CONTROL!$C$27, 0.0021, 0)</f>
        <v>38.296099999999996</v>
      </c>
      <c r="F278" s="17">
        <f>38.294 * CHOOSE(CONTROL!$C$9, $D$9, 100%, $F$9) + CHOOSE(CONTROL!$C$27, 0.0021, 0)</f>
        <v>38.296099999999996</v>
      </c>
      <c r="G278" s="17">
        <f>38.5654 * CHOOSE(CONTROL!$C$9, $D$9, 100%, $F$9) + CHOOSE(CONTROL!$C$27, 0.0021, 0)</f>
        <v>38.567499999999995</v>
      </c>
      <c r="H278" s="17">
        <f>38.4307 * CHOOSE(CONTROL!$C$9, $D$9, 100%, $F$9) + CHOOSE(CONTROL!$C$27, 0.0021, 0)</f>
        <v>38.4328</v>
      </c>
      <c r="I278" s="17">
        <f>38.4307 * CHOOSE(CONTROL!$C$9, $D$9, 100%, $F$9) + CHOOSE(CONTROL!$C$27, 0.0021, 0)</f>
        <v>38.4328</v>
      </c>
      <c r="J278" s="17">
        <f>38.4307 * CHOOSE(CONTROL!$C$9, $D$9, 100%, $F$9) + CHOOSE(CONTROL!$C$27, 0.0021, 0)</f>
        <v>38.4328</v>
      </c>
      <c r="K278" s="17">
        <f>38.4307 * CHOOSE(CONTROL!$C$9, $D$9, 100%, $F$9) + CHOOSE(CONTROL!$C$27, 0.0021, 0)</f>
        <v>38.4328</v>
      </c>
      <c r="L278" s="17"/>
    </row>
    <row r="279" spans="1:12" ht="15" x14ac:dyDescent="0.2">
      <c r="A279" s="16">
        <v>49400</v>
      </c>
      <c r="B279" s="17">
        <f>38.3319 * CHOOSE(CONTROL!$C$9, $D$9, 100%, $F$9) + CHOOSE(CONTROL!$C$27, 0.0021, 0)</f>
        <v>38.333999999999996</v>
      </c>
      <c r="C279" s="17">
        <f>37.8996 * CHOOSE(CONTROL!$C$9, $D$9, 100%, $F$9) + CHOOSE(CONTROL!$C$27, 0.0021, 0)</f>
        <v>37.901699999999998</v>
      </c>
      <c r="D279" s="17">
        <f>37.8996 * CHOOSE(CONTROL!$C$9, $D$9, 100%, $F$9) + CHOOSE(CONTROL!$C$27, 0.0021, 0)</f>
        <v>37.901699999999998</v>
      </c>
      <c r="E279" s="17">
        <f>37.763 * CHOOSE(CONTROL!$C$9, $D$9, 100%, $F$9) + CHOOSE(CONTROL!$C$27, 0.0021, 0)</f>
        <v>37.765099999999997</v>
      </c>
      <c r="F279" s="17">
        <f>37.763 * CHOOSE(CONTROL!$C$9, $D$9, 100%, $F$9) + CHOOSE(CONTROL!$C$27, 0.0021, 0)</f>
        <v>37.765099999999997</v>
      </c>
      <c r="G279" s="17">
        <f>38.0343 * CHOOSE(CONTROL!$C$9, $D$9, 100%, $F$9) + CHOOSE(CONTROL!$C$27, 0.0021, 0)</f>
        <v>38.0364</v>
      </c>
      <c r="H279" s="17">
        <f>37.8996 * CHOOSE(CONTROL!$C$9, $D$9, 100%, $F$9) + CHOOSE(CONTROL!$C$27, 0.0021, 0)</f>
        <v>37.901699999999998</v>
      </c>
      <c r="I279" s="17">
        <f>37.8996 * CHOOSE(CONTROL!$C$9, $D$9, 100%, $F$9) + CHOOSE(CONTROL!$C$27, 0.0021, 0)</f>
        <v>37.901699999999998</v>
      </c>
      <c r="J279" s="17">
        <f>37.8996 * CHOOSE(CONTROL!$C$9, $D$9, 100%, $F$9) + CHOOSE(CONTROL!$C$27, 0.0021, 0)</f>
        <v>37.901699999999998</v>
      </c>
      <c r="K279" s="17">
        <f>37.8996 * CHOOSE(CONTROL!$C$9, $D$9, 100%, $F$9) + CHOOSE(CONTROL!$C$27, 0.0021, 0)</f>
        <v>37.901699999999998</v>
      </c>
      <c r="L279" s="17"/>
    </row>
    <row r="280" spans="1:12" ht="15" x14ac:dyDescent="0.2">
      <c r="A280" s="16">
        <v>49430</v>
      </c>
      <c r="B280" s="17">
        <f>39.0887 * CHOOSE(CONTROL!$C$9, $D$9, 100%, $F$9) + CHOOSE(CONTROL!$C$27, 0.0021, 0)</f>
        <v>39.090800000000002</v>
      </c>
      <c r="C280" s="17">
        <f>38.6565 * CHOOSE(CONTROL!$C$9, $D$9, 100%, $F$9) + CHOOSE(CONTROL!$C$27, 0.0021, 0)</f>
        <v>38.6586</v>
      </c>
      <c r="D280" s="17">
        <f>38.6565 * CHOOSE(CONTROL!$C$9, $D$9, 100%, $F$9) + CHOOSE(CONTROL!$C$27, 0.0021, 0)</f>
        <v>38.6586</v>
      </c>
      <c r="E280" s="17">
        <f>38.5198 * CHOOSE(CONTROL!$C$9, $D$9, 100%, $F$9) + CHOOSE(CONTROL!$C$27, 0.0021, 0)</f>
        <v>38.521899999999995</v>
      </c>
      <c r="F280" s="17">
        <f>38.5198 * CHOOSE(CONTROL!$C$9, $D$9, 100%, $F$9) + CHOOSE(CONTROL!$C$27, 0.0021, 0)</f>
        <v>38.521899999999995</v>
      </c>
      <c r="G280" s="17">
        <f>38.7912 * CHOOSE(CONTROL!$C$9, $D$9, 100%, $F$9) + CHOOSE(CONTROL!$C$27, 0.0021, 0)</f>
        <v>38.793300000000002</v>
      </c>
      <c r="H280" s="17">
        <f>38.6565 * CHOOSE(CONTROL!$C$9, $D$9, 100%, $F$9) + CHOOSE(CONTROL!$C$27, 0.0021, 0)</f>
        <v>38.6586</v>
      </c>
      <c r="I280" s="17">
        <f>38.6565 * CHOOSE(CONTROL!$C$9, $D$9, 100%, $F$9) + CHOOSE(CONTROL!$C$27, 0.0021, 0)</f>
        <v>38.6586</v>
      </c>
      <c r="J280" s="17">
        <f>38.6565 * CHOOSE(CONTROL!$C$9, $D$9, 100%, $F$9) + CHOOSE(CONTROL!$C$27, 0.0021, 0)</f>
        <v>38.6586</v>
      </c>
      <c r="K280" s="17">
        <f>38.6565 * CHOOSE(CONTROL!$C$9, $D$9, 100%, $F$9) + CHOOSE(CONTROL!$C$27, 0.0021, 0)</f>
        <v>38.6586</v>
      </c>
      <c r="L280" s="17"/>
    </row>
    <row r="281" spans="1:12" ht="15" x14ac:dyDescent="0.2">
      <c r="A281" s="15">
        <v>49461</v>
      </c>
      <c r="B281" s="17">
        <f>39.542 * CHOOSE(CONTROL!$C$9, $D$9, 100%, $F$9) + CHOOSE(CONTROL!$C$27, 0.0021, 0)</f>
        <v>39.5441</v>
      </c>
      <c r="C281" s="17">
        <f>39.1098 * CHOOSE(CONTROL!$C$9, $D$9, 100%, $F$9) + CHOOSE(CONTROL!$C$27, 0.0021, 0)</f>
        <v>39.111899999999999</v>
      </c>
      <c r="D281" s="17">
        <f>39.1098 * CHOOSE(CONTROL!$C$9, $D$9, 100%, $F$9) + CHOOSE(CONTROL!$C$27, 0.0021, 0)</f>
        <v>39.111899999999999</v>
      </c>
      <c r="E281" s="17">
        <f>38.9731 * CHOOSE(CONTROL!$C$9, $D$9, 100%, $F$9) + CHOOSE(CONTROL!$C$27, 0.0021, 0)</f>
        <v>38.975200000000001</v>
      </c>
      <c r="F281" s="17">
        <f>38.9731 * CHOOSE(CONTROL!$C$9, $D$9, 100%, $F$9) + CHOOSE(CONTROL!$C$27, 0.0021, 0)</f>
        <v>38.975200000000001</v>
      </c>
      <c r="G281" s="17">
        <f>39.2445 * CHOOSE(CONTROL!$C$9, $D$9, 100%, $F$9) + CHOOSE(CONTROL!$C$27, 0.0021, 0)</f>
        <v>39.246600000000001</v>
      </c>
      <c r="H281" s="17">
        <f>39.1098 * CHOOSE(CONTROL!$C$9, $D$9, 100%, $F$9) + CHOOSE(CONTROL!$C$27, 0.0021, 0)</f>
        <v>39.111899999999999</v>
      </c>
      <c r="I281" s="17">
        <f>39.1098 * CHOOSE(CONTROL!$C$9, $D$9, 100%, $F$9) + CHOOSE(CONTROL!$C$27, 0.0021, 0)</f>
        <v>39.111899999999999</v>
      </c>
      <c r="J281" s="17">
        <f>39.1098 * CHOOSE(CONTROL!$C$9, $D$9, 100%, $F$9) + CHOOSE(CONTROL!$C$27, 0.0021, 0)</f>
        <v>39.111899999999999</v>
      </c>
      <c r="K281" s="17">
        <f>39.1098 * CHOOSE(CONTROL!$C$9, $D$9, 100%, $F$9) + CHOOSE(CONTROL!$C$27, 0.0021, 0)</f>
        <v>39.111899999999999</v>
      </c>
      <c r="L281" s="17"/>
    </row>
    <row r="282" spans="1:12" ht="15" x14ac:dyDescent="0.2">
      <c r="A282" s="15">
        <v>49491</v>
      </c>
      <c r="B282" s="17">
        <f>40.2899 * CHOOSE(CONTROL!$C$9, $D$9, 100%, $F$9) + CHOOSE(CONTROL!$C$27, 0.0021, 0)</f>
        <v>40.292000000000002</v>
      </c>
      <c r="C282" s="17">
        <f>39.8576 * CHOOSE(CONTROL!$C$9, $D$9, 100%, $F$9) + CHOOSE(CONTROL!$C$27, 0.0021, 0)</f>
        <v>39.859699999999997</v>
      </c>
      <c r="D282" s="17">
        <f>39.8576 * CHOOSE(CONTROL!$C$9, $D$9, 100%, $F$9) + CHOOSE(CONTROL!$C$27, 0.0021, 0)</f>
        <v>39.859699999999997</v>
      </c>
      <c r="E282" s="17">
        <f>39.721 * CHOOSE(CONTROL!$C$9, $D$9, 100%, $F$9) + CHOOSE(CONTROL!$C$27, 0.0021, 0)</f>
        <v>39.723099999999995</v>
      </c>
      <c r="F282" s="17">
        <f>39.721 * CHOOSE(CONTROL!$C$9, $D$9, 100%, $F$9) + CHOOSE(CONTROL!$C$27, 0.0021, 0)</f>
        <v>39.723099999999995</v>
      </c>
      <c r="G282" s="17">
        <f>39.9923 * CHOOSE(CONTROL!$C$9, $D$9, 100%, $F$9) + CHOOSE(CONTROL!$C$27, 0.0021, 0)</f>
        <v>39.994399999999999</v>
      </c>
      <c r="H282" s="17">
        <f>39.8576 * CHOOSE(CONTROL!$C$9, $D$9, 100%, $F$9) + CHOOSE(CONTROL!$C$27, 0.0021, 0)</f>
        <v>39.859699999999997</v>
      </c>
      <c r="I282" s="17">
        <f>39.8576 * CHOOSE(CONTROL!$C$9, $D$9, 100%, $F$9) + CHOOSE(CONTROL!$C$27, 0.0021, 0)</f>
        <v>39.859699999999997</v>
      </c>
      <c r="J282" s="17">
        <f>39.8576 * CHOOSE(CONTROL!$C$9, $D$9, 100%, $F$9) + CHOOSE(CONTROL!$C$27, 0.0021, 0)</f>
        <v>39.859699999999997</v>
      </c>
      <c r="K282" s="17">
        <f>39.8576 * CHOOSE(CONTROL!$C$9, $D$9, 100%, $F$9) + CHOOSE(CONTROL!$C$27, 0.0021, 0)</f>
        <v>39.859699999999997</v>
      </c>
      <c r="L282" s="17"/>
    </row>
    <row r="283" spans="1:12" ht="15" x14ac:dyDescent="0.2">
      <c r="A283" s="15">
        <v>49522</v>
      </c>
      <c r="B283" s="17">
        <f>40.5181 * CHOOSE(CONTROL!$C$9, $D$9, 100%, $F$9) + CHOOSE(CONTROL!$C$27, 0.0021, 0)</f>
        <v>40.520199999999996</v>
      </c>
      <c r="C283" s="17">
        <f>40.0859 * CHOOSE(CONTROL!$C$9, $D$9, 100%, $F$9) + CHOOSE(CONTROL!$C$27, 0.0021, 0)</f>
        <v>40.088000000000001</v>
      </c>
      <c r="D283" s="17">
        <f>40.0859 * CHOOSE(CONTROL!$C$9, $D$9, 100%, $F$9) + CHOOSE(CONTROL!$C$27, 0.0021, 0)</f>
        <v>40.088000000000001</v>
      </c>
      <c r="E283" s="17">
        <f>39.9492 * CHOOSE(CONTROL!$C$9, $D$9, 100%, $F$9) + CHOOSE(CONTROL!$C$27, 0.0021, 0)</f>
        <v>39.951299999999996</v>
      </c>
      <c r="F283" s="17">
        <f>39.9492 * CHOOSE(CONTROL!$C$9, $D$9, 100%, $F$9) + CHOOSE(CONTROL!$C$27, 0.0021, 0)</f>
        <v>39.951299999999996</v>
      </c>
      <c r="G283" s="17">
        <f>40.2206 * CHOOSE(CONTROL!$C$9, $D$9, 100%, $F$9) + CHOOSE(CONTROL!$C$27, 0.0021, 0)</f>
        <v>40.222699999999996</v>
      </c>
      <c r="H283" s="17">
        <f>40.0859 * CHOOSE(CONTROL!$C$9, $D$9, 100%, $F$9) + CHOOSE(CONTROL!$C$27, 0.0021, 0)</f>
        <v>40.088000000000001</v>
      </c>
      <c r="I283" s="17">
        <f>40.0859 * CHOOSE(CONTROL!$C$9, $D$9, 100%, $F$9) + CHOOSE(CONTROL!$C$27, 0.0021, 0)</f>
        <v>40.088000000000001</v>
      </c>
      <c r="J283" s="17">
        <f>40.0859 * CHOOSE(CONTROL!$C$9, $D$9, 100%, $F$9) + CHOOSE(CONTROL!$C$27, 0.0021, 0)</f>
        <v>40.088000000000001</v>
      </c>
      <c r="K283" s="17">
        <f>40.0859 * CHOOSE(CONTROL!$C$9, $D$9, 100%, $F$9) + CHOOSE(CONTROL!$C$27, 0.0021, 0)</f>
        <v>40.088000000000001</v>
      </c>
      <c r="L283" s="17"/>
    </row>
    <row r="284" spans="1:12" ht="15" x14ac:dyDescent="0.2">
      <c r="A284" s="15">
        <v>49553</v>
      </c>
      <c r="B284" s="17">
        <f>41.2954 * CHOOSE(CONTROL!$C$9, $D$9, 100%, $F$9) + CHOOSE(CONTROL!$C$27, 0.0021, 0)</f>
        <v>41.297499999999999</v>
      </c>
      <c r="C284" s="17">
        <f>40.8632 * CHOOSE(CONTROL!$C$9, $D$9, 100%, $F$9) + CHOOSE(CONTROL!$C$27, 0.0021, 0)</f>
        <v>40.865299999999998</v>
      </c>
      <c r="D284" s="17">
        <f>40.8632 * CHOOSE(CONTROL!$C$9, $D$9, 100%, $F$9) + CHOOSE(CONTROL!$C$27, 0.0021, 0)</f>
        <v>40.865299999999998</v>
      </c>
      <c r="E284" s="17">
        <f>40.7265 * CHOOSE(CONTROL!$C$9, $D$9, 100%, $F$9) + CHOOSE(CONTROL!$C$27, 0.0021, 0)</f>
        <v>40.7286</v>
      </c>
      <c r="F284" s="17">
        <f>40.7265 * CHOOSE(CONTROL!$C$9, $D$9, 100%, $F$9) + CHOOSE(CONTROL!$C$27, 0.0021, 0)</f>
        <v>40.7286</v>
      </c>
      <c r="G284" s="17">
        <f>40.9979 * CHOOSE(CONTROL!$C$9, $D$9, 100%, $F$9) + CHOOSE(CONTROL!$C$27, 0.0021, 0)</f>
        <v>41</v>
      </c>
      <c r="H284" s="17">
        <f>40.8632 * CHOOSE(CONTROL!$C$9, $D$9, 100%, $F$9) + CHOOSE(CONTROL!$C$27, 0.0021, 0)</f>
        <v>40.865299999999998</v>
      </c>
      <c r="I284" s="17">
        <f>40.8632 * CHOOSE(CONTROL!$C$9, $D$9, 100%, $F$9) + CHOOSE(CONTROL!$C$27, 0.0021, 0)</f>
        <v>40.865299999999998</v>
      </c>
      <c r="J284" s="17">
        <f>40.8632 * CHOOSE(CONTROL!$C$9, $D$9, 100%, $F$9) + CHOOSE(CONTROL!$C$27, 0.0021, 0)</f>
        <v>40.865299999999998</v>
      </c>
      <c r="K284" s="17">
        <f>40.8632 * CHOOSE(CONTROL!$C$9, $D$9, 100%, $F$9) + CHOOSE(CONTROL!$C$27, 0.0021, 0)</f>
        <v>40.865299999999998</v>
      </c>
      <c r="L284" s="17"/>
    </row>
    <row r="285" spans="1:12" ht="15" x14ac:dyDescent="0.2">
      <c r="A285" s="15">
        <v>49583</v>
      </c>
      <c r="B285" s="17">
        <f>42.2794 * CHOOSE(CONTROL!$C$9, $D$9, 100%, $F$9) + CHOOSE(CONTROL!$C$27, 0.0021, 0)</f>
        <v>42.281500000000001</v>
      </c>
      <c r="C285" s="17">
        <f>41.8471 * CHOOSE(CONTROL!$C$9, $D$9, 100%, $F$9) + CHOOSE(CONTROL!$C$27, 0.0021, 0)</f>
        <v>41.849199999999996</v>
      </c>
      <c r="D285" s="17">
        <f>41.8471 * CHOOSE(CONTROL!$C$9, $D$9, 100%, $F$9) + CHOOSE(CONTROL!$C$27, 0.0021, 0)</f>
        <v>41.849199999999996</v>
      </c>
      <c r="E285" s="17">
        <f>41.7105 * CHOOSE(CONTROL!$C$9, $D$9, 100%, $F$9) + CHOOSE(CONTROL!$C$27, 0.0021, 0)</f>
        <v>41.712600000000002</v>
      </c>
      <c r="F285" s="17">
        <f>41.7105 * CHOOSE(CONTROL!$C$9, $D$9, 100%, $F$9) + CHOOSE(CONTROL!$C$27, 0.0021, 0)</f>
        <v>41.712600000000002</v>
      </c>
      <c r="G285" s="17">
        <f>41.9819 * CHOOSE(CONTROL!$C$9, $D$9, 100%, $F$9) + CHOOSE(CONTROL!$C$27, 0.0021, 0)</f>
        <v>41.984000000000002</v>
      </c>
      <c r="H285" s="17">
        <f>41.8471 * CHOOSE(CONTROL!$C$9, $D$9, 100%, $F$9) + CHOOSE(CONTROL!$C$27, 0.0021, 0)</f>
        <v>41.849199999999996</v>
      </c>
      <c r="I285" s="17">
        <f>41.8471 * CHOOSE(CONTROL!$C$9, $D$9, 100%, $F$9) + CHOOSE(CONTROL!$C$27, 0.0021, 0)</f>
        <v>41.849199999999996</v>
      </c>
      <c r="J285" s="17">
        <f>41.8471 * CHOOSE(CONTROL!$C$9, $D$9, 100%, $F$9) + CHOOSE(CONTROL!$C$27, 0.0021, 0)</f>
        <v>41.849199999999996</v>
      </c>
      <c r="K285" s="17">
        <f>41.8471 * CHOOSE(CONTROL!$C$9, $D$9, 100%, $F$9) + CHOOSE(CONTROL!$C$27, 0.0021, 0)</f>
        <v>41.849199999999996</v>
      </c>
      <c r="L285" s="17"/>
    </row>
    <row r="286" spans="1:12" ht="15" x14ac:dyDescent="0.2">
      <c r="A286" s="15">
        <v>49614</v>
      </c>
      <c r="B286" s="17">
        <f>42.3718 * CHOOSE(CONTROL!$C$9, $D$9, 100%, $F$9) + CHOOSE(CONTROL!$C$27, 0.0021, 0)</f>
        <v>42.373899999999999</v>
      </c>
      <c r="C286" s="17">
        <f>41.9395 * CHOOSE(CONTROL!$C$9, $D$9, 100%, $F$9) + CHOOSE(CONTROL!$C$27, 0.0021, 0)</f>
        <v>41.941600000000001</v>
      </c>
      <c r="D286" s="17">
        <f>41.9395 * CHOOSE(CONTROL!$C$9, $D$9, 100%, $F$9) + CHOOSE(CONTROL!$C$27, 0.0021, 0)</f>
        <v>41.941600000000001</v>
      </c>
      <c r="E286" s="17">
        <f>41.8028 * CHOOSE(CONTROL!$C$9, $D$9, 100%, $F$9) + CHOOSE(CONTROL!$C$27, 0.0021, 0)</f>
        <v>41.804899999999996</v>
      </c>
      <c r="F286" s="17">
        <f>41.8028 * CHOOSE(CONTROL!$C$9, $D$9, 100%, $F$9) + CHOOSE(CONTROL!$C$27, 0.0021, 0)</f>
        <v>41.804899999999996</v>
      </c>
      <c r="G286" s="17">
        <f>42.0742 * CHOOSE(CONTROL!$C$9, $D$9, 100%, $F$9) + CHOOSE(CONTROL!$C$27, 0.0021, 0)</f>
        <v>42.076299999999996</v>
      </c>
      <c r="H286" s="17">
        <f>41.9395 * CHOOSE(CONTROL!$C$9, $D$9, 100%, $F$9) + CHOOSE(CONTROL!$C$27, 0.0021, 0)</f>
        <v>41.941600000000001</v>
      </c>
      <c r="I286" s="17">
        <f>41.9395 * CHOOSE(CONTROL!$C$9, $D$9, 100%, $F$9) + CHOOSE(CONTROL!$C$27, 0.0021, 0)</f>
        <v>41.941600000000001</v>
      </c>
      <c r="J286" s="17">
        <f>41.9395 * CHOOSE(CONTROL!$C$9, $D$9, 100%, $F$9) + CHOOSE(CONTROL!$C$27, 0.0021, 0)</f>
        <v>41.941600000000001</v>
      </c>
      <c r="K286" s="17">
        <f>41.9395 * CHOOSE(CONTROL!$C$9, $D$9, 100%, $F$9) + CHOOSE(CONTROL!$C$27, 0.0021, 0)</f>
        <v>41.941600000000001</v>
      </c>
      <c r="L286" s="17"/>
    </row>
    <row r="287" spans="1:12" ht="15" x14ac:dyDescent="0.2">
      <c r="A287" s="15">
        <v>49644</v>
      </c>
      <c r="B287" s="17">
        <f>41.5859 * CHOOSE(CONTROL!$C$9, $D$9, 100%, $F$9) + CHOOSE(CONTROL!$C$27, 0.0021, 0)</f>
        <v>41.588000000000001</v>
      </c>
      <c r="C287" s="17">
        <f>41.1536 * CHOOSE(CONTROL!$C$9, $D$9, 100%, $F$9) + CHOOSE(CONTROL!$C$27, 0.0021, 0)</f>
        <v>41.155699999999996</v>
      </c>
      <c r="D287" s="17">
        <f>41.1536 * CHOOSE(CONTROL!$C$9, $D$9, 100%, $F$9) + CHOOSE(CONTROL!$C$27, 0.0021, 0)</f>
        <v>41.155699999999996</v>
      </c>
      <c r="E287" s="17">
        <f>41.017 * CHOOSE(CONTROL!$C$9, $D$9, 100%, $F$9) + CHOOSE(CONTROL!$C$27, 0.0021, 0)</f>
        <v>41.019100000000002</v>
      </c>
      <c r="F287" s="17">
        <f>41.017 * CHOOSE(CONTROL!$C$9, $D$9, 100%, $F$9) + CHOOSE(CONTROL!$C$27, 0.0021, 0)</f>
        <v>41.019100000000002</v>
      </c>
      <c r="G287" s="17">
        <f>41.2884 * CHOOSE(CONTROL!$C$9, $D$9, 100%, $F$9) + CHOOSE(CONTROL!$C$27, 0.0021, 0)</f>
        <v>41.290500000000002</v>
      </c>
      <c r="H287" s="17">
        <f>41.1536 * CHOOSE(CONTROL!$C$9, $D$9, 100%, $F$9) + CHOOSE(CONTROL!$C$27, 0.0021, 0)</f>
        <v>41.155699999999996</v>
      </c>
      <c r="I287" s="17">
        <f>41.1536 * CHOOSE(CONTROL!$C$9, $D$9, 100%, $F$9) + CHOOSE(CONTROL!$C$27, 0.0021, 0)</f>
        <v>41.155699999999996</v>
      </c>
      <c r="J287" s="17">
        <f>41.1536 * CHOOSE(CONTROL!$C$9, $D$9, 100%, $F$9) + CHOOSE(CONTROL!$C$27, 0.0021, 0)</f>
        <v>41.155699999999996</v>
      </c>
      <c r="K287" s="17">
        <f>41.1536 * CHOOSE(CONTROL!$C$9, $D$9, 100%, $F$9) + CHOOSE(CONTROL!$C$27, 0.0021, 0)</f>
        <v>41.155699999999996</v>
      </c>
      <c r="L287" s="17"/>
    </row>
    <row r="288" spans="1:12" ht="15" x14ac:dyDescent="0.2">
      <c r="A288" s="15">
        <v>49675</v>
      </c>
      <c r="B288" s="17">
        <f>41.0892 * CHOOSE(CONTROL!$C$9, $D$9, 100%, $F$9) + CHOOSE(CONTROL!$C$27, 0.0021, 0)</f>
        <v>41.091299999999997</v>
      </c>
      <c r="C288" s="17">
        <f>40.6569 * CHOOSE(CONTROL!$C$9, $D$9, 100%, $F$9) + CHOOSE(CONTROL!$C$27, 0.0021, 0)</f>
        <v>40.658999999999999</v>
      </c>
      <c r="D288" s="17">
        <f>40.6569 * CHOOSE(CONTROL!$C$9, $D$9, 100%, $F$9) + CHOOSE(CONTROL!$C$27, 0.0021, 0)</f>
        <v>40.658999999999999</v>
      </c>
      <c r="E288" s="17">
        <f>40.5203 * CHOOSE(CONTROL!$C$9, $D$9, 100%, $F$9) + CHOOSE(CONTROL!$C$27, 0.0021, 0)</f>
        <v>40.522399999999998</v>
      </c>
      <c r="F288" s="17">
        <f>40.5203 * CHOOSE(CONTROL!$C$9, $D$9, 100%, $F$9) + CHOOSE(CONTROL!$C$27, 0.0021, 0)</f>
        <v>40.522399999999998</v>
      </c>
      <c r="G288" s="17">
        <f>40.7917 * CHOOSE(CONTROL!$C$9, $D$9, 100%, $F$9) + CHOOSE(CONTROL!$C$27, 0.0021, 0)</f>
        <v>40.793799999999997</v>
      </c>
      <c r="H288" s="17">
        <f>40.6569 * CHOOSE(CONTROL!$C$9, $D$9, 100%, $F$9) + CHOOSE(CONTROL!$C$27, 0.0021, 0)</f>
        <v>40.658999999999999</v>
      </c>
      <c r="I288" s="17">
        <f>40.6569 * CHOOSE(CONTROL!$C$9, $D$9, 100%, $F$9) + CHOOSE(CONTROL!$C$27, 0.0021, 0)</f>
        <v>40.658999999999999</v>
      </c>
      <c r="J288" s="17">
        <f>40.6569 * CHOOSE(CONTROL!$C$9, $D$9, 100%, $F$9) + CHOOSE(CONTROL!$C$27, 0.0021, 0)</f>
        <v>40.658999999999999</v>
      </c>
      <c r="K288" s="17">
        <f>40.6569 * CHOOSE(CONTROL!$C$9, $D$9, 100%, $F$9) + CHOOSE(CONTROL!$C$27, 0.0021, 0)</f>
        <v>40.658999999999999</v>
      </c>
      <c r="L288" s="17"/>
    </row>
    <row r="289" spans="1:12" ht="15" x14ac:dyDescent="0.2">
      <c r="A289" s="15">
        <v>49706</v>
      </c>
      <c r="B289" s="17">
        <f>39.9918 * CHOOSE(CONTROL!$C$9, $D$9, 100%, $F$9) + CHOOSE(CONTROL!$C$27, 0.0021, 0)</f>
        <v>39.993899999999996</v>
      </c>
      <c r="C289" s="17">
        <f>39.5596 * CHOOSE(CONTROL!$C$9, $D$9, 100%, $F$9) + CHOOSE(CONTROL!$C$27, 0.0021, 0)</f>
        <v>39.561700000000002</v>
      </c>
      <c r="D289" s="17">
        <f>39.5596 * CHOOSE(CONTROL!$C$9, $D$9, 100%, $F$9) + CHOOSE(CONTROL!$C$27, 0.0021, 0)</f>
        <v>39.561700000000002</v>
      </c>
      <c r="E289" s="17">
        <f>39.4229 * CHOOSE(CONTROL!$C$9, $D$9, 100%, $F$9) + CHOOSE(CONTROL!$C$27, 0.0021, 0)</f>
        <v>39.424999999999997</v>
      </c>
      <c r="F289" s="17">
        <f>39.4229 * CHOOSE(CONTROL!$C$9, $D$9, 100%, $F$9) + CHOOSE(CONTROL!$C$27, 0.0021, 0)</f>
        <v>39.424999999999997</v>
      </c>
      <c r="G289" s="17">
        <f>39.6943 * CHOOSE(CONTROL!$C$9, $D$9, 100%, $F$9) + CHOOSE(CONTROL!$C$27, 0.0021, 0)</f>
        <v>39.696399999999997</v>
      </c>
      <c r="H289" s="17">
        <f>39.5596 * CHOOSE(CONTROL!$C$9, $D$9, 100%, $F$9) + CHOOSE(CONTROL!$C$27, 0.0021, 0)</f>
        <v>39.561700000000002</v>
      </c>
      <c r="I289" s="17">
        <f>39.5596 * CHOOSE(CONTROL!$C$9, $D$9, 100%, $F$9) + CHOOSE(CONTROL!$C$27, 0.0021, 0)</f>
        <v>39.561700000000002</v>
      </c>
      <c r="J289" s="17">
        <f>39.5596 * CHOOSE(CONTROL!$C$9, $D$9, 100%, $F$9) + CHOOSE(CONTROL!$C$27, 0.0021, 0)</f>
        <v>39.561700000000002</v>
      </c>
      <c r="K289" s="17">
        <f>39.5596 * CHOOSE(CONTROL!$C$9, $D$9, 100%, $F$9) + CHOOSE(CONTROL!$C$27, 0.0021, 0)</f>
        <v>39.561700000000002</v>
      </c>
      <c r="L289" s="17"/>
    </row>
    <row r="290" spans="1:12" ht="15" x14ac:dyDescent="0.2">
      <c r="A290" s="15">
        <v>49735</v>
      </c>
      <c r="B290" s="17">
        <f>39.5388 * CHOOSE(CONTROL!$C$9, $D$9, 100%, $F$9) + CHOOSE(CONTROL!$C$27, 0.0021, 0)</f>
        <v>39.540900000000001</v>
      </c>
      <c r="C290" s="17">
        <f>39.1066 * CHOOSE(CONTROL!$C$9, $D$9, 100%, $F$9) + CHOOSE(CONTROL!$C$27, 0.0021, 0)</f>
        <v>39.108699999999999</v>
      </c>
      <c r="D290" s="17">
        <f>39.1066 * CHOOSE(CONTROL!$C$9, $D$9, 100%, $F$9) + CHOOSE(CONTROL!$C$27, 0.0021, 0)</f>
        <v>39.108699999999999</v>
      </c>
      <c r="E290" s="17">
        <f>38.9699 * CHOOSE(CONTROL!$C$9, $D$9, 100%, $F$9) + CHOOSE(CONTROL!$C$27, 0.0021, 0)</f>
        <v>38.972000000000001</v>
      </c>
      <c r="F290" s="17">
        <f>38.9699 * CHOOSE(CONTROL!$C$9, $D$9, 100%, $F$9) + CHOOSE(CONTROL!$C$27, 0.0021, 0)</f>
        <v>38.972000000000001</v>
      </c>
      <c r="G290" s="17">
        <f>39.2413 * CHOOSE(CONTROL!$C$9, $D$9, 100%, $F$9) + CHOOSE(CONTROL!$C$27, 0.0021, 0)</f>
        <v>39.243400000000001</v>
      </c>
      <c r="H290" s="17">
        <f>39.1066 * CHOOSE(CONTROL!$C$9, $D$9, 100%, $F$9) + CHOOSE(CONTROL!$C$27, 0.0021, 0)</f>
        <v>39.108699999999999</v>
      </c>
      <c r="I290" s="17">
        <f>39.1066 * CHOOSE(CONTROL!$C$9, $D$9, 100%, $F$9) + CHOOSE(CONTROL!$C$27, 0.0021, 0)</f>
        <v>39.108699999999999</v>
      </c>
      <c r="J290" s="17">
        <f>39.1066 * CHOOSE(CONTROL!$C$9, $D$9, 100%, $F$9) + CHOOSE(CONTROL!$C$27, 0.0021, 0)</f>
        <v>39.108699999999999</v>
      </c>
      <c r="K290" s="17">
        <f>39.1066 * CHOOSE(CONTROL!$C$9, $D$9, 100%, $F$9) + CHOOSE(CONTROL!$C$27, 0.0021, 0)</f>
        <v>39.108699999999999</v>
      </c>
      <c r="L290" s="17"/>
    </row>
    <row r="291" spans="1:12" ht="15" x14ac:dyDescent="0.2">
      <c r="A291" s="15">
        <v>49766</v>
      </c>
      <c r="B291" s="17">
        <f>38.9979 * CHOOSE(CONTROL!$C$9, $D$9, 100%, $F$9) + CHOOSE(CONTROL!$C$27, 0.0021, 0)</f>
        <v>39</v>
      </c>
      <c r="C291" s="17">
        <f>38.5657 * CHOOSE(CONTROL!$C$9, $D$9, 100%, $F$9) + CHOOSE(CONTROL!$C$27, 0.0021, 0)</f>
        <v>38.567799999999998</v>
      </c>
      <c r="D291" s="17">
        <f>38.5657 * CHOOSE(CONTROL!$C$9, $D$9, 100%, $F$9) + CHOOSE(CONTROL!$C$27, 0.0021, 0)</f>
        <v>38.567799999999998</v>
      </c>
      <c r="E291" s="17">
        <f>38.429 * CHOOSE(CONTROL!$C$9, $D$9, 100%, $F$9) + CHOOSE(CONTROL!$C$27, 0.0021, 0)</f>
        <v>38.431100000000001</v>
      </c>
      <c r="F291" s="17">
        <f>38.429 * CHOOSE(CONTROL!$C$9, $D$9, 100%, $F$9) + CHOOSE(CONTROL!$C$27, 0.0021, 0)</f>
        <v>38.431100000000001</v>
      </c>
      <c r="G291" s="17">
        <f>38.7004 * CHOOSE(CONTROL!$C$9, $D$9, 100%, $F$9) + CHOOSE(CONTROL!$C$27, 0.0021, 0)</f>
        <v>38.702500000000001</v>
      </c>
      <c r="H291" s="17">
        <f>38.5657 * CHOOSE(CONTROL!$C$9, $D$9, 100%, $F$9) + CHOOSE(CONTROL!$C$27, 0.0021, 0)</f>
        <v>38.567799999999998</v>
      </c>
      <c r="I291" s="17">
        <f>38.5657 * CHOOSE(CONTROL!$C$9, $D$9, 100%, $F$9) + CHOOSE(CONTROL!$C$27, 0.0021, 0)</f>
        <v>38.567799999999998</v>
      </c>
      <c r="J291" s="17">
        <f>38.5657 * CHOOSE(CONTROL!$C$9, $D$9, 100%, $F$9) + CHOOSE(CONTROL!$C$27, 0.0021, 0)</f>
        <v>38.567799999999998</v>
      </c>
      <c r="K291" s="17">
        <f>38.5657 * CHOOSE(CONTROL!$C$9, $D$9, 100%, $F$9) + CHOOSE(CONTROL!$C$27, 0.0021, 0)</f>
        <v>38.567799999999998</v>
      </c>
      <c r="L291" s="17"/>
    </row>
    <row r="292" spans="1:12" ht="15" x14ac:dyDescent="0.2">
      <c r="A292" s="15">
        <v>49796</v>
      </c>
      <c r="B292" s="17">
        <f>39.7687 * CHOOSE(CONTROL!$C$9, $D$9, 100%, $F$9) + CHOOSE(CONTROL!$C$27, 0.0021, 0)</f>
        <v>39.770800000000001</v>
      </c>
      <c r="C292" s="17">
        <f>39.3365 * CHOOSE(CONTROL!$C$9, $D$9, 100%, $F$9) + CHOOSE(CONTROL!$C$27, 0.0021, 0)</f>
        <v>39.3386</v>
      </c>
      <c r="D292" s="17">
        <f>39.3365 * CHOOSE(CONTROL!$C$9, $D$9, 100%, $F$9) + CHOOSE(CONTROL!$C$27, 0.0021, 0)</f>
        <v>39.3386</v>
      </c>
      <c r="E292" s="17">
        <f>39.1998 * CHOOSE(CONTROL!$C$9, $D$9, 100%, $F$9) + CHOOSE(CONTROL!$C$27, 0.0021, 0)</f>
        <v>39.201900000000002</v>
      </c>
      <c r="F292" s="17">
        <f>39.1998 * CHOOSE(CONTROL!$C$9, $D$9, 100%, $F$9) + CHOOSE(CONTROL!$C$27, 0.0021, 0)</f>
        <v>39.201900000000002</v>
      </c>
      <c r="G292" s="17">
        <f>39.4712 * CHOOSE(CONTROL!$C$9, $D$9, 100%, $F$9) + CHOOSE(CONTROL!$C$27, 0.0021, 0)</f>
        <v>39.473300000000002</v>
      </c>
      <c r="H292" s="17">
        <f>39.3365 * CHOOSE(CONTROL!$C$9, $D$9, 100%, $F$9) + CHOOSE(CONTROL!$C$27, 0.0021, 0)</f>
        <v>39.3386</v>
      </c>
      <c r="I292" s="17">
        <f>39.3365 * CHOOSE(CONTROL!$C$9, $D$9, 100%, $F$9) + CHOOSE(CONTROL!$C$27, 0.0021, 0)</f>
        <v>39.3386</v>
      </c>
      <c r="J292" s="17">
        <f>39.3365 * CHOOSE(CONTROL!$C$9, $D$9, 100%, $F$9) + CHOOSE(CONTROL!$C$27, 0.0021, 0)</f>
        <v>39.3386</v>
      </c>
      <c r="K292" s="17">
        <f>39.3365 * CHOOSE(CONTROL!$C$9, $D$9, 100%, $F$9) + CHOOSE(CONTROL!$C$27, 0.0021, 0)</f>
        <v>39.3386</v>
      </c>
      <c r="L292" s="17"/>
    </row>
    <row r="293" spans="1:12" ht="15" x14ac:dyDescent="0.2">
      <c r="A293" s="15">
        <v>49827</v>
      </c>
      <c r="B293" s="17">
        <f>40.2304 * CHOOSE(CONTROL!$C$9, $D$9, 100%, $F$9) + CHOOSE(CONTROL!$C$27, 0.0021, 0)</f>
        <v>40.232500000000002</v>
      </c>
      <c r="C293" s="17">
        <f>39.7982 * CHOOSE(CONTROL!$C$9, $D$9, 100%, $F$9) + CHOOSE(CONTROL!$C$27, 0.0021, 0)</f>
        <v>39.8003</v>
      </c>
      <c r="D293" s="17">
        <f>39.7982 * CHOOSE(CONTROL!$C$9, $D$9, 100%, $F$9) + CHOOSE(CONTROL!$C$27, 0.0021, 0)</f>
        <v>39.8003</v>
      </c>
      <c r="E293" s="17">
        <f>39.6615 * CHOOSE(CONTROL!$C$9, $D$9, 100%, $F$9) + CHOOSE(CONTROL!$C$27, 0.0021, 0)</f>
        <v>39.663599999999995</v>
      </c>
      <c r="F293" s="17">
        <f>39.6615 * CHOOSE(CONTROL!$C$9, $D$9, 100%, $F$9) + CHOOSE(CONTROL!$C$27, 0.0021, 0)</f>
        <v>39.663599999999995</v>
      </c>
      <c r="G293" s="17">
        <f>39.9329 * CHOOSE(CONTROL!$C$9, $D$9, 100%, $F$9) + CHOOSE(CONTROL!$C$27, 0.0021, 0)</f>
        <v>39.934999999999995</v>
      </c>
      <c r="H293" s="17">
        <f>39.7982 * CHOOSE(CONTROL!$C$9, $D$9, 100%, $F$9) + CHOOSE(CONTROL!$C$27, 0.0021, 0)</f>
        <v>39.8003</v>
      </c>
      <c r="I293" s="17">
        <f>39.7982 * CHOOSE(CONTROL!$C$9, $D$9, 100%, $F$9) + CHOOSE(CONTROL!$C$27, 0.0021, 0)</f>
        <v>39.8003</v>
      </c>
      <c r="J293" s="17">
        <f>39.7982 * CHOOSE(CONTROL!$C$9, $D$9, 100%, $F$9) + CHOOSE(CONTROL!$C$27, 0.0021, 0)</f>
        <v>39.8003</v>
      </c>
      <c r="K293" s="17">
        <f>39.7982 * CHOOSE(CONTROL!$C$9, $D$9, 100%, $F$9) + CHOOSE(CONTROL!$C$27, 0.0021, 0)</f>
        <v>39.8003</v>
      </c>
      <c r="L293" s="17"/>
    </row>
    <row r="294" spans="1:12" ht="15" x14ac:dyDescent="0.2">
      <c r="A294" s="15">
        <v>49857</v>
      </c>
      <c r="B294" s="17">
        <f>40.9921 * CHOOSE(CONTROL!$C$9, $D$9, 100%, $F$9) + CHOOSE(CONTROL!$C$27, 0.0021, 0)</f>
        <v>40.994199999999999</v>
      </c>
      <c r="C294" s="17">
        <f>40.5598 * CHOOSE(CONTROL!$C$9, $D$9, 100%, $F$9) + CHOOSE(CONTROL!$C$27, 0.0021, 0)</f>
        <v>40.561900000000001</v>
      </c>
      <c r="D294" s="17">
        <f>40.5598 * CHOOSE(CONTROL!$C$9, $D$9, 100%, $F$9) + CHOOSE(CONTROL!$C$27, 0.0021, 0)</f>
        <v>40.561900000000001</v>
      </c>
      <c r="E294" s="17">
        <f>40.4232 * CHOOSE(CONTROL!$C$9, $D$9, 100%, $F$9) + CHOOSE(CONTROL!$C$27, 0.0021, 0)</f>
        <v>40.4253</v>
      </c>
      <c r="F294" s="17">
        <f>40.4232 * CHOOSE(CONTROL!$C$9, $D$9, 100%, $F$9) + CHOOSE(CONTROL!$C$27, 0.0021, 0)</f>
        <v>40.4253</v>
      </c>
      <c r="G294" s="17">
        <f>40.6945 * CHOOSE(CONTROL!$C$9, $D$9, 100%, $F$9) + CHOOSE(CONTROL!$C$27, 0.0021, 0)</f>
        <v>40.696599999999997</v>
      </c>
      <c r="H294" s="17">
        <f>40.5598 * CHOOSE(CONTROL!$C$9, $D$9, 100%, $F$9) + CHOOSE(CONTROL!$C$27, 0.0021, 0)</f>
        <v>40.561900000000001</v>
      </c>
      <c r="I294" s="17">
        <f>40.5598 * CHOOSE(CONTROL!$C$9, $D$9, 100%, $F$9) + CHOOSE(CONTROL!$C$27, 0.0021, 0)</f>
        <v>40.561900000000001</v>
      </c>
      <c r="J294" s="17">
        <f>40.5598 * CHOOSE(CONTROL!$C$9, $D$9, 100%, $F$9) + CHOOSE(CONTROL!$C$27, 0.0021, 0)</f>
        <v>40.561900000000001</v>
      </c>
      <c r="K294" s="17">
        <f>40.5598 * CHOOSE(CONTROL!$C$9, $D$9, 100%, $F$9) + CHOOSE(CONTROL!$C$27, 0.0021, 0)</f>
        <v>40.561900000000001</v>
      </c>
      <c r="L294" s="17"/>
    </row>
    <row r="295" spans="1:12" ht="15" x14ac:dyDescent="0.2">
      <c r="A295" s="15">
        <v>49888</v>
      </c>
      <c r="B295" s="17">
        <f>41.2246 * CHOOSE(CONTROL!$C$9, $D$9, 100%, $F$9) + CHOOSE(CONTROL!$C$27, 0.0021, 0)</f>
        <v>41.226700000000001</v>
      </c>
      <c r="C295" s="17">
        <f>40.7923 * CHOOSE(CONTROL!$C$9, $D$9, 100%, $F$9) + CHOOSE(CONTROL!$C$27, 0.0021, 0)</f>
        <v>40.794399999999996</v>
      </c>
      <c r="D295" s="17">
        <f>40.7923 * CHOOSE(CONTROL!$C$9, $D$9, 100%, $F$9) + CHOOSE(CONTROL!$C$27, 0.0021, 0)</f>
        <v>40.794399999999996</v>
      </c>
      <c r="E295" s="17">
        <f>40.6556 * CHOOSE(CONTROL!$C$9, $D$9, 100%, $F$9) + CHOOSE(CONTROL!$C$27, 0.0021, 0)</f>
        <v>40.657699999999998</v>
      </c>
      <c r="F295" s="17">
        <f>40.6556 * CHOOSE(CONTROL!$C$9, $D$9, 100%, $F$9) + CHOOSE(CONTROL!$C$27, 0.0021, 0)</f>
        <v>40.657699999999998</v>
      </c>
      <c r="G295" s="17">
        <f>40.927 * CHOOSE(CONTROL!$C$9, $D$9, 100%, $F$9) + CHOOSE(CONTROL!$C$27, 0.0021, 0)</f>
        <v>40.929099999999998</v>
      </c>
      <c r="H295" s="17">
        <f>40.7923 * CHOOSE(CONTROL!$C$9, $D$9, 100%, $F$9) + CHOOSE(CONTROL!$C$27, 0.0021, 0)</f>
        <v>40.794399999999996</v>
      </c>
      <c r="I295" s="17">
        <f>40.7923 * CHOOSE(CONTROL!$C$9, $D$9, 100%, $F$9) + CHOOSE(CONTROL!$C$27, 0.0021, 0)</f>
        <v>40.794399999999996</v>
      </c>
      <c r="J295" s="17">
        <f>40.7923 * CHOOSE(CONTROL!$C$9, $D$9, 100%, $F$9) + CHOOSE(CONTROL!$C$27, 0.0021, 0)</f>
        <v>40.794399999999996</v>
      </c>
      <c r="K295" s="17">
        <f>40.7923 * CHOOSE(CONTROL!$C$9, $D$9, 100%, $F$9) + CHOOSE(CONTROL!$C$27, 0.0021, 0)</f>
        <v>40.794399999999996</v>
      </c>
      <c r="L295" s="17"/>
    </row>
    <row r="296" spans="1:12" ht="15" x14ac:dyDescent="0.2">
      <c r="A296" s="15">
        <v>49919</v>
      </c>
      <c r="B296" s="17">
        <f>42.0162 * CHOOSE(CONTROL!$C$9, $D$9, 100%, $F$9) + CHOOSE(CONTROL!$C$27, 0.0021, 0)</f>
        <v>42.018299999999996</v>
      </c>
      <c r="C296" s="17">
        <f>41.584 * CHOOSE(CONTROL!$C$9, $D$9, 100%, $F$9) + CHOOSE(CONTROL!$C$27, 0.0021, 0)</f>
        <v>41.586100000000002</v>
      </c>
      <c r="D296" s="17">
        <f>41.584 * CHOOSE(CONTROL!$C$9, $D$9, 100%, $F$9) + CHOOSE(CONTROL!$C$27, 0.0021, 0)</f>
        <v>41.586100000000002</v>
      </c>
      <c r="E296" s="17">
        <f>41.4473 * CHOOSE(CONTROL!$C$9, $D$9, 100%, $F$9) + CHOOSE(CONTROL!$C$27, 0.0021, 0)</f>
        <v>41.449399999999997</v>
      </c>
      <c r="F296" s="17">
        <f>41.4473 * CHOOSE(CONTROL!$C$9, $D$9, 100%, $F$9) + CHOOSE(CONTROL!$C$27, 0.0021, 0)</f>
        <v>41.449399999999997</v>
      </c>
      <c r="G296" s="17">
        <f>41.7187 * CHOOSE(CONTROL!$C$9, $D$9, 100%, $F$9) + CHOOSE(CONTROL!$C$27, 0.0021, 0)</f>
        <v>41.720799999999997</v>
      </c>
      <c r="H296" s="17">
        <f>41.584 * CHOOSE(CONTROL!$C$9, $D$9, 100%, $F$9) + CHOOSE(CONTROL!$C$27, 0.0021, 0)</f>
        <v>41.586100000000002</v>
      </c>
      <c r="I296" s="17">
        <f>41.584 * CHOOSE(CONTROL!$C$9, $D$9, 100%, $F$9) + CHOOSE(CONTROL!$C$27, 0.0021, 0)</f>
        <v>41.586100000000002</v>
      </c>
      <c r="J296" s="17">
        <f>41.584 * CHOOSE(CONTROL!$C$9, $D$9, 100%, $F$9) + CHOOSE(CONTROL!$C$27, 0.0021, 0)</f>
        <v>41.586100000000002</v>
      </c>
      <c r="K296" s="17">
        <f>41.584 * CHOOSE(CONTROL!$C$9, $D$9, 100%, $F$9) + CHOOSE(CONTROL!$C$27, 0.0021, 0)</f>
        <v>41.586100000000002</v>
      </c>
      <c r="L296" s="17"/>
    </row>
    <row r="297" spans="1:12" ht="15" x14ac:dyDescent="0.2">
      <c r="A297" s="15">
        <v>49949</v>
      </c>
      <c r="B297" s="17">
        <f>43.0184 * CHOOSE(CONTROL!$C$9, $D$9, 100%, $F$9) + CHOOSE(CONTROL!$C$27, 0.0021, 0)</f>
        <v>43.020499999999998</v>
      </c>
      <c r="C297" s="17">
        <f>42.5861 * CHOOSE(CONTROL!$C$9, $D$9, 100%, $F$9) + CHOOSE(CONTROL!$C$27, 0.0021, 0)</f>
        <v>42.588200000000001</v>
      </c>
      <c r="D297" s="17">
        <f>42.5861 * CHOOSE(CONTROL!$C$9, $D$9, 100%, $F$9) + CHOOSE(CONTROL!$C$27, 0.0021, 0)</f>
        <v>42.588200000000001</v>
      </c>
      <c r="E297" s="17">
        <f>42.4495 * CHOOSE(CONTROL!$C$9, $D$9, 100%, $F$9) + CHOOSE(CONTROL!$C$27, 0.0021, 0)</f>
        <v>42.451599999999999</v>
      </c>
      <c r="F297" s="17">
        <f>42.4495 * CHOOSE(CONTROL!$C$9, $D$9, 100%, $F$9) + CHOOSE(CONTROL!$C$27, 0.0021, 0)</f>
        <v>42.451599999999999</v>
      </c>
      <c r="G297" s="17">
        <f>42.7208 * CHOOSE(CONTROL!$C$9, $D$9, 100%, $F$9) + CHOOSE(CONTROL!$C$27, 0.0021, 0)</f>
        <v>42.722899999999996</v>
      </c>
      <c r="H297" s="17">
        <f>42.5861 * CHOOSE(CONTROL!$C$9, $D$9, 100%, $F$9) + CHOOSE(CONTROL!$C$27, 0.0021, 0)</f>
        <v>42.588200000000001</v>
      </c>
      <c r="I297" s="17">
        <f>42.5861 * CHOOSE(CONTROL!$C$9, $D$9, 100%, $F$9) + CHOOSE(CONTROL!$C$27, 0.0021, 0)</f>
        <v>42.588200000000001</v>
      </c>
      <c r="J297" s="17">
        <f>42.5861 * CHOOSE(CONTROL!$C$9, $D$9, 100%, $F$9) + CHOOSE(CONTROL!$C$27, 0.0021, 0)</f>
        <v>42.588200000000001</v>
      </c>
      <c r="K297" s="17">
        <f>42.5861 * CHOOSE(CONTROL!$C$9, $D$9, 100%, $F$9) + CHOOSE(CONTROL!$C$27, 0.0021, 0)</f>
        <v>42.588200000000001</v>
      </c>
      <c r="L297" s="17"/>
    </row>
    <row r="298" spans="1:12" ht="15" x14ac:dyDescent="0.2">
      <c r="A298" s="15">
        <v>49980</v>
      </c>
      <c r="B298" s="17">
        <f>43.1125 * CHOOSE(CONTROL!$C$9, $D$9, 100%, $F$9) + CHOOSE(CONTROL!$C$27, 0.0021, 0)</f>
        <v>43.114599999999996</v>
      </c>
      <c r="C298" s="17">
        <f>42.6802 * CHOOSE(CONTROL!$C$9, $D$9, 100%, $F$9) + CHOOSE(CONTROL!$C$27, 0.0021, 0)</f>
        <v>42.682299999999998</v>
      </c>
      <c r="D298" s="17">
        <f>42.6802 * CHOOSE(CONTROL!$C$9, $D$9, 100%, $F$9) + CHOOSE(CONTROL!$C$27, 0.0021, 0)</f>
        <v>42.682299999999998</v>
      </c>
      <c r="E298" s="17">
        <f>42.5435 * CHOOSE(CONTROL!$C$9, $D$9, 100%, $F$9) + CHOOSE(CONTROL!$C$27, 0.0021, 0)</f>
        <v>42.5456</v>
      </c>
      <c r="F298" s="17">
        <f>42.5435 * CHOOSE(CONTROL!$C$9, $D$9, 100%, $F$9) + CHOOSE(CONTROL!$C$27, 0.0021, 0)</f>
        <v>42.5456</v>
      </c>
      <c r="G298" s="17">
        <f>42.8149 * CHOOSE(CONTROL!$C$9, $D$9, 100%, $F$9) + CHOOSE(CONTROL!$C$27, 0.0021, 0)</f>
        <v>42.817</v>
      </c>
      <c r="H298" s="17">
        <f>42.6802 * CHOOSE(CONTROL!$C$9, $D$9, 100%, $F$9) + CHOOSE(CONTROL!$C$27, 0.0021, 0)</f>
        <v>42.682299999999998</v>
      </c>
      <c r="I298" s="17">
        <f>42.6802 * CHOOSE(CONTROL!$C$9, $D$9, 100%, $F$9) + CHOOSE(CONTROL!$C$27, 0.0021, 0)</f>
        <v>42.682299999999998</v>
      </c>
      <c r="J298" s="17">
        <f>42.6802 * CHOOSE(CONTROL!$C$9, $D$9, 100%, $F$9) + CHOOSE(CONTROL!$C$27, 0.0021, 0)</f>
        <v>42.682299999999998</v>
      </c>
      <c r="K298" s="17">
        <f>42.6802 * CHOOSE(CONTROL!$C$9, $D$9, 100%, $F$9) + CHOOSE(CONTROL!$C$27, 0.0021, 0)</f>
        <v>42.682299999999998</v>
      </c>
      <c r="L298" s="17"/>
    </row>
    <row r="299" spans="1:12" ht="15" x14ac:dyDescent="0.2">
      <c r="A299" s="15">
        <v>50010</v>
      </c>
      <c r="B299" s="17">
        <f>42.3121 * CHOOSE(CONTROL!$C$9, $D$9, 100%, $F$9) + CHOOSE(CONTROL!$C$27, 0.0021, 0)</f>
        <v>42.3142</v>
      </c>
      <c r="C299" s="17">
        <f>41.8798 * CHOOSE(CONTROL!$C$9, $D$9, 100%, $F$9) + CHOOSE(CONTROL!$C$27, 0.0021, 0)</f>
        <v>41.881900000000002</v>
      </c>
      <c r="D299" s="17">
        <f>41.8798 * CHOOSE(CONTROL!$C$9, $D$9, 100%, $F$9) + CHOOSE(CONTROL!$C$27, 0.0021, 0)</f>
        <v>41.881900000000002</v>
      </c>
      <c r="E299" s="17">
        <f>41.7432 * CHOOSE(CONTROL!$C$9, $D$9, 100%, $F$9) + CHOOSE(CONTROL!$C$27, 0.0021, 0)</f>
        <v>41.7453</v>
      </c>
      <c r="F299" s="17">
        <f>41.7432 * CHOOSE(CONTROL!$C$9, $D$9, 100%, $F$9) + CHOOSE(CONTROL!$C$27, 0.0021, 0)</f>
        <v>41.7453</v>
      </c>
      <c r="G299" s="17">
        <f>42.0145 * CHOOSE(CONTROL!$C$9, $D$9, 100%, $F$9) + CHOOSE(CONTROL!$C$27, 0.0021, 0)</f>
        <v>42.016599999999997</v>
      </c>
      <c r="H299" s="17">
        <f>41.8798 * CHOOSE(CONTROL!$C$9, $D$9, 100%, $F$9) + CHOOSE(CONTROL!$C$27, 0.0021, 0)</f>
        <v>41.881900000000002</v>
      </c>
      <c r="I299" s="17">
        <f>41.8798 * CHOOSE(CONTROL!$C$9, $D$9, 100%, $F$9) + CHOOSE(CONTROL!$C$27, 0.0021, 0)</f>
        <v>41.881900000000002</v>
      </c>
      <c r="J299" s="17">
        <f>41.8798 * CHOOSE(CONTROL!$C$9, $D$9, 100%, $F$9) + CHOOSE(CONTROL!$C$27, 0.0021, 0)</f>
        <v>41.881900000000002</v>
      </c>
      <c r="K299" s="17">
        <f>41.8798 * CHOOSE(CONTROL!$C$9, $D$9, 100%, $F$9) + CHOOSE(CONTROL!$C$27, 0.0021, 0)</f>
        <v>41.881900000000002</v>
      </c>
      <c r="L299" s="17"/>
    </row>
    <row r="300" spans="1:12" ht="15" x14ac:dyDescent="0.2">
      <c r="A300" s="15">
        <v>50041</v>
      </c>
      <c r="B300" s="17">
        <f>41.8062 * CHOOSE(CONTROL!$C$9, $D$9, 100%, $F$9) + CHOOSE(CONTROL!$C$27, 0.0021, 0)</f>
        <v>41.808299999999996</v>
      </c>
      <c r="C300" s="17">
        <f>41.3739 * CHOOSE(CONTROL!$C$9, $D$9, 100%, $F$9) + CHOOSE(CONTROL!$C$27, 0.0021, 0)</f>
        <v>41.375999999999998</v>
      </c>
      <c r="D300" s="17">
        <f>41.3739 * CHOOSE(CONTROL!$C$9, $D$9, 100%, $F$9) + CHOOSE(CONTROL!$C$27, 0.0021, 0)</f>
        <v>41.375999999999998</v>
      </c>
      <c r="E300" s="17">
        <f>41.2373 * CHOOSE(CONTROL!$C$9, $D$9, 100%, $F$9) + CHOOSE(CONTROL!$C$27, 0.0021, 0)</f>
        <v>41.239399999999996</v>
      </c>
      <c r="F300" s="17">
        <f>41.2373 * CHOOSE(CONTROL!$C$9, $D$9, 100%, $F$9) + CHOOSE(CONTROL!$C$27, 0.0021, 0)</f>
        <v>41.239399999999996</v>
      </c>
      <c r="G300" s="17">
        <f>41.5087 * CHOOSE(CONTROL!$C$9, $D$9, 100%, $F$9) + CHOOSE(CONTROL!$C$27, 0.0021, 0)</f>
        <v>41.510799999999996</v>
      </c>
      <c r="H300" s="17">
        <f>41.3739 * CHOOSE(CONTROL!$C$9, $D$9, 100%, $F$9) + CHOOSE(CONTROL!$C$27, 0.0021, 0)</f>
        <v>41.375999999999998</v>
      </c>
      <c r="I300" s="17">
        <f>41.3739 * CHOOSE(CONTROL!$C$9, $D$9, 100%, $F$9) + CHOOSE(CONTROL!$C$27, 0.0021, 0)</f>
        <v>41.375999999999998</v>
      </c>
      <c r="J300" s="17">
        <f>41.3739 * CHOOSE(CONTROL!$C$9, $D$9, 100%, $F$9) + CHOOSE(CONTROL!$C$27, 0.0021, 0)</f>
        <v>41.375999999999998</v>
      </c>
      <c r="K300" s="17">
        <f>41.3739 * CHOOSE(CONTROL!$C$9, $D$9, 100%, $F$9) + CHOOSE(CONTROL!$C$27, 0.0021, 0)</f>
        <v>41.375999999999998</v>
      </c>
      <c r="L300" s="17"/>
    </row>
    <row r="301" spans="1:12" ht="15" x14ac:dyDescent="0.2">
      <c r="A301" s="15">
        <v>50072</v>
      </c>
      <c r="B301" s="17">
        <f>40.6885 * CHOOSE(CONTROL!$C$9, $D$9, 100%, $F$9) + CHOOSE(CONTROL!$C$27, 0.0021, 0)</f>
        <v>40.690599999999996</v>
      </c>
      <c r="C301" s="17">
        <f>40.2563 * CHOOSE(CONTROL!$C$9, $D$9, 100%, $F$9) + CHOOSE(CONTROL!$C$27, 0.0021, 0)</f>
        <v>40.258400000000002</v>
      </c>
      <c r="D301" s="17">
        <f>40.2563 * CHOOSE(CONTROL!$C$9, $D$9, 100%, $F$9) + CHOOSE(CONTROL!$C$27, 0.0021, 0)</f>
        <v>40.258400000000002</v>
      </c>
      <c r="E301" s="17">
        <f>40.1196 * CHOOSE(CONTROL!$C$9, $D$9, 100%, $F$9) + CHOOSE(CONTROL!$C$27, 0.0021, 0)</f>
        <v>40.121699999999997</v>
      </c>
      <c r="F301" s="17">
        <f>40.1196 * CHOOSE(CONTROL!$C$9, $D$9, 100%, $F$9) + CHOOSE(CONTROL!$C$27, 0.0021, 0)</f>
        <v>40.121699999999997</v>
      </c>
      <c r="G301" s="17">
        <f>40.391 * CHOOSE(CONTROL!$C$9, $D$9, 100%, $F$9) + CHOOSE(CONTROL!$C$27, 0.0021, 0)</f>
        <v>40.393099999999997</v>
      </c>
      <c r="H301" s="17">
        <f>40.2563 * CHOOSE(CONTROL!$C$9, $D$9, 100%, $F$9) + CHOOSE(CONTROL!$C$27, 0.0021, 0)</f>
        <v>40.258400000000002</v>
      </c>
      <c r="I301" s="17">
        <f>40.2563 * CHOOSE(CONTROL!$C$9, $D$9, 100%, $F$9) + CHOOSE(CONTROL!$C$27, 0.0021, 0)</f>
        <v>40.258400000000002</v>
      </c>
      <c r="J301" s="17">
        <f>40.2563 * CHOOSE(CONTROL!$C$9, $D$9, 100%, $F$9) + CHOOSE(CONTROL!$C$27, 0.0021, 0)</f>
        <v>40.258400000000002</v>
      </c>
      <c r="K301" s="17">
        <f>40.2563 * CHOOSE(CONTROL!$C$9, $D$9, 100%, $F$9) + CHOOSE(CONTROL!$C$27, 0.0021, 0)</f>
        <v>40.258400000000002</v>
      </c>
      <c r="L301" s="17"/>
    </row>
    <row r="302" spans="1:12" ht="15" x14ac:dyDescent="0.2">
      <c r="A302" s="15">
        <v>50100</v>
      </c>
      <c r="B302" s="17">
        <f>40.2271 * CHOOSE(CONTROL!$C$9, $D$9, 100%, $F$9) + CHOOSE(CONTROL!$C$27, 0.0021, 0)</f>
        <v>40.229199999999999</v>
      </c>
      <c r="C302" s="17">
        <f>39.7949 * CHOOSE(CONTROL!$C$9, $D$9, 100%, $F$9) + CHOOSE(CONTROL!$C$27, 0.0021, 0)</f>
        <v>39.796999999999997</v>
      </c>
      <c r="D302" s="17">
        <f>39.7949 * CHOOSE(CONTROL!$C$9, $D$9, 100%, $F$9) + CHOOSE(CONTROL!$C$27, 0.0021, 0)</f>
        <v>39.796999999999997</v>
      </c>
      <c r="E302" s="17">
        <f>39.6582 * CHOOSE(CONTROL!$C$9, $D$9, 100%, $F$9) + CHOOSE(CONTROL!$C$27, 0.0021, 0)</f>
        <v>39.660299999999999</v>
      </c>
      <c r="F302" s="17">
        <f>39.6582 * CHOOSE(CONTROL!$C$9, $D$9, 100%, $F$9) + CHOOSE(CONTROL!$C$27, 0.0021, 0)</f>
        <v>39.660299999999999</v>
      </c>
      <c r="G302" s="17">
        <f>39.9296 * CHOOSE(CONTROL!$C$9, $D$9, 100%, $F$9) + CHOOSE(CONTROL!$C$27, 0.0021, 0)</f>
        <v>39.931699999999999</v>
      </c>
      <c r="H302" s="17">
        <f>39.7949 * CHOOSE(CONTROL!$C$9, $D$9, 100%, $F$9) + CHOOSE(CONTROL!$C$27, 0.0021, 0)</f>
        <v>39.796999999999997</v>
      </c>
      <c r="I302" s="17">
        <f>39.7949 * CHOOSE(CONTROL!$C$9, $D$9, 100%, $F$9) + CHOOSE(CONTROL!$C$27, 0.0021, 0)</f>
        <v>39.796999999999997</v>
      </c>
      <c r="J302" s="17">
        <f>39.7949 * CHOOSE(CONTROL!$C$9, $D$9, 100%, $F$9) + CHOOSE(CONTROL!$C$27, 0.0021, 0)</f>
        <v>39.796999999999997</v>
      </c>
      <c r="K302" s="17">
        <f>39.7949 * CHOOSE(CONTROL!$C$9, $D$9, 100%, $F$9) + CHOOSE(CONTROL!$C$27, 0.0021, 0)</f>
        <v>39.796999999999997</v>
      </c>
      <c r="L302" s="17"/>
    </row>
    <row r="303" spans="1:12" ht="15" x14ac:dyDescent="0.2">
      <c r="A303" s="15">
        <v>50131</v>
      </c>
      <c r="B303" s="17">
        <f>39.6763 * CHOOSE(CONTROL!$C$9, $D$9, 100%, $F$9) + CHOOSE(CONTROL!$C$27, 0.0021, 0)</f>
        <v>39.678399999999996</v>
      </c>
      <c r="C303" s="17">
        <f>39.244 * CHOOSE(CONTROL!$C$9, $D$9, 100%, $F$9) + CHOOSE(CONTROL!$C$27, 0.0021, 0)</f>
        <v>39.246099999999998</v>
      </c>
      <c r="D303" s="17">
        <f>39.244 * CHOOSE(CONTROL!$C$9, $D$9, 100%, $F$9) + CHOOSE(CONTROL!$C$27, 0.0021, 0)</f>
        <v>39.246099999999998</v>
      </c>
      <c r="E303" s="17">
        <f>39.1074 * CHOOSE(CONTROL!$C$9, $D$9, 100%, $F$9) + CHOOSE(CONTROL!$C$27, 0.0021, 0)</f>
        <v>39.109499999999997</v>
      </c>
      <c r="F303" s="17">
        <f>39.1074 * CHOOSE(CONTROL!$C$9, $D$9, 100%, $F$9) + CHOOSE(CONTROL!$C$27, 0.0021, 0)</f>
        <v>39.109499999999997</v>
      </c>
      <c r="G303" s="17">
        <f>39.3787 * CHOOSE(CONTROL!$C$9, $D$9, 100%, $F$9) + CHOOSE(CONTROL!$C$27, 0.0021, 0)</f>
        <v>39.380800000000001</v>
      </c>
      <c r="H303" s="17">
        <f>39.244 * CHOOSE(CONTROL!$C$9, $D$9, 100%, $F$9) + CHOOSE(CONTROL!$C$27, 0.0021, 0)</f>
        <v>39.246099999999998</v>
      </c>
      <c r="I303" s="17">
        <f>39.244 * CHOOSE(CONTROL!$C$9, $D$9, 100%, $F$9) + CHOOSE(CONTROL!$C$27, 0.0021, 0)</f>
        <v>39.246099999999998</v>
      </c>
      <c r="J303" s="17">
        <f>39.244 * CHOOSE(CONTROL!$C$9, $D$9, 100%, $F$9) + CHOOSE(CONTROL!$C$27, 0.0021, 0)</f>
        <v>39.246099999999998</v>
      </c>
      <c r="K303" s="17">
        <f>39.244 * CHOOSE(CONTROL!$C$9, $D$9, 100%, $F$9) + CHOOSE(CONTROL!$C$27, 0.0021, 0)</f>
        <v>39.246099999999998</v>
      </c>
      <c r="L303" s="17"/>
    </row>
    <row r="304" spans="1:12" ht="15" x14ac:dyDescent="0.2">
      <c r="A304" s="15">
        <v>50161</v>
      </c>
      <c r="B304" s="17">
        <f>40.4613 * CHOOSE(CONTROL!$C$9, $D$9, 100%, $F$9) + CHOOSE(CONTROL!$C$27, 0.0021, 0)</f>
        <v>40.4634</v>
      </c>
      <c r="C304" s="17">
        <f>40.0291 * CHOOSE(CONTROL!$C$9, $D$9, 100%, $F$9) + CHOOSE(CONTROL!$C$27, 0.0021, 0)</f>
        <v>40.031199999999998</v>
      </c>
      <c r="D304" s="17">
        <f>40.0291 * CHOOSE(CONTROL!$C$9, $D$9, 100%, $F$9) + CHOOSE(CONTROL!$C$27, 0.0021, 0)</f>
        <v>40.031199999999998</v>
      </c>
      <c r="E304" s="17">
        <f>39.8924 * CHOOSE(CONTROL!$C$9, $D$9, 100%, $F$9) + CHOOSE(CONTROL!$C$27, 0.0021, 0)</f>
        <v>39.894500000000001</v>
      </c>
      <c r="F304" s="17">
        <f>39.8924 * CHOOSE(CONTROL!$C$9, $D$9, 100%, $F$9) + CHOOSE(CONTROL!$C$27, 0.0021, 0)</f>
        <v>39.894500000000001</v>
      </c>
      <c r="G304" s="17">
        <f>40.1638 * CHOOSE(CONTROL!$C$9, $D$9, 100%, $F$9) + CHOOSE(CONTROL!$C$27, 0.0021, 0)</f>
        <v>40.165900000000001</v>
      </c>
      <c r="H304" s="17">
        <f>40.0291 * CHOOSE(CONTROL!$C$9, $D$9, 100%, $F$9) + CHOOSE(CONTROL!$C$27, 0.0021, 0)</f>
        <v>40.031199999999998</v>
      </c>
      <c r="I304" s="17">
        <f>40.0291 * CHOOSE(CONTROL!$C$9, $D$9, 100%, $F$9) + CHOOSE(CONTROL!$C$27, 0.0021, 0)</f>
        <v>40.031199999999998</v>
      </c>
      <c r="J304" s="17">
        <f>40.0291 * CHOOSE(CONTROL!$C$9, $D$9, 100%, $F$9) + CHOOSE(CONTROL!$C$27, 0.0021, 0)</f>
        <v>40.031199999999998</v>
      </c>
      <c r="K304" s="17">
        <f>40.0291 * CHOOSE(CONTROL!$C$9, $D$9, 100%, $F$9) + CHOOSE(CONTROL!$C$27, 0.0021, 0)</f>
        <v>40.031199999999998</v>
      </c>
      <c r="L304" s="17"/>
    </row>
    <row r="305" spans="1:12" ht="15" x14ac:dyDescent="0.2">
      <c r="A305" s="15">
        <v>50192</v>
      </c>
      <c r="B305" s="17">
        <f>40.9316 * CHOOSE(CONTROL!$C$9, $D$9, 100%, $F$9) + CHOOSE(CONTROL!$C$27, 0.0021, 0)</f>
        <v>40.933700000000002</v>
      </c>
      <c r="C305" s="17">
        <f>40.4993 * CHOOSE(CONTROL!$C$9, $D$9, 100%, $F$9) + CHOOSE(CONTROL!$C$27, 0.0021, 0)</f>
        <v>40.501399999999997</v>
      </c>
      <c r="D305" s="17">
        <f>40.4993 * CHOOSE(CONTROL!$C$9, $D$9, 100%, $F$9) + CHOOSE(CONTROL!$C$27, 0.0021, 0)</f>
        <v>40.501399999999997</v>
      </c>
      <c r="E305" s="17">
        <f>40.3627 * CHOOSE(CONTROL!$C$9, $D$9, 100%, $F$9) + CHOOSE(CONTROL!$C$27, 0.0021, 0)</f>
        <v>40.364799999999995</v>
      </c>
      <c r="F305" s="17">
        <f>40.3627 * CHOOSE(CONTROL!$C$9, $D$9, 100%, $F$9) + CHOOSE(CONTROL!$C$27, 0.0021, 0)</f>
        <v>40.364799999999995</v>
      </c>
      <c r="G305" s="17">
        <f>40.634 * CHOOSE(CONTROL!$C$9, $D$9, 100%, $F$9) + CHOOSE(CONTROL!$C$27, 0.0021, 0)</f>
        <v>40.636099999999999</v>
      </c>
      <c r="H305" s="17">
        <f>40.4993 * CHOOSE(CONTROL!$C$9, $D$9, 100%, $F$9) + CHOOSE(CONTROL!$C$27, 0.0021, 0)</f>
        <v>40.501399999999997</v>
      </c>
      <c r="I305" s="17">
        <f>40.4993 * CHOOSE(CONTROL!$C$9, $D$9, 100%, $F$9) + CHOOSE(CONTROL!$C$27, 0.0021, 0)</f>
        <v>40.501399999999997</v>
      </c>
      <c r="J305" s="17">
        <f>40.4993 * CHOOSE(CONTROL!$C$9, $D$9, 100%, $F$9) + CHOOSE(CONTROL!$C$27, 0.0021, 0)</f>
        <v>40.501399999999997</v>
      </c>
      <c r="K305" s="17">
        <f>40.4993 * CHOOSE(CONTROL!$C$9, $D$9, 100%, $F$9) + CHOOSE(CONTROL!$C$27, 0.0021, 0)</f>
        <v>40.501399999999997</v>
      </c>
      <c r="L305" s="17"/>
    </row>
    <row r="306" spans="1:12" ht="15" x14ac:dyDescent="0.2">
      <c r="A306" s="15">
        <v>50222</v>
      </c>
      <c r="B306" s="17">
        <f>41.7073 * CHOOSE(CONTROL!$C$9, $D$9, 100%, $F$9) + CHOOSE(CONTROL!$C$27, 0.0021, 0)</f>
        <v>41.709399999999995</v>
      </c>
      <c r="C306" s="17">
        <f>41.275 * CHOOSE(CONTROL!$C$9, $D$9, 100%, $F$9) + CHOOSE(CONTROL!$C$27, 0.0021, 0)</f>
        <v>41.277099999999997</v>
      </c>
      <c r="D306" s="17">
        <f>41.275 * CHOOSE(CONTROL!$C$9, $D$9, 100%, $F$9) + CHOOSE(CONTROL!$C$27, 0.0021, 0)</f>
        <v>41.277099999999997</v>
      </c>
      <c r="E306" s="17">
        <f>41.1384 * CHOOSE(CONTROL!$C$9, $D$9, 100%, $F$9) + CHOOSE(CONTROL!$C$27, 0.0021, 0)</f>
        <v>41.140499999999996</v>
      </c>
      <c r="F306" s="17">
        <f>41.1384 * CHOOSE(CONTROL!$C$9, $D$9, 100%, $F$9) + CHOOSE(CONTROL!$C$27, 0.0021, 0)</f>
        <v>41.140499999999996</v>
      </c>
      <c r="G306" s="17">
        <f>41.4097 * CHOOSE(CONTROL!$C$9, $D$9, 100%, $F$9) + CHOOSE(CONTROL!$C$27, 0.0021, 0)</f>
        <v>41.411799999999999</v>
      </c>
      <c r="H306" s="17">
        <f>41.275 * CHOOSE(CONTROL!$C$9, $D$9, 100%, $F$9) + CHOOSE(CONTROL!$C$27, 0.0021, 0)</f>
        <v>41.277099999999997</v>
      </c>
      <c r="I306" s="17">
        <f>41.275 * CHOOSE(CONTROL!$C$9, $D$9, 100%, $F$9) + CHOOSE(CONTROL!$C$27, 0.0021, 0)</f>
        <v>41.277099999999997</v>
      </c>
      <c r="J306" s="17">
        <f>41.275 * CHOOSE(CONTROL!$C$9, $D$9, 100%, $F$9) + CHOOSE(CONTROL!$C$27, 0.0021, 0)</f>
        <v>41.277099999999997</v>
      </c>
      <c r="K306" s="17">
        <f>41.275 * CHOOSE(CONTROL!$C$9, $D$9, 100%, $F$9) + CHOOSE(CONTROL!$C$27, 0.0021, 0)</f>
        <v>41.277099999999997</v>
      </c>
      <c r="L306" s="17"/>
    </row>
    <row r="307" spans="1:12" ht="15" x14ac:dyDescent="0.2">
      <c r="A307" s="15">
        <v>50253</v>
      </c>
      <c r="B307" s="17">
        <f>41.944 * CHOOSE(CONTROL!$C$9, $D$9, 100%, $F$9) + CHOOSE(CONTROL!$C$27, 0.0021, 0)</f>
        <v>41.946100000000001</v>
      </c>
      <c r="C307" s="17">
        <f>41.5118 * CHOOSE(CONTROL!$C$9, $D$9, 100%, $F$9) + CHOOSE(CONTROL!$C$27, 0.0021, 0)</f>
        <v>41.5139</v>
      </c>
      <c r="D307" s="17">
        <f>41.5118 * CHOOSE(CONTROL!$C$9, $D$9, 100%, $F$9) + CHOOSE(CONTROL!$C$27, 0.0021, 0)</f>
        <v>41.5139</v>
      </c>
      <c r="E307" s="17">
        <f>41.3751 * CHOOSE(CONTROL!$C$9, $D$9, 100%, $F$9) + CHOOSE(CONTROL!$C$27, 0.0021, 0)</f>
        <v>41.377200000000002</v>
      </c>
      <c r="F307" s="17">
        <f>41.3751 * CHOOSE(CONTROL!$C$9, $D$9, 100%, $F$9) + CHOOSE(CONTROL!$C$27, 0.0021, 0)</f>
        <v>41.377200000000002</v>
      </c>
      <c r="G307" s="17">
        <f>41.6465 * CHOOSE(CONTROL!$C$9, $D$9, 100%, $F$9) + CHOOSE(CONTROL!$C$27, 0.0021, 0)</f>
        <v>41.648600000000002</v>
      </c>
      <c r="H307" s="17">
        <f>41.5118 * CHOOSE(CONTROL!$C$9, $D$9, 100%, $F$9) + CHOOSE(CONTROL!$C$27, 0.0021, 0)</f>
        <v>41.5139</v>
      </c>
      <c r="I307" s="17">
        <f>41.5118 * CHOOSE(CONTROL!$C$9, $D$9, 100%, $F$9) + CHOOSE(CONTROL!$C$27, 0.0021, 0)</f>
        <v>41.5139</v>
      </c>
      <c r="J307" s="17">
        <f>41.5118 * CHOOSE(CONTROL!$C$9, $D$9, 100%, $F$9) + CHOOSE(CONTROL!$C$27, 0.0021, 0)</f>
        <v>41.5139</v>
      </c>
      <c r="K307" s="17">
        <f>41.5118 * CHOOSE(CONTROL!$C$9, $D$9, 100%, $F$9) + CHOOSE(CONTROL!$C$27, 0.0021, 0)</f>
        <v>41.5139</v>
      </c>
      <c r="L307" s="17"/>
    </row>
    <row r="308" spans="1:12" ht="15" x14ac:dyDescent="0.2">
      <c r="A308" s="15">
        <v>50284</v>
      </c>
      <c r="B308" s="17">
        <f>42.7504 * CHOOSE(CONTROL!$C$9, $D$9, 100%, $F$9) + CHOOSE(CONTROL!$C$27, 0.0021, 0)</f>
        <v>42.752499999999998</v>
      </c>
      <c r="C308" s="17">
        <f>42.3181 * CHOOSE(CONTROL!$C$9, $D$9, 100%, $F$9) + CHOOSE(CONTROL!$C$27, 0.0021, 0)</f>
        <v>42.3202</v>
      </c>
      <c r="D308" s="17">
        <f>42.3181 * CHOOSE(CONTROL!$C$9, $D$9, 100%, $F$9) + CHOOSE(CONTROL!$C$27, 0.0021, 0)</f>
        <v>42.3202</v>
      </c>
      <c r="E308" s="17">
        <f>42.1815 * CHOOSE(CONTROL!$C$9, $D$9, 100%, $F$9) + CHOOSE(CONTROL!$C$27, 0.0021, 0)</f>
        <v>42.183599999999998</v>
      </c>
      <c r="F308" s="17">
        <f>42.1815 * CHOOSE(CONTROL!$C$9, $D$9, 100%, $F$9) + CHOOSE(CONTROL!$C$27, 0.0021, 0)</f>
        <v>42.183599999999998</v>
      </c>
      <c r="G308" s="17">
        <f>42.4528 * CHOOSE(CONTROL!$C$9, $D$9, 100%, $F$9) + CHOOSE(CONTROL!$C$27, 0.0021, 0)</f>
        <v>42.454900000000002</v>
      </c>
      <c r="H308" s="17">
        <f>42.3181 * CHOOSE(CONTROL!$C$9, $D$9, 100%, $F$9) + CHOOSE(CONTROL!$C$27, 0.0021, 0)</f>
        <v>42.3202</v>
      </c>
      <c r="I308" s="17">
        <f>42.3181 * CHOOSE(CONTROL!$C$9, $D$9, 100%, $F$9) + CHOOSE(CONTROL!$C$27, 0.0021, 0)</f>
        <v>42.3202</v>
      </c>
      <c r="J308" s="17">
        <f>42.3181 * CHOOSE(CONTROL!$C$9, $D$9, 100%, $F$9) + CHOOSE(CONTROL!$C$27, 0.0021, 0)</f>
        <v>42.3202</v>
      </c>
      <c r="K308" s="17">
        <f>42.3181 * CHOOSE(CONTROL!$C$9, $D$9, 100%, $F$9) + CHOOSE(CONTROL!$C$27, 0.0021, 0)</f>
        <v>42.3202</v>
      </c>
      <c r="L308" s="17"/>
    </row>
    <row r="309" spans="1:12" ht="15" x14ac:dyDescent="0.2">
      <c r="A309" s="15">
        <v>50314</v>
      </c>
      <c r="B309" s="17">
        <f>43.771 * CHOOSE(CONTROL!$C$9, $D$9, 100%, $F$9) + CHOOSE(CONTROL!$C$27, 0.0021, 0)</f>
        <v>43.773099999999999</v>
      </c>
      <c r="C309" s="17">
        <f>43.3388 * CHOOSE(CONTROL!$C$9, $D$9, 100%, $F$9) + CHOOSE(CONTROL!$C$27, 0.0021, 0)</f>
        <v>43.340899999999998</v>
      </c>
      <c r="D309" s="17">
        <f>43.3388 * CHOOSE(CONTROL!$C$9, $D$9, 100%, $F$9) + CHOOSE(CONTROL!$C$27, 0.0021, 0)</f>
        <v>43.340899999999998</v>
      </c>
      <c r="E309" s="17">
        <f>43.2021 * CHOOSE(CONTROL!$C$9, $D$9, 100%, $F$9) + CHOOSE(CONTROL!$C$27, 0.0021, 0)</f>
        <v>43.2042</v>
      </c>
      <c r="F309" s="17">
        <f>43.2021 * CHOOSE(CONTROL!$C$9, $D$9, 100%, $F$9) + CHOOSE(CONTROL!$C$27, 0.0021, 0)</f>
        <v>43.2042</v>
      </c>
      <c r="G309" s="17">
        <f>43.4735 * CHOOSE(CONTROL!$C$9, $D$9, 100%, $F$9) + CHOOSE(CONTROL!$C$27, 0.0021, 0)</f>
        <v>43.4756</v>
      </c>
      <c r="H309" s="17">
        <f>43.3388 * CHOOSE(CONTROL!$C$9, $D$9, 100%, $F$9) + CHOOSE(CONTROL!$C$27, 0.0021, 0)</f>
        <v>43.340899999999998</v>
      </c>
      <c r="I309" s="17">
        <f>43.3388 * CHOOSE(CONTROL!$C$9, $D$9, 100%, $F$9) + CHOOSE(CONTROL!$C$27, 0.0021, 0)</f>
        <v>43.340899999999998</v>
      </c>
      <c r="J309" s="17">
        <f>43.3388 * CHOOSE(CONTROL!$C$9, $D$9, 100%, $F$9) + CHOOSE(CONTROL!$C$27, 0.0021, 0)</f>
        <v>43.340899999999998</v>
      </c>
      <c r="K309" s="17">
        <f>43.3388 * CHOOSE(CONTROL!$C$9, $D$9, 100%, $F$9) + CHOOSE(CONTROL!$C$27, 0.0021, 0)</f>
        <v>43.340899999999998</v>
      </c>
      <c r="L309" s="17"/>
    </row>
    <row r="310" spans="1:12" ht="15" x14ac:dyDescent="0.2">
      <c r="A310" s="15">
        <v>50345</v>
      </c>
      <c r="B310" s="17">
        <f>43.8668 * CHOOSE(CONTROL!$C$9, $D$9, 100%, $F$9) + CHOOSE(CONTROL!$C$27, 0.0021, 0)</f>
        <v>43.868899999999996</v>
      </c>
      <c r="C310" s="17">
        <f>43.4346 * CHOOSE(CONTROL!$C$9, $D$9, 100%, $F$9) + CHOOSE(CONTROL!$C$27, 0.0021, 0)</f>
        <v>43.436700000000002</v>
      </c>
      <c r="D310" s="17">
        <f>43.4346 * CHOOSE(CONTROL!$C$9, $D$9, 100%, $F$9) + CHOOSE(CONTROL!$C$27, 0.0021, 0)</f>
        <v>43.436700000000002</v>
      </c>
      <c r="E310" s="17">
        <f>43.2979 * CHOOSE(CONTROL!$C$9, $D$9, 100%, $F$9) + CHOOSE(CONTROL!$C$27, 0.0021, 0)</f>
        <v>43.3</v>
      </c>
      <c r="F310" s="17">
        <f>43.2979 * CHOOSE(CONTROL!$C$9, $D$9, 100%, $F$9) + CHOOSE(CONTROL!$C$27, 0.0021, 0)</f>
        <v>43.3</v>
      </c>
      <c r="G310" s="17">
        <f>43.5693 * CHOOSE(CONTROL!$C$9, $D$9, 100%, $F$9) + CHOOSE(CONTROL!$C$27, 0.0021, 0)</f>
        <v>43.571399999999997</v>
      </c>
      <c r="H310" s="17">
        <f>43.4346 * CHOOSE(CONTROL!$C$9, $D$9, 100%, $F$9) + CHOOSE(CONTROL!$C$27, 0.0021, 0)</f>
        <v>43.436700000000002</v>
      </c>
      <c r="I310" s="17">
        <f>43.4346 * CHOOSE(CONTROL!$C$9, $D$9, 100%, $F$9) + CHOOSE(CONTROL!$C$27, 0.0021, 0)</f>
        <v>43.436700000000002</v>
      </c>
      <c r="J310" s="17">
        <f>43.4346 * CHOOSE(CONTROL!$C$9, $D$9, 100%, $F$9) + CHOOSE(CONTROL!$C$27, 0.0021, 0)</f>
        <v>43.436700000000002</v>
      </c>
      <c r="K310" s="17">
        <f>43.4346 * CHOOSE(CONTROL!$C$9, $D$9, 100%, $F$9) + CHOOSE(CONTROL!$C$27, 0.0021, 0)</f>
        <v>43.436700000000002</v>
      </c>
      <c r="L310" s="17"/>
    </row>
    <row r="311" spans="1:12" ht="15" x14ac:dyDescent="0.2">
      <c r="A311" s="15">
        <v>50375</v>
      </c>
      <c r="B311" s="17">
        <f>43.0517 * CHOOSE(CONTROL!$C$9, $D$9, 100%, $F$9) + CHOOSE(CONTROL!$C$27, 0.0021, 0)</f>
        <v>43.053799999999995</v>
      </c>
      <c r="C311" s="17">
        <f>42.6194 * CHOOSE(CONTROL!$C$9, $D$9, 100%, $F$9) + CHOOSE(CONTROL!$C$27, 0.0021, 0)</f>
        <v>42.621499999999997</v>
      </c>
      <c r="D311" s="17">
        <f>42.6194 * CHOOSE(CONTROL!$C$9, $D$9, 100%, $F$9) + CHOOSE(CONTROL!$C$27, 0.0021, 0)</f>
        <v>42.621499999999997</v>
      </c>
      <c r="E311" s="17">
        <f>42.4828 * CHOOSE(CONTROL!$C$9, $D$9, 100%, $F$9) + CHOOSE(CONTROL!$C$27, 0.0021, 0)</f>
        <v>42.484899999999996</v>
      </c>
      <c r="F311" s="17">
        <f>42.4828 * CHOOSE(CONTROL!$C$9, $D$9, 100%, $F$9) + CHOOSE(CONTROL!$C$27, 0.0021, 0)</f>
        <v>42.484899999999996</v>
      </c>
      <c r="G311" s="17">
        <f>42.7541 * CHOOSE(CONTROL!$C$9, $D$9, 100%, $F$9) + CHOOSE(CONTROL!$C$27, 0.0021, 0)</f>
        <v>42.7562</v>
      </c>
      <c r="H311" s="17">
        <f>42.6194 * CHOOSE(CONTROL!$C$9, $D$9, 100%, $F$9) + CHOOSE(CONTROL!$C$27, 0.0021, 0)</f>
        <v>42.621499999999997</v>
      </c>
      <c r="I311" s="17">
        <f>42.6194 * CHOOSE(CONTROL!$C$9, $D$9, 100%, $F$9) + CHOOSE(CONTROL!$C$27, 0.0021, 0)</f>
        <v>42.621499999999997</v>
      </c>
      <c r="J311" s="17">
        <f>42.6194 * CHOOSE(CONTROL!$C$9, $D$9, 100%, $F$9) + CHOOSE(CONTROL!$C$27, 0.0021, 0)</f>
        <v>42.621499999999997</v>
      </c>
      <c r="K311" s="17">
        <f>42.6194 * CHOOSE(CONTROL!$C$9, $D$9, 100%, $F$9) + CHOOSE(CONTROL!$C$27, 0.0021, 0)</f>
        <v>42.621499999999997</v>
      </c>
      <c r="L311" s="17"/>
    </row>
    <row r="312" spans="1:12" ht="15.75" x14ac:dyDescent="0.25">
      <c r="A312" s="14">
        <v>50436</v>
      </c>
      <c r="B312" s="17">
        <f>42.5364 * CHOOSE(CONTROL!$C$9, $D$9, 100%, $F$9) + CHOOSE(CONTROL!$C$27, 0.0021, 0)</f>
        <v>42.538499999999999</v>
      </c>
      <c r="C312" s="17">
        <f>42.1042 * CHOOSE(CONTROL!$C$9, $D$9, 100%, $F$9) + CHOOSE(CONTROL!$C$27, 0.0021, 0)</f>
        <v>42.106299999999997</v>
      </c>
      <c r="D312" s="17">
        <f>42.1042 * CHOOSE(CONTROL!$C$9, $D$9, 100%, $F$9) + CHOOSE(CONTROL!$C$27, 0.0021, 0)</f>
        <v>42.106299999999997</v>
      </c>
      <c r="E312" s="17">
        <f>41.9675 * CHOOSE(CONTROL!$C$9, $D$9, 100%, $F$9) + CHOOSE(CONTROL!$C$27, 0.0021, 0)</f>
        <v>41.9696</v>
      </c>
      <c r="F312" s="17">
        <f>41.9675 * CHOOSE(CONTROL!$C$9, $D$9, 100%, $F$9) + CHOOSE(CONTROL!$C$27, 0.0021, 0)</f>
        <v>41.9696</v>
      </c>
      <c r="G312" s="17">
        <f>42.2389 * CHOOSE(CONTROL!$C$9, $D$9, 100%, $F$9) + CHOOSE(CONTROL!$C$27, 0.0021, 0)</f>
        <v>42.241</v>
      </c>
      <c r="H312" s="17">
        <f>42.1042 * CHOOSE(CONTROL!$C$9, $D$9, 100%, $F$9) + CHOOSE(CONTROL!$C$27, 0.0021, 0)</f>
        <v>42.106299999999997</v>
      </c>
      <c r="I312" s="17">
        <f>42.1042 * CHOOSE(CONTROL!$C$9, $D$9, 100%, $F$9) + CHOOSE(CONTROL!$C$27, 0.0021, 0)</f>
        <v>42.106299999999997</v>
      </c>
      <c r="J312" s="17">
        <f>42.1042 * CHOOSE(CONTROL!$C$9, $D$9, 100%, $F$9) + CHOOSE(CONTROL!$C$27, 0.0021, 0)</f>
        <v>42.106299999999997</v>
      </c>
      <c r="K312" s="17">
        <f>42.1042 * CHOOSE(CONTROL!$C$9, $D$9, 100%, $F$9) + CHOOSE(CONTROL!$C$27, 0.0021, 0)</f>
        <v>42.106299999999997</v>
      </c>
      <c r="L312" s="17"/>
    </row>
    <row r="313" spans="1:12" ht="15.75" x14ac:dyDescent="0.25">
      <c r="A313" s="14">
        <v>50464</v>
      </c>
      <c r="B313" s="17">
        <f>41.3981 * CHOOSE(CONTROL!$C$9, $D$9, 100%, $F$9) + CHOOSE(CONTROL!$C$27, 0.0021, 0)</f>
        <v>41.400199999999998</v>
      </c>
      <c r="C313" s="17">
        <f>40.9659 * CHOOSE(CONTROL!$C$9, $D$9, 100%, $F$9) + CHOOSE(CONTROL!$C$27, 0.0021, 0)</f>
        <v>40.967999999999996</v>
      </c>
      <c r="D313" s="17">
        <f>40.9659 * CHOOSE(CONTROL!$C$9, $D$9, 100%, $F$9) + CHOOSE(CONTROL!$C$27, 0.0021, 0)</f>
        <v>40.967999999999996</v>
      </c>
      <c r="E313" s="17">
        <f>40.8292 * CHOOSE(CONTROL!$C$9, $D$9, 100%, $F$9) + CHOOSE(CONTROL!$C$27, 0.0021, 0)</f>
        <v>40.831299999999999</v>
      </c>
      <c r="F313" s="17">
        <f>40.8292 * CHOOSE(CONTROL!$C$9, $D$9, 100%, $F$9) + CHOOSE(CONTROL!$C$27, 0.0021, 0)</f>
        <v>40.831299999999999</v>
      </c>
      <c r="G313" s="17">
        <f>41.1006 * CHOOSE(CONTROL!$C$9, $D$9, 100%, $F$9) + CHOOSE(CONTROL!$C$27, 0.0021, 0)</f>
        <v>41.102699999999999</v>
      </c>
      <c r="H313" s="17">
        <f>40.9659 * CHOOSE(CONTROL!$C$9, $D$9, 100%, $F$9) + CHOOSE(CONTROL!$C$27, 0.0021, 0)</f>
        <v>40.967999999999996</v>
      </c>
      <c r="I313" s="17">
        <f>40.9659 * CHOOSE(CONTROL!$C$9, $D$9, 100%, $F$9) + CHOOSE(CONTROL!$C$27, 0.0021, 0)</f>
        <v>40.967999999999996</v>
      </c>
      <c r="J313" s="17">
        <f>40.9659 * CHOOSE(CONTROL!$C$9, $D$9, 100%, $F$9) + CHOOSE(CONTROL!$C$27, 0.0021, 0)</f>
        <v>40.967999999999996</v>
      </c>
      <c r="K313" s="17">
        <f>40.9659 * CHOOSE(CONTROL!$C$9, $D$9, 100%, $F$9) + CHOOSE(CONTROL!$C$27, 0.0021, 0)</f>
        <v>40.967999999999996</v>
      </c>
      <c r="L313" s="17"/>
    </row>
    <row r="314" spans="1:12" ht="15.75" x14ac:dyDescent="0.25">
      <c r="A314" s="14">
        <v>50495</v>
      </c>
      <c r="B314" s="17">
        <f>40.9282 * CHOOSE(CONTROL!$C$9, $D$9, 100%, $F$9) + CHOOSE(CONTROL!$C$27, 0.0021, 0)</f>
        <v>40.930299999999995</v>
      </c>
      <c r="C314" s="17">
        <f>40.496 * CHOOSE(CONTROL!$C$9, $D$9, 100%, $F$9) + CHOOSE(CONTROL!$C$27, 0.0021, 0)</f>
        <v>40.498100000000001</v>
      </c>
      <c r="D314" s="17">
        <f>40.496 * CHOOSE(CONTROL!$C$9, $D$9, 100%, $F$9) + CHOOSE(CONTROL!$C$27, 0.0021, 0)</f>
        <v>40.498100000000001</v>
      </c>
      <c r="E314" s="17">
        <f>40.3593 * CHOOSE(CONTROL!$C$9, $D$9, 100%, $F$9) + CHOOSE(CONTROL!$C$27, 0.0021, 0)</f>
        <v>40.361399999999996</v>
      </c>
      <c r="F314" s="17">
        <f>40.3593 * CHOOSE(CONTROL!$C$9, $D$9, 100%, $F$9) + CHOOSE(CONTROL!$C$27, 0.0021, 0)</f>
        <v>40.361399999999996</v>
      </c>
      <c r="G314" s="17">
        <f>40.6307 * CHOOSE(CONTROL!$C$9, $D$9, 100%, $F$9) + CHOOSE(CONTROL!$C$27, 0.0021, 0)</f>
        <v>40.632799999999996</v>
      </c>
      <c r="H314" s="17">
        <f>40.496 * CHOOSE(CONTROL!$C$9, $D$9, 100%, $F$9) + CHOOSE(CONTROL!$C$27, 0.0021, 0)</f>
        <v>40.498100000000001</v>
      </c>
      <c r="I314" s="17">
        <f>40.496 * CHOOSE(CONTROL!$C$9, $D$9, 100%, $F$9) + CHOOSE(CONTROL!$C$27, 0.0021, 0)</f>
        <v>40.498100000000001</v>
      </c>
      <c r="J314" s="17">
        <f>40.496 * CHOOSE(CONTROL!$C$9, $D$9, 100%, $F$9) + CHOOSE(CONTROL!$C$27, 0.0021, 0)</f>
        <v>40.498100000000001</v>
      </c>
      <c r="K314" s="17">
        <f>40.496 * CHOOSE(CONTROL!$C$9, $D$9, 100%, $F$9) + CHOOSE(CONTROL!$C$27, 0.0021, 0)</f>
        <v>40.498100000000001</v>
      </c>
      <c r="L314" s="17"/>
    </row>
    <row r="315" spans="1:12" ht="15.75" x14ac:dyDescent="0.25">
      <c r="A315" s="14">
        <v>50525</v>
      </c>
      <c r="B315" s="17">
        <f>40.3671 * CHOOSE(CONTROL!$C$9, $D$9, 100%, $F$9) + CHOOSE(CONTROL!$C$27, 0.0021, 0)</f>
        <v>40.369199999999999</v>
      </c>
      <c r="C315" s="17">
        <f>39.9349 * CHOOSE(CONTROL!$C$9, $D$9, 100%, $F$9) + CHOOSE(CONTROL!$C$27, 0.0021, 0)</f>
        <v>39.936999999999998</v>
      </c>
      <c r="D315" s="17">
        <f>39.9349 * CHOOSE(CONTROL!$C$9, $D$9, 100%, $F$9) + CHOOSE(CONTROL!$C$27, 0.0021, 0)</f>
        <v>39.936999999999998</v>
      </c>
      <c r="E315" s="17">
        <f>39.7982 * CHOOSE(CONTROL!$C$9, $D$9, 100%, $F$9) + CHOOSE(CONTROL!$C$27, 0.0021, 0)</f>
        <v>39.8003</v>
      </c>
      <c r="F315" s="17">
        <f>39.7982 * CHOOSE(CONTROL!$C$9, $D$9, 100%, $F$9) + CHOOSE(CONTROL!$C$27, 0.0021, 0)</f>
        <v>39.8003</v>
      </c>
      <c r="G315" s="17">
        <f>40.0696 * CHOOSE(CONTROL!$C$9, $D$9, 100%, $F$9) + CHOOSE(CONTROL!$C$27, 0.0021, 0)</f>
        <v>40.0717</v>
      </c>
      <c r="H315" s="17">
        <f>39.9349 * CHOOSE(CONTROL!$C$9, $D$9, 100%, $F$9) + CHOOSE(CONTROL!$C$27, 0.0021, 0)</f>
        <v>39.936999999999998</v>
      </c>
      <c r="I315" s="17">
        <f>39.9349 * CHOOSE(CONTROL!$C$9, $D$9, 100%, $F$9) + CHOOSE(CONTROL!$C$27, 0.0021, 0)</f>
        <v>39.936999999999998</v>
      </c>
      <c r="J315" s="17">
        <f>39.9349 * CHOOSE(CONTROL!$C$9, $D$9, 100%, $F$9) + CHOOSE(CONTROL!$C$27, 0.0021, 0)</f>
        <v>39.936999999999998</v>
      </c>
      <c r="K315" s="17">
        <f>39.9349 * CHOOSE(CONTROL!$C$9, $D$9, 100%, $F$9) + CHOOSE(CONTROL!$C$27, 0.0021, 0)</f>
        <v>39.936999999999998</v>
      </c>
      <c r="L315" s="17"/>
    </row>
    <row r="316" spans="1:12" ht="15.75" x14ac:dyDescent="0.25">
      <c r="A316" s="14">
        <v>50556</v>
      </c>
      <c r="B316" s="17">
        <f>41.1667 * CHOOSE(CONTROL!$C$9, $D$9, 100%, $F$9) + CHOOSE(CONTROL!$C$27, 0.0021, 0)</f>
        <v>41.168799999999997</v>
      </c>
      <c r="C316" s="17">
        <f>40.7345 * CHOOSE(CONTROL!$C$9, $D$9, 100%, $F$9) + CHOOSE(CONTROL!$C$27, 0.0021, 0)</f>
        <v>40.736599999999996</v>
      </c>
      <c r="D316" s="17">
        <f>40.7345 * CHOOSE(CONTROL!$C$9, $D$9, 100%, $F$9) + CHOOSE(CONTROL!$C$27, 0.0021, 0)</f>
        <v>40.736599999999996</v>
      </c>
      <c r="E316" s="17">
        <f>40.5978 * CHOOSE(CONTROL!$C$9, $D$9, 100%, $F$9) + CHOOSE(CONTROL!$C$27, 0.0021, 0)</f>
        <v>40.599899999999998</v>
      </c>
      <c r="F316" s="17">
        <f>40.5978 * CHOOSE(CONTROL!$C$9, $D$9, 100%, $F$9) + CHOOSE(CONTROL!$C$27, 0.0021, 0)</f>
        <v>40.599899999999998</v>
      </c>
      <c r="G316" s="17">
        <f>40.8692 * CHOOSE(CONTROL!$C$9, $D$9, 100%, $F$9) + CHOOSE(CONTROL!$C$27, 0.0021, 0)</f>
        <v>40.871299999999998</v>
      </c>
      <c r="H316" s="17">
        <f>40.7345 * CHOOSE(CONTROL!$C$9, $D$9, 100%, $F$9) + CHOOSE(CONTROL!$C$27, 0.0021, 0)</f>
        <v>40.736599999999996</v>
      </c>
      <c r="I316" s="17">
        <f>40.7345 * CHOOSE(CONTROL!$C$9, $D$9, 100%, $F$9) + CHOOSE(CONTROL!$C$27, 0.0021, 0)</f>
        <v>40.736599999999996</v>
      </c>
      <c r="J316" s="17">
        <f>40.7345 * CHOOSE(CONTROL!$C$9, $D$9, 100%, $F$9) + CHOOSE(CONTROL!$C$27, 0.0021, 0)</f>
        <v>40.736599999999996</v>
      </c>
      <c r="K316" s="17">
        <f>40.7345 * CHOOSE(CONTROL!$C$9, $D$9, 100%, $F$9) + CHOOSE(CONTROL!$C$27, 0.0021, 0)</f>
        <v>40.736599999999996</v>
      </c>
      <c r="L316" s="17"/>
    </row>
    <row r="317" spans="1:12" ht="15.75" x14ac:dyDescent="0.25">
      <c r="A317" s="14">
        <v>50586</v>
      </c>
      <c r="B317" s="17">
        <f>41.6457 * CHOOSE(CONTROL!$C$9, $D$9, 100%, $F$9) + CHOOSE(CONTROL!$C$27, 0.0021, 0)</f>
        <v>41.647799999999997</v>
      </c>
      <c r="C317" s="17">
        <f>41.2134 * CHOOSE(CONTROL!$C$9, $D$9, 100%, $F$9) + CHOOSE(CONTROL!$C$27, 0.0021, 0)</f>
        <v>41.215499999999999</v>
      </c>
      <c r="D317" s="17">
        <f>41.2134 * CHOOSE(CONTROL!$C$9, $D$9, 100%, $F$9) + CHOOSE(CONTROL!$C$27, 0.0021, 0)</f>
        <v>41.215499999999999</v>
      </c>
      <c r="E317" s="17">
        <f>41.0767 * CHOOSE(CONTROL!$C$9, $D$9, 100%, $F$9) + CHOOSE(CONTROL!$C$27, 0.0021, 0)</f>
        <v>41.078800000000001</v>
      </c>
      <c r="F317" s="17">
        <f>41.0767 * CHOOSE(CONTROL!$C$9, $D$9, 100%, $F$9) + CHOOSE(CONTROL!$C$27, 0.0021, 0)</f>
        <v>41.078800000000001</v>
      </c>
      <c r="G317" s="17">
        <f>41.3481 * CHOOSE(CONTROL!$C$9, $D$9, 100%, $F$9) + CHOOSE(CONTROL!$C$27, 0.0021, 0)</f>
        <v>41.350200000000001</v>
      </c>
      <c r="H317" s="17">
        <f>41.2134 * CHOOSE(CONTROL!$C$9, $D$9, 100%, $F$9) + CHOOSE(CONTROL!$C$27, 0.0021, 0)</f>
        <v>41.215499999999999</v>
      </c>
      <c r="I317" s="17">
        <f>41.2134 * CHOOSE(CONTROL!$C$9, $D$9, 100%, $F$9) + CHOOSE(CONTROL!$C$27, 0.0021, 0)</f>
        <v>41.215499999999999</v>
      </c>
      <c r="J317" s="17">
        <f>41.2134 * CHOOSE(CONTROL!$C$9, $D$9, 100%, $F$9) + CHOOSE(CONTROL!$C$27, 0.0021, 0)</f>
        <v>41.215499999999999</v>
      </c>
      <c r="K317" s="17">
        <f>41.2134 * CHOOSE(CONTROL!$C$9, $D$9, 100%, $F$9) + CHOOSE(CONTROL!$C$27, 0.0021, 0)</f>
        <v>41.215499999999999</v>
      </c>
      <c r="L317" s="17"/>
    </row>
    <row r="318" spans="1:12" ht="15.75" x14ac:dyDescent="0.25">
      <c r="A318" s="14">
        <v>50617</v>
      </c>
      <c r="B318" s="17">
        <f>42.4357 * CHOOSE(CONTROL!$C$9, $D$9, 100%, $F$9) + CHOOSE(CONTROL!$C$27, 0.0021, 0)</f>
        <v>42.437799999999996</v>
      </c>
      <c r="C318" s="17">
        <f>42.0034 * CHOOSE(CONTROL!$C$9, $D$9, 100%, $F$9) + CHOOSE(CONTROL!$C$27, 0.0021, 0)</f>
        <v>42.005499999999998</v>
      </c>
      <c r="D318" s="17">
        <f>42.0034 * CHOOSE(CONTROL!$C$9, $D$9, 100%, $F$9) + CHOOSE(CONTROL!$C$27, 0.0021, 0)</f>
        <v>42.005499999999998</v>
      </c>
      <c r="E318" s="17">
        <f>41.8668 * CHOOSE(CONTROL!$C$9, $D$9, 100%, $F$9) + CHOOSE(CONTROL!$C$27, 0.0021, 0)</f>
        <v>41.868899999999996</v>
      </c>
      <c r="F318" s="17">
        <f>41.8668 * CHOOSE(CONTROL!$C$9, $D$9, 100%, $F$9) + CHOOSE(CONTROL!$C$27, 0.0021, 0)</f>
        <v>41.868899999999996</v>
      </c>
      <c r="G318" s="17">
        <f>42.1382 * CHOOSE(CONTROL!$C$9, $D$9, 100%, $F$9) + CHOOSE(CONTROL!$C$27, 0.0021, 0)</f>
        <v>42.140299999999996</v>
      </c>
      <c r="H318" s="17">
        <f>42.0034 * CHOOSE(CONTROL!$C$9, $D$9, 100%, $F$9) + CHOOSE(CONTROL!$C$27, 0.0021, 0)</f>
        <v>42.005499999999998</v>
      </c>
      <c r="I318" s="17">
        <f>42.0034 * CHOOSE(CONTROL!$C$9, $D$9, 100%, $F$9) + CHOOSE(CONTROL!$C$27, 0.0021, 0)</f>
        <v>42.005499999999998</v>
      </c>
      <c r="J318" s="17">
        <f>42.0034 * CHOOSE(CONTROL!$C$9, $D$9, 100%, $F$9) + CHOOSE(CONTROL!$C$27, 0.0021, 0)</f>
        <v>42.005499999999998</v>
      </c>
      <c r="K318" s="17">
        <f>42.0034 * CHOOSE(CONTROL!$C$9, $D$9, 100%, $F$9) + CHOOSE(CONTROL!$C$27, 0.0021, 0)</f>
        <v>42.005499999999998</v>
      </c>
      <c r="L318" s="17"/>
    </row>
    <row r="319" spans="1:12" ht="15.75" x14ac:dyDescent="0.25">
      <c r="A319" s="14">
        <v>50648</v>
      </c>
      <c r="B319" s="17">
        <f>42.6768 * CHOOSE(CONTROL!$C$9, $D$9, 100%, $F$9) + CHOOSE(CONTROL!$C$27, 0.0021, 0)</f>
        <v>42.678899999999999</v>
      </c>
      <c r="C319" s="17">
        <f>42.2446 * CHOOSE(CONTROL!$C$9, $D$9, 100%, $F$9) + CHOOSE(CONTROL!$C$27, 0.0021, 0)</f>
        <v>42.246699999999997</v>
      </c>
      <c r="D319" s="17">
        <f>42.2446 * CHOOSE(CONTROL!$C$9, $D$9, 100%, $F$9) + CHOOSE(CONTROL!$C$27, 0.0021, 0)</f>
        <v>42.246699999999997</v>
      </c>
      <c r="E319" s="17">
        <f>42.1079 * CHOOSE(CONTROL!$C$9, $D$9, 100%, $F$9) + CHOOSE(CONTROL!$C$27, 0.0021, 0)</f>
        <v>42.11</v>
      </c>
      <c r="F319" s="17">
        <f>42.1079 * CHOOSE(CONTROL!$C$9, $D$9, 100%, $F$9) + CHOOSE(CONTROL!$C$27, 0.0021, 0)</f>
        <v>42.11</v>
      </c>
      <c r="G319" s="17">
        <f>42.3793 * CHOOSE(CONTROL!$C$9, $D$9, 100%, $F$9) + CHOOSE(CONTROL!$C$27, 0.0021, 0)</f>
        <v>42.381399999999999</v>
      </c>
      <c r="H319" s="17">
        <f>42.2446 * CHOOSE(CONTROL!$C$9, $D$9, 100%, $F$9) + CHOOSE(CONTROL!$C$27, 0.0021, 0)</f>
        <v>42.246699999999997</v>
      </c>
      <c r="I319" s="17">
        <f>42.2446 * CHOOSE(CONTROL!$C$9, $D$9, 100%, $F$9) + CHOOSE(CONTROL!$C$27, 0.0021, 0)</f>
        <v>42.246699999999997</v>
      </c>
      <c r="J319" s="17">
        <f>42.2446 * CHOOSE(CONTROL!$C$9, $D$9, 100%, $F$9) + CHOOSE(CONTROL!$C$27, 0.0021, 0)</f>
        <v>42.246699999999997</v>
      </c>
      <c r="K319" s="17">
        <f>42.2446 * CHOOSE(CONTROL!$C$9, $D$9, 100%, $F$9) + CHOOSE(CONTROL!$C$27, 0.0021, 0)</f>
        <v>42.246699999999997</v>
      </c>
      <c r="L319" s="17"/>
    </row>
    <row r="320" spans="1:12" ht="15.75" x14ac:dyDescent="0.25">
      <c r="A320" s="14">
        <v>50678</v>
      </c>
      <c r="B320" s="17">
        <f>43.4981 * CHOOSE(CONTROL!$C$9, $D$9, 100%, $F$9) + CHOOSE(CONTROL!$C$27, 0.0021, 0)</f>
        <v>43.5002</v>
      </c>
      <c r="C320" s="17">
        <f>43.0658 * CHOOSE(CONTROL!$C$9, $D$9, 100%, $F$9) + CHOOSE(CONTROL!$C$27, 0.0021, 0)</f>
        <v>43.067900000000002</v>
      </c>
      <c r="D320" s="17">
        <f>43.0658 * CHOOSE(CONTROL!$C$9, $D$9, 100%, $F$9) + CHOOSE(CONTROL!$C$27, 0.0021, 0)</f>
        <v>43.067900000000002</v>
      </c>
      <c r="E320" s="17">
        <f>42.9292 * CHOOSE(CONTROL!$C$9, $D$9, 100%, $F$9) + CHOOSE(CONTROL!$C$27, 0.0021, 0)</f>
        <v>42.9313</v>
      </c>
      <c r="F320" s="17">
        <f>42.9292 * CHOOSE(CONTROL!$C$9, $D$9, 100%, $F$9) + CHOOSE(CONTROL!$C$27, 0.0021, 0)</f>
        <v>42.9313</v>
      </c>
      <c r="G320" s="17">
        <f>43.2005 * CHOOSE(CONTROL!$C$9, $D$9, 100%, $F$9) + CHOOSE(CONTROL!$C$27, 0.0021, 0)</f>
        <v>43.202599999999997</v>
      </c>
      <c r="H320" s="17">
        <f>43.0658 * CHOOSE(CONTROL!$C$9, $D$9, 100%, $F$9) + CHOOSE(CONTROL!$C$27, 0.0021, 0)</f>
        <v>43.067900000000002</v>
      </c>
      <c r="I320" s="17">
        <f>43.0658 * CHOOSE(CONTROL!$C$9, $D$9, 100%, $F$9) + CHOOSE(CONTROL!$C$27, 0.0021, 0)</f>
        <v>43.067900000000002</v>
      </c>
      <c r="J320" s="17">
        <f>43.0658 * CHOOSE(CONTROL!$C$9, $D$9, 100%, $F$9) + CHOOSE(CONTROL!$C$27, 0.0021, 0)</f>
        <v>43.067900000000002</v>
      </c>
      <c r="K320" s="17">
        <f>43.0658 * CHOOSE(CONTROL!$C$9, $D$9, 100%, $F$9) + CHOOSE(CONTROL!$C$27, 0.0021, 0)</f>
        <v>43.067900000000002</v>
      </c>
      <c r="L320" s="17"/>
    </row>
    <row r="321" spans="1:12" ht="15.75" x14ac:dyDescent="0.25">
      <c r="A321" s="14">
        <v>50709</v>
      </c>
      <c r="B321" s="17">
        <f>44.5376 * CHOOSE(CONTROL!$C$9, $D$9, 100%, $F$9) + CHOOSE(CONTROL!$C$27, 0.0021, 0)</f>
        <v>44.539699999999996</v>
      </c>
      <c r="C321" s="17">
        <f>44.1053 * CHOOSE(CONTROL!$C$9, $D$9, 100%, $F$9) + CHOOSE(CONTROL!$C$27, 0.0021, 0)</f>
        <v>44.107399999999998</v>
      </c>
      <c r="D321" s="17">
        <f>44.1053 * CHOOSE(CONTROL!$C$9, $D$9, 100%, $F$9) + CHOOSE(CONTROL!$C$27, 0.0021, 0)</f>
        <v>44.107399999999998</v>
      </c>
      <c r="E321" s="17">
        <f>43.9687 * CHOOSE(CONTROL!$C$9, $D$9, 100%, $F$9) + CHOOSE(CONTROL!$C$27, 0.0021, 0)</f>
        <v>43.970799999999997</v>
      </c>
      <c r="F321" s="17">
        <f>43.9687 * CHOOSE(CONTROL!$C$9, $D$9, 100%, $F$9) + CHOOSE(CONTROL!$C$27, 0.0021, 0)</f>
        <v>43.970799999999997</v>
      </c>
      <c r="G321" s="17">
        <f>44.24 * CHOOSE(CONTROL!$C$9, $D$9, 100%, $F$9) + CHOOSE(CONTROL!$C$27, 0.0021, 0)</f>
        <v>44.242100000000001</v>
      </c>
      <c r="H321" s="17">
        <f>44.1053 * CHOOSE(CONTROL!$C$9, $D$9, 100%, $F$9) + CHOOSE(CONTROL!$C$27, 0.0021, 0)</f>
        <v>44.107399999999998</v>
      </c>
      <c r="I321" s="17">
        <f>44.1053 * CHOOSE(CONTROL!$C$9, $D$9, 100%, $F$9) + CHOOSE(CONTROL!$C$27, 0.0021, 0)</f>
        <v>44.107399999999998</v>
      </c>
      <c r="J321" s="17">
        <f>44.1053 * CHOOSE(CONTROL!$C$9, $D$9, 100%, $F$9) + CHOOSE(CONTROL!$C$27, 0.0021, 0)</f>
        <v>44.107399999999998</v>
      </c>
      <c r="K321" s="17">
        <f>44.1053 * CHOOSE(CONTROL!$C$9, $D$9, 100%, $F$9) + CHOOSE(CONTROL!$C$27, 0.0021, 0)</f>
        <v>44.107399999999998</v>
      </c>
      <c r="L321" s="17"/>
    </row>
    <row r="322" spans="1:12" ht="15.75" x14ac:dyDescent="0.25">
      <c r="A322" s="14">
        <v>50739</v>
      </c>
      <c r="B322" s="17">
        <f>44.6352 * CHOOSE(CONTROL!$C$9, $D$9, 100%, $F$9) + CHOOSE(CONTROL!$C$27, 0.0021, 0)</f>
        <v>44.637299999999996</v>
      </c>
      <c r="C322" s="17">
        <f>44.2029 * CHOOSE(CONTROL!$C$9, $D$9, 100%, $F$9) + CHOOSE(CONTROL!$C$27, 0.0021, 0)</f>
        <v>44.204999999999998</v>
      </c>
      <c r="D322" s="17">
        <f>44.2029 * CHOOSE(CONTROL!$C$9, $D$9, 100%, $F$9) + CHOOSE(CONTROL!$C$27, 0.0021, 0)</f>
        <v>44.204999999999998</v>
      </c>
      <c r="E322" s="17">
        <f>44.0663 * CHOOSE(CONTROL!$C$9, $D$9, 100%, $F$9) + CHOOSE(CONTROL!$C$27, 0.0021, 0)</f>
        <v>44.068399999999997</v>
      </c>
      <c r="F322" s="17">
        <f>44.0663 * CHOOSE(CONTROL!$C$9, $D$9, 100%, $F$9) + CHOOSE(CONTROL!$C$27, 0.0021, 0)</f>
        <v>44.068399999999997</v>
      </c>
      <c r="G322" s="17">
        <f>44.3376 * CHOOSE(CONTROL!$C$9, $D$9, 100%, $F$9) + CHOOSE(CONTROL!$C$27, 0.0021, 0)</f>
        <v>44.339700000000001</v>
      </c>
      <c r="H322" s="17">
        <f>44.2029 * CHOOSE(CONTROL!$C$9, $D$9, 100%, $F$9) + CHOOSE(CONTROL!$C$27, 0.0021, 0)</f>
        <v>44.204999999999998</v>
      </c>
      <c r="I322" s="17">
        <f>44.2029 * CHOOSE(CONTROL!$C$9, $D$9, 100%, $F$9) + CHOOSE(CONTROL!$C$27, 0.0021, 0)</f>
        <v>44.204999999999998</v>
      </c>
      <c r="J322" s="17">
        <f>44.2029 * CHOOSE(CONTROL!$C$9, $D$9, 100%, $F$9) + CHOOSE(CONTROL!$C$27, 0.0021, 0)</f>
        <v>44.204999999999998</v>
      </c>
      <c r="K322" s="17">
        <f>44.2029 * CHOOSE(CONTROL!$C$9, $D$9, 100%, $F$9) + CHOOSE(CONTROL!$C$27, 0.0021, 0)</f>
        <v>44.204999999999998</v>
      </c>
      <c r="L322" s="17"/>
    </row>
    <row r="323" spans="1:12" ht="15.75" x14ac:dyDescent="0.25">
      <c r="A323" s="14">
        <v>50770</v>
      </c>
      <c r="B323" s="17">
        <f>43.8049 * CHOOSE(CONTROL!$C$9, $D$9, 100%, $F$9) + CHOOSE(CONTROL!$C$27, 0.0021, 0)</f>
        <v>43.807000000000002</v>
      </c>
      <c r="C323" s="17">
        <f>43.3727 * CHOOSE(CONTROL!$C$9, $D$9, 100%, $F$9) + CHOOSE(CONTROL!$C$27, 0.0021, 0)</f>
        <v>43.3748</v>
      </c>
      <c r="D323" s="17">
        <f>43.3727 * CHOOSE(CONTROL!$C$9, $D$9, 100%, $F$9) + CHOOSE(CONTROL!$C$27, 0.0021, 0)</f>
        <v>43.3748</v>
      </c>
      <c r="E323" s="17">
        <f>43.236 * CHOOSE(CONTROL!$C$9, $D$9, 100%, $F$9) + CHOOSE(CONTROL!$C$27, 0.0021, 0)</f>
        <v>43.238099999999996</v>
      </c>
      <c r="F323" s="17">
        <f>43.236 * CHOOSE(CONTROL!$C$9, $D$9, 100%, $F$9) + CHOOSE(CONTROL!$C$27, 0.0021, 0)</f>
        <v>43.238099999999996</v>
      </c>
      <c r="G323" s="17">
        <f>43.5074 * CHOOSE(CONTROL!$C$9, $D$9, 100%, $F$9) + CHOOSE(CONTROL!$C$27, 0.0021, 0)</f>
        <v>43.509499999999996</v>
      </c>
      <c r="H323" s="17">
        <f>43.3727 * CHOOSE(CONTROL!$C$9, $D$9, 100%, $F$9) + CHOOSE(CONTROL!$C$27, 0.0021, 0)</f>
        <v>43.3748</v>
      </c>
      <c r="I323" s="17">
        <f>43.3727 * CHOOSE(CONTROL!$C$9, $D$9, 100%, $F$9) + CHOOSE(CONTROL!$C$27, 0.0021, 0)</f>
        <v>43.3748</v>
      </c>
      <c r="J323" s="17">
        <f>43.3727 * CHOOSE(CONTROL!$C$9, $D$9, 100%, $F$9) + CHOOSE(CONTROL!$C$27, 0.0021, 0)</f>
        <v>43.3748</v>
      </c>
      <c r="K323" s="17">
        <f>43.3727 * CHOOSE(CONTROL!$C$9, $D$9, 100%, $F$9) + CHOOSE(CONTROL!$C$27, 0.0021, 0)</f>
        <v>43.3748</v>
      </c>
      <c r="L323" s="17"/>
    </row>
    <row r="324" spans="1:12" ht="15.75" x14ac:dyDescent="0.25">
      <c r="A324" s="14">
        <v>50801</v>
      </c>
      <c r="B324" s="17">
        <f>43.2802 * CHOOSE(CONTROL!$C$9, $D$9, 100%, $F$9) + CHOOSE(CONTROL!$C$27, 0.0021, 0)</f>
        <v>43.282299999999999</v>
      </c>
      <c r="C324" s="17">
        <f>42.8479 * CHOOSE(CONTROL!$C$9, $D$9, 100%, $F$9) + CHOOSE(CONTROL!$C$27, 0.0021, 0)</f>
        <v>42.85</v>
      </c>
      <c r="D324" s="17">
        <f>42.8479 * CHOOSE(CONTROL!$C$9, $D$9, 100%, $F$9) + CHOOSE(CONTROL!$C$27, 0.0021, 0)</f>
        <v>42.85</v>
      </c>
      <c r="E324" s="17">
        <f>42.7113 * CHOOSE(CONTROL!$C$9, $D$9, 100%, $F$9) + CHOOSE(CONTROL!$C$27, 0.0021, 0)</f>
        <v>42.7134</v>
      </c>
      <c r="F324" s="17">
        <f>42.7113 * CHOOSE(CONTROL!$C$9, $D$9, 100%, $F$9) + CHOOSE(CONTROL!$C$27, 0.0021, 0)</f>
        <v>42.7134</v>
      </c>
      <c r="G324" s="17">
        <f>42.9826 * CHOOSE(CONTROL!$C$9, $D$9, 100%, $F$9) + CHOOSE(CONTROL!$C$27, 0.0021, 0)</f>
        <v>42.984699999999997</v>
      </c>
      <c r="H324" s="17">
        <f>42.8479 * CHOOSE(CONTROL!$C$9, $D$9, 100%, $F$9) + CHOOSE(CONTROL!$C$27, 0.0021, 0)</f>
        <v>42.85</v>
      </c>
      <c r="I324" s="17">
        <f>42.8479 * CHOOSE(CONTROL!$C$9, $D$9, 100%, $F$9) + CHOOSE(CONTROL!$C$27, 0.0021, 0)</f>
        <v>42.85</v>
      </c>
      <c r="J324" s="17">
        <f>42.8479 * CHOOSE(CONTROL!$C$9, $D$9, 100%, $F$9) + CHOOSE(CONTROL!$C$27, 0.0021, 0)</f>
        <v>42.85</v>
      </c>
      <c r="K324" s="17">
        <f>42.8479 * CHOOSE(CONTROL!$C$9, $D$9, 100%, $F$9) + CHOOSE(CONTROL!$C$27, 0.0021, 0)</f>
        <v>42.85</v>
      </c>
      <c r="L324" s="17"/>
    </row>
    <row r="325" spans="1:12" ht="15.75" x14ac:dyDescent="0.25">
      <c r="A325" s="14">
        <v>50829</v>
      </c>
      <c r="B325" s="17">
        <f>42.1208 * CHOOSE(CONTROL!$C$9, $D$9, 100%, $F$9) + CHOOSE(CONTROL!$C$27, 0.0021, 0)</f>
        <v>42.122900000000001</v>
      </c>
      <c r="C325" s="17">
        <f>41.6886 * CHOOSE(CONTROL!$C$9, $D$9, 100%, $F$9) + CHOOSE(CONTROL!$C$27, 0.0021, 0)</f>
        <v>41.6907</v>
      </c>
      <c r="D325" s="17">
        <f>41.6886 * CHOOSE(CONTROL!$C$9, $D$9, 100%, $F$9) + CHOOSE(CONTROL!$C$27, 0.0021, 0)</f>
        <v>41.6907</v>
      </c>
      <c r="E325" s="17">
        <f>41.5519 * CHOOSE(CONTROL!$C$9, $D$9, 100%, $F$9) + CHOOSE(CONTROL!$C$27, 0.0021, 0)</f>
        <v>41.554000000000002</v>
      </c>
      <c r="F325" s="17">
        <f>41.5519 * CHOOSE(CONTROL!$C$9, $D$9, 100%, $F$9) + CHOOSE(CONTROL!$C$27, 0.0021, 0)</f>
        <v>41.554000000000002</v>
      </c>
      <c r="G325" s="17">
        <f>41.8233 * CHOOSE(CONTROL!$C$9, $D$9, 100%, $F$9) + CHOOSE(CONTROL!$C$27, 0.0021, 0)</f>
        <v>41.825400000000002</v>
      </c>
      <c r="H325" s="17">
        <f>41.6886 * CHOOSE(CONTROL!$C$9, $D$9, 100%, $F$9) + CHOOSE(CONTROL!$C$27, 0.0021, 0)</f>
        <v>41.6907</v>
      </c>
      <c r="I325" s="17">
        <f>41.6886 * CHOOSE(CONTROL!$C$9, $D$9, 100%, $F$9) + CHOOSE(CONTROL!$C$27, 0.0021, 0)</f>
        <v>41.6907</v>
      </c>
      <c r="J325" s="17">
        <f>41.6886 * CHOOSE(CONTROL!$C$9, $D$9, 100%, $F$9) + CHOOSE(CONTROL!$C$27, 0.0021, 0)</f>
        <v>41.6907</v>
      </c>
      <c r="K325" s="17">
        <f>41.6886 * CHOOSE(CONTROL!$C$9, $D$9, 100%, $F$9) + CHOOSE(CONTROL!$C$27, 0.0021, 0)</f>
        <v>41.6907</v>
      </c>
      <c r="L325" s="17"/>
    </row>
    <row r="326" spans="1:12" ht="15.75" x14ac:dyDescent="0.25">
      <c r="A326" s="14">
        <v>50860</v>
      </c>
      <c r="B326" s="17">
        <f>41.6422 * CHOOSE(CONTROL!$C$9, $D$9, 100%, $F$9) + CHOOSE(CONTROL!$C$27, 0.0021, 0)</f>
        <v>41.644300000000001</v>
      </c>
      <c r="C326" s="17">
        <f>41.21 * CHOOSE(CONTROL!$C$9, $D$9, 100%, $F$9) + CHOOSE(CONTROL!$C$27, 0.0021, 0)</f>
        <v>41.2121</v>
      </c>
      <c r="D326" s="17">
        <f>41.21 * CHOOSE(CONTROL!$C$9, $D$9, 100%, $F$9) + CHOOSE(CONTROL!$C$27, 0.0021, 0)</f>
        <v>41.2121</v>
      </c>
      <c r="E326" s="17">
        <f>41.0733 * CHOOSE(CONTROL!$C$9, $D$9, 100%, $F$9) + CHOOSE(CONTROL!$C$27, 0.0021, 0)</f>
        <v>41.075400000000002</v>
      </c>
      <c r="F326" s="17">
        <f>41.0733 * CHOOSE(CONTROL!$C$9, $D$9, 100%, $F$9) + CHOOSE(CONTROL!$C$27, 0.0021, 0)</f>
        <v>41.075400000000002</v>
      </c>
      <c r="G326" s="17">
        <f>41.3447 * CHOOSE(CONTROL!$C$9, $D$9, 100%, $F$9) + CHOOSE(CONTROL!$C$27, 0.0021, 0)</f>
        <v>41.346800000000002</v>
      </c>
      <c r="H326" s="17">
        <f>41.21 * CHOOSE(CONTROL!$C$9, $D$9, 100%, $F$9) + CHOOSE(CONTROL!$C$27, 0.0021, 0)</f>
        <v>41.2121</v>
      </c>
      <c r="I326" s="17">
        <f>41.21 * CHOOSE(CONTROL!$C$9, $D$9, 100%, $F$9) + CHOOSE(CONTROL!$C$27, 0.0021, 0)</f>
        <v>41.2121</v>
      </c>
      <c r="J326" s="17">
        <f>41.21 * CHOOSE(CONTROL!$C$9, $D$9, 100%, $F$9) + CHOOSE(CONTROL!$C$27, 0.0021, 0)</f>
        <v>41.2121</v>
      </c>
      <c r="K326" s="17">
        <f>41.21 * CHOOSE(CONTROL!$C$9, $D$9, 100%, $F$9) + CHOOSE(CONTROL!$C$27, 0.0021, 0)</f>
        <v>41.2121</v>
      </c>
      <c r="L326" s="17"/>
    </row>
    <row r="327" spans="1:12" ht="15.75" x14ac:dyDescent="0.25">
      <c r="A327" s="14">
        <v>50890</v>
      </c>
      <c r="B327" s="17">
        <f>41.0708 * CHOOSE(CONTROL!$C$9, $D$9, 100%, $F$9) + CHOOSE(CONTROL!$C$27, 0.0021, 0)</f>
        <v>41.072899999999997</v>
      </c>
      <c r="C327" s="17">
        <f>40.6385 * CHOOSE(CONTROL!$C$9, $D$9, 100%, $F$9) + CHOOSE(CONTROL!$C$27, 0.0021, 0)</f>
        <v>40.640599999999999</v>
      </c>
      <c r="D327" s="17">
        <f>40.6385 * CHOOSE(CONTROL!$C$9, $D$9, 100%, $F$9) + CHOOSE(CONTROL!$C$27, 0.0021, 0)</f>
        <v>40.640599999999999</v>
      </c>
      <c r="E327" s="17">
        <f>40.5019 * CHOOSE(CONTROL!$C$9, $D$9, 100%, $F$9) + CHOOSE(CONTROL!$C$27, 0.0021, 0)</f>
        <v>40.503999999999998</v>
      </c>
      <c r="F327" s="17">
        <f>40.5019 * CHOOSE(CONTROL!$C$9, $D$9, 100%, $F$9) + CHOOSE(CONTROL!$C$27, 0.0021, 0)</f>
        <v>40.503999999999998</v>
      </c>
      <c r="G327" s="17">
        <f>40.7733 * CHOOSE(CONTROL!$C$9, $D$9, 100%, $F$9) + CHOOSE(CONTROL!$C$27, 0.0021, 0)</f>
        <v>40.775399999999998</v>
      </c>
      <c r="H327" s="17">
        <f>40.6385 * CHOOSE(CONTROL!$C$9, $D$9, 100%, $F$9) + CHOOSE(CONTROL!$C$27, 0.0021, 0)</f>
        <v>40.640599999999999</v>
      </c>
      <c r="I327" s="17">
        <f>40.6385 * CHOOSE(CONTROL!$C$9, $D$9, 100%, $F$9) + CHOOSE(CONTROL!$C$27, 0.0021, 0)</f>
        <v>40.640599999999999</v>
      </c>
      <c r="J327" s="17">
        <f>40.6385 * CHOOSE(CONTROL!$C$9, $D$9, 100%, $F$9) + CHOOSE(CONTROL!$C$27, 0.0021, 0)</f>
        <v>40.640599999999999</v>
      </c>
      <c r="K327" s="17">
        <f>40.6385 * CHOOSE(CONTROL!$C$9, $D$9, 100%, $F$9) + CHOOSE(CONTROL!$C$27, 0.0021, 0)</f>
        <v>40.640599999999999</v>
      </c>
      <c r="L327" s="17"/>
    </row>
    <row r="328" spans="1:12" ht="15.75" x14ac:dyDescent="0.25">
      <c r="A328" s="14">
        <v>50921</v>
      </c>
      <c r="B328" s="17">
        <f>41.8852 * CHOOSE(CONTROL!$C$9, $D$9, 100%, $F$9) + CHOOSE(CONTROL!$C$27, 0.0021, 0)</f>
        <v>41.887299999999996</v>
      </c>
      <c r="C328" s="17">
        <f>41.4529 * CHOOSE(CONTROL!$C$9, $D$9, 100%, $F$9) + CHOOSE(CONTROL!$C$27, 0.0021, 0)</f>
        <v>41.454999999999998</v>
      </c>
      <c r="D328" s="17">
        <f>41.4529 * CHOOSE(CONTROL!$C$9, $D$9, 100%, $F$9) + CHOOSE(CONTROL!$C$27, 0.0021, 0)</f>
        <v>41.454999999999998</v>
      </c>
      <c r="E328" s="17">
        <f>41.3163 * CHOOSE(CONTROL!$C$9, $D$9, 100%, $F$9) + CHOOSE(CONTROL!$C$27, 0.0021, 0)</f>
        <v>41.318399999999997</v>
      </c>
      <c r="F328" s="17">
        <f>41.3163 * CHOOSE(CONTROL!$C$9, $D$9, 100%, $F$9) + CHOOSE(CONTROL!$C$27, 0.0021, 0)</f>
        <v>41.318399999999997</v>
      </c>
      <c r="G328" s="17">
        <f>41.5876 * CHOOSE(CONTROL!$C$9, $D$9, 100%, $F$9) + CHOOSE(CONTROL!$C$27, 0.0021, 0)</f>
        <v>41.589700000000001</v>
      </c>
      <c r="H328" s="17">
        <f>41.4529 * CHOOSE(CONTROL!$C$9, $D$9, 100%, $F$9) + CHOOSE(CONTROL!$C$27, 0.0021, 0)</f>
        <v>41.454999999999998</v>
      </c>
      <c r="I328" s="17">
        <f>41.4529 * CHOOSE(CONTROL!$C$9, $D$9, 100%, $F$9) + CHOOSE(CONTROL!$C$27, 0.0021, 0)</f>
        <v>41.454999999999998</v>
      </c>
      <c r="J328" s="17">
        <f>41.4529 * CHOOSE(CONTROL!$C$9, $D$9, 100%, $F$9) + CHOOSE(CONTROL!$C$27, 0.0021, 0)</f>
        <v>41.454999999999998</v>
      </c>
      <c r="K328" s="17">
        <f>41.4529 * CHOOSE(CONTROL!$C$9, $D$9, 100%, $F$9) + CHOOSE(CONTROL!$C$27, 0.0021, 0)</f>
        <v>41.454999999999998</v>
      </c>
      <c r="L328" s="17"/>
    </row>
    <row r="329" spans="1:12" ht="15.75" x14ac:dyDescent="0.25">
      <c r="A329" s="14">
        <v>50951</v>
      </c>
      <c r="B329" s="17">
        <f>42.3729 * CHOOSE(CONTROL!$C$9, $D$9, 100%, $F$9) + CHOOSE(CONTROL!$C$27, 0.0021, 0)</f>
        <v>42.375</v>
      </c>
      <c r="C329" s="17">
        <f>41.9407 * CHOOSE(CONTROL!$C$9, $D$9, 100%, $F$9) + CHOOSE(CONTROL!$C$27, 0.0021, 0)</f>
        <v>41.942799999999998</v>
      </c>
      <c r="D329" s="17">
        <f>41.9407 * CHOOSE(CONTROL!$C$9, $D$9, 100%, $F$9) + CHOOSE(CONTROL!$C$27, 0.0021, 0)</f>
        <v>41.942799999999998</v>
      </c>
      <c r="E329" s="17">
        <f>41.804 * CHOOSE(CONTROL!$C$9, $D$9, 100%, $F$9) + CHOOSE(CONTROL!$C$27, 0.0021, 0)</f>
        <v>41.806100000000001</v>
      </c>
      <c r="F329" s="17">
        <f>41.804 * CHOOSE(CONTROL!$C$9, $D$9, 100%, $F$9) + CHOOSE(CONTROL!$C$27, 0.0021, 0)</f>
        <v>41.806100000000001</v>
      </c>
      <c r="G329" s="17">
        <f>42.0754 * CHOOSE(CONTROL!$C$9, $D$9, 100%, $F$9) + CHOOSE(CONTROL!$C$27, 0.0021, 0)</f>
        <v>42.077500000000001</v>
      </c>
      <c r="H329" s="17">
        <f>41.9407 * CHOOSE(CONTROL!$C$9, $D$9, 100%, $F$9) + CHOOSE(CONTROL!$C$27, 0.0021, 0)</f>
        <v>41.942799999999998</v>
      </c>
      <c r="I329" s="17">
        <f>41.9407 * CHOOSE(CONTROL!$C$9, $D$9, 100%, $F$9) + CHOOSE(CONTROL!$C$27, 0.0021, 0)</f>
        <v>41.942799999999998</v>
      </c>
      <c r="J329" s="17">
        <f>41.9407 * CHOOSE(CONTROL!$C$9, $D$9, 100%, $F$9) + CHOOSE(CONTROL!$C$27, 0.0021, 0)</f>
        <v>41.942799999999998</v>
      </c>
      <c r="K329" s="17">
        <f>41.9407 * CHOOSE(CONTROL!$C$9, $D$9, 100%, $F$9) + CHOOSE(CONTROL!$C$27, 0.0021, 0)</f>
        <v>41.942799999999998</v>
      </c>
      <c r="L329" s="17"/>
    </row>
    <row r="330" spans="1:12" ht="15.75" x14ac:dyDescent="0.25">
      <c r="A330" s="14">
        <v>50982</v>
      </c>
      <c r="B330" s="17">
        <f>43.1776 * CHOOSE(CONTROL!$C$9, $D$9, 100%, $F$9) + CHOOSE(CONTROL!$C$27, 0.0021, 0)</f>
        <v>43.179699999999997</v>
      </c>
      <c r="C330" s="17">
        <f>42.7453 * CHOOSE(CONTROL!$C$9, $D$9, 100%, $F$9) + CHOOSE(CONTROL!$C$27, 0.0021, 0)</f>
        <v>42.747399999999999</v>
      </c>
      <c r="D330" s="17">
        <f>42.7453 * CHOOSE(CONTROL!$C$9, $D$9, 100%, $F$9) + CHOOSE(CONTROL!$C$27, 0.0021, 0)</f>
        <v>42.747399999999999</v>
      </c>
      <c r="E330" s="17">
        <f>42.6087 * CHOOSE(CONTROL!$C$9, $D$9, 100%, $F$9) + CHOOSE(CONTROL!$C$27, 0.0021, 0)</f>
        <v>42.610799999999998</v>
      </c>
      <c r="F330" s="17">
        <f>42.6087 * CHOOSE(CONTROL!$C$9, $D$9, 100%, $F$9) + CHOOSE(CONTROL!$C$27, 0.0021, 0)</f>
        <v>42.610799999999998</v>
      </c>
      <c r="G330" s="17">
        <f>42.88 * CHOOSE(CONTROL!$C$9, $D$9, 100%, $F$9) + CHOOSE(CONTROL!$C$27, 0.0021, 0)</f>
        <v>42.882100000000001</v>
      </c>
      <c r="H330" s="17">
        <f>42.7453 * CHOOSE(CONTROL!$C$9, $D$9, 100%, $F$9) + CHOOSE(CONTROL!$C$27, 0.0021, 0)</f>
        <v>42.747399999999999</v>
      </c>
      <c r="I330" s="17">
        <f>42.7453 * CHOOSE(CONTROL!$C$9, $D$9, 100%, $F$9) + CHOOSE(CONTROL!$C$27, 0.0021, 0)</f>
        <v>42.747399999999999</v>
      </c>
      <c r="J330" s="17">
        <f>42.7453 * CHOOSE(CONTROL!$C$9, $D$9, 100%, $F$9) + CHOOSE(CONTROL!$C$27, 0.0021, 0)</f>
        <v>42.747399999999999</v>
      </c>
      <c r="K330" s="17">
        <f>42.7453 * CHOOSE(CONTROL!$C$9, $D$9, 100%, $F$9) + CHOOSE(CONTROL!$C$27, 0.0021, 0)</f>
        <v>42.747399999999999</v>
      </c>
      <c r="L330" s="17"/>
    </row>
    <row r="331" spans="1:12" ht="15.75" x14ac:dyDescent="0.25">
      <c r="A331" s="14">
        <v>51013</v>
      </c>
      <c r="B331" s="17">
        <f>43.4232 * CHOOSE(CONTROL!$C$9, $D$9, 100%, $F$9) + CHOOSE(CONTROL!$C$27, 0.0021, 0)</f>
        <v>43.4253</v>
      </c>
      <c r="C331" s="17">
        <f>42.9909 * CHOOSE(CONTROL!$C$9, $D$9, 100%, $F$9) + CHOOSE(CONTROL!$C$27, 0.0021, 0)</f>
        <v>42.993000000000002</v>
      </c>
      <c r="D331" s="17">
        <f>42.9909 * CHOOSE(CONTROL!$C$9, $D$9, 100%, $F$9) + CHOOSE(CONTROL!$C$27, 0.0021, 0)</f>
        <v>42.993000000000002</v>
      </c>
      <c r="E331" s="17">
        <f>42.8543 * CHOOSE(CONTROL!$C$9, $D$9, 100%, $F$9) + CHOOSE(CONTROL!$C$27, 0.0021, 0)</f>
        <v>42.856400000000001</v>
      </c>
      <c r="F331" s="17">
        <f>42.8543 * CHOOSE(CONTROL!$C$9, $D$9, 100%, $F$9) + CHOOSE(CONTROL!$C$27, 0.0021, 0)</f>
        <v>42.856400000000001</v>
      </c>
      <c r="G331" s="17">
        <f>43.1256 * CHOOSE(CONTROL!$C$9, $D$9, 100%, $F$9) + CHOOSE(CONTROL!$C$27, 0.0021, 0)</f>
        <v>43.127699999999997</v>
      </c>
      <c r="H331" s="17">
        <f>42.9909 * CHOOSE(CONTROL!$C$9, $D$9, 100%, $F$9) + CHOOSE(CONTROL!$C$27, 0.0021, 0)</f>
        <v>42.993000000000002</v>
      </c>
      <c r="I331" s="17">
        <f>42.9909 * CHOOSE(CONTROL!$C$9, $D$9, 100%, $F$9) + CHOOSE(CONTROL!$C$27, 0.0021, 0)</f>
        <v>42.993000000000002</v>
      </c>
      <c r="J331" s="17">
        <f>42.9909 * CHOOSE(CONTROL!$C$9, $D$9, 100%, $F$9) + CHOOSE(CONTROL!$C$27, 0.0021, 0)</f>
        <v>42.993000000000002</v>
      </c>
      <c r="K331" s="17">
        <f>42.9909 * CHOOSE(CONTROL!$C$9, $D$9, 100%, $F$9) + CHOOSE(CONTROL!$C$27, 0.0021, 0)</f>
        <v>42.993000000000002</v>
      </c>
      <c r="L331" s="17"/>
    </row>
    <row r="332" spans="1:12" ht="15.75" x14ac:dyDescent="0.25">
      <c r="A332" s="14">
        <v>51043</v>
      </c>
      <c r="B332" s="17">
        <f>44.2596 * CHOOSE(CONTROL!$C$9, $D$9, 100%, $F$9) + CHOOSE(CONTROL!$C$27, 0.0021, 0)</f>
        <v>44.261699999999998</v>
      </c>
      <c r="C332" s="17">
        <f>43.8273 * CHOOSE(CONTROL!$C$9, $D$9, 100%, $F$9) + CHOOSE(CONTROL!$C$27, 0.0021, 0)</f>
        <v>43.8294</v>
      </c>
      <c r="D332" s="17">
        <f>43.8273 * CHOOSE(CONTROL!$C$9, $D$9, 100%, $F$9) + CHOOSE(CONTROL!$C$27, 0.0021, 0)</f>
        <v>43.8294</v>
      </c>
      <c r="E332" s="17">
        <f>43.6907 * CHOOSE(CONTROL!$C$9, $D$9, 100%, $F$9) + CHOOSE(CONTROL!$C$27, 0.0021, 0)</f>
        <v>43.692799999999998</v>
      </c>
      <c r="F332" s="17">
        <f>43.6907 * CHOOSE(CONTROL!$C$9, $D$9, 100%, $F$9) + CHOOSE(CONTROL!$C$27, 0.0021, 0)</f>
        <v>43.692799999999998</v>
      </c>
      <c r="G332" s="17">
        <f>43.962 * CHOOSE(CONTROL!$C$9, $D$9, 100%, $F$9) + CHOOSE(CONTROL!$C$27, 0.0021, 0)</f>
        <v>43.964100000000002</v>
      </c>
      <c r="H332" s="17">
        <f>43.8273 * CHOOSE(CONTROL!$C$9, $D$9, 100%, $F$9) + CHOOSE(CONTROL!$C$27, 0.0021, 0)</f>
        <v>43.8294</v>
      </c>
      <c r="I332" s="17">
        <f>43.8273 * CHOOSE(CONTROL!$C$9, $D$9, 100%, $F$9) + CHOOSE(CONTROL!$C$27, 0.0021, 0)</f>
        <v>43.8294</v>
      </c>
      <c r="J332" s="17">
        <f>43.8273 * CHOOSE(CONTROL!$C$9, $D$9, 100%, $F$9) + CHOOSE(CONTROL!$C$27, 0.0021, 0)</f>
        <v>43.8294</v>
      </c>
      <c r="K332" s="17">
        <f>43.8273 * CHOOSE(CONTROL!$C$9, $D$9, 100%, $F$9) + CHOOSE(CONTROL!$C$27, 0.0021, 0)</f>
        <v>43.8294</v>
      </c>
      <c r="L332" s="17"/>
    </row>
    <row r="333" spans="1:12" ht="15.75" x14ac:dyDescent="0.25">
      <c r="A333" s="14">
        <v>51074</v>
      </c>
      <c r="B333" s="17">
        <f>45.3183 * CHOOSE(CONTROL!$C$9, $D$9, 100%, $F$9) + CHOOSE(CONTROL!$C$27, 0.0021, 0)</f>
        <v>45.320399999999999</v>
      </c>
      <c r="C333" s="17">
        <f>44.8861 * CHOOSE(CONTROL!$C$9, $D$9, 100%, $F$9) + CHOOSE(CONTROL!$C$27, 0.0021, 0)</f>
        <v>44.888199999999998</v>
      </c>
      <c r="D333" s="17">
        <f>44.8861 * CHOOSE(CONTROL!$C$9, $D$9, 100%, $F$9) + CHOOSE(CONTROL!$C$27, 0.0021, 0)</f>
        <v>44.888199999999998</v>
      </c>
      <c r="E333" s="17">
        <f>44.7494 * CHOOSE(CONTROL!$C$9, $D$9, 100%, $F$9) + CHOOSE(CONTROL!$C$27, 0.0021, 0)</f>
        <v>44.7515</v>
      </c>
      <c r="F333" s="17">
        <f>44.7494 * CHOOSE(CONTROL!$C$9, $D$9, 100%, $F$9) + CHOOSE(CONTROL!$C$27, 0.0021, 0)</f>
        <v>44.7515</v>
      </c>
      <c r="G333" s="17">
        <f>45.0208 * CHOOSE(CONTROL!$C$9, $D$9, 100%, $F$9) + CHOOSE(CONTROL!$C$27, 0.0021, 0)</f>
        <v>45.0229</v>
      </c>
      <c r="H333" s="17">
        <f>44.8861 * CHOOSE(CONTROL!$C$9, $D$9, 100%, $F$9) + CHOOSE(CONTROL!$C$27, 0.0021, 0)</f>
        <v>44.888199999999998</v>
      </c>
      <c r="I333" s="17">
        <f>44.8861 * CHOOSE(CONTROL!$C$9, $D$9, 100%, $F$9) + CHOOSE(CONTROL!$C$27, 0.0021, 0)</f>
        <v>44.888199999999998</v>
      </c>
      <c r="J333" s="17">
        <f>44.8861 * CHOOSE(CONTROL!$C$9, $D$9, 100%, $F$9) + CHOOSE(CONTROL!$C$27, 0.0021, 0)</f>
        <v>44.888199999999998</v>
      </c>
      <c r="K333" s="17">
        <f>44.8861 * CHOOSE(CONTROL!$C$9, $D$9, 100%, $F$9) + CHOOSE(CONTROL!$C$27, 0.0021, 0)</f>
        <v>44.888199999999998</v>
      </c>
      <c r="L333" s="17"/>
    </row>
    <row r="334" spans="1:12" ht="15.75" x14ac:dyDescent="0.25">
      <c r="A334" s="14">
        <v>51104</v>
      </c>
      <c r="B334" s="17">
        <f>45.4177 * CHOOSE(CONTROL!$C$9, $D$9, 100%, $F$9) + CHOOSE(CONTROL!$C$27, 0.0021, 0)</f>
        <v>45.419800000000002</v>
      </c>
      <c r="C334" s="17">
        <f>44.9854 * CHOOSE(CONTROL!$C$9, $D$9, 100%, $F$9) + CHOOSE(CONTROL!$C$27, 0.0021, 0)</f>
        <v>44.987499999999997</v>
      </c>
      <c r="D334" s="17">
        <f>44.9854 * CHOOSE(CONTROL!$C$9, $D$9, 100%, $F$9) + CHOOSE(CONTROL!$C$27, 0.0021, 0)</f>
        <v>44.987499999999997</v>
      </c>
      <c r="E334" s="17">
        <f>44.8488 * CHOOSE(CONTROL!$C$9, $D$9, 100%, $F$9) + CHOOSE(CONTROL!$C$27, 0.0021, 0)</f>
        <v>44.850899999999996</v>
      </c>
      <c r="F334" s="17">
        <f>44.8488 * CHOOSE(CONTROL!$C$9, $D$9, 100%, $F$9) + CHOOSE(CONTROL!$C$27, 0.0021, 0)</f>
        <v>44.850899999999996</v>
      </c>
      <c r="G334" s="17">
        <f>45.1202 * CHOOSE(CONTROL!$C$9, $D$9, 100%, $F$9) + CHOOSE(CONTROL!$C$27, 0.0021, 0)</f>
        <v>45.122299999999996</v>
      </c>
      <c r="H334" s="17">
        <f>44.9854 * CHOOSE(CONTROL!$C$9, $D$9, 100%, $F$9) + CHOOSE(CONTROL!$C$27, 0.0021, 0)</f>
        <v>44.987499999999997</v>
      </c>
      <c r="I334" s="17">
        <f>44.9854 * CHOOSE(CONTROL!$C$9, $D$9, 100%, $F$9) + CHOOSE(CONTROL!$C$27, 0.0021, 0)</f>
        <v>44.987499999999997</v>
      </c>
      <c r="J334" s="17">
        <f>44.9854 * CHOOSE(CONTROL!$C$9, $D$9, 100%, $F$9) + CHOOSE(CONTROL!$C$27, 0.0021, 0)</f>
        <v>44.987499999999997</v>
      </c>
      <c r="K334" s="17">
        <f>44.9854 * CHOOSE(CONTROL!$C$9, $D$9, 100%, $F$9) + CHOOSE(CONTROL!$C$27, 0.0021, 0)</f>
        <v>44.987499999999997</v>
      </c>
      <c r="L334" s="17"/>
    </row>
    <row r="335" spans="1:12" ht="15.75" x14ac:dyDescent="0.25">
      <c r="A335" s="14">
        <v>51135</v>
      </c>
      <c r="B335" s="17">
        <f>44.5721 * CHOOSE(CONTROL!$C$9, $D$9, 100%, $F$9) + CHOOSE(CONTROL!$C$27, 0.0021, 0)</f>
        <v>44.574199999999998</v>
      </c>
      <c r="C335" s="17">
        <f>44.1399 * CHOOSE(CONTROL!$C$9, $D$9, 100%, $F$9) + CHOOSE(CONTROL!$C$27, 0.0021, 0)</f>
        <v>44.141999999999996</v>
      </c>
      <c r="D335" s="17">
        <f>44.1399 * CHOOSE(CONTROL!$C$9, $D$9, 100%, $F$9) + CHOOSE(CONTROL!$C$27, 0.0021, 0)</f>
        <v>44.141999999999996</v>
      </c>
      <c r="E335" s="17">
        <f>44.0032 * CHOOSE(CONTROL!$C$9, $D$9, 100%, $F$9) + CHOOSE(CONTROL!$C$27, 0.0021, 0)</f>
        <v>44.005299999999998</v>
      </c>
      <c r="F335" s="17">
        <f>44.0032 * CHOOSE(CONTROL!$C$9, $D$9, 100%, $F$9) + CHOOSE(CONTROL!$C$27, 0.0021, 0)</f>
        <v>44.005299999999998</v>
      </c>
      <c r="G335" s="17">
        <f>44.2746 * CHOOSE(CONTROL!$C$9, $D$9, 100%, $F$9) + CHOOSE(CONTROL!$C$27, 0.0021, 0)</f>
        <v>44.276699999999998</v>
      </c>
      <c r="H335" s="17">
        <f>44.1399 * CHOOSE(CONTROL!$C$9, $D$9, 100%, $F$9) + CHOOSE(CONTROL!$C$27, 0.0021, 0)</f>
        <v>44.141999999999996</v>
      </c>
      <c r="I335" s="17">
        <f>44.1399 * CHOOSE(CONTROL!$C$9, $D$9, 100%, $F$9) + CHOOSE(CONTROL!$C$27, 0.0021, 0)</f>
        <v>44.141999999999996</v>
      </c>
      <c r="J335" s="17">
        <f>44.1399 * CHOOSE(CONTROL!$C$9, $D$9, 100%, $F$9) + CHOOSE(CONTROL!$C$27, 0.0021, 0)</f>
        <v>44.141999999999996</v>
      </c>
      <c r="K335" s="17">
        <f>44.1399 * CHOOSE(CONTROL!$C$9, $D$9, 100%, $F$9) + CHOOSE(CONTROL!$C$27, 0.0021, 0)</f>
        <v>44.141999999999996</v>
      </c>
      <c r="L335" s="17"/>
    </row>
    <row r="336" spans="1:12" ht="15.75" x14ac:dyDescent="0.25">
      <c r="A336" s="14">
        <v>51166</v>
      </c>
      <c r="B336" s="17">
        <f>44.0377 * CHOOSE(CONTROL!$C$9, $D$9, 100%, $F$9) + CHOOSE(CONTROL!$C$27, 0.0021, 0)</f>
        <v>44.0398</v>
      </c>
      <c r="C336" s="17">
        <f>43.6054 * CHOOSE(CONTROL!$C$9, $D$9, 100%, $F$9) + CHOOSE(CONTROL!$C$27, 0.0021, 0)</f>
        <v>43.607500000000002</v>
      </c>
      <c r="D336" s="17">
        <f>43.6054 * CHOOSE(CONTROL!$C$9, $D$9, 100%, $F$9) + CHOOSE(CONTROL!$C$27, 0.0021, 0)</f>
        <v>43.607500000000002</v>
      </c>
      <c r="E336" s="17">
        <f>43.4687 * CHOOSE(CONTROL!$C$9, $D$9, 100%, $F$9) + CHOOSE(CONTROL!$C$27, 0.0021, 0)</f>
        <v>43.470799999999997</v>
      </c>
      <c r="F336" s="17">
        <f>43.4687 * CHOOSE(CONTROL!$C$9, $D$9, 100%, $F$9) + CHOOSE(CONTROL!$C$27, 0.0021, 0)</f>
        <v>43.470799999999997</v>
      </c>
      <c r="G336" s="17">
        <f>43.7401 * CHOOSE(CONTROL!$C$9, $D$9, 100%, $F$9) + CHOOSE(CONTROL!$C$27, 0.0021, 0)</f>
        <v>43.742199999999997</v>
      </c>
      <c r="H336" s="17">
        <f>43.6054 * CHOOSE(CONTROL!$C$9, $D$9, 100%, $F$9) + CHOOSE(CONTROL!$C$27, 0.0021, 0)</f>
        <v>43.607500000000002</v>
      </c>
      <c r="I336" s="17">
        <f>43.6054 * CHOOSE(CONTROL!$C$9, $D$9, 100%, $F$9) + CHOOSE(CONTROL!$C$27, 0.0021, 0)</f>
        <v>43.607500000000002</v>
      </c>
      <c r="J336" s="17">
        <f>43.6054 * CHOOSE(CONTROL!$C$9, $D$9, 100%, $F$9) + CHOOSE(CONTROL!$C$27, 0.0021, 0)</f>
        <v>43.607500000000002</v>
      </c>
      <c r="K336" s="17">
        <f>43.6054 * CHOOSE(CONTROL!$C$9, $D$9, 100%, $F$9) + CHOOSE(CONTROL!$C$27, 0.0021, 0)</f>
        <v>43.607500000000002</v>
      </c>
      <c r="L336" s="17"/>
    </row>
    <row r="337" spans="1:12" ht="15.75" x14ac:dyDescent="0.25">
      <c r="A337" s="14">
        <v>51194</v>
      </c>
      <c r="B337" s="17">
        <f>42.8569 * CHOOSE(CONTROL!$C$9, $D$9, 100%, $F$9) + CHOOSE(CONTROL!$C$27, 0.0021, 0)</f>
        <v>42.859000000000002</v>
      </c>
      <c r="C337" s="17">
        <f>42.4246 * CHOOSE(CONTROL!$C$9, $D$9, 100%, $F$9) + CHOOSE(CONTROL!$C$27, 0.0021, 0)</f>
        <v>42.426699999999997</v>
      </c>
      <c r="D337" s="17">
        <f>42.4246 * CHOOSE(CONTROL!$C$9, $D$9, 100%, $F$9) + CHOOSE(CONTROL!$C$27, 0.0021, 0)</f>
        <v>42.426699999999997</v>
      </c>
      <c r="E337" s="17">
        <f>42.288 * CHOOSE(CONTROL!$C$9, $D$9, 100%, $F$9) + CHOOSE(CONTROL!$C$27, 0.0021, 0)</f>
        <v>42.290099999999995</v>
      </c>
      <c r="F337" s="17">
        <f>42.288 * CHOOSE(CONTROL!$C$9, $D$9, 100%, $F$9) + CHOOSE(CONTROL!$C$27, 0.0021, 0)</f>
        <v>42.290099999999995</v>
      </c>
      <c r="G337" s="17">
        <f>42.5593 * CHOOSE(CONTROL!$C$9, $D$9, 100%, $F$9) + CHOOSE(CONTROL!$C$27, 0.0021, 0)</f>
        <v>42.561399999999999</v>
      </c>
      <c r="H337" s="17">
        <f>42.4246 * CHOOSE(CONTROL!$C$9, $D$9, 100%, $F$9) + CHOOSE(CONTROL!$C$27, 0.0021, 0)</f>
        <v>42.426699999999997</v>
      </c>
      <c r="I337" s="17">
        <f>42.4246 * CHOOSE(CONTROL!$C$9, $D$9, 100%, $F$9) + CHOOSE(CONTROL!$C$27, 0.0021, 0)</f>
        <v>42.426699999999997</v>
      </c>
      <c r="J337" s="17">
        <f>42.4246 * CHOOSE(CONTROL!$C$9, $D$9, 100%, $F$9) + CHOOSE(CONTROL!$C$27, 0.0021, 0)</f>
        <v>42.426699999999997</v>
      </c>
      <c r="K337" s="17">
        <f>42.4246 * CHOOSE(CONTROL!$C$9, $D$9, 100%, $F$9) + CHOOSE(CONTROL!$C$27, 0.0021, 0)</f>
        <v>42.426699999999997</v>
      </c>
      <c r="L337" s="17"/>
    </row>
    <row r="338" spans="1:12" ht="15.75" x14ac:dyDescent="0.25">
      <c r="A338" s="14">
        <v>51226</v>
      </c>
      <c r="B338" s="17">
        <f>42.3694 * CHOOSE(CONTROL!$C$9, $D$9, 100%, $F$9) + CHOOSE(CONTROL!$C$27, 0.0021, 0)</f>
        <v>42.371499999999997</v>
      </c>
      <c r="C338" s="17">
        <f>41.9372 * CHOOSE(CONTROL!$C$9, $D$9, 100%, $F$9) + CHOOSE(CONTROL!$C$27, 0.0021, 0)</f>
        <v>41.939299999999996</v>
      </c>
      <c r="D338" s="17">
        <f>41.9372 * CHOOSE(CONTROL!$C$9, $D$9, 100%, $F$9) + CHOOSE(CONTROL!$C$27, 0.0021, 0)</f>
        <v>41.939299999999996</v>
      </c>
      <c r="E338" s="17">
        <f>41.8005 * CHOOSE(CONTROL!$C$9, $D$9, 100%, $F$9) + CHOOSE(CONTROL!$C$27, 0.0021, 0)</f>
        <v>41.802599999999998</v>
      </c>
      <c r="F338" s="17">
        <f>41.8005 * CHOOSE(CONTROL!$C$9, $D$9, 100%, $F$9) + CHOOSE(CONTROL!$C$27, 0.0021, 0)</f>
        <v>41.802599999999998</v>
      </c>
      <c r="G338" s="17">
        <f>42.0719 * CHOOSE(CONTROL!$C$9, $D$9, 100%, $F$9) + CHOOSE(CONTROL!$C$27, 0.0021, 0)</f>
        <v>42.073999999999998</v>
      </c>
      <c r="H338" s="17">
        <f>41.9372 * CHOOSE(CONTROL!$C$9, $D$9, 100%, $F$9) + CHOOSE(CONTROL!$C$27, 0.0021, 0)</f>
        <v>41.939299999999996</v>
      </c>
      <c r="I338" s="17">
        <f>41.9372 * CHOOSE(CONTROL!$C$9, $D$9, 100%, $F$9) + CHOOSE(CONTROL!$C$27, 0.0021, 0)</f>
        <v>41.939299999999996</v>
      </c>
      <c r="J338" s="17">
        <f>41.9372 * CHOOSE(CONTROL!$C$9, $D$9, 100%, $F$9) + CHOOSE(CONTROL!$C$27, 0.0021, 0)</f>
        <v>41.939299999999996</v>
      </c>
      <c r="K338" s="17">
        <f>41.9372 * CHOOSE(CONTROL!$C$9, $D$9, 100%, $F$9) + CHOOSE(CONTROL!$C$27, 0.0021, 0)</f>
        <v>41.939299999999996</v>
      </c>
      <c r="L338" s="17"/>
    </row>
    <row r="339" spans="1:12" ht="15.75" x14ac:dyDescent="0.25">
      <c r="A339" s="14">
        <v>51256</v>
      </c>
      <c r="B339" s="17">
        <f>41.7874 * CHOOSE(CONTROL!$C$9, $D$9, 100%, $F$9) + CHOOSE(CONTROL!$C$27, 0.0021, 0)</f>
        <v>41.789499999999997</v>
      </c>
      <c r="C339" s="17">
        <f>41.3552 * CHOOSE(CONTROL!$C$9, $D$9, 100%, $F$9) + CHOOSE(CONTROL!$C$27, 0.0021, 0)</f>
        <v>41.357300000000002</v>
      </c>
      <c r="D339" s="17">
        <f>41.3552 * CHOOSE(CONTROL!$C$9, $D$9, 100%, $F$9) + CHOOSE(CONTROL!$C$27, 0.0021, 0)</f>
        <v>41.357300000000002</v>
      </c>
      <c r="E339" s="17">
        <f>41.2185 * CHOOSE(CONTROL!$C$9, $D$9, 100%, $F$9) + CHOOSE(CONTROL!$C$27, 0.0021, 0)</f>
        <v>41.220599999999997</v>
      </c>
      <c r="F339" s="17">
        <f>41.2185 * CHOOSE(CONTROL!$C$9, $D$9, 100%, $F$9) + CHOOSE(CONTROL!$C$27, 0.0021, 0)</f>
        <v>41.220599999999997</v>
      </c>
      <c r="G339" s="17">
        <f>41.4899 * CHOOSE(CONTROL!$C$9, $D$9, 100%, $F$9) + CHOOSE(CONTROL!$C$27, 0.0021, 0)</f>
        <v>41.491999999999997</v>
      </c>
      <c r="H339" s="17">
        <f>41.3552 * CHOOSE(CONTROL!$C$9, $D$9, 100%, $F$9) + CHOOSE(CONTROL!$C$27, 0.0021, 0)</f>
        <v>41.357300000000002</v>
      </c>
      <c r="I339" s="17">
        <f>41.3552 * CHOOSE(CONTROL!$C$9, $D$9, 100%, $F$9) + CHOOSE(CONTROL!$C$27, 0.0021, 0)</f>
        <v>41.357300000000002</v>
      </c>
      <c r="J339" s="17">
        <f>41.3552 * CHOOSE(CONTROL!$C$9, $D$9, 100%, $F$9) + CHOOSE(CONTROL!$C$27, 0.0021, 0)</f>
        <v>41.357300000000002</v>
      </c>
      <c r="K339" s="17">
        <f>41.3552 * CHOOSE(CONTROL!$C$9, $D$9, 100%, $F$9) + CHOOSE(CONTROL!$C$27, 0.0021, 0)</f>
        <v>41.357300000000002</v>
      </c>
      <c r="L339" s="17"/>
    </row>
    <row r="340" spans="1:12" ht="15.75" x14ac:dyDescent="0.25">
      <c r="A340" s="14">
        <v>51287</v>
      </c>
      <c r="B340" s="17">
        <f>42.6169 * CHOOSE(CONTROL!$C$9, $D$9, 100%, $F$9) + CHOOSE(CONTROL!$C$27, 0.0021, 0)</f>
        <v>42.619</v>
      </c>
      <c r="C340" s="17">
        <f>42.1846 * CHOOSE(CONTROL!$C$9, $D$9, 100%, $F$9) + CHOOSE(CONTROL!$C$27, 0.0021, 0)</f>
        <v>42.186700000000002</v>
      </c>
      <c r="D340" s="17">
        <f>42.1846 * CHOOSE(CONTROL!$C$9, $D$9, 100%, $F$9) + CHOOSE(CONTROL!$C$27, 0.0021, 0)</f>
        <v>42.186700000000002</v>
      </c>
      <c r="E340" s="17">
        <f>42.048 * CHOOSE(CONTROL!$C$9, $D$9, 100%, $F$9) + CHOOSE(CONTROL!$C$27, 0.0021, 0)</f>
        <v>42.0501</v>
      </c>
      <c r="F340" s="17">
        <f>42.048 * CHOOSE(CONTROL!$C$9, $D$9, 100%, $F$9) + CHOOSE(CONTROL!$C$27, 0.0021, 0)</f>
        <v>42.0501</v>
      </c>
      <c r="G340" s="17">
        <f>42.3193 * CHOOSE(CONTROL!$C$9, $D$9, 100%, $F$9) + CHOOSE(CONTROL!$C$27, 0.0021, 0)</f>
        <v>42.321399999999997</v>
      </c>
      <c r="H340" s="17">
        <f>42.1846 * CHOOSE(CONTROL!$C$9, $D$9, 100%, $F$9) + CHOOSE(CONTROL!$C$27, 0.0021, 0)</f>
        <v>42.186700000000002</v>
      </c>
      <c r="I340" s="17">
        <f>42.1846 * CHOOSE(CONTROL!$C$9, $D$9, 100%, $F$9) + CHOOSE(CONTROL!$C$27, 0.0021, 0)</f>
        <v>42.186700000000002</v>
      </c>
      <c r="J340" s="17">
        <f>42.1846 * CHOOSE(CONTROL!$C$9, $D$9, 100%, $F$9) + CHOOSE(CONTROL!$C$27, 0.0021, 0)</f>
        <v>42.186700000000002</v>
      </c>
      <c r="K340" s="17">
        <f>42.1846 * CHOOSE(CONTROL!$C$9, $D$9, 100%, $F$9) + CHOOSE(CONTROL!$C$27, 0.0021, 0)</f>
        <v>42.186700000000002</v>
      </c>
      <c r="L340" s="17"/>
    </row>
    <row r="341" spans="1:12" ht="15.75" x14ac:dyDescent="0.25">
      <c r="A341" s="14">
        <v>51317</v>
      </c>
      <c r="B341" s="17">
        <f>43.1137 * CHOOSE(CONTROL!$C$9, $D$9, 100%, $F$9) + CHOOSE(CONTROL!$C$27, 0.0021, 0)</f>
        <v>43.1158</v>
      </c>
      <c r="C341" s="17">
        <f>42.6814 * CHOOSE(CONTROL!$C$9, $D$9, 100%, $F$9) + CHOOSE(CONTROL!$C$27, 0.0021, 0)</f>
        <v>42.683499999999995</v>
      </c>
      <c r="D341" s="17">
        <f>42.6814 * CHOOSE(CONTROL!$C$9, $D$9, 100%, $F$9) + CHOOSE(CONTROL!$C$27, 0.0021, 0)</f>
        <v>42.683499999999995</v>
      </c>
      <c r="E341" s="17">
        <f>42.5447 * CHOOSE(CONTROL!$C$9, $D$9, 100%, $F$9) + CHOOSE(CONTROL!$C$27, 0.0021, 0)</f>
        <v>42.546799999999998</v>
      </c>
      <c r="F341" s="17">
        <f>42.5447 * CHOOSE(CONTROL!$C$9, $D$9, 100%, $F$9) + CHOOSE(CONTROL!$C$27, 0.0021, 0)</f>
        <v>42.546799999999998</v>
      </c>
      <c r="G341" s="17">
        <f>42.8161 * CHOOSE(CONTROL!$C$9, $D$9, 100%, $F$9) + CHOOSE(CONTROL!$C$27, 0.0021, 0)</f>
        <v>42.818199999999997</v>
      </c>
      <c r="H341" s="17">
        <f>42.6814 * CHOOSE(CONTROL!$C$9, $D$9, 100%, $F$9) + CHOOSE(CONTROL!$C$27, 0.0021, 0)</f>
        <v>42.683499999999995</v>
      </c>
      <c r="I341" s="17">
        <f>42.6814 * CHOOSE(CONTROL!$C$9, $D$9, 100%, $F$9) + CHOOSE(CONTROL!$C$27, 0.0021, 0)</f>
        <v>42.683499999999995</v>
      </c>
      <c r="J341" s="17">
        <f>42.6814 * CHOOSE(CONTROL!$C$9, $D$9, 100%, $F$9) + CHOOSE(CONTROL!$C$27, 0.0021, 0)</f>
        <v>42.683499999999995</v>
      </c>
      <c r="K341" s="17">
        <f>42.6814 * CHOOSE(CONTROL!$C$9, $D$9, 100%, $F$9) + CHOOSE(CONTROL!$C$27, 0.0021, 0)</f>
        <v>42.683499999999995</v>
      </c>
      <c r="L341" s="17"/>
    </row>
    <row r="342" spans="1:12" ht="15.75" x14ac:dyDescent="0.25">
      <c r="A342" s="14">
        <v>51348</v>
      </c>
      <c r="B342" s="17">
        <f>43.9332 * CHOOSE(CONTROL!$C$9, $D$9, 100%, $F$9) + CHOOSE(CONTROL!$C$27, 0.0021, 0)</f>
        <v>43.935299999999998</v>
      </c>
      <c r="C342" s="17">
        <f>43.5009 * CHOOSE(CONTROL!$C$9, $D$9, 100%, $F$9) + CHOOSE(CONTROL!$C$27, 0.0021, 0)</f>
        <v>43.503</v>
      </c>
      <c r="D342" s="17">
        <f>43.5009 * CHOOSE(CONTROL!$C$9, $D$9, 100%, $F$9) + CHOOSE(CONTROL!$C$27, 0.0021, 0)</f>
        <v>43.503</v>
      </c>
      <c r="E342" s="17">
        <f>43.3643 * CHOOSE(CONTROL!$C$9, $D$9, 100%, $F$9) + CHOOSE(CONTROL!$C$27, 0.0021, 0)</f>
        <v>43.366399999999999</v>
      </c>
      <c r="F342" s="17">
        <f>43.3643 * CHOOSE(CONTROL!$C$9, $D$9, 100%, $F$9) + CHOOSE(CONTROL!$C$27, 0.0021, 0)</f>
        <v>43.366399999999999</v>
      </c>
      <c r="G342" s="17">
        <f>43.6356 * CHOOSE(CONTROL!$C$9, $D$9, 100%, $F$9) + CHOOSE(CONTROL!$C$27, 0.0021, 0)</f>
        <v>43.637699999999995</v>
      </c>
      <c r="H342" s="17">
        <f>43.5009 * CHOOSE(CONTROL!$C$9, $D$9, 100%, $F$9) + CHOOSE(CONTROL!$C$27, 0.0021, 0)</f>
        <v>43.503</v>
      </c>
      <c r="I342" s="17">
        <f>43.5009 * CHOOSE(CONTROL!$C$9, $D$9, 100%, $F$9) + CHOOSE(CONTROL!$C$27, 0.0021, 0)</f>
        <v>43.503</v>
      </c>
      <c r="J342" s="17">
        <f>43.5009 * CHOOSE(CONTROL!$C$9, $D$9, 100%, $F$9) + CHOOSE(CONTROL!$C$27, 0.0021, 0)</f>
        <v>43.503</v>
      </c>
      <c r="K342" s="17">
        <f>43.5009 * CHOOSE(CONTROL!$C$9, $D$9, 100%, $F$9) + CHOOSE(CONTROL!$C$27, 0.0021, 0)</f>
        <v>43.503</v>
      </c>
      <c r="L342" s="17"/>
    </row>
    <row r="343" spans="1:12" ht="15.75" x14ac:dyDescent="0.25">
      <c r="A343" s="14">
        <v>51379</v>
      </c>
      <c r="B343" s="17">
        <f>44.1833 * CHOOSE(CONTROL!$C$9, $D$9, 100%, $F$9) + CHOOSE(CONTROL!$C$27, 0.0021, 0)</f>
        <v>44.185400000000001</v>
      </c>
      <c r="C343" s="17">
        <f>43.7511 * CHOOSE(CONTROL!$C$9, $D$9, 100%, $F$9) + CHOOSE(CONTROL!$C$27, 0.0021, 0)</f>
        <v>43.7532</v>
      </c>
      <c r="D343" s="17">
        <f>43.7511 * CHOOSE(CONTROL!$C$9, $D$9, 100%, $F$9) + CHOOSE(CONTROL!$C$27, 0.0021, 0)</f>
        <v>43.7532</v>
      </c>
      <c r="E343" s="17">
        <f>43.6144 * CHOOSE(CONTROL!$C$9, $D$9, 100%, $F$9) + CHOOSE(CONTROL!$C$27, 0.0021, 0)</f>
        <v>43.616500000000002</v>
      </c>
      <c r="F343" s="17">
        <f>43.6144 * CHOOSE(CONTROL!$C$9, $D$9, 100%, $F$9) + CHOOSE(CONTROL!$C$27, 0.0021, 0)</f>
        <v>43.616500000000002</v>
      </c>
      <c r="G343" s="17">
        <f>43.8858 * CHOOSE(CONTROL!$C$9, $D$9, 100%, $F$9) + CHOOSE(CONTROL!$C$27, 0.0021, 0)</f>
        <v>43.887900000000002</v>
      </c>
      <c r="H343" s="17">
        <f>43.7511 * CHOOSE(CONTROL!$C$9, $D$9, 100%, $F$9) + CHOOSE(CONTROL!$C$27, 0.0021, 0)</f>
        <v>43.7532</v>
      </c>
      <c r="I343" s="17">
        <f>43.7511 * CHOOSE(CONTROL!$C$9, $D$9, 100%, $F$9) + CHOOSE(CONTROL!$C$27, 0.0021, 0)</f>
        <v>43.7532</v>
      </c>
      <c r="J343" s="17">
        <f>43.7511 * CHOOSE(CONTROL!$C$9, $D$9, 100%, $F$9) + CHOOSE(CONTROL!$C$27, 0.0021, 0)</f>
        <v>43.7532</v>
      </c>
      <c r="K343" s="17">
        <f>43.7511 * CHOOSE(CONTROL!$C$9, $D$9, 100%, $F$9) + CHOOSE(CONTROL!$C$27, 0.0021, 0)</f>
        <v>43.7532</v>
      </c>
      <c r="L343" s="17"/>
    </row>
    <row r="344" spans="1:12" ht="15.75" x14ac:dyDescent="0.25">
      <c r="A344" s="14">
        <v>51409</v>
      </c>
      <c r="B344" s="17">
        <f>45.0352 * CHOOSE(CONTROL!$C$9, $D$9, 100%, $F$9) + CHOOSE(CONTROL!$C$27, 0.0021, 0)</f>
        <v>45.037300000000002</v>
      </c>
      <c r="C344" s="17">
        <f>44.6029 * CHOOSE(CONTROL!$C$9, $D$9, 100%, $F$9) + CHOOSE(CONTROL!$C$27, 0.0021, 0)</f>
        <v>44.604999999999997</v>
      </c>
      <c r="D344" s="17">
        <f>44.6029 * CHOOSE(CONTROL!$C$9, $D$9, 100%, $F$9) + CHOOSE(CONTROL!$C$27, 0.0021, 0)</f>
        <v>44.604999999999997</v>
      </c>
      <c r="E344" s="17">
        <f>44.4663 * CHOOSE(CONTROL!$C$9, $D$9, 100%, $F$9) + CHOOSE(CONTROL!$C$27, 0.0021, 0)</f>
        <v>44.468399999999995</v>
      </c>
      <c r="F344" s="17">
        <f>44.4663 * CHOOSE(CONTROL!$C$9, $D$9, 100%, $F$9) + CHOOSE(CONTROL!$C$27, 0.0021, 0)</f>
        <v>44.468399999999995</v>
      </c>
      <c r="G344" s="17">
        <f>44.7376 * CHOOSE(CONTROL!$C$9, $D$9, 100%, $F$9) + CHOOSE(CONTROL!$C$27, 0.0021, 0)</f>
        <v>44.739699999999999</v>
      </c>
      <c r="H344" s="17">
        <f>44.6029 * CHOOSE(CONTROL!$C$9, $D$9, 100%, $F$9) + CHOOSE(CONTROL!$C$27, 0.0021, 0)</f>
        <v>44.604999999999997</v>
      </c>
      <c r="I344" s="17">
        <f>44.6029 * CHOOSE(CONTROL!$C$9, $D$9, 100%, $F$9) + CHOOSE(CONTROL!$C$27, 0.0021, 0)</f>
        <v>44.604999999999997</v>
      </c>
      <c r="J344" s="17">
        <f>44.6029 * CHOOSE(CONTROL!$C$9, $D$9, 100%, $F$9) + CHOOSE(CONTROL!$C$27, 0.0021, 0)</f>
        <v>44.604999999999997</v>
      </c>
      <c r="K344" s="17">
        <f>44.6029 * CHOOSE(CONTROL!$C$9, $D$9, 100%, $F$9) + CHOOSE(CONTROL!$C$27, 0.0021, 0)</f>
        <v>44.604999999999997</v>
      </c>
      <c r="L344" s="17"/>
    </row>
    <row r="345" spans="1:12" ht="15.75" x14ac:dyDescent="0.25">
      <c r="A345" s="14">
        <v>51440</v>
      </c>
      <c r="B345" s="17">
        <f>46.1135 * CHOOSE(CONTROL!$C$9, $D$9, 100%, $F$9) + CHOOSE(CONTROL!$C$27, 0.0021, 0)</f>
        <v>46.115600000000001</v>
      </c>
      <c r="C345" s="17">
        <f>45.6812 * CHOOSE(CONTROL!$C$9, $D$9, 100%, $F$9) + CHOOSE(CONTROL!$C$27, 0.0021, 0)</f>
        <v>45.683299999999996</v>
      </c>
      <c r="D345" s="17">
        <f>45.6812 * CHOOSE(CONTROL!$C$9, $D$9, 100%, $F$9) + CHOOSE(CONTROL!$C$27, 0.0021, 0)</f>
        <v>45.683299999999996</v>
      </c>
      <c r="E345" s="17">
        <f>45.5445 * CHOOSE(CONTROL!$C$9, $D$9, 100%, $F$9) + CHOOSE(CONTROL!$C$27, 0.0021, 0)</f>
        <v>45.546599999999998</v>
      </c>
      <c r="F345" s="17">
        <f>45.5445 * CHOOSE(CONTROL!$C$9, $D$9, 100%, $F$9) + CHOOSE(CONTROL!$C$27, 0.0021, 0)</f>
        <v>45.546599999999998</v>
      </c>
      <c r="G345" s="17">
        <f>45.8159 * CHOOSE(CONTROL!$C$9, $D$9, 100%, $F$9) + CHOOSE(CONTROL!$C$27, 0.0021, 0)</f>
        <v>45.817999999999998</v>
      </c>
      <c r="H345" s="17">
        <f>45.6812 * CHOOSE(CONTROL!$C$9, $D$9, 100%, $F$9) + CHOOSE(CONTROL!$C$27, 0.0021, 0)</f>
        <v>45.683299999999996</v>
      </c>
      <c r="I345" s="17">
        <f>45.6812 * CHOOSE(CONTROL!$C$9, $D$9, 100%, $F$9) + CHOOSE(CONTROL!$C$27, 0.0021, 0)</f>
        <v>45.683299999999996</v>
      </c>
      <c r="J345" s="17">
        <f>45.6812 * CHOOSE(CONTROL!$C$9, $D$9, 100%, $F$9) + CHOOSE(CONTROL!$C$27, 0.0021, 0)</f>
        <v>45.683299999999996</v>
      </c>
      <c r="K345" s="17">
        <f>45.6812 * CHOOSE(CONTROL!$C$9, $D$9, 100%, $F$9) + CHOOSE(CONTROL!$C$27, 0.0021, 0)</f>
        <v>45.683299999999996</v>
      </c>
      <c r="L345" s="17"/>
    </row>
    <row r="346" spans="1:12" ht="15.75" x14ac:dyDescent="0.25">
      <c r="A346" s="14">
        <v>51470</v>
      </c>
      <c r="B346" s="17">
        <f>46.2147 * CHOOSE(CONTROL!$C$9, $D$9, 100%, $F$9) + CHOOSE(CONTROL!$C$27, 0.0021, 0)</f>
        <v>46.216799999999999</v>
      </c>
      <c r="C346" s="17">
        <f>45.7824 * CHOOSE(CONTROL!$C$9, $D$9, 100%, $F$9) + CHOOSE(CONTROL!$C$27, 0.0021, 0)</f>
        <v>45.784500000000001</v>
      </c>
      <c r="D346" s="17">
        <f>45.7824 * CHOOSE(CONTROL!$C$9, $D$9, 100%, $F$9) + CHOOSE(CONTROL!$C$27, 0.0021, 0)</f>
        <v>45.784500000000001</v>
      </c>
      <c r="E346" s="17">
        <f>45.6458 * CHOOSE(CONTROL!$C$9, $D$9, 100%, $F$9) + CHOOSE(CONTROL!$C$27, 0.0021, 0)</f>
        <v>45.6479</v>
      </c>
      <c r="F346" s="17">
        <f>45.6458 * CHOOSE(CONTROL!$C$9, $D$9, 100%, $F$9) + CHOOSE(CONTROL!$C$27, 0.0021, 0)</f>
        <v>45.6479</v>
      </c>
      <c r="G346" s="17">
        <f>45.9172 * CHOOSE(CONTROL!$C$9, $D$9, 100%, $F$9) + CHOOSE(CONTROL!$C$27, 0.0021, 0)</f>
        <v>45.9193</v>
      </c>
      <c r="H346" s="17">
        <f>45.7824 * CHOOSE(CONTROL!$C$9, $D$9, 100%, $F$9) + CHOOSE(CONTROL!$C$27, 0.0021, 0)</f>
        <v>45.784500000000001</v>
      </c>
      <c r="I346" s="17">
        <f>45.7824 * CHOOSE(CONTROL!$C$9, $D$9, 100%, $F$9) + CHOOSE(CONTROL!$C$27, 0.0021, 0)</f>
        <v>45.784500000000001</v>
      </c>
      <c r="J346" s="17">
        <f>45.7824 * CHOOSE(CONTROL!$C$9, $D$9, 100%, $F$9) + CHOOSE(CONTROL!$C$27, 0.0021, 0)</f>
        <v>45.784500000000001</v>
      </c>
      <c r="K346" s="17">
        <f>45.7824 * CHOOSE(CONTROL!$C$9, $D$9, 100%, $F$9) + CHOOSE(CONTROL!$C$27, 0.0021, 0)</f>
        <v>45.784500000000001</v>
      </c>
      <c r="L346" s="17"/>
    </row>
    <row r="347" spans="1:12" ht="15.75" x14ac:dyDescent="0.25">
      <c r="A347" s="14">
        <v>51501</v>
      </c>
      <c r="B347" s="17">
        <f>45.3535 * CHOOSE(CONTROL!$C$9, $D$9, 100%, $F$9) + CHOOSE(CONTROL!$C$27, 0.0021, 0)</f>
        <v>45.355599999999995</v>
      </c>
      <c r="C347" s="17">
        <f>44.9212 * CHOOSE(CONTROL!$C$9, $D$9, 100%, $F$9) + CHOOSE(CONTROL!$C$27, 0.0021, 0)</f>
        <v>44.923299999999998</v>
      </c>
      <c r="D347" s="17">
        <f>44.9212 * CHOOSE(CONTROL!$C$9, $D$9, 100%, $F$9) + CHOOSE(CONTROL!$C$27, 0.0021, 0)</f>
        <v>44.923299999999998</v>
      </c>
      <c r="E347" s="17">
        <f>44.7846 * CHOOSE(CONTROL!$C$9, $D$9, 100%, $F$9) + CHOOSE(CONTROL!$C$27, 0.0021, 0)</f>
        <v>44.786699999999996</v>
      </c>
      <c r="F347" s="17">
        <f>44.7846 * CHOOSE(CONTROL!$C$9, $D$9, 100%, $F$9) + CHOOSE(CONTROL!$C$27, 0.0021, 0)</f>
        <v>44.786699999999996</v>
      </c>
      <c r="G347" s="17">
        <f>45.0559 * CHOOSE(CONTROL!$C$9, $D$9, 100%, $F$9) + CHOOSE(CONTROL!$C$27, 0.0021, 0)</f>
        <v>45.058</v>
      </c>
      <c r="H347" s="17">
        <f>44.9212 * CHOOSE(CONTROL!$C$9, $D$9, 100%, $F$9) + CHOOSE(CONTROL!$C$27, 0.0021, 0)</f>
        <v>44.923299999999998</v>
      </c>
      <c r="I347" s="17">
        <f>44.9212 * CHOOSE(CONTROL!$C$9, $D$9, 100%, $F$9) + CHOOSE(CONTROL!$C$27, 0.0021, 0)</f>
        <v>44.923299999999998</v>
      </c>
      <c r="J347" s="17">
        <f>44.9212 * CHOOSE(CONTROL!$C$9, $D$9, 100%, $F$9) + CHOOSE(CONTROL!$C$27, 0.0021, 0)</f>
        <v>44.923299999999998</v>
      </c>
      <c r="K347" s="17">
        <f>44.9212 * CHOOSE(CONTROL!$C$9, $D$9, 100%, $F$9) + CHOOSE(CONTROL!$C$27, 0.0021, 0)</f>
        <v>44.923299999999998</v>
      </c>
      <c r="L347" s="17"/>
    </row>
    <row r="348" spans="1:12" ht="15.75" x14ac:dyDescent="0.25">
      <c r="A348" s="14">
        <v>51532</v>
      </c>
      <c r="B348" s="17">
        <f>44.8091 * CHOOSE(CONTROL!$C$9, $D$9, 100%, $F$9) + CHOOSE(CONTROL!$C$27, 0.0021, 0)</f>
        <v>44.811199999999999</v>
      </c>
      <c r="C348" s="17">
        <f>44.3769 * CHOOSE(CONTROL!$C$9, $D$9, 100%, $F$9) + CHOOSE(CONTROL!$C$27, 0.0021, 0)</f>
        <v>44.378999999999998</v>
      </c>
      <c r="D348" s="17">
        <f>44.3769 * CHOOSE(CONTROL!$C$9, $D$9, 100%, $F$9) + CHOOSE(CONTROL!$C$27, 0.0021, 0)</f>
        <v>44.378999999999998</v>
      </c>
      <c r="E348" s="17">
        <f>44.2402 * CHOOSE(CONTROL!$C$9, $D$9, 100%, $F$9) + CHOOSE(CONTROL!$C$27, 0.0021, 0)</f>
        <v>44.2423</v>
      </c>
      <c r="F348" s="17">
        <f>44.2402 * CHOOSE(CONTROL!$C$9, $D$9, 100%, $F$9) + CHOOSE(CONTROL!$C$27, 0.0021, 0)</f>
        <v>44.2423</v>
      </c>
      <c r="G348" s="17">
        <f>44.5116 * CHOOSE(CONTROL!$C$9, $D$9, 100%, $F$9) + CHOOSE(CONTROL!$C$27, 0.0021, 0)</f>
        <v>44.5137</v>
      </c>
      <c r="H348" s="17">
        <f>44.3769 * CHOOSE(CONTROL!$C$9, $D$9, 100%, $F$9) + CHOOSE(CONTROL!$C$27, 0.0021, 0)</f>
        <v>44.378999999999998</v>
      </c>
      <c r="I348" s="17">
        <f>44.3769 * CHOOSE(CONTROL!$C$9, $D$9, 100%, $F$9) + CHOOSE(CONTROL!$C$27, 0.0021, 0)</f>
        <v>44.378999999999998</v>
      </c>
      <c r="J348" s="17">
        <f>44.3769 * CHOOSE(CONTROL!$C$9, $D$9, 100%, $F$9) + CHOOSE(CONTROL!$C$27, 0.0021, 0)</f>
        <v>44.378999999999998</v>
      </c>
      <c r="K348" s="17">
        <f>44.3769 * CHOOSE(CONTROL!$C$9, $D$9, 100%, $F$9) + CHOOSE(CONTROL!$C$27, 0.0021, 0)</f>
        <v>44.378999999999998</v>
      </c>
      <c r="L348" s="17"/>
    </row>
    <row r="349" spans="1:12" ht="15.75" x14ac:dyDescent="0.25">
      <c r="A349" s="14">
        <v>51560</v>
      </c>
      <c r="B349" s="17">
        <f>43.6065 * CHOOSE(CONTROL!$C$9, $D$9, 100%, $F$9) + CHOOSE(CONTROL!$C$27, 0.0021, 0)</f>
        <v>43.608599999999996</v>
      </c>
      <c r="C349" s="17">
        <f>43.1743 * CHOOSE(CONTROL!$C$9, $D$9, 100%, $F$9) + CHOOSE(CONTROL!$C$27, 0.0021, 0)</f>
        <v>43.176400000000001</v>
      </c>
      <c r="D349" s="17">
        <f>43.1743 * CHOOSE(CONTROL!$C$9, $D$9, 100%, $F$9) + CHOOSE(CONTROL!$C$27, 0.0021, 0)</f>
        <v>43.176400000000001</v>
      </c>
      <c r="E349" s="17">
        <f>43.0376 * CHOOSE(CONTROL!$C$9, $D$9, 100%, $F$9) + CHOOSE(CONTROL!$C$27, 0.0021, 0)</f>
        <v>43.039699999999996</v>
      </c>
      <c r="F349" s="17">
        <f>43.0376 * CHOOSE(CONTROL!$C$9, $D$9, 100%, $F$9) + CHOOSE(CONTROL!$C$27, 0.0021, 0)</f>
        <v>43.039699999999996</v>
      </c>
      <c r="G349" s="17">
        <f>43.309 * CHOOSE(CONTROL!$C$9, $D$9, 100%, $F$9) + CHOOSE(CONTROL!$C$27, 0.0021, 0)</f>
        <v>43.311099999999996</v>
      </c>
      <c r="H349" s="17">
        <f>43.1743 * CHOOSE(CONTROL!$C$9, $D$9, 100%, $F$9) + CHOOSE(CONTROL!$C$27, 0.0021, 0)</f>
        <v>43.176400000000001</v>
      </c>
      <c r="I349" s="17">
        <f>43.1743 * CHOOSE(CONTROL!$C$9, $D$9, 100%, $F$9) + CHOOSE(CONTROL!$C$27, 0.0021, 0)</f>
        <v>43.176400000000001</v>
      </c>
      <c r="J349" s="17">
        <f>43.1743 * CHOOSE(CONTROL!$C$9, $D$9, 100%, $F$9) + CHOOSE(CONTROL!$C$27, 0.0021, 0)</f>
        <v>43.176400000000001</v>
      </c>
      <c r="K349" s="17">
        <f>43.1743 * CHOOSE(CONTROL!$C$9, $D$9, 100%, $F$9) + CHOOSE(CONTROL!$C$27, 0.0021, 0)</f>
        <v>43.176400000000001</v>
      </c>
      <c r="L349" s="17"/>
    </row>
    <row r="350" spans="1:12" ht="15.75" x14ac:dyDescent="0.25">
      <c r="A350" s="14">
        <v>51591</v>
      </c>
      <c r="B350" s="17">
        <f>43.1101 * CHOOSE(CONTROL!$C$9, $D$9, 100%, $F$9) + CHOOSE(CONTROL!$C$27, 0.0021, 0)</f>
        <v>43.112200000000001</v>
      </c>
      <c r="C350" s="17">
        <f>42.6779 * CHOOSE(CONTROL!$C$9, $D$9, 100%, $F$9) + CHOOSE(CONTROL!$C$27, 0.0021, 0)</f>
        <v>42.68</v>
      </c>
      <c r="D350" s="17">
        <f>42.6779 * CHOOSE(CONTROL!$C$9, $D$9, 100%, $F$9) + CHOOSE(CONTROL!$C$27, 0.0021, 0)</f>
        <v>42.68</v>
      </c>
      <c r="E350" s="17">
        <f>42.5412 * CHOOSE(CONTROL!$C$9, $D$9, 100%, $F$9) + CHOOSE(CONTROL!$C$27, 0.0021, 0)</f>
        <v>42.543300000000002</v>
      </c>
      <c r="F350" s="17">
        <f>42.5412 * CHOOSE(CONTROL!$C$9, $D$9, 100%, $F$9) + CHOOSE(CONTROL!$C$27, 0.0021, 0)</f>
        <v>42.543300000000002</v>
      </c>
      <c r="G350" s="17">
        <f>42.8126 * CHOOSE(CONTROL!$C$9, $D$9, 100%, $F$9) + CHOOSE(CONTROL!$C$27, 0.0021, 0)</f>
        <v>42.814700000000002</v>
      </c>
      <c r="H350" s="17">
        <f>42.6779 * CHOOSE(CONTROL!$C$9, $D$9, 100%, $F$9) + CHOOSE(CONTROL!$C$27, 0.0021, 0)</f>
        <v>42.68</v>
      </c>
      <c r="I350" s="17">
        <f>42.6779 * CHOOSE(CONTROL!$C$9, $D$9, 100%, $F$9) + CHOOSE(CONTROL!$C$27, 0.0021, 0)</f>
        <v>42.68</v>
      </c>
      <c r="J350" s="17">
        <f>42.6779 * CHOOSE(CONTROL!$C$9, $D$9, 100%, $F$9) + CHOOSE(CONTROL!$C$27, 0.0021, 0)</f>
        <v>42.68</v>
      </c>
      <c r="K350" s="17">
        <f>42.6779 * CHOOSE(CONTROL!$C$9, $D$9, 100%, $F$9) + CHOOSE(CONTROL!$C$27, 0.0021, 0)</f>
        <v>42.68</v>
      </c>
      <c r="L350" s="17"/>
    </row>
    <row r="351" spans="1:12" ht="15.75" x14ac:dyDescent="0.25">
      <c r="A351" s="14">
        <v>51621</v>
      </c>
      <c r="B351" s="17">
        <f>42.5173 * CHOOSE(CONTROL!$C$9, $D$9, 100%, $F$9) + CHOOSE(CONTROL!$C$27, 0.0021, 0)</f>
        <v>42.519399999999997</v>
      </c>
      <c r="C351" s="17">
        <f>42.0851 * CHOOSE(CONTROL!$C$9, $D$9, 100%, $F$9) + CHOOSE(CONTROL!$C$27, 0.0021, 0)</f>
        <v>42.087199999999996</v>
      </c>
      <c r="D351" s="17">
        <f>42.0851 * CHOOSE(CONTROL!$C$9, $D$9, 100%, $F$9) + CHOOSE(CONTROL!$C$27, 0.0021, 0)</f>
        <v>42.087199999999996</v>
      </c>
      <c r="E351" s="17">
        <f>41.9484 * CHOOSE(CONTROL!$C$9, $D$9, 100%, $F$9) + CHOOSE(CONTROL!$C$27, 0.0021, 0)</f>
        <v>41.950499999999998</v>
      </c>
      <c r="F351" s="17">
        <f>41.9484 * CHOOSE(CONTROL!$C$9, $D$9, 100%, $F$9) + CHOOSE(CONTROL!$C$27, 0.0021, 0)</f>
        <v>41.950499999999998</v>
      </c>
      <c r="G351" s="17">
        <f>42.2198 * CHOOSE(CONTROL!$C$9, $D$9, 100%, $F$9) + CHOOSE(CONTROL!$C$27, 0.0021, 0)</f>
        <v>42.221899999999998</v>
      </c>
      <c r="H351" s="17">
        <f>42.0851 * CHOOSE(CONTROL!$C$9, $D$9, 100%, $F$9) + CHOOSE(CONTROL!$C$27, 0.0021, 0)</f>
        <v>42.087199999999996</v>
      </c>
      <c r="I351" s="17">
        <f>42.0851 * CHOOSE(CONTROL!$C$9, $D$9, 100%, $F$9) + CHOOSE(CONTROL!$C$27, 0.0021, 0)</f>
        <v>42.087199999999996</v>
      </c>
      <c r="J351" s="17">
        <f>42.0851 * CHOOSE(CONTROL!$C$9, $D$9, 100%, $F$9) + CHOOSE(CONTROL!$C$27, 0.0021, 0)</f>
        <v>42.087199999999996</v>
      </c>
      <c r="K351" s="17">
        <f>42.0851 * CHOOSE(CONTROL!$C$9, $D$9, 100%, $F$9) + CHOOSE(CONTROL!$C$27, 0.0021, 0)</f>
        <v>42.087199999999996</v>
      </c>
      <c r="L351" s="17"/>
    </row>
    <row r="352" spans="1:12" ht="15.75" x14ac:dyDescent="0.25">
      <c r="A352" s="14">
        <v>51652</v>
      </c>
      <c r="B352" s="17">
        <f>43.3621 * CHOOSE(CONTROL!$C$9, $D$9, 100%, $F$9) + CHOOSE(CONTROL!$C$27, 0.0021, 0)</f>
        <v>43.364199999999997</v>
      </c>
      <c r="C352" s="17">
        <f>42.9298 * CHOOSE(CONTROL!$C$9, $D$9, 100%, $F$9) + CHOOSE(CONTROL!$C$27, 0.0021, 0)</f>
        <v>42.931899999999999</v>
      </c>
      <c r="D352" s="17">
        <f>42.9298 * CHOOSE(CONTROL!$C$9, $D$9, 100%, $F$9) + CHOOSE(CONTROL!$C$27, 0.0021, 0)</f>
        <v>42.931899999999999</v>
      </c>
      <c r="E352" s="17">
        <f>42.7932 * CHOOSE(CONTROL!$C$9, $D$9, 100%, $F$9) + CHOOSE(CONTROL!$C$27, 0.0021, 0)</f>
        <v>42.795299999999997</v>
      </c>
      <c r="F352" s="17">
        <f>42.7932 * CHOOSE(CONTROL!$C$9, $D$9, 100%, $F$9) + CHOOSE(CONTROL!$C$27, 0.0021, 0)</f>
        <v>42.795299999999997</v>
      </c>
      <c r="G352" s="17">
        <f>43.0646 * CHOOSE(CONTROL!$C$9, $D$9, 100%, $F$9) + CHOOSE(CONTROL!$C$27, 0.0021, 0)</f>
        <v>43.066699999999997</v>
      </c>
      <c r="H352" s="17">
        <f>42.9298 * CHOOSE(CONTROL!$C$9, $D$9, 100%, $F$9) + CHOOSE(CONTROL!$C$27, 0.0021, 0)</f>
        <v>42.931899999999999</v>
      </c>
      <c r="I352" s="17">
        <f>42.9298 * CHOOSE(CONTROL!$C$9, $D$9, 100%, $F$9) + CHOOSE(CONTROL!$C$27, 0.0021, 0)</f>
        <v>42.931899999999999</v>
      </c>
      <c r="J352" s="17">
        <f>42.9298 * CHOOSE(CONTROL!$C$9, $D$9, 100%, $F$9) + CHOOSE(CONTROL!$C$27, 0.0021, 0)</f>
        <v>42.931899999999999</v>
      </c>
      <c r="K352" s="17">
        <f>42.9298 * CHOOSE(CONTROL!$C$9, $D$9, 100%, $F$9) + CHOOSE(CONTROL!$C$27, 0.0021, 0)</f>
        <v>42.931899999999999</v>
      </c>
      <c r="L352" s="17"/>
    </row>
    <row r="353" spans="1:12" ht="15.75" x14ac:dyDescent="0.25">
      <c r="A353" s="14">
        <v>51682</v>
      </c>
      <c r="B353" s="17">
        <f>43.8681 * CHOOSE(CONTROL!$C$9, $D$9, 100%, $F$9) + CHOOSE(CONTROL!$C$27, 0.0021, 0)</f>
        <v>43.870199999999997</v>
      </c>
      <c r="C353" s="17">
        <f>43.4358 * CHOOSE(CONTROL!$C$9, $D$9, 100%, $F$9) + CHOOSE(CONTROL!$C$27, 0.0021, 0)</f>
        <v>43.437899999999999</v>
      </c>
      <c r="D353" s="17">
        <f>43.4358 * CHOOSE(CONTROL!$C$9, $D$9, 100%, $F$9) + CHOOSE(CONTROL!$C$27, 0.0021, 0)</f>
        <v>43.437899999999999</v>
      </c>
      <c r="E353" s="17">
        <f>43.2992 * CHOOSE(CONTROL!$C$9, $D$9, 100%, $F$9) + CHOOSE(CONTROL!$C$27, 0.0021, 0)</f>
        <v>43.301299999999998</v>
      </c>
      <c r="F353" s="17">
        <f>43.2992 * CHOOSE(CONTROL!$C$9, $D$9, 100%, $F$9) + CHOOSE(CONTROL!$C$27, 0.0021, 0)</f>
        <v>43.301299999999998</v>
      </c>
      <c r="G353" s="17">
        <f>43.5705 * CHOOSE(CONTROL!$C$9, $D$9, 100%, $F$9) + CHOOSE(CONTROL!$C$27, 0.0021, 0)</f>
        <v>43.572600000000001</v>
      </c>
      <c r="H353" s="17">
        <f>43.4358 * CHOOSE(CONTROL!$C$9, $D$9, 100%, $F$9) + CHOOSE(CONTROL!$C$27, 0.0021, 0)</f>
        <v>43.437899999999999</v>
      </c>
      <c r="I353" s="17">
        <f>43.4358 * CHOOSE(CONTROL!$C$9, $D$9, 100%, $F$9) + CHOOSE(CONTROL!$C$27, 0.0021, 0)</f>
        <v>43.437899999999999</v>
      </c>
      <c r="J353" s="17">
        <f>43.4358 * CHOOSE(CONTROL!$C$9, $D$9, 100%, $F$9) + CHOOSE(CONTROL!$C$27, 0.0021, 0)</f>
        <v>43.437899999999999</v>
      </c>
      <c r="K353" s="17">
        <f>43.4358 * CHOOSE(CONTROL!$C$9, $D$9, 100%, $F$9) + CHOOSE(CONTROL!$C$27, 0.0021, 0)</f>
        <v>43.437899999999999</v>
      </c>
      <c r="L353" s="17"/>
    </row>
    <row r="354" spans="1:12" ht="15.75" x14ac:dyDescent="0.25">
      <c r="A354" s="14">
        <v>51713</v>
      </c>
      <c r="B354" s="17">
        <f>44.7027 * CHOOSE(CONTROL!$C$9, $D$9, 100%, $F$9) + CHOOSE(CONTROL!$C$27, 0.0021, 0)</f>
        <v>44.704799999999999</v>
      </c>
      <c r="C354" s="17">
        <f>44.2705 * CHOOSE(CONTROL!$C$9, $D$9, 100%, $F$9) + CHOOSE(CONTROL!$C$27, 0.0021, 0)</f>
        <v>44.272599999999997</v>
      </c>
      <c r="D354" s="17">
        <f>44.2705 * CHOOSE(CONTROL!$C$9, $D$9, 100%, $F$9) + CHOOSE(CONTROL!$C$27, 0.0021, 0)</f>
        <v>44.272599999999997</v>
      </c>
      <c r="E354" s="17">
        <f>44.1338 * CHOOSE(CONTROL!$C$9, $D$9, 100%, $F$9) + CHOOSE(CONTROL!$C$27, 0.0021, 0)</f>
        <v>44.135899999999999</v>
      </c>
      <c r="F354" s="17">
        <f>44.1338 * CHOOSE(CONTROL!$C$9, $D$9, 100%, $F$9) + CHOOSE(CONTROL!$C$27, 0.0021, 0)</f>
        <v>44.135899999999999</v>
      </c>
      <c r="G354" s="17">
        <f>44.4052 * CHOOSE(CONTROL!$C$9, $D$9, 100%, $F$9) + CHOOSE(CONTROL!$C$27, 0.0021, 0)</f>
        <v>44.407299999999999</v>
      </c>
      <c r="H354" s="17">
        <f>44.2705 * CHOOSE(CONTROL!$C$9, $D$9, 100%, $F$9) + CHOOSE(CONTROL!$C$27, 0.0021, 0)</f>
        <v>44.272599999999997</v>
      </c>
      <c r="I354" s="17">
        <f>44.2705 * CHOOSE(CONTROL!$C$9, $D$9, 100%, $F$9) + CHOOSE(CONTROL!$C$27, 0.0021, 0)</f>
        <v>44.272599999999997</v>
      </c>
      <c r="J354" s="17">
        <f>44.2705 * CHOOSE(CONTROL!$C$9, $D$9, 100%, $F$9) + CHOOSE(CONTROL!$C$27, 0.0021, 0)</f>
        <v>44.272599999999997</v>
      </c>
      <c r="K354" s="17">
        <f>44.2705 * CHOOSE(CONTROL!$C$9, $D$9, 100%, $F$9) + CHOOSE(CONTROL!$C$27, 0.0021, 0)</f>
        <v>44.272599999999997</v>
      </c>
      <c r="L354" s="17"/>
    </row>
    <row r="355" spans="1:12" ht="15.75" x14ac:dyDescent="0.25">
      <c r="A355" s="14">
        <v>51744</v>
      </c>
      <c r="B355" s="17">
        <f>44.9575 * CHOOSE(CONTROL!$C$9, $D$9, 100%, $F$9) + CHOOSE(CONTROL!$C$27, 0.0021, 0)</f>
        <v>44.959600000000002</v>
      </c>
      <c r="C355" s="17">
        <f>44.5252 * CHOOSE(CONTROL!$C$9, $D$9, 100%, $F$9) + CHOOSE(CONTROL!$C$27, 0.0021, 0)</f>
        <v>44.527299999999997</v>
      </c>
      <c r="D355" s="17">
        <f>44.5252 * CHOOSE(CONTROL!$C$9, $D$9, 100%, $F$9) + CHOOSE(CONTROL!$C$27, 0.0021, 0)</f>
        <v>44.527299999999997</v>
      </c>
      <c r="E355" s="17">
        <f>44.3886 * CHOOSE(CONTROL!$C$9, $D$9, 100%, $F$9) + CHOOSE(CONTROL!$C$27, 0.0021, 0)</f>
        <v>44.390699999999995</v>
      </c>
      <c r="F355" s="17">
        <f>44.3886 * CHOOSE(CONTROL!$C$9, $D$9, 100%, $F$9) + CHOOSE(CONTROL!$C$27, 0.0021, 0)</f>
        <v>44.390699999999995</v>
      </c>
      <c r="G355" s="17">
        <f>44.66 * CHOOSE(CONTROL!$C$9, $D$9, 100%, $F$9) + CHOOSE(CONTROL!$C$27, 0.0021, 0)</f>
        <v>44.662099999999995</v>
      </c>
      <c r="H355" s="17">
        <f>44.5252 * CHOOSE(CONTROL!$C$9, $D$9, 100%, $F$9) + CHOOSE(CONTROL!$C$27, 0.0021, 0)</f>
        <v>44.527299999999997</v>
      </c>
      <c r="I355" s="17">
        <f>44.5252 * CHOOSE(CONTROL!$C$9, $D$9, 100%, $F$9) + CHOOSE(CONTROL!$C$27, 0.0021, 0)</f>
        <v>44.527299999999997</v>
      </c>
      <c r="J355" s="17">
        <f>44.5252 * CHOOSE(CONTROL!$C$9, $D$9, 100%, $F$9) + CHOOSE(CONTROL!$C$27, 0.0021, 0)</f>
        <v>44.527299999999997</v>
      </c>
      <c r="K355" s="17">
        <f>44.5252 * CHOOSE(CONTROL!$C$9, $D$9, 100%, $F$9) + CHOOSE(CONTROL!$C$27, 0.0021, 0)</f>
        <v>44.527299999999997</v>
      </c>
      <c r="L355" s="17"/>
    </row>
    <row r="356" spans="1:12" ht="15.75" x14ac:dyDescent="0.25">
      <c r="A356" s="14">
        <v>51774</v>
      </c>
      <c r="B356" s="17">
        <f>45.8251 * CHOOSE(CONTROL!$C$9, $D$9, 100%, $F$9) + CHOOSE(CONTROL!$C$27, 0.0021, 0)</f>
        <v>45.827199999999998</v>
      </c>
      <c r="C356" s="17">
        <f>45.3928 * CHOOSE(CONTROL!$C$9, $D$9, 100%, $F$9) + CHOOSE(CONTROL!$C$27, 0.0021, 0)</f>
        <v>45.3949</v>
      </c>
      <c r="D356" s="17">
        <f>45.3928 * CHOOSE(CONTROL!$C$9, $D$9, 100%, $F$9) + CHOOSE(CONTROL!$C$27, 0.0021, 0)</f>
        <v>45.3949</v>
      </c>
      <c r="E356" s="17">
        <f>45.2562 * CHOOSE(CONTROL!$C$9, $D$9, 100%, $F$9) + CHOOSE(CONTROL!$C$27, 0.0021, 0)</f>
        <v>45.258299999999998</v>
      </c>
      <c r="F356" s="17">
        <f>45.2562 * CHOOSE(CONTROL!$C$9, $D$9, 100%, $F$9) + CHOOSE(CONTROL!$C$27, 0.0021, 0)</f>
        <v>45.258299999999998</v>
      </c>
      <c r="G356" s="17">
        <f>45.5275 * CHOOSE(CONTROL!$C$9, $D$9, 100%, $F$9) + CHOOSE(CONTROL!$C$27, 0.0021, 0)</f>
        <v>45.529600000000002</v>
      </c>
      <c r="H356" s="17">
        <f>45.3928 * CHOOSE(CONTROL!$C$9, $D$9, 100%, $F$9) + CHOOSE(CONTROL!$C$27, 0.0021, 0)</f>
        <v>45.3949</v>
      </c>
      <c r="I356" s="17">
        <f>45.3928 * CHOOSE(CONTROL!$C$9, $D$9, 100%, $F$9) + CHOOSE(CONTROL!$C$27, 0.0021, 0)</f>
        <v>45.3949</v>
      </c>
      <c r="J356" s="17">
        <f>45.3928 * CHOOSE(CONTROL!$C$9, $D$9, 100%, $F$9) + CHOOSE(CONTROL!$C$27, 0.0021, 0)</f>
        <v>45.3949</v>
      </c>
      <c r="K356" s="17">
        <f>45.3928 * CHOOSE(CONTROL!$C$9, $D$9, 100%, $F$9) + CHOOSE(CONTROL!$C$27, 0.0021, 0)</f>
        <v>45.3949</v>
      </c>
      <c r="L356" s="17"/>
    </row>
    <row r="357" spans="1:12" ht="15.75" x14ac:dyDescent="0.25">
      <c r="A357" s="14">
        <v>51805</v>
      </c>
      <c r="B357" s="17">
        <f>46.9233 * CHOOSE(CONTROL!$C$9, $D$9, 100%, $F$9) + CHOOSE(CONTROL!$C$27, 0.0021, 0)</f>
        <v>46.925399999999996</v>
      </c>
      <c r="C357" s="17">
        <f>46.4911 * CHOOSE(CONTROL!$C$9, $D$9, 100%, $F$9) + CHOOSE(CONTROL!$C$27, 0.0021, 0)</f>
        <v>46.493200000000002</v>
      </c>
      <c r="D357" s="17">
        <f>46.4911 * CHOOSE(CONTROL!$C$9, $D$9, 100%, $F$9) + CHOOSE(CONTROL!$C$27, 0.0021, 0)</f>
        <v>46.493200000000002</v>
      </c>
      <c r="E357" s="17">
        <f>46.3544 * CHOOSE(CONTROL!$C$9, $D$9, 100%, $F$9) + CHOOSE(CONTROL!$C$27, 0.0021, 0)</f>
        <v>46.356499999999997</v>
      </c>
      <c r="F357" s="17">
        <f>46.3544 * CHOOSE(CONTROL!$C$9, $D$9, 100%, $F$9) + CHOOSE(CONTROL!$C$27, 0.0021, 0)</f>
        <v>46.356499999999997</v>
      </c>
      <c r="G357" s="17">
        <f>46.6258 * CHOOSE(CONTROL!$C$9, $D$9, 100%, $F$9) + CHOOSE(CONTROL!$C$27, 0.0021, 0)</f>
        <v>46.627899999999997</v>
      </c>
      <c r="H357" s="17">
        <f>46.4911 * CHOOSE(CONTROL!$C$9, $D$9, 100%, $F$9) + CHOOSE(CONTROL!$C$27, 0.0021, 0)</f>
        <v>46.493200000000002</v>
      </c>
      <c r="I357" s="17">
        <f>46.4911 * CHOOSE(CONTROL!$C$9, $D$9, 100%, $F$9) + CHOOSE(CONTROL!$C$27, 0.0021, 0)</f>
        <v>46.493200000000002</v>
      </c>
      <c r="J357" s="17">
        <f>46.4911 * CHOOSE(CONTROL!$C$9, $D$9, 100%, $F$9) + CHOOSE(CONTROL!$C$27, 0.0021, 0)</f>
        <v>46.493200000000002</v>
      </c>
      <c r="K357" s="17">
        <f>46.4911 * CHOOSE(CONTROL!$C$9, $D$9, 100%, $F$9) + CHOOSE(CONTROL!$C$27, 0.0021, 0)</f>
        <v>46.493200000000002</v>
      </c>
      <c r="L357" s="17"/>
    </row>
    <row r="358" spans="1:12" ht="15.75" x14ac:dyDescent="0.25">
      <c r="A358" s="14">
        <v>51835</v>
      </c>
      <c r="B358" s="17">
        <f>47.0264 * CHOOSE(CONTROL!$C$9, $D$9, 100%, $F$9) + CHOOSE(CONTROL!$C$27, 0.0021, 0)</f>
        <v>47.028500000000001</v>
      </c>
      <c r="C358" s="17">
        <f>46.5942 * CHOOSE(CONTROL!$C$9, $D$9, 100%, $F$9) + CHOOSE(CONTROL!$C$27, 0.0021, 0)</f>
        <v>46.596299999999999</v>
      </c>
      <c r="D358" s="17">
        <f>46.5942 * CHOOSE(CONTROL!$C$9, $D$9, 100%, $F$9) + CHOOSE(CONTROL!$C$27, 0.0021, 0)</f>
        <v>46.596299999999999</v>
      </c>
      <c r="E358" s="17">
        <f>46.4575 * CHOOSE(CONTROL!$C$9, $D$9, 100%, $F$9) + CHOOSE(CONTROL!$C$27, 0.0021, 0)</f>
        <v>46.459600000000002</v>
      </c>
      <c r="F358" s="17">
        <f>46.4575 * CHOOSE(CONTROL!$C$9, $D$9, 100%, $F$9) + CHOOSE(CONTROL!$C$27, 0.0021, 0)</f>
        <v>46.459600000000002</v>
      </c>
      <c r="G358" s="17">
        <f>46.7289 * CHOOSE(CONTROL!$C$9, $D$9, 100%, $F$9) + CHOOSE(CONTROL!$C$27, 0.0021, 0)</f>
        <v>46.731000000000002</v>
      </c>
      <c r="H358" s="17">
        <f>46.5942 * CHOOSE(CONTROL!$C$9, $D$9, 100%, $F$9) + CHOOSE(CONTROL!$C$27, 0.0021, 0)</f>
        <v>46.596299999999999</v>
      </c>
      <c r="I358" s="17">
        <f>46.5942 * CHOOSE(CONTROL!$C$9, $D$9, 100%, $F$9) + CHOOSE(CONTROL!$C$27, 0.0021, 0)</f>
        <v>46.596299999999999</v>
      </c>
      <c r="J358" s="17">
        <f>46.5942 * CHOOSE(CONTROL!$C$9, $D$9, 100%, $F$9) + CHOOSE(CONTROL!$C$27, 0.0021, 0)</f>
        <v>46.596299999999999</v>
      </c>
      <c r="K358" s="17">
        <f>46.5942 * CHOOSE(CONTROL!$C$9, $D$9, 100%, $F$9) + CHOOSE(CONTROL!$C$27, 0.0021, 0)</f>
        <v>46.596299999999999</v>
      </c>
      <c r="L358" s="17"/>
    </row>
    <row r="359" spans="1:12" ht="15.75" x14ac:dyDescent="0.25">
      <c r="A359" s="14">
        <v>51866</v>
      </c>
      <c r="B359" s="17">
        <f>46.1493 * CHOOSE(CONTROL!$C$9, $D$9, 100%, $F$9) + CHOOSE(CONTROL!$C$27, 0.0021, 0)</f>
        <v>46.151399999999995</v>
      </c>
      <c r="C359" s="17">
        <f>45.717 * CHOOSE(CONTROL!$C$9, $D$9, 100%, $F$9) + CHOOSE(CONTROL!$C$27, 0.0021, 0)</f>
        <v>45.719099999999997</v>
      </c>
      <c r="D359" s="17">
        <f>45.717 * CHOOSE(CONTROL!$C$9, $D$9, 100%, $F$9) + CHOOSE(CONTROL!$C$27, 0.0021, 0)</f>
        <v>45.719099999999997</v>
      </c>
      <c r="E359" s="17">
        <f>45.5804 * CHOOSE(CONTROL!$C$9, $D$9, 100%, $F$9) + CHOOSE(CONTROL!$C$27, 0.0021, 0)</f>
        <v>45.582499999999996</v>
      </c>
      <c r="F359" s="17">
        <f>45.5804 * CHOOSE(CONTROL!$C$9, $D$9, 100%, $F$9) + CHOOSE(CONTROL!$C$27, 0.0021, 0)</f>
        <v>45.582499999999996</v>
      </c>
      <c r="G359" s="17">
        <f>45.8517 * CHOOSE(CONTROL!$C$9, $D$9, 100%, $F$9) + CHOOSE(CONTROL!$C$27, 0.0021, 0)</f>
        <v>45.8538</v>
      </c>
      <c r="H359" s="17">
        <f>45.717 * CHOOSE(CONTROL!$C$9, $D$9, 100%, $F$9) + CHOOSE(CONTROL!$C$27, 0.0021, 0)</f>
        <v>45.719099999999997</v>
      </c>
      <c r="I359" s="17">
        <f>45.717 * CHOOSE(CONTROL!$C$9, $D$9, 100%, $F$9) + CHOOSE(CONTROL!$C$27, 0.0021, 0)</f>
        <v>45.719099999999997</v>
      </c>
      <c r="J359" s="17">
        <f>45.717 * CHOOSE(CONTROL!$C$9, $D$9, 100%, $F$9) + CHOOSE(CONTROL!$C$27, 0.0021, 0)</f>
        <v>45.719099999999997</v>
      </c>
      <c r="K359" s="17">
        <f>45.717 * CHOOSE(CONTROL!$C$9, $D$9, 100%, $F$9) + CHOOSE(CONTROL!$C$27, 0.0021, 0)</f>
        <v>45.719099999999997</v>
      </c>
      <c r="L359" s="17"/>
    </row>
    <row r="360" spans="1:12" ht="15.75" x14ac:dyDescent="0.25">
      <c r="A360" s="14">
        <v>51897</v>
      </c>
      <c r="B360" s="17">
        <f>45.5949 * CHOOSE(CONTROL!$C$9, $D$9, 100%, $F$9) + CHOOSE(CONTROL!$C$27, 0.0021, 0)</f>
        <v>45.597000000000001</v>
      </c>
      <c r="C360" s="17">
        <f>45.1626 * CHOOSE(CONTROL!$C$9, $D$9, 100%, $F$9) + CHOOSE(CONTROL!$C$27, 0.0021, 0)</f>
        <v>45.164699999999996</v>
      </c>
      <c r="D360" s="17">
        <f>45.1626 * CHOOSE(CONTROL!$C$9, $D$9, 100%, $F$9) + CHOOSE(CONTROL!$C$27, 0.0021, 0)</f>
        <v>45.164699999999996</v>
      </c>
      <c r="E360" s="17">
        <f>45.026 * CHOOSE(CONTROL!$C$9, $D$9, 100%, $F$9) + CHOOSE(CONTROL!$C$27, 0.0021, 0)</f>
        <v>45.028100000000002</v>
      </c>
      <c r="F360" s="17">
        <f>45.026 * CHOOSE(CONTROL!$C$9, $D$9, 100%, $F$9) + CHOOSE(CONTROL!$C$27, 0.0021, 0)</f>
        <v>45.028100000000002</v>
      </c>
      <c r="G360" s="17">
        <f>45.2974 * CHOOSE(CONTROL!$C$9, $D$9, 100%, $F$9) + CHOOSE(CONTROL!$C$27, 0.0021, 0)</f>
        <v>45.299500000000002</v>
      </c>
      <c r="H360" s="17">
        <f>45.1626 * CHOOSE(CONTROL!$C$9, $D$9, 100%, $F$9) + CHOOSE(CONTROL!$C$27, 0.0021, 0)</f>
        <v>45.164699999999996</v>
      </c>
      <c r="I360" s="17">
        <f>45.1626 * CHOOSE(CONTROL!$C$9, $D$9, 100%, $F$9) + CHOOSE(CONTROL!$C$27, 0.0021, 0)</f>
        <v>45.164699999999996</v>
      </c>
      <c r="J360" s="17">
        <f>45.1626 * CHOOSE(CONTROL!$C$9, $D$9, 100%, $F$9) + CHOOSE(CONTROL!$C$27, 0.0021, 0)</f>
        <v>45.164699999999996</v>
      </c>
      <c r="K360" s="17">
        <f>45.1626 * CHOOSE(CONTROL!$C$9, $D$9, 100%, $F$9) + CHOOSE(CONTROL!$C$27, 0.0021, 0)</f>
        <v>45.164699999999996</v>
      </c>
      <c r="L360" s="17"/>
    </row>
    <row r="361" spans="1:12" ht="15.75" x14ac:dyDescent="0.25">
      <c r="A361" s="14">
        <v>51925</v>
      </c>
      <c r="B361" s="17">
        <f>44.37 * CHOOSE(CONTROL!$C$9, $D$9, 100%, $F$9) + CHOOSE(CONTROL!$C$27, 0.0021, 0)</f>
        <v>44.372099999999996</v>
      </c>
      <c r="C361" s="17">
        <f>43.9378 * CHOOSE(CONTROL!$C$9, $D$9, 100%, $F$9) + CHOOSE(CONTROL!$C$27, 0.0021, 0)</f>
        <v>43.939900000000002</v>
      </c>
      <c r="D361" s="17">
        <f>43.9378 * CHOOSE(CONTROL!$C$9, $D$9, 100%, $F$9) + CHOOSE(CONTROL!$C$27, 0.0021, 0)</f>
        <v>43.939900000000002</v>
      </c>
      <c r="E361" s="17">
        <f>43.8011 * CHOOSE(CONTROL!$C$9, $D$9, 100%, $F$9) + CHOOSE(CONTROL!$C$27, 0.0021, 0)</f>
        <v>43.803199999999997</v>
      </c>
      <c r="F361" s="17">
        <f>43.8011 * CHOOSE(CONTROL!$C$9, $D$9, 100%, $F$9) + CHOOSE(CONTROL!$C$27, 0.0021, 0)</f>
        <v>43.803199999999997</v>
      </c>
      <c r="G361" s="17">
        <f>44.0725 * CHOOSE(CONTROL!$C$9, $D$9, 100%, $F$9) + CHOOSE(CONTROL!$C$27, 0.0021, 0)</f>
        <v>44.074599999999997</v>
      </c>
      <c r="H361" s="17">
        <f>43.9378 * CHOOSE(CONTROL!$C$9, $D$9, 100%, $F$9) + CHOOSE(CONTROL!$C$27, 0.0021, 0)</f>
        <v>43.939900000000002</v>
      </c>
      <c r="I361" s="17">
        <f>43.9378 * CHOOSE(CONTROL!$C$9, $D$9, 100%, $F$9) + CHOOSE(CONTROL!$C$27, 0.0021, 0)</f>
        <v>43.939900000000002</v>
      </c>
      <c r="J361" s="17">
        <f>43.9378 * CHOOSE(CONTROL!$C$9, $D$9, 100%, $F$9) + CHOOSE(CONTROL!$C$27, 0.0021, 0)</f>
        <v>43.939900000000002</v>
      </c>
      <c r="K361" s="17">
        <f>43.9378 * CHOOSE(CONTROL!$C$9, $D$9, 100%, $F$9) + CHOOSE(CONTROL!$C$27, 0.0021, 0)</f>
        <v>43.939900000000002</v>
      </c>
      <c r="L361" s="17"/>
    </row>
    <row r="362" spans="1:12" ht="15.75" x14ac:dyDescent="0.25">
      <c r="A362" s="14">
        <v>51956</v>
      </c>
      <c r="B362" s="17">
        <f>43.8644 * CHOOSE(CONTROL!$C$9, $D$9, 100%, $F$9) + CHOOSE(CONTROL!$C$27, 0.0021, 0)</f>
        <v>43.866500000000002</v>
      </c>
      <c r="C362" s="17">
        <f>43.4322 * CHOOSE(CONTROL!$C$9, $D$9, 100%, $F$9) + CHOOSE(CONTROL!$C$27, 0.0021, 0)</f>
        <v>43.4343</v>
      </c>
      <c r="D362" s="17">
        <f>43.4322 * CHOOSE(CONTROL!$C$9, $D$9, 100%, $F$9) + CHOOSE(CONTROL!$C$27, 0.0021, 0)</f>
        <v>43.4343</v>
      </c>
      <c r="E362" s="17">
        <f>43.2955 * CHOOSE(CONTROL!$C$9, $D$9, 100%, $F$9) + CHOOSE(CONTROL!$C$27, 0.0021, 0)</f>
        <v>43.297599999999996</v>
      </c>
      <c r="F362" s="17">
        <f>43.2955 * CHOOSE(CONTROL!$C$9, $D$9, 100%, $F$9) + CHOOSE(CONTROL!$C$27, 0.0021, 0)</f>
        <v>43.297599999999996</v>
      </c>
      <c r="G362" s="17">
        <f>43.5669 * CHOOSE(CONTROL!$C$9, $D$9, 100%, $F$9) + CHOOSE(CONTROL!$C$27, 0.0021, 0)</f>
        <v>43.568999999999996</v>
      </c>
      <c r="H362" s="17">
        <f>43.4322 * CHOOSE(CONTROL!$C$9, $D$9, 100%, $F$9) + CHOOSE(CONTROL!$C$27, 0.0021, 0)</f>
        <v>43.4343</v>
      </c>
      <c r="I362" s="17">
        <f>43.4322 * CHOOSE(CONTROL!$C$9, $D$9, 100%, $F$9) + CHOOSE(CONTROL!$C$27, 0.0021, 0)</f>
        <v>43.4343</v>
      </c>
      <c r="J362" s="17">
        <f>43.4322 * CHOOSE(CONTROL!$C$9, $D$9, 100%, $F$9) + CHOOSE(CONTROL!$C$27, 0.0021, 0)</f>
        <v>43.4343</v>
      </c>
      <c r="K362" s="17">
        <f>43.4322 * CHOOSE(CONTROL!$C$9, $D$9, 100%, $F$9) + CHOOSE(CONTROL!$C$27, 0.0021, 0)</f>
        <v>43.4343</v>
      </c>
      <c r="L362" s="17"/>
    </row>
    <row r="363" spans="1:12" ht="15.75" x14ac:dyDescent="0.25">
      <c r="A363" s="14">
        <v>51986</v>
      </c>
      <c r="B363" s="17">
        <f>43.2607 * CHOOSE(CONTROL!$C$9, $D$9, 100%, $F$9) + CHOOSE(CONTROL!$C$27, 0.0021, 0)</f>
        <v>43.262799999999999</v>
      </c>
      <c r="C363" s="17">
        <f>42.8285 * CHOOSE(CONTROL!$C$9, $D$9, 100%, $F$9) + CHOOSE(CONTROL!$C$27, 0.0021, 0)</f>
        <v>42.830599999999997</v>
      </c>
      <c r="D363" s="17">
        <f>42.8285 * CHOOSE(CONTROL!$C$9, $D$9, 100%, $F$9) + CHOOSE(CONTROL!$C$27, 0.0021, 0)</f>
        <v>42.830599999999997</v>
      </c>
      <c r="E363" s="17">
        <f>42.6918 * CHOOSE(CONTROL!$C$9, $D$9, 100%, $F$9) + CHOOSE(CONTROL!$C$27, 0.0021, 0)</f>
        <v>42.693899999999999</v>
      </c>
      <c r="F363" s="17">
        <f>42.6918 * CHOOSE(CONTROL!$C$9, $D$9, 100%, $F$9) + CHOOSE(CONTROL!$C$27, 0.0021, 0)</f>
        <v>42.693899999999999</v>
      </c>
      <c r="G363" s="17">
        <f>42.9632 * CHOOSE(CONTROL!$C$9, $D$9, 100%, $F$9) + CHOOSE(CONTROL!$C$27, 0.0021, 0)</f>
        <v>42.965299999999999</v>
      </c>
      <c r="H363" s="17">
        <f>42.8285 * CHOOSE(CONTROL!$C$9, $D$9, 100%, $F$9) + CHOOSE(CONTROL!$C$27, 0.0021, 0)</f>
        <v>42.830599999999997</v>
      </c>
      <c r="I363" s="17">
        <f>42.8285 * CHOOSE(CONTROL!$C$9, $D$9, 100%, $F$9) + CHOOSE(CONTROL!$C$27, 0.0021, 0)</f>
        <v>42.830599999999997</v>
      </c>
      <c r="J363" s="17">
        <f>42.8285 * CHOOSE(CONTROL!$C$9, $D$9, 100%, $F$9) + CHOOSE(CONTROL!$C$27, 0.0021, 0)</f>
        <v>42.830599999999997</v>
      </c>
      <c r="K363" s="17">
        <f>42.8285 * CHOOSE(CONTROL!$C$9, $D$9, 100%, $F$9) + CHOOSE(CONTROL!$C$27, 0.0021, 0)</f>
        <v>42.830599999999997</v>
      </c>
      <c r="L363" s="17"/>
    </row>
    <row r="364" spans="1:12" ht="15.75" x14ac:dyDescent="0.25">
      <c r="A364" s="14">
        <v>52017</v>
      </c>
      <c r="B364" s="17">
        <f>44.1211 * CHOOSE(CONTROL!$C$9, $D$9, 100%, $F$9) + CHOOSE(CONTROL!$C$27, 0.0021, 0)</f>
        <v>44.123199999999997</v>
      </c>
      <c r="C364" s="17">
        <f>43.6888 * CHOOSE(CONTROL!$C$9, $D$9, 100%, $F$9) + CHOOSE(CONTROL!$C$27, 0.0021, 0)</f>
        <v>43.690899999999999</v>
      </c>
      <c r="D364" s="17">
        <f>43.6888 * CHOOSE(CONTROL!$C$9, $D$9, 100%, $F$9) + CHOOSE(CONTROL!$C$27, 0.0021, 0)</f>
        <v>43.690899999999999</v>
      </c>
      <c r="E364" s="17">
        <f>43.5522 * CHOOSE(CONTROL!$C$9, $D$9, 100%, $F$9) + CHOOSE(CONTROL!$C$27, 0.0021, 0)</f>
        <v>43.554299999999998</v>
      </c>
      <c r="F364" s="17">
        <f>43.5522 * CHOOSE(CONTROL!$C$9, $D$9, 100%, $F$9) + CHOOSE(CONTROL!$C$27, 0.0021, 0)</f>
        <v>43.554299999999998</v>
      </c>
      <c r="G364" s="17">
        <f>43.8236 * CHOOSE(CONTROL!$C$9, $D$9, 100%, $F$9) + CHOOSE(CONTROL!$C$27, 0.0021, 0)</f>
        <v>43.825699999999998</v>
      </c>
      <c r="H364" s="17">
        <f>43.6888 * CHOOSE(CONTROL!$C$9, $D$9, 100%, $F$9) + CHOOSE(CONTROL!$C$27, 0.0021, 0)</f>
        <v>43.690899999999999</v>
      </c>
      <c r="I364" s="17">
        <f>43.6888 * CHOOSE(CONTROL!$C$9, $D$9, 100%, $F$9) + CHOOSE(CONTROL!$C$27, 0.0021, 0)</f>
        <v>43.690899999999999</v>
      </c>
      <c r="J364" s="17">
        <f>43.6888 * CHOOSE(CONTROL!$C$9, $D$9, 100%, $F$9) + CHOOSE(CONTROL!$C$27, 0.0021, 0)</f>
        <v>43.690899999999999</v>
      </c>
      <c r="K364" s="17">
        <f>43.6888 * CHOOSE(CONTROL!$C$9, $D$9, 100%, $F$9) + CHOOSE(CONTROL!$C$27, 0.0021, 0)</f>
        <v>43.690899999999999</v>
      </c>
      <c r="L364" s="17"/>
    </row>
    <row r="365" spans="1:12" ht="15.75" x14ac:dyDescent="0.25">
      <c r="A365" s="14">
        <v>52047</v>
      </c>
      <c r="B365" s="17">
        <f>44.6364 * CHOOSE(CONTROL!$C$9, $D$9, 100%, $F$9) + CHOOSE(CONTROL!$C$27, 0.0021, 0)</f>
        <v>44.638500000000001</v>
      </c>
      <c r="C365" s="17">
        <f>44.2042 * CHOOSE(CONTROL!$C$9, $D$9, 100%, $F$9) + CHOOSE(CONTROL!$C$27, 0.0021, 0)</f>
        <v>44.206299999999999</v>
      </c>
      <c r="D365" s="17">
        <f>44.2042 * CHOOSE(CONTROL!$C$9, $D$9, 100%, $F$9) + CHOOSE(CONTROL!$C$27, 0.0021, 0)</f>
        <v>44.206299999999999</v>
      </c>
      <c r="E365" s="17">
        <f>44.0675 * CHOOSE(CONTROL!$C$9, $D$9, 100%, $F$9) + CHOOSE(CONTROL!$C$27, 0.0021, 0)</f>
        <v>44.069600000000001</v>
      </c>
      <c r="F365" s="17">
        <f>44.0675 * CHOOSE(CONTROL!$C$9, $D$9, 100%, $F$9) + CHOOSE(CONTROL!$C$27, 0.0021, 0)</f>
        <v>44.069600000000001</v>
      </c>
      <c r="G365" s="17">
        <f>44.3389 * CHOOSE(CONTROL!$C$9, $D$9, 100%, $F$9) + CHOOSE(CONTROL!$C$27, 0.0021, 0)</f>
        <v>44.341000000000001</v>
      </c>
      <c r="H365" s="17">
        <f>44.2042 * CHOOSE(CONTROL!$C$9, $D$9, 100%, $F$9) + CHOOSE(CONTROL!$C$27, 0.0021, 0)</f>
        <v>44.206299999999999</v>
      </c>
      <c r="I365" s="17">
        <f>44.2042 * CHOOSE(CONTROL!$C$9, $D$9, 100%, $F$9) + CHOOSE(CONTROL!$C$27, 0.0021, 0)</f>
        <v>44.206299999999999</v>
      </c>
      <c r="J365" s="17">
        <f>44.2042 * CHOOSE(CONTROL!$C$9, $D$9, 100%, $F$9) + CHOOSE(CONTROL!$C$27, 0.0021, 0)</f>
        <v>44.206299999999999</v>
      </c>
      <c r="K365" s="17">
        <f>44.2042 * CHOOSE(CONTROL!$C$9, $D$9, 100%, $F$9) + CHOOSE(CONTROL!$C$27, 0.0021, 0)</f>
        <v>44.206299999999999</v>
      </c>
      <c r="L365" s="17"/>
    </row>
    <row r="366" spans="1:12" ht="15.75" x14ac:dyDescent="0.25">
      <c r="A366" s="14">
        <v>52078</v>
      </c>
      <c r="B366" s="17">
        <f>45.4865 * CHOOSE(CONTROL!$C$9, $D$9, 100%, $F$9) + CHOOSE(CONTROL!$C$27, 0.0021, 0)</f>
        <v>45.488599999999998</v>
      </c>
      <c r="C366" s="17">
        <f>45.0542 * CHOOSE(CONTROL!$C$9, $D$9, 100%, $F$9) + CHOOSE(CONTROL!$C$27, 0.0021, 0)</f>
        <v>45.0563</v>
      </c>
      <c r="D366" s="17">
        <f>45.0542 * CHOOSE(CONTROL!$C$9, $D$9, 100%, $F$9) + CHOOSE(CONTROL!$C$27, 0.0021, 0)</f>
        <v>45.0563</v>
      </c>
      <c r="E366" s="17">
        <f>44.9176 * CHOOSE(CONTROL!$C$9, $D$9, 100%, $F$9) + CHOOSE(CONTROL!$C$27, 0.0021, 0)</f>
        <v>44.919699999999999</v>
      </c>
      <c r="F366" s="17">
        <f>44.9176 * CHOOSE(CONTROL!$C$9, $D$9, 100%, $F$9) + CHOOSE(CONTROL!$C$27, 0.0021, 0)</f>
        <v>44.919699999999999</v>
      </c>
      <c r="G366" s="17">
        <f>45.189 * CHOOSE(CONTROL!$C$9, $D$9, 100%, $F$9) + CHOOSE(CONTROL!$C$27, 0.0021, 0)</f>
        <v>45.191099999999999</v>
      </c>
      <c r="H366" s="17">
        <f>45.0542 * CHOOSE(CONTROL!$C$9, $D$9, 100%, $F$9) + CHOOSE(CONTROL!$C$27, 0.0021, 0)</f>
        <v>45.0563</v>
      </c>
      <c r="I366" s="17">
        <f>45.0542 * CHOOSE(CONTROL!$C$9, $D$9, 100%, $F$9) + CHOOSE(CONTROL!$C$27, 0.0021, 0)</f>
        <v>45.0563</v>
      </c>
      <c r="J366" s="17">
        <f>45.0542 * CHOOSE(CONTROL!$C$9, $D$9, 100%, $F$9) + CHOOSE(CONTROL!$C$27, 0.0021, 0)</f>
        <v>45.0563</v>
      </c>
      <c r="K366" s="17">
        <f>45.0542 * CHOOSE(CONTROL!$C$9, $D$9, 100%, $F$9) + CHOOSE(CONTROL!$C$27, 0.0021, 0)</f>
        <v>45.0563</v>
      </c>
      <c r="L366" s="17"/>
    </row>
    <row r="367" spans="1:12" ht="15.75" x14ac:dyDescent="0.25">
      <c r="A367" s="14">
        <v>52109</v>
      </c>
      <c r="B367" s="17">
        <f>45.746 * CHOOSE(CONTROL!$C$9, $D$9, 100%, $F$9) + CHOOSE(CONTROL!$C$27, 0.0021, 0)</f>
        <v>45.748100000000001</v>
      </c>
      <c r="C367" s="17">
        <f>45.3137 * CHOOSE(CONTROL!$C$9, $D$9, 100%, $F$9) + CHOOSE(CONTROL!$C$27, 0.0021, 0)</f>
        <v>45.315799999999996</v>
      </c>
      <c r="D367" s="17">
        <f>45.3137 * CHOOSE(CONTROL!$C$9, $D$9, 100%, $F$9) + CHOOSE(CONTROL!$C$27, 0.0021, 0)</f>
        <v>45.315799999999996</v>
      </c>
      <c r="E367" s="17">
        <f>45.1771 * CHOOSE(CONTROL!$C$9, $D$9, 100%, $F$9) + CHOOSE(CONTROL!$C$27, 0.0021, 0)</f>
        <v>45.179200000000002</v>
      </c>
      <c r="F367" s="17">
        <f>45.1771 * CHOOSE(CONTROL!$C$9, $D$9, 100%, $F$9) + CHOOSE(CONTROL!$C$27, 0.0021, 0)</f>
        <v>45.179200000000002</v>
      </c>
      <c r="G367" s="17">
        <f>45.4484 * CHOOSE(CONTROL!$C$9, $D$9, 100%, $F$9) + CHOOSE(CONTROL!$C$27, 0.0021, 0)</f>
        <v>45.450499999999998</v>
      </c>
      <c r="H367" s="17">
        <f>45.3137 * CHOOSE(CONTROL!$C$9, $D$9, 100%, $F$9) + CHOOSE(CONTROL!$C$27, 0.0021, 0)</f>
        <v>45.315799999999996</v>
      </c>
      <c r="I367" s="17">
        <f>45.3137 * CHOOSE(CONTROL!$C$9, $D$9, 100%, $F$9) + CHOOSE(CONTROL!$C$27, 0.0021, 0)</f>
        <v>45.315799999999996</v>
      </c>
      <c r="J367" s="17">
        <f>45.3137 * CHOOSE(CONTROL!$C$9, $D$9, 100%, $F$9) + CHOOSE(CONTROL!$C$27, 0.0021, 0)</f>
        <v>45.315799999999996</v>
      </c>
      <c r="K367" s="17">
        <f>45.3137 * CHOOSE(CONTROL!$C$9, $D$9, 100%, $F$9) + CHOOSE(CONTROL!$C$27, 0.0021, 0)</f>
        <v>45.315799999999996</v>
      </c>
      <c r="L367" s="17"/>
    </row>
    <row r="368" spans="1:12" ht="15.75" x14ac:dyDescent="0.25">
      <c r="A368" s="14">
        <v>52139</v>
      </c>
      <c r="B368" s="17">
        <f>46.6296 * CHOOSE(CONTROL!$C$9, $D$9, 100%, $F$9) + CHOOSE(CONTROL!$C$27, 0.0021, 0)</f>
        <v>46.631700000000002</v>
      </c>
      <c r="C368" s="17">
        <f>46.1973 * CHOOSE(CONTROL!$C$9, $D$9, 100%, $F$9) + CHOOSE(CONTROL!$C$27, 0.0021, 0)</f>
        <v>46.199399999999997</v>
      </c>
      <c r="D368" s="17">
        <f>46.1973 * CHOOSE(CONTROL!$C$9, $D$9, 100%, $F$9) + CHOOSE(CONTROL!$C$27, 0.0021, 0)</f>
        <v>46.199399999999997</v>
      </c>
      <c r="E368" s="17">
        <f>46.0607 * CHOOSE(CONTROL!$C$9, $D$9, 100%, $F$9) + CHOOSE(CONTROL!$C$27, 0.0021, 0)</f>
        <v>46.062799999999996</v>
      </c>
      <c r="F368" s="17">
        <f>46.0607 * CHOOSE(CONTROL!$C$9, $D$9, 100%, $F$9) + CHOOSE(CONTROL!$C$27, 0.0021, 0)</f>
        <v>46.062799999999996</v>
      </c>
      <c r="G368" s="17">
        <f>46.3321 * CHOOSE(CONTROL!$C$9, $D$9, 100%, $F$9) + CHOOSE(CONTROL!$C$27, 0.0021, 0)</f>
        <v>46.334199999999996</v>
      </c>
      <c r="H368" s="17">
        <f>46.1973 * CHOOSE(CONTROL!$C$9, $D$9, 100%, $F$9) + CHOOSE(CONTROL!$C$27, 0.0021, 0)</f>
        <v>46.199399999999997</v>
      </c>
      <c r="I368" s="17">
        <f>46.1973 * CHOOSE(CONTROL!$C$9, $D$9, 100%, $F$9) + CHOOSE(CONTROL!$C$27, 0.0021, 0)</f>
        <v>46.199399999999997</v>
      </c>
      <c r="J368" s="17">
        <f>46.1973 * CHOOSE(CONTROL!$C$9, $D$9, 100%, $F$9) + CHOOSE(CONTROL!$C$27, 0.0021, 0)</f>
        <v>46.199399999999997</v>
      </c>
      <c r="K368" s="17">
        <f>46.1973 * CHOOSE(CONTROL!$C$9, $D$9, 100%, $F$9) + CHOOSE(CONTROL!$C$27, 0.0021, 0)</f>
        <v>46.199399999999997</v>
      </c>
      <c r="L368" s="17"/>
    </row>
    <row r="369" spans="1:12" ht="15.75" x14ac:dyDescent="0.25">
      <c r="A369" s="14">
        <v>52170</v>
      </c>
      <c r="B369" s="17">
        <f>47.7481 * CHOOSE(CONTROL!$C$9, $D$9, 100%, $F$9) + CHOOSE(CONTROL!$C$27, 0.0021, 0)</f>
        <v>47.7502</v>
      </c>
      <c r="C369" s="17">
        <f>47.3159 * CHOOSE(CONTROL!$C$9, $D$9, 100%, $F$9) + CHOOSE(CONTROL!$C$27, 0.0021, 0)</f>
        <v>47.317999999999998</v>
      </c>
      <c r="D369" s="17">
        <f>47.3159 * CHOOSE(CONTROL!$C$9, $D$9, 100%, $F$9) + CHOOSE(CONTROL!$C$27, 0.0021, 0)</f>
        <v>47.317999999999998</v>
      </c>
      <c r="E369" s="17">
        <f>47.1792 * CHOOSE(CONTROL!$C$9, $D$9, 100%, $F$9) + CHOOSE(CONTROL!$C$27, 0.0021, 0)</f>
        <v>47.1813</v>
      </c>
      <c r="F369" s="17">
        <f>47.1792 * CHOOSE(CONTROL!$C$9, $D$9, 100%, $F$9) + CHOOSE(CONTROL!$C$27, 0.0021, 0)</f>
        <v>47.1813</v>
      </c>
      <c r="G369" s="17">
        <f>47.4506 * CHOOSE(CONTROL!$C$9, $D$9, 100%, $F$9) + CHOOSE(CONTROL!$C$27, 0.0021, 0)</f>
        <v>47.4527</v>
      </c>
      <c r="H369" s="17">
        <f>47.3159 * CHOOSE(CONTROL!$C$9, $D$9, 100%, $F$9) + CHOOSE(CONTROL!$C$27, 0.0021, 0)</f>
        <v>47.317999999999998</v>
      </c>
      <c r="I369" s="17">
        <f>47.3159 * CHOOSE(CONTROL!$C$9, $D$9, 100%, $F$9) + CHOOSE(CONTROL!$C$27, 0.0021, 0)</f>
        <v>47.317999999999998</v>
      </c>
      <c r="J369" s="17">
        <f>47.3159 * CHOOSE(CONTROL!$C$9, $D$9, 100%, $F$9) + CHOOSE(CONTROL!$C$27, 0.0021, 0)</f>
        <v>47.317999999999998</v>
      </c>
      <c r="K369" s="17">
        <f>47.3159 * CHOOSE(CONTROL!$C$9, $D$9, 100%, $F$9) + CHOOSE(CONTROL!$C$27, 0.0021, 0)</f>
        <v>47.317999999999998</v>
      </c>
      <c r="L369" s="17"/>
    </row>
    <row r="370" spans="1:12" ht="15.75" x14ac:dyDescent="0.25">
      <c r="A370" s="14">
        <v>52200</v>
      </c>
      <c r="B370" s="17">
        <f>47.8531 * CHOOSE(CONTROL!$C$9, $D$9, 100%, $F$9) + CHOOSE(CONTROL!$C$27, 0.0021, 0)</f>
        <v>47.855199999999996</v>
      </c>
      <c r="C370" s="17">
        <f>47.4209 * CHOOSE(CONTROL!$C$9, $D$9, 100%, $F$9) + CHOOSE(CONTROL!$C$27, 0.0021, 0)</f>
        <v>47.423000000000002</v>
      </c>
      <c r="D370" s="17">
        <f>47.4209 * CHOOSE(CONTROL!$C$9, $D$9, 100%, $F$9) + CHOOSE(CONTROL!$C$27, 0.0021, 0)</f>
        <v>47.423000000000002</v>
      </c>
      <c r="E370" s="17">
        <f>47.2842 * CHOOSE(CONTROL!$C$9, $D$9, 100%, $F$9) + CHOOSE(CONTROL!$C$27, 0.0021, 0)</f>
        <v>47.286299999999997</v>
      </c>
      <c r="F370" s="17">
        <f>47.2842 * CHOOSE(CONTROL!$C$9, $D$9, 100%, $F$9) + CHOOSE(CONTROL!$C$27, 0.0021, 0)</f>
        <v>47.286299999999997</v>
      </c>
      <c r="G370" s="17">
        <f>47.5556 * CHOOSE(CONTROL!$C$9, $D$9, 100%, $F$9) + CHOOSE(CONTROL!$C$27, 0.0021, 0)</f>
        <v>47.557699999999997</v>
      </c>
      <c r="H370" s="17">
        <f>47.4209 * CHOOSE(CONTROL!$C$9, $D$9, 100%, $F$9) + CHOOSE(CONTROL!$C$27, 0.0021, 0)</f>
        <v>47.423000000000002</v>
      </c>
      <c r="I370" s="17">
        <f>47.4209 * CHOOSE(CONTROL!$C$9, $D$9, 100%, $F$9) + CHOOSE(CONTROL!$C$27, 0.0021, 0)</f>
        <v>47.423000000000002</v>
      </c>
      <c r="J370" s="17">
        <f>47.4209 * CHOOSE(CONTROL!$C$9, $D$9, 100%, $F$9) + CHOOSE(CONTROL!$C$27, 0.0021, 0)</f>
        <v>47.423000000000002</v>
      </c>
      <c r="K370" s="17">
        <f>47.4209 * CHOOSE(CONTROL!$C$9, $D$9, 100%, $F$9) + CHOOSE(CONTROL!$C$27, 0.0021, 0)</f>
        <v>47.423000000000002</v>
      </c>
      <c r="L370" s="17"/>
    </row>
    <row r="371" spans="1:12" ht="15.75" x14ac:dyDescent="0.25">
      <c r="A371" s="14">
        <v>52231</v>
      </c>
      <c r="B371" s="17">
        <f>46.9598 * CHOOSE(CONTROL!$C$9, $D$9, 100%, $F$9) + CHOOSE(CONTROL!$C$27, 0.0021, 0)</f>
        <v>46.9619</v>
      </c>
      <c r="C371" s="17">
        <f>46.5275 * CHOOSE(CONTROL!$C$9, $D$9, 100%, $F$9) + CHOOSE(CONTROL!$C$27, 0.0021, 0)</f>
        <v>46.529600000000002</v>
      </c>
      <c r="D371" s="17">
        <f>46.5275 * CHOOSE(CONTROL!$C$9, $D$9, 100%, $F$9) + CHOOSE(CONTROL!$C$27, 0.0021, 0)</f>
        <v>46.529600000000002</v>
      </c>
      <c r="E371" s="17">
        <f>46.3909 * CHOOSE(CONTROL!$C$9, $D$9, 100%, $F$9) + CHOOSE(CONTROL!$C$27, 0.0021, 0)</f>
        <v>46.393000000000001</v>
      </c>
      <c r="F371" s="17">
        <f>46.3909 * CHOOSE(CONTROL!$C$9, $D$9, 100%, $F$9) + CHOOSE(CONTROL!$C$27, 0.0021, 0)</f>
        <v>46.393000000000001</v>
      </c>
      <c r="G371" s="17">
        <f>46.6622 * CHOOSE(CONTROL!$C$9, $D$9, 100%, $F$9) + CHOOSE(CONTROL!$C$27, 0.0021, 0)</f>
        <v>46.664299999999997</v>
      </c>
      <c r="H371" s="17">
        <f>46.5275 * CHOOSE(CONTROL!$C$9, $D$9, 100%, $F$9) + CHOOSE(CONTROL!$C$27, 0.0021, 0)</f>
        <v>46.529600000000002</v>
      </c>
      <c r="I371" s="17">
        <f>46.5275 * CHOOSE(CONTROL!$C$9, $D$9, 100%, $F$9) + CHOOSE(CONTROL!$C$27, 0.0021, 0)</f>
        <v>46.529600000000002</v>
      </c>
      <c r="J371" s="17">
        <f>46.5275 * CHOOSE(CONTROL!$C$9, $D$9, 100%, $F$9) + CHOOSE(CONTROL!$C$27, 0.0021, 0)</f>
        <v>46.529600000000002</v>
      </c>
      <c r="K371" s="17">
        <f>46.5275 * CHOOSE(CONTROL!$C$9, $D$9, 100%, $F$9) + CHOOSE(CONTROL!$C$27, 0.0021, 0)</f>
        <v>46.529600000000002</v>
      </c>
      <c r="L371" s="17"/>
    </row>
    <row r="372" spans="1:12" ht="15.75" x14ac:dyDescent="0.25">
      <c r="A372" s="14">
        <v>52262</v>
      </c>
      <c r="B372" s="17">
        <f>46.3951 * CHOOSE(CONTROL!$C$9, $D$9, 100%, $F$9) + CHOOSE(CONTROL!$C$27, 0.0021, 0)</f>
        <v>46.397199999999998</v>
      </c>
      <c r="C372" s="17">
        <f>45.9629 * CHOOSE(CONTROL!$C$9, $D$9, 100%, $F$9) + CHOOSE(CONTROL!$C$27, 0.0021, 0)</f>
        <v>45.964999999999996</v>
      </c>
      <c r="D372" s="17">
        <f>45.9629 * CHOOSE(CONTROL!$C$9, $D$9, 100%, $F$9) + CHOOSE(CONTROL!$C$27, 0.0021, 0)</f>
        <v>45.964999999999996</v>
      </c>
      <c r="E372" s="17">
        <f>45.8262 * CHOOSE(CONTROL!$C$9, $D$9, 100%, $F$9) + CHOOSE(CONTROL!$C$27, 0.0021, 0)</f>
        <v>45.828299999999999</v>
      </c>
      <c r="F372" s="17">
        <f>45.8262 * CHOOSE(CONTROL!$C$9, $D$9, 100%, $F$9) + CHOOSE(CONTROL!$C$27, 0.0021, 0)</f>
        <v>45.828299999999999</v>
      </c>
      <c r="G372" s="17">
        <f>46.0976 * CHOOSE(CONTROL!$C$9, $D$9, 100%, $F$9) + CHOOSE(CONTROL!$C$27, 0.0021, 0)</f>
        <v>46.099699999999999</v>
      </c>
      <c r="H372" s="17">
        <f>45.9629 * CHOOSE(CONTROL!$C$9, $D$9, 100%, $F$9) + CHOOSE(CONTROL!$C$27, 0.0021, 0)</f>
        <v>45.964999999999996</v>
      </c>
      <c r="I372" s="17">
        <f>45.9629 * CHOOSE(CONTROL!$C$9, $D$9, 100%, $F$9) + CHOOSE(CONTROL!$C$27, 0.0021, 0)</f>
        <v>45.964999999999996</v>
      </c>
      <c r="J372" s="17">
        <f>45.9629 * CHOOSE(CONTROL!$C$9, $D$9, 100%, $F$9) + CHOOSE(CONTROL!$C$27, 0.0021, 0)</f>
        <v>45.964999999999996</v>
      </c>
      <c r="K372" s="17">
        <f>45.9629 * CHOOSE(CONTROL!$C$9, $D$9, 100%, $F$9) + CHOOSE(CONTROL!$C$27, 0.0021, 0)</f>
        <v>45.964999999999996</v>
      </c>
      <c r="L372" s="17"/>
    </row>
    <row r="373" spans="1:12" ht="15.75" x14ac:dyDescent="0.25">
      <c r="A373" s="14">
        <v>52290</v>
      </c>
      <c r="B373" s="17">
        <f>45.1477 * CHOOSE(CONTROL!$C$9, $D$9, 100%, $F$9) + CHOOSE(CONTROL!$C$27, 0.0021, 0)</f>
        <v>45.149799999999999</v>
      </c>
      <c r="C373" s="17">
        <f>44.7154 * CHOOSE(CONTROL!$C$9, $D$9, 100%, $F$9) + CHOOSE(CONTROL!$C$27, 0.0021, 0)</f>
        <v>44.717500000000001</v>
      </c>
      <c r="D373" s="17">
        <f>44.7154 * CHOOSE(CONTROL!$C$9, $D$9, 100%, $F$9) + CHOOSE(CONTROL!$C$27, 0.0021, 0)</f>
        <v>44.717500000000001</v>
      </c>
      <c r="E373" s="17">
        <f>44.5788 * CHOOSE(CONTROL!$C$9, $D$9, 100%, $F$9) + CHOOSE(CONTROL!$C$27, 0.0021, 0)</f>
        <v>44.5809</v>
      </c>
      <c r="F373" s="17">
        <f>44.5788 * CHOOSE(CONTROL!$C$9, $D$9, 100%, $F$9) + CHOOSE(CONTROL!$C$27, 0.0021, 0)</f>
        <v>44.5809</v>
      </c>
      <c r="G373" s="17">
        <f>44.8501 * CHOOSE(CONTROL!$C$9, $D$9, 100%, $F$9) + CHOOSE(CONTROL!$C$27, 0.0021, 0)</f>
        <v>44.852199999999996</v>
      </c>
      <c r="H373" s="17">
        <f>44.7154 * CHOOSE(CONTROL!$C$9, $D$9, 100%, $F$9) + CHOOSE(CONTROL!$C$27, 0.0021, 0)</f>
        <v>44.717500000000001</v>
      </c>
      <c r="I373" s="17">
        <f>44.7154 * CHOOSE(CONTROL!$C$9, $D$9, 100%, $F$9) + CHOOSE(CONTROL!$C$27, 0.0021, 0)</f>
        <v>44.717500000000001</v>
      </c>
      <c r="J373" s="17">
        <f>44.7154 * CHOOSE(CONTROL!$C$9, $D$9, 100%, $F$9) + CHOOSE(CONTROL!$C$27, 0.0021, 0)</f>
        <v>44.717500000000001</v>
      </c>
      <c r="K373" s="17">
        <f>44.7154 * CHOOSE(CONTROL!$C$9, $D$9, 100%, $F$9) + CHOOSE(CONTROL!$C$27, 0.0021, 0)</f>
        <v>44.717500000000001</v>
      </c>
      <c r="L373" s="17"/>
    </row>
    <row r="374" spans="1:12" ht="15.75" x14ac:dyDescent="0.25">
      <c r="A374" s="14">
        <v>52321</v>
      </c>
      <c r="B374" s="17">
        <f>44.6327 * CHOOSE(CONTROL!$C$9, $D$9, 100%, $F$9) + CHOOSE(CONTROL!$C$27, 0.0021, 0)</f>
        <v>44.634799999999998</v>
      </c>
      <c r="C374" s="17">
        <f>44.2005 * CHOOSE(CONTROL!$C$9, $D$9, 100%, $F$9) + CHOOSE(CONTROL!$C$27, 0.0021, 0)</f>
        <v>44.202599999999997</v>
      </c>
      <c r="D374" s="17">
        <f>44.2005 * CHOOSE(CONTROL!$C$9, $D$9, 100%, $F$9) + CHOOSE(CONTROL!$C$27, 0.0021, 0)</f>
        <v>44.202599999999997</v>
      </c>
      <c r="E374" s="17">
        <f>44.0638 * CHOOSE(CONTROL!$C$9, $D$9, 100%, $F$9) + CHOOSE(CONTROL!$C$27, 0.0021, 0)</f>
        <v>44.065899999999999</v>
      </c>
      <c r="F374" s="17">
        <f>44.0638 * CHOOSE(CONTROL!$C$9, $D$9, 100%, $F$9) + CHOOSE(CONTROL!$C$27, 0.0021, 0)</f>
        <v>44.065899999999999</v>
      </c>
      <c r="G374" s="17">
        <f>44.3352 * CHOOSE(CONTROL!$C$9, $D$9, 100%, $F$9) + CHOOSE(CONTROL!$C$27, 0.0021, 0)</f>
        <v>44.337299999999999</v>
      </c>
      <c r="H374" s="17">
        <f>44.2005 * CHOOSE(CONTROL!$C$9, $D$9, 100%, $F$9) + CHOOSE(CONTROL!$C$27, 0.0021, 0)</f>
        <v>44.202599999999997</v>
      </c>
      <c r="I374" s="17">
        <f>44.2005 * CHOOSE(CONTROL!$C$9, $D$9, 100%, $F$9) + CHOOSE(CONTROL!$C$27, 0.0021, 0)</f>
        <v>44.202599999999997</v>
      </c>
      <c r="J374" s="17">
        <f>44.2005 * CHOOSE(CONTROL!$C$9, $D$9, 100%, $F$9) + CHOOSE(CONTROL!$C$27, 0.0021, 0)</f>
        <v>44.202599999999997</v>
      </c>
      <c r="K374" s="17">
        <f>44.2005 * CHOOSE(CONTROL!$C$9, $D$9, 100%, $F$9) + CHOOSE(CONTROL!$C$27, 0.0021, 0)</f>
        <v>44.202599999999997</v>
      </c>
      <c r="L374" s="17"/>
    </row>
    <row r="375" spans="1:12" ht="15.75" x14ac:dyDescent="0.25">
      <c r="A375" s="14">
        <v>52351</v>
      </c>
      <c r="B375" s="17">
        <f>44.0179 * CHOOSE(CONTROL!$C$9, $D$9, 100%, $F$9) + CHOOSE(CONTROL!$C$27, 0.0021, 0)</f>
        <v>44.019999999999996</v>
      </c>
      <c r="C375" s="17">
        <f>43.5856 * CHOOSE(CONTROL!$C$9, $D$9, 100%, $F$9) + CHOOSE(CONTROL!$C$27, 0.0021, 0)</f>
        <v>43.587699999999998</v>
      </c>
      <c r="D375" s="17">
        <f>43.5856 * CHOOSE(CONTROL!$C$9, $D$9, 100%, $F$9) + CHOOSE(CONTROL!$C$27, 0.0021, 0)</f>
        <v>43.587699999999998</v>
      </c>
      <c r="E375" s="17">
        <f>43.449 * CHOOSE(CONTROL!$C$9, $D$9, 100%, $F$9) + CHOOSE(CONTROL!$C$27, 0.0021, 0)</f>
        <v>43.451099999999997</v>
      </c>
      <c r="F375" s="17">
        <f>43.449 * CHOOSE(CONTROL!$C$9, $D$9, 100%, $F$9) + CHOOSE(CONTROL!$C$27, 0.0021, 0)</f>
        <v>43.451099999999997</v>
      </c>
      <c r="G375" s="17">
        <f>43.7203 * CHOOSE(CONTROL!$C$9, $D$9, 100%, $F$9) + CHOOSE(CONTROL!$C$27, 0.0021, 0)</f>
        <v>43.7224</v>
      </c>
      <c r="H375" s="17">
        <f>43.5856 * CHOOSE(CONTROL!$C$9, $D$9, 100%, $F$9) + CHOOSE(CONTROL!$C$27, 0.0021, 0)</f>
        <v>43.587699999999998</v>
      </c>
      <c r="I375" s="17">
        <f>43.5856 * CHOOSE(CONTROL!$C$9, $D$9, 100%, $F$9) + CHOOSE(CONTROL!$C$27, 0.0021, 0)</f>
        <v>43.587699999999998</v>
      </c>
      <c r="J375" s="17">
        <f>43.5856 * CHOOSE(CONTROL!$C$9, $D$9, 100%, $F$9) + CHOOSE(CONTROL!$C$27, 0.0021, 0)</f>
        <v>43.587699999999998</v>
      </c>
      <c r="K375" s="17">
        <f>43.5856 * CHOOSE(CONTROL!$C$9, $D$9, 100%, $F$9) + CHOOSE(CONTROL!$C$27, 0.0021, 0)</f>
        <v>43.587699999999998</v>
      </c>
      <c r="L375" s="17"/>
    </row>
    <row r="376" spans="1:12" ht="15.75" x14ac:dyDescent="0.25">
      <c r="A376" s="14">
        <v>52382</v>
      </c>
      <c r="B376" s="17">
        <f>44.8941 * CHOOSE(CONTROL!$C$9, $D$9, 100%, $F$9) + CHOOSE(CONTROL!$C$27, 0.0021, 0)</f>
        <v>44.8962</v>
      </c>
      <c r="C376" s="17">
        <f>44.4619 * CHOOSE(CONTROL!$C$9, $D$9, 100%, $F$9) + CHOOSE(CONTROL!$C$27, 0.0021, 0)</f>
        <v>44.463999999999999</v>
      </c>
      <c r="D376" s="17">
        <f>44.4619 * CHOOSE(CONTROL!$C$9, $D$9, 100%, $F$9) + CHOOSE(CONTROL!$C$27, 0.0021, 0)</f>
        <v>44.463999999999999</v>
      </c>
      <c r="E376" s="17">
        <f>44.3252 * CHOOSE(CONTROL!$C$9, $D$9, 100%, $F$9) + CHOOSE(CONTROL!$C$27, 0.0021, 0)</f>
        <v>44.327300000000001</v>
      </c>
      <c r="F376" s="17">
        <f>44.3252 * CHOOSE(CONTROL!$C$9, $D$9, 100%, $F$9) + CHOOSE(CONTROL!$C$27, 0.0021, 0)</f>
        <v>44.327300000000001</v>
      </c>
      <c r="G376" s="17">
        <f>44.5966 * CHOOSE(CONTROL!$C$9, $D$9, 100%, $F$9) + CHOOSE(CONTROL!$C$27, 0.0021, 0)</f>
        <v>44.598700000000001</v>
      </c>
      <c r="H376" s="17">
        <f>44.4619 * CHOOSE(CONTROL!$C$9, $D$9, 100%, $F$9) + CHOOSE(CONTROL!$C$27, 0.0021, 0)</f>
        <v>44.463999999999999</v>
      </c>
      <c r="I376" s="17">
        <f>44.4619 * CHOOSE(CONTROL!$C$9, $D$9, 100%, $F$9) + CHOOSE(CONTROL!$C$27, 0.0021, 0)</f>
        <v>44.463999999999999</v>
      </c>
      <c r="J376" s="17">
        <f>44.4619 * CHOOSE(CONTROL!$C$9, $D$9, 100%, $F$9) + CHOOSE(CONTROL!$C$27, 0.0021, 0)</f>
        <v>44.463999999999999</v>
      </c>
      <c r="K376" s="17">
        <f>44.4619 * CHOOSE(CONTROL!$C$9, $D$9, 100%, $F$9) + CHOOSE(CONTROL!$C$27, 0.0021, 0)</f>
        <v>44.463999999999999</v>
      </c>
      <c r="L376" s="17"/>
    </row>
    <row r="377" spans="1:12" ht="15.75" x14ac:dyDescent="0.25">
      <c r="A377" s="14">
        <v>52412</v>
      </c>
      <c r="B377" s="17">
        <f>45.419 * CHOOSE(CONTROL!$C$9, $D$9, 100%, $F$9) + CHOOSE(CONTROL!$C$27, 0.0021, 0)</f>
        <v>45.421099999999996</v>
      </c>
      <c r="C377" s="17">
        <f>44.9867 * CHOOSE(CONTROL!$C$9, $D$9, 100%, $F$9) + CHOOSE(CONTROL!$C$27, 0.0021, 0)</f>
        <v>44.988799999999998</v>
      </c>
      <c r="D377" s="17">
        <f>44.9867 * CHOOSE(CONTROL!$C$9, $D$9, 100%, $F$9) + CHOOSE(CONTROL!$C$27, 0.0021, 0)</f>
        <v>44.988799999999998</v>
      </c>
      <c r="E377" s="17">
        <f>44.8501 * CHOOSE(CONTROL!$C$9, $D$9, 100%, $F$9) + CHOOSE(CONTROL!$C$27, 0.0021, 0)</f>
        <v>44.852199999999996</v>
      </c>
      <c r="F377" s="17">
        <f>44.8501 * CHOOSE(CONTROL!$C$9, $D$9, 100%, $F$9) + CHOOSE(CONTROL!$C$27, 0.0021, 0)</f>
        <v>44.852199999999996</v>
      </c>
      <c r="G377" s="17">
        <f>45.1214 * CHOOSE(CONTROL!$C$9, $D$9, 100%, $F$9) + CHOOSE(CONTROL!$C$27, 0.0021, 0)</f>
        <v>45.1235</v>
      </c>
      <c r="H377" s="17">
        <f>44.9867 * CHOOSE(CONTROL!$C$9, $D$9, 100%, $F$9) + CHOOSE(CONTROL!$C$27, 0.0021, 0)</f>
        <v>44.988799999999998</v>
      </c>
      <c r="I377" s="17">
        <f>44.9867 * CHOOSE(CONTROL!$C$9, $D$9, 100%, $F$9) + CHOOSE(CONTROL!$C$27, 0.0021, 0)</f>
        <v>44.988799999999998</v>
      </c>
      <c r="J377" s="17">
        <f>44.9867 * CHOOSE(CONTROL!$C$9, $D$9, 100%, $F$9) + CHOOSE(CONTROL!$C$27, 0.0021, 0)</f>
        <v>44.988799999999998</v>
      </c>
      <c r="K377" s="17">
        <f>44.9867 * CHOOSE(CONTROL!$C$9, $D$9, 100%, $F$9) + CHOOSE(CONTROL!$C$27, 0.0021, 0)</f>
        <v>44.988799999999998</v>
      </c>
      <c r="L377" s="17"/>
    </row>
    <row r="378" spans="1:12" ht="15.75" x14ac:dyDescent="0.25">
      <c r="A378" s="14">
        <v>52443</v>
      </c>
      <c r="B378" s="17">
        <f>46.2848 * CHOOSE(CONTROL!$C$9, $D$9, 100%, $F$9) + CHOOSE(CONTROL!$C$27, 0.0021, 0)</f>
        <v>46.286899999999996</v>
      </c>
      <c r="C378" s="17">
        <f>45.8525 * CHOOSE(CONTROL!$C$9, $D$9, 100%, $F$9) + CHOOSE(CONTROL!$C$27, 0.0021, 0)</f>
        <v>45.854599999999998</v>
      </c>
      <c r="D378" s="17">
        <f>45.8525 * CHOOSE(CONTROL!$C$9, $D$9, 100%, $F$9) + CHOOSE(CONTROL!$C$27, 0.0021, 0)</f>
        <v>45.854599999999998</v>
      </c>
      <c r="E378" s="17">
        <f>45.7158 * CHOOSE(CONTROL!$C$9, $D$9, 100%, $F$9) + CHOOSE(CONTROL!$C$27, 0.0021, 0)</f>
        <v>45.7179</v>
      </c>
      <c r="F378" s="17">
        <f>45.7158 * CHOOSE(CONTROL!$C$9, $D$9, 100%, $F$9) + CHOOSE(CONTROL!$C$27, 0.0021, 0)</f>
        <v>45.7179</v>
      </c>
      <c r="G378" s="17">
        <f>45.9872 * CHOOSE(CONTROL!$C$9, $D$9, 100%, $F$9) + CHOOSE(CONTROL!$C$27, 0.0021, 0)</f>
        <v>45.9893</v>
      </c>
      <c r="H378" s="17">
        <f>45.8525 * CHOOSE(CONTROL!$C$9, $D$9, 100%, $F$9) + CHOOSE(CONTROL!$C$27, 0.0021, 0)</f>
        <v>45.854599999999998</v>
      </c>
      <c r="I378" s="17">
        <f>45.8525 * CHOOSE(CONTROL!$C$9, $D$9, 100%, $F$9) + CHOOSE(CONTROL!$C$27, 0.0021, 0)</f>
        <v>45.854599999999998</v>
      </c>
      <c r="J378" s="17">
        <f>45.8525 * CHOOSE(CONTROL!$C$9, $D$9, 100%, $F$9) + CHOOSE(CONTROL!$C$27, 0.0021, 0)</f>
        <v>45.854599999999998</v>
      </c>
      <c r="K378" s="17">
        <f>45.8525 * CHOOSE(CONTROL!$C$9, $D$9, 100%, $F$9) + CHOOSE(CONTROL!$C$27, 0.0021, 0)</f>
        <v>45.854599999999998</v>
      </c>
      <c r="L378" s="17"/>
    </row>
    <row r="379" spans="1:12" ht="15.75" x14ac:dyDescent="0.25">
      <c r="A379" s="14">
        <v>52474</v>
      </c>
      <c r="B379" s="17">
        <f>46.549 * CHOOSE(CONTROL!$C$9, $D$9, 100%, $F$9) + CHOOSE(CONTROL!$C$27, 0.0021, 0)</f>
        <v>46.551099999999998</v>
      </c>
      <c r="C379" s="17">
        <f>46.1168 * CHOOSE(CONTROL!$C$9, $D$9, 100%, $F$9) + CHOOSE(CONTROL!$C$27, 0.0021, 0)</f>
        <v>46.118899999999996</v>
      </c>
      <c r="D379" s="17">
        <f>46.1168 * CHOOSE(CONTROL!$C$9, $D$9, 100%, $F$9) + CHOOSE(CONTROL!$C$27, 0.0021, 0)</f>
        <v>46.118899999999996</v>
      </c>
      <c r="E379" s="17">
        <f>45.9801 * CHOOSE(CONTROL!$C$9, $D$9, 100%, $F$9) + CHOOSE(CONTROL!$C$27, 0.0021, 0)</f>
        <v>45.982199999999999</v>
      </c>
      <c r="F379" s="17">
        <f>45.9801 * CHOOSE(CONTROL!$C$9, $D$9, 100%, $F$9) + CHOOSE(CONTROL!$C$27, 0.0021, 0)</f>
        <v>45.982199999999999</v>
      </c>
      <c r="G379" s="17">
        <f>46.2515 * CHOOSE(CONTROL!$C$9, $D$9, 100%, $F$9) + CHOOSE(CONTROL!$C$27, 0.0021, 0)</f>
        <v>46.253599999999999</v>
      </c>
      <c r="H379" s="17">
        <f>46.1168 * CHOOSE(CONTROL!$C$9, $D$9, 100%, $F$9) + CHOOSE(CONTROL!$C$27, 0.0021, 0)</f>
        <v>46.118899999999996</v>
      </c>
      <c r="I379" s="17">
        <f>46.1168 * CHOOSE(CONTROL!$C$9, $D$9, 100%, $F$9) + CHOOSE(CONTROL!$C$27, 0.0021, 0)</f>
        <v>46.118899999999996</v>
      </c>
      <c r="J379" s="17">
        <f>46.1168 * CHOOSE(CONTROL!$C$9, $D$9, 100%, $F$9) + CHOOSE(CONTROL!$C$27, 0.0021, 0)</f>
        <v>46.118899999999996</v>
      </c>
      <c r="K379" s="17">
        <f>46.1168 * CHOOSE(CONTROL!$C$9, $D$9, 100%, $F$9) + CHOOSE(CONTROL!$C$27, 0.0021, 0)</f>
        <v>46.118899999999996</v>
      </c>
      <c r="L379" s="17"/>
    </row>
    <row r="380" spans="1:12" ht="15.75" x14ac:dyDescent="0.25">
      <c r="A380" s="14">
        <v>52504</v>
      </c>
      <c r="B380" s="17">
        <f>47.449 * CHOOSE(CONTROL!$C$9, $D$9, 100%, $F$9) + CHOOSE(CONTROL!$C$27, 0.0021, 0)</f>
        <v>47.451099999999997</v>
      </c>
      <c r="C380" s="17">
        <f>47.0167 * CHOOSE(CONTROL!$C$9, $D$9, 100%, $F$9) + CHOOSE(CONTROL!$C$27, 0.0021, 0)</f>
        <v>47.018799999999999</v>
      </c>
      <c r="D380" s="17">
        <f>47.0167 * CHOOSE(CONTROL!$C$9, $D$9, 100%, $F$9) + CHOOSE(CONTROL!$C$27, 0.0021, 0)</f>
        <v>47.018799999999999</v>
      </c>
      <c r="E380" s="17">
        <f>46.8801 * CHOOSE(CONTROL!$C$9, $D$9, 100%, $F$9) + CHOOSE(CONTROL!$C$27, 0.0021, 0)</f>
        <v>46.882199999999997</v>
      </c>
      <c r="F380" s="17">
        <f>46.8801 * CHOOSE(CONTROL!$C$9, $D$9, 100%, $F$9) + CHOOSE(CONTROL!$C$27, 0.0021, 0)</f>
        <v>46.882199999999997</v>
      </c>
      <c r="G380" s="17">
        <f>47.1514 * CHOOSE(CONTROL!$C$9, $D$9, 100%, $F$9) + CHOOSE(CONTROL!$C$27, 0.0021, 0)</f>
        <v>47.153500000000001</v>
      </c>
      <c r="H380" s="17">
        <f>47.0167 * CHOOSE(CONTROL!$C$9, $D$9, 100%, $F$9) + CHOOSE(CONTROL!$C$27, 0.0021, 0)</f>
        <v>47.018799999999999</v>
      </c>
      <c r="I380" s="17">
        <f>47.0167 * CHOOSE(CONTROL!$C$9, $D$9, 100%, $F$9) + CHOOSE(CONTROL!$C$27, 0.0021, 0)</f>
        <v>47.018799999999999</v>
      </c>
      <c r="J380" s="17">
        <f>47.0167 * CHOOSE(CONTROL!$C$9, $D$9, 100%, $F$9) + CHOOSE(CONTROL!$C$27, 0.0021, 0)</f>
        <v>47.018799999999999</v>
      </c>
      <c r="K380" s="17">
        <f>47.0167 * CHOOSE(CONTROL!$C$9, $D$9, 100%, $F$9) + CHOOSE(CONTROL!$C$27, 0.0021, 0)</f>
        <v>47.018799999999999</v>
      </c>
      <c r="L380" s="17"/>
    </row>
    <row r="381" spans="1:12" ht="15.75" x14ac:dyDescent="0.25">
      <c r="A381" s="14">
        <v>52535</v>
      </c>
      <c r="B381" s="17">
        <f>48.5882 * CHOOSE(CONTROL!$C$9, $D$9, 100%, $F$9) + CHOOSE(CONTROL!$C$27, 0.0021, 0)</f>
        <v>48.590299999999999</v>
      </c>
      <c r="C381" s="17">
        <f>48.1559 * CHOOSE(CONTROL!$C$9, $D$9, 100%, $F$9) + CHOOSE(CONTROL!$C$27, 0.0021, 0)</f>
        <v>48.158000000000001</v>
      </c>
      <c r="D381" s="17">
        <f>48.1559 * CHOOSE(CONTROL!$C$9, $D$9, 100%, $F$9) + CHOOSE(CONTROL!$C$27, 0.0021, 0)</f>
        <v>48.158000000000001</v>
      </c>
      <c r="E381" s="17">
        <f>48.0193 * CHOOSE(CONTROL!$C$9, $D$9, 100%, $F$9) + CHOOSE(CONTROL!$C$27, 0.0021, 0)</f>
        <v>48.0214</v>
      </c>
      <c r="F381" s="17">
        <f>48.0193 * CHOOSE(CONTROL!$C$9, $D$9, 100%, $F$9) + CHOOSE(CONTROL!$C$27, 0.0021, 0)</f>
        <v>48.0214</v>
      </c>
      <c r="G381" s="17">
        <f>48.2906 * CHOOSE(CONTROL!$C$9, $D$9, 100%, $F$9) + CHOOSE(CONTROL!$C$27, 0.0021, 0)</f>
        <v>48.292699999999996</v>
      </c>
      <c r="H381" s="17">
        <f>48.1559 * CHOOSE(CONTROL!$C$9, $D$9, 100%, $F$9) + CHOOSE(CONTROL!$C$27, 0.0021, 0)</f>
        <v>48.158000000000001</v>
      </c>
      <c r="I381" s="17">
        <f>48.1559 * CHOOSE(CONTROL!$C$9, $D$9, 100%, $F$9) + CHOOSE(CONTROL!$C$27, 0.0021, 0)</f>
        <v>48.158000000000001</v>
      </c>
      <c r="J381" s="17">
        <f>48.1559 * CHOOSE(CONTROL!$C$9, $D$9, 100%, $F$9) + CHOOSE(CONTROL!$C$27, 0.0021, 0)</f>
        <v>48.158000000000001</v>
      </c>
      <c r="K381" s="17">
        <f>48.1559 * CHOOSE(CONTROL!$C$9, $D$9, 100%, $F$9) + CHOOSE(CONTROL!$C$27, 0.0021, 0)</f>
        <v>48.158000000000001</v>
      </c>
      <c r="L381" s="17"/>
    </row>
    <row r="382" spans="1:12" ht="15.75" x14ac:dyDescent="0.25">
      <c r="A382" s="14">
        <v>52565</v>
      </c>
      <c r="B382" s="17">
        <f>48.6951 * CHOOSE(CONTROL!$C$9, $D$9, 100%, $F$9) + CHOOSE(CONTROL!$C$27, 0.0021, 0)</f>
        <v>48.697199999999995</v>
      </c>
      <c r="C382" s="17">
        <f>48.2629 * CHOOSE(CONTROL!$C$9, $D$9, 100%, $F$9) + CHOOSE(CONTROL!$C$27, 0.0021, 0)</f>
        <v>48.265000000000001</v>
      </c>
      <c r="D382" s="17">
        <f>48.2629 * CHOOSE(CONTROL!$C$9, $D$9, 100%, $F$9) + CHOOSE(CONTROL!$C$27, 0.0021, 0)</f>
        <v>48.265000000000001</v>
      </c>
      <c r="E382" s="17">
        <f>48.1262 * CHOOSE(CONTROL!$C$9, $D$9, 100%, $F$9) + CHOOSE(CONTROL!$C$27, 0.0021, 0)</f>
        <v>48.128299999999996</v>
      </c>
      <c r="F382" s="17">
        <f>48.1262 * CHOOSE(CONTROL!$C$9, $D$9, 100%, $F$9) + CHOOSE(CONTROL!$C$27, 0.0021, 0)</f>
        <v>48.128299999999996</v>
      </c>
      <c r="G382" s="17">
        <f>48.3976 * CHOOSE(CONTROL!$C$9, $D$9, 100%, $F$9) + CHOOSE(CONTROL!$C$27, 0.0021, 0)</f>
        <v>48.399699999999996</v>
      </c>
      <c r="H382" s="17">
        <f>48.2629 * CHOOSE(CONTROL!$C$9, $D$9, 100%, $F$9) + CHOOSE(CONTROL!$C$27, 0.0021, 0)</f>
        <v>48.265000000000001</v>
      </c>
      <c r="I382" s="17">
        <f>48.2629 * CHOOSE(CONTROL!$C$9, $D$9, 100%, $F$9) + CHOOSE(CONTROL!$C$27, 0.0021, 0)</f>
        <v>48.265000000000001</v>
      </c>
      <c r="J382" s="17">
        <f>48.2629 * CHOOSE(CONTROL!$C$9, $D$9, 100%, $F$9) + CHOOSE(CONTROL!$C$27, 0.0021, 0)</f>
        <v>48.265000000000001</v>
      </c>
      <c r="K382" s="17">
        <f>48.2629 * CHOOSE(CONTROL!$C$9, $D$9, 100%, $F$9) + CHOOSE(CONTROL!$C$27, 0.0021, 0)</f>
        <v>48.265000000000001</v>
      </c>
      <c r="L382" s="17"/>
    </row>
    <row r="383" spans="1:12" ht="15.75" x14ac:dyDescent="0.25">
      <c r="A383" s="14">
        <v>52596</v>
      </c>
      <c r="B383" s="17">
        <f>47.7853 * CHOOSE(CONTROL!$C$9, $D$9, 100%, $F$9) + CHOOSE(CONTROL!$C$27, 0.0021, 0)</f>
        <v>47.787399999999998</v>
      </c>
      <c r="C383" s="17">
        <f>47.353 * CHOOSE(CONTROL!$C$9, $D$9, 100%, $F$9) + CHOOSE(CONTROL!$C$27, 0.0021, 0)</f>
        <v>47.3551</v>
      </c>
      <c r="D383" s="17">
        <f>47.353 * CHOOSE(CONTROL!$C$9, $D$9, 100%, $F$9) + CHOOSE(CONTROL!$C$27, 0.0021, 0)</f>
        <v>47.3551</v>
      </c>
      <c r="E383" s="17">
        <f>47.2164 * CHOOSE(CONTROL!$C$9, $D$9, 100%, $F$9) + CHOOSE(CONTROL!$C$27, 0.0021, 0)</f>
        <v>47.218499999999999</v>
      </c>
      <c r="F383" s="17">
        <f>47.2164 * CHOOSE(CONTROL!$C$9, $D$9, 100%, $F$9) + CHOOSE(CONTROL!$C$27, 0.0021, 0)</f>
        <v>47.218499999999999</v>
      </c>
      <c r="G383" s="17">
        <f>47.4877 * CHOOSE(CONTROL!$C$9, $D$9, 100%, $F$9) + CHOOSE(CONTROL!$C$27, 0.0021, 0)</f>
        <v>47.489799999999995</v>
      </c>
      <c r="H383" s="17">
        <f>47.353 * CHOOSE(CONTROL!$C$9, $D$9, 100%, $F$9) + CHOOSE(CONTROL!$C$27, 0.0021, 0)</f>
        <v>47.3551</v>
      </c>
      <c r="I383" s="17">
        <f>47.353 * CHOOSE(CONTROL!$C$9, $D$9, 100%, $F$9) + CHOOSE(CONTROL!$C$27, 0.0021, 0)</f>
        <v>47.3551</v>
      </c>
      <c r="J383" s="17">
        <f>47.353 * CHOOSE(CONTROL!$C$9, $D$9, 100%, $F$9) + CHOOSE(CONTROL!$C$27, 0.0021, 0)</f>
        <v>47.3551</v>
      </c>
      <c r="K383" s="17">
        <f>47.353 * CHOOSE(CONTROL!$C$9, $D$9, 100%, $F$9) + CHOOSE(CONTROL!$C$27, 0.0021, 0)</f>
        <v>47.3551</v>
      </c>
      <c r="L383" s="17"/>
    </row>
    <row r="384" spans="1:12" ht="15.75" x14ac:dyDescent="0.25">
      <c r="A384" s="14">
        <v>52627</v>
      </c>
      <c r="B384" s="17">
        <f>47.2102 * CHOOSE(CONTROL!$C$9, $D$9, 100%, $F$9) + CHOOSE(CONTROL!$C$27, 0.0021, 0)</f>
        <v>47.212299999999999</v>
      </c>
      <c r="C384" s="17">
        <f>46.7779 * CHOOSE(CONTROL!$C$9, $D$9, 100%, $F$9) + CHOOSE(CONTROL!$C$27, 0.0021, 0)</f>
        <v>46.78</v>
      </c>
      <c r="D384" s="17">
        <f>46.7779 * CHOOSE(CONTROL!$C$9, $D$9, 100%, $F$9) + CHOOSE(CONTROL!$C$27, 0.0021, 0)</f>
        <v>46.78</v>
      </c>
      <c r="E384" s="17">
        <f>46.6413 * CHOOSE(CONTROL!$C$9, $D$9, 100%, $F$9) + CHOOSE(CONTROL!$C$27, 0.0021, 0)</f>
        <v>46.6434</v>
      </c>
      <c r="F384" s="17">
        <f>46.6413 * CHOOSE(CONTROL!$C$9, $D$9, 100%, $F$9) + CHOOSE(CONTROL!$C$27, 0.0021, 0)</f>
        <v>46.6434</v>
      </c>
      <c r="G384" s="17">
        <f>46.9127 * CHOOSE(CONTROL!$C$9, $D$9, 100%, $F$9) + CHOOSE(CONTROL!$C$27, 0.0021, 0)</f>
        <v>46.9148</v>
      </c>
      <c r="H384" s="17">
        <f>46.7779 * CHOOSE(CONTROL!$C$9, $D$9, 100%, $F$9) + CHOOSE(CONTROL!$C$27, 0.0021, 0)</f>
        <v>46.78</v>
      </c>
      <c r="I384" s="17">
        <f>46.7779 * CHOOSE(CONTROL!$C$9, $D$9, 100%, $F$9) + CHOOSE(CONTROL!$C$27, 0.0021, 0)</f>
        <v>46.78</v>
      </c>
      <c r="J384" s="17">
        <f>46.7779 * CHOOSE(CONTROL!$C$9, $D$9, 100%, $F$9) + CHOOSE(CONTROL!$C$27, 0.0021, 0)</f>
        <v>46.78</v>
      </c>
      <c r="K384" s="17">
        <f>46.7779 * CHOOSE(CONTROL!$C$9, $D$9, 100%, $F$9) + CHOOSE(CONTROL!$C$27, 0.0021, 0)</f>
        <v>46.78</v>
      </c>
      <c r="L384" s="17"/>
    </row>
    <row r="385" spans="1:12" ht="15.75" x14ac:dyDescent="0.25">
      <c r="A385" s="14">
        <v>52655</v>
      </c>
      <c r="B385" s="17">
        <f>45.9397 * CHOOSE(CONTROL!$C$9, $D$9, 100%, $F$9) + CHOOSE(CONTROL!$C$27, 0.0021, 0)</f>
        <v>45.941800000000001</v>
      </c>
      <c r="C385" s="17">
        <f>45.5074 * CHOOSE(CONTROL!$C$9, $D$9, 100%, $F$9) + CHOOSE(CONTROL!$C$27, 0.0021, 0)</f>
        <v>45.509499999999996</v>
      </c>
      <c r="D385" s="17">
        <f>45.5074 * CHOOSE(CONTROL!$C$9, $D$9, 100%, $F$9) + CHOOSE(CONTROL!$C$27, 0.0021, 0)</f>
        <v>45.509499999999996</v>
      </c>
      <c r="E385" s="17">
        <f>45.3708 * CHOOSE(CONTROL!$C$9, $D$9, 100%, $F$9) + CHOOSE(CONTROL!$C$27, 0.0021, 0)</f>
        <v>45.372900000000001</v>
      </c>
      <c r="F385" s="17">
        <f>45.3708 * CHOOSE(CONTROL!$C$9, $D$9, 100%, $F$9) + CHOOSE(CONTROL!$C$27, 0.0021, 0)</f>
        <v>45.372900000000001</v>
      </c>
      <c r="G385" s="17">
        <f>45.6421 * CHOOSE(CONTROL!$C$9, $D$9, 100%, $F$9) + CHOOSE(CONTROL!$C$27, 0.0021, 0)</f>
        <v>45.644199999999998</v>
      </c>
      <c r="H385" s="17">
        <f>45.5074 * CHOOSE(CONTROL!$C$9, $D$9, 100%, $F$9) + CHOOSE(CONTROL!$C$27, 0.0021, 0)</f>
        <v>45.509499999999996</v>
      </c>
      <c r="I385" s="17">
        <f>45.5074 * CHOOSE(CONTROL!$C$9, $D$9, 100%, $F$9) + CHOOSE(CONTROL!$C$27, 0.0021, 0)</f>
        <v>45.509499999999996</v>
      </c>
      <c r="J385" s="17">
        <f>45.5074 * CHOOSE(CONTROL!$C$9, $D$9, 100%, $F$9) + CHOOSE(CONTROL!$C$27, 0.0021, 0)</f>
        <v>45.509499999999996</v>
      </c>
      <c r="K385" s="17">
        <f>45.5074 * CHOOSE(CONTROL!$C$9, $D$9, 100%, $F$9) + CHOOSE(CONTROL!$C$27, 0.0021, 0)</f>
        <v>45.509499999999996</v>
      </c>
      <c r="L385" s="17"/>
    </row>
    <row r="386" spans="1:12" ht="15.75" x14ac:dyDescent="0.25">
      <c r="A386" s="14">
        <v>52687</v>
      </c>
      <c r="B386" s="17">
        <f>45.4152 * CHOOSE(CONTROL!$C$9, $D$9, 100%, $F$9) + CHOOSE(CONTROL!$C$27, 0.0021, 0)</f>
        <v>45.417299999999997</v>
      </c>
      <c r="C386" s="17">
        <f>44.983 * CHOOSE(CONTROL!$C$9, $D$9, 100%, $F$9) + CHOOSE(CONTROL!$C$27, 0.0021, 0)</f>
        <v>44.985099999999996</v>
      </c>
      <c r="D386" s="17">
        <f>44.983 * CHOOSE(CONTROL!$C$9, $D$9, 100%, $F$9) + CHOOSE(CONTROL!$C$27, 0.0021, 0)</f>
        <v>44.985099999999996</v>
      </c>
      <c r="E386" s="17">
        <f>44.8463 * CHOOSE(CONTROL!$C$9, $D$9, 100%, $F$9) + CHOOSE(CONTROL!$C$27, 0.0021, 0)</f>
        <v>44.848399999999998</v>
      </c>
      <c r="F386" s="17">
        <f>44.8463 * CHOOSE(CONTROL!$C$9, $D$9, 100%, $F$9) + CHOOSE(CONTROL!$C$27, 0.0021, 0)</f>
        <v>44.848399999999998</v>
      </c>
      <c r="G386" s="17">
        <f>45.1177 * CHOOSE(CONTROL!$C$9, $D$9, 100%, $F$9) + CHOOSE(CONTROL!$C$27, 0.0021, 0)</f>
        <v>45.119799999999998</v>
      </c>
      <c r="H386" s="17">
        <f>44.983 * CHOOSE(CONTROL!$C$9, $D$9, 100%, $F$9) + CHOOSE(CONTROL!$C$27, 0.0021, 0)</f>
        <v>44.985099999999996</v>
      </c>
      <c r="I386" s="17">
        <f>44.983 * CHOOSE(CONTROL!$C$9, $D$9, 100%, $F$9) + CHOOSE(CONTROL!$C$27, 0.0021, 0)</f>
        <v>44.985099999999996</v>
      </c>
      <c r="J386" s="17">
        <f>44.983 * CHOOSE(CONTROL!$C$9, $D$9, 100%, $F$9) + CHOOSE(CONTROL!$C$27, 0.0021, 0)</f>
        <v>44.985099999999996</v>
      </c>
      <c r="K386" s="17">
        <f>44.983 * CHOOSE(CONTROL!$C$9, $D$9, 100%, $F$9) + CHOOSE(CONTROL!$C$27, 0.0021, 0)</f>
        <v>44.985099999999996</v>
      </c>
      <c r="L386" s="17"/>
    </row>
    <row r="387" spans="1:12" ht="15.75" x14ac:dyDescent="0.25">
      <c r="A387" s="14">
        <v>52717</v>
      </c>
      <c r="B387" s="17">
        <f>44.789 * CHOOSE(CONTROL!$C$9, $D$9, 100%, $F$9) + CHOOSE(CONTROL!$C$27, 0.0021, 0)</f>
        <v>44.7911</v>
      </c>
      <c r="C387" s="17">
        <f>44.3567 * CHOOSE(CONTROL!$C$9, $D$9, 100%, $F$9) + CHOOSE(CONTROL!$C$27, 0.0021, 0)</f>
        <v>44.358799999999995</v>
      </c>
      <c r="D387" s="17">
        <f>44.3567 * CHOOSE(CONTROL!$C$9, $D$9, 100%, $F$9) + CHOOSE(CONTROL!$C$27, 0.0021, 0)</f>
        <v>44.358799999999995</v>
      </c>
      <c r="E387" s="17">
        <f>44.2201 * CHOOSE(CONTROL!$C$9, $D$9, 100%, $F$9) + CHOOSE(CONTROL!$C$27, 0.0021, 0)</f>
        <v>44.222200000000001</v>
      </c>
      <c r="F387" s="17">
        <f>44.2201 * CHOOSE(CONTROL!$C$9, $D$9, 100%, $F$9) + CHOOSE(CONTROL!$C$27, 0.0021, 0)</f>
        <v>44.222200000000001</v>
      </c>
      <c r="G387" s="17">
        <f>44.4915 * CHOOSE(CONTROL!$C$9, $D$9, 100%, $F$9) + CHOOSE(CONTROL!$C$27, 0.0021, 0)</f>
        <v>44.493600000000001</v>
      </c>
      <c r="H387" s="17">
        <f>44.3567 * CHOOSE(CONTROL!$C$9, $D$9, 100%, $F$9) + CHOOSE(CONTROL!$C$27, 0.0021, 0)</f>
        <v>44.358799999999995</v>
      </c>
      <c r="I387" s="17">
        <f>44.3567 * CHOOSE(CONTROL!$C$9, $D$9, 100%, $F$9) + CHOOSE(CONTROL!$C$27, 0.0021, 0)</f>
        <v>44.358799999999995</v>
      </c>
      <c r="J387" s="17">
        <f>44.3567 * CHOOSE(CONTROL!$C$9, $D$9, 100%, $F$9) + CHOOSE(CONTROL!$C$27, 0.0021, 0)</f>
        <v>44.358799999999995</v>
      </c>
      <c r="K387" s="17">
        <f>44.3567 * CHOOSE(CONTROL!$C$9, $D$9, 100%, $F$9) + CHOOSE(CONTROL!$C$27, 0.0021, 0)</f>
        <v>44.358799999999995</v>
      </c>
      <c r="L387" s="17"/>
    </row>
    <row r="388" spans="1:12" ht="15.75" x14ac:dyDescent="0.25">
      <c r="A388" s="14">
        <v>52748</v>
      </c>
      <c r="B388" s="17">
        <f>45.6814 * CHOOSE(CONTROL!$C$9, $D$9, 100%, $F$9) + CHOOSE(CONTROL!$C$27, 0.0021, 0)</f>
        <v>45.683499999999995</v>
      </c>
      <c r="C388" s="17">
        <f>45.2492 * CHOOSE(CONTROL!$C$9, $D$9, 100%, $F$9) + CHOOSE(CONTROL!$C$27, 0.0021, 0)</f>
        <v>45.251300000000001</v>
      </c>
      <c r="D388" s="17">
        <f>45.2492 * CHOOSE(CONTROL!$C$9, $D$9, 100%, $F$9) + CHOOSE(CONTROL!$C$27, 0.0021, 0)</f>
        <v>45.251300000000001</v>
      </c>
      <c r="E388" s="17">
        <f>45.1125 * CHOOSE(CONTROL!$C$9, $D$9, 100%, $F$9) + CHOOSE(CONTROL!$C$27, 0.0021, 0)</f>
        <v>45.114599999999996</v>
      </c>
      <c r="F388" s="17">
        <f>45.1125 * CHOOSE(CONTROL!$C$9, $D$9, 100%, $F$9) + CHOOSE(CONTROL!$C$27, 0.0021, 0)</f>
        <v>45.114599999999996</v>
      </c>
      <c r="G388" s="17">
        <f>45.3839 * CHOOSE(CONTROL!$C$9, $D$9, 100%, $F$9) + CHOOSE(CONTROL!$C$27, 0.0021, 0)</f>
        <v>45.385999999999996</v>
      </c>
      <c r="H388" s="17">
        <f>45.2492 * CHOOSE(CONTROL!$C$9, $D$9, 100%, $F$9) + CHOOSE(CONTROL!$C$27, 0.0021, 0)</f>
        <v>45.251300000000001</v>
      </c>
      <c r="I388" s="17">
        <f>45.2492 * CHOOSE(CONTROL!$C$9, $D$9, 100%, $F$9) + CHOOSE(CONTROL!$C$27, 0.0021, 0)</f>
        <v>45.251300000000001</v>
      </c>
      <c r="J388" s="17">
        <f>45.2492 * CHOOSE(CONTROL!$C$9, $D$9, 100%, $F$9) + CHOOSE(CONTROL!$C$27, 0.0021, 0)</f>
        <v>45.251300000000001</v>
      </c>
      <c r="K388" s="17">
        <f>45.2492 * CHOOSE(CONTROL!$C$9, $D$9, 100%, $F$9) + CHOOSE(CONTROL!$C$27, 0.0021, 0)</f>
        <v>45.251300000000001</v>
      </c>
      <c r="L388" s="17"/>
    </row>
    <row r="389" spans="1:12" ht="15.75" x14ac:dyDescent="0.25">
      <c r="A389" s="14">
        <v>52778</v>
      </c>
      <c r="B389" s="17">
        <f>46.216 * CHOOSE(CONTROL!$C$9, $D$9, 100%, $F$9) + CHOOSE(CONTROL!$C$27, 0.0021, 0)</f>
        <v>46.2181</v>
      </c>
      <c r="C389" s="17">
        <f>45.7837 * CHOOSE(CONTROL!$C$9, $D$9, 100%, $F$9) + CHOOSE(CONTROL!$C$27, 0.0021, 0)</f>
        <v>45.785800000000002</v>
      </c>
      <c r="D389" s="17">
        <f>45.7837 * CHOOSE(CONTROL!$C$9, $D$9, 100%, $F$9) + CHOOSE(CONTROL!$C$27, 0.0021, 0)</f>
        <v>45.785800000000002</v>
      </c>
      <c r="E389" s="17">
        <f>45.6471 * CHOOSE(CONTROL!$C$9, $D$9, 100%, $F$9) + CHOOSE(CONTROL!$C$27, 0.0021, 0)</f>
        <v>45.6492</v>
      </c>
      <c r="F389" s="17">
        <f>45.6471 * CHOOSE(CONTROL!$C$9, $D$9, 100%, $F$9) + CHOOSE(CONTROL!$C$27, 0.0021, 0)</f>
        <v>45.6492</v>
      </c>
      <c r="G389" s="17">
        <f>45.9184 * CHOOSE(CONTROL!$C$9, $D$9, 100%, $F$9) + CHOOSE(CONTROL!$C$27, 0.0021, 0)</f>
        <v>45.920499999999997</v>
      </c>
      <c r="H389" s="17">
        <f>45.7837 * CHOOSE(CONTROL!$C$9, $D$9, 100%, $F$9) + CHOOSE(CONTROL!$C$27, 0.0021, 0)</f>
        <v>45.785800000000002</v>
      </c>
      <c r="I389" s="17">
        <f>45.7837 * CHOOSE(CONTROL!$C$9, $D$9, 100%, $F$9) + CHOOSE(CONTROL!$C$27, 0.0021, 0)</f>
        <v>45.785800000000002</v>
      </c>
      <c r="J389" s="17">
        <f>45.7837 * CHOOSE(CONTROL!$C$9, $D$9, 100%, $F$9) + CHOOSE(CONTROL!$C$27, 0.0021, 0)</f>
        <v>45.785800000000002</v>
      </c>
      <c r="K389" s="17">
        <f>45.7837 * CHOOSE(CONTROL!$C$9, $D$9, 100%, $F$9) + CHOOSE(CONTROL!$C$27, 0.0021, 0)</f>
        <v>45.785800000000002</v>
      </c>
      <c r="L389" s="17"/>
    </row>
    <row r="390" spans="1:12" ht="15.75" x14ac:dyDescent="0.25">
      <c r="A390" s="14">
        <v>52809</v>
      </c>
      <c r="B390" s="17">
        <f>47.0978 * CHOOSE(CONTROL!$C$9, $D$9, 100%, $F$9) + CHOOSE(CONTROL!$C$27, 0.0021, 0)</f>
        <v>47.099899999999998</v>
      </c>
      <c r="C390" s="17">
        <f>46.6655 * CHOOSE(CONTROL!$C$9, $D$9, 100%, $F$9) + CHOOSE(CONTROL!$C$27, 0.0021, 0)</f>
        <v>46.6676</v>
      </c>
      <c r="D390" s="17">
        <f>46.6655 * CHOOSE(CONTROL!$C$9, $D$9, 100%, $F$9) + CHOOSE(CONTROL!$C$27, 0.0021, 0)</f>
        <v>46.6676</v>
      </c>
      <c r="E390" s="17">
        <f>46.5289 * CHOOSE(CONTROL!$C$9, $D$9, 100%, $F$9) + CHOOSE(CONTROL!$C$27, 0.0021, 0)</f>
        <v>46.530999999999999</v>
      </c>
      <c r="F390" s="17">
        <f>46.5289 * CHOOSE(CONTROL!$C$9, $D$9, 100%, $F$9) + CHOOSE(CONTROL!$C$27, 0.0021, 0)</f>
        <v>46.530999999999999</v>
      </c>
      <c r="G390" s="17">
        <f>46.8002 * CHOOSE(CONTROL!$C$9, $D$9, 100%, $F$9) + CHOOSE(CONTROL!$C$27, 0.0021, 0)</f>
        <v>46.802299999999995</v>
      </c>
      <c r="H390" s="17">
        <f>46.6655 * CHOOSE(CONTROL!$C$9, $D$9, 100%, $F$9) + CHOOSE(CONTROL!$C$27, 0.0021, 0)</f>
        <v>46.6676</v>
      </c>
      <c r="I390" s="17">
        <f>46.6655 * CHOOSE(CONTROL!$C$9, $D$9, 100%, $F$9) + CHOOSE(CONTROL!$C$27, 0.0021, 0)</f>
        <v>46.6676</v>
      </c>
      <c r="J390" s="17">
        <f>46.6655 * CHOOSE(CONTROL!$C$9, $D$9, 100%, $F$9) + CHOOSE(CONTROL!$C$27, 0.0021, 0)</f>
        <v>46.6676</v>
      </c>
      <c r="K390" s="17">
        <f>46.6655 * CHOOSE(CONTROL!$C$9, $D$9, 100%, $F$9) + CHOOSE(CONTROL!$C$27, 0.0021, 0)</f>
        <v>46.6676</v>
      </c>
      <c r="L390" s="17"/>
    </row>
    <row r="391" spans="1:12" ht="15.75" x14ac:dyDescent="0.25">
      <c r="A391" s="14">
        <v>52840</v>
      </c>
      <c r="B391" s="17">
        <f>47.3669 * CHOOSE(CONTROL!$C$9, $D$9, 100%, $F$9) + CHOOSE(CONTROL!$C$27, 0.0021, 0)</f>
        <v>47.369</v>
      </c>
      <c r="C391" s="17">
        <f>46.9347 * CHOOSE(CONTROL!$C$9, $D$9, 100%, $F$9) + CHOOSE(CONTROL!$C$27, 0.0021, 0)</f>
        <v>46.936799999999998</v>
      </c>
      <c r="D391" s="17">
        <f>46.9347 * CHOOSE(CONTROL!$C$9, $D$9, 100%, $F$9) + CHOOSE(CONTROL!$C$27, 0.0021, 0)</f>
        <v>46.936799999999998</v>
      </c>
      <c r="E391" s="17">
        <f>46.798 * CHOOSE(CONTROL!$C$9, $D$9, 100%, $F$9) + CHOOSE(CONTROL!$C$27, 0.0021, 0)</f>
        <v>46.8001</v>
      </c>
      <c r="F391" s="17">
        <f>46.798 * CHOOSE(CONTROL!$C$9, $D$9, 100%, $F$9) + CHOOSE(CONTROL!$C$27, 0.0021, 0)</f>
        <v>46.8001</v>
      </c>
      <c r="G391" s="17">
        <f>47.0694 * CHOOSE(CONTROL!$C$9, $D$9, 100%, $F$9) + CHOOSE(CONTROL!$C$27, 0.0021, 0)</f>
        <v>47.0715</v>
      </c>
      <c r="H391" s="17">
        <f>46.9347 * CHOOSE(CONTROL!$C$9, $D$9, 100%, $F$9) + CHOOSE(CONTROL!$C$27, 0.0021, 0)</f>
        <v>46.936799999999998</v>
      </c>
      <c r="I391" s="17">
        <f>46.9347 * CHOOSE(CONTROL!$C$9, $D$9, 100%, $F$9) + CHOOSE(CONTROL!$C$27, 0.0021, 0)</f>
        <v>46.936799999999998</v>
      </c>
      <c r="J391" s="17">
        <f>46.9347 * CHOOSE(CONTROL!$C$9, $D$9, 100%, $F$9) + CHOOSE(CONTROL!$C$27, 0.0021, 0)</f>
        <v>46.936799999999998</v>
      </c>
      <c r="K391" s="17">
        <f>46.9347 * CHOOSE(CONTROL!$C$9, $D$9, 100%, $F$9) + CHOOSE(CONTROL!$C$27, 0.0021, 0)</f>
        <v>46.936799999999998</v>
      </c>
      <c r="L391" s="17"/>
    </row>
    <row r="392" spans="1:12" ht="15.75" x14ac:dyDescent="0.25">
      <c r="A392" s="14">
        <v>52870</v>
      </c>
      <c r="B392" s="17">
        <f>48.2835 * CHOOSE(CONTROL!$C$9, $D$9, 100%, $F$9) + CHOOSE(CONTROL!$C$27, 0.0021, 0)</f>
        <v>48.285599999999995</v>
      </c>
      <c r="C392" s="17">
        <f>47.8513 * CHOOSE(CONTROL!$C$9, $D$9, 100%, $F$9) + CHOOSE(CONTROL!$C$27, 0.0021, 0)</f>
        <v>47.853400000000001</v>
      </c>
      <c r="D392" s="17">
        <f>47.8513 * CHOOSE(CONTROL!$C$9, $D$9, 100%, $F$9) + CHOOSE(CONTROL!$C$27, 0.0021, 0)</f>
        <v>47.853400000000001</v>
      </c>
      <c r="E392" s="17">
        <f>47.7146 * CHOOSE(CONTROL!$C$9, $D$9, 100%, $F$9) + CHOOSE(CONTROL!$C$27, 0.0021, 0)</f>
        <v>47.716699999999996</v>
      </c>
      <c r="F392" s="17">
        <f>47.7146 * CHOOSE(CONTROL!$C$9, $D$9, 100%, $F$9) + CHOOSE(CONTROL!$C$27, 0.0021, 0)</f>
        <v>47.716699999999996</v>
      </c>
      <c r="G392" s="17">
        <f>47.986 * CHOOSE(CONTROL!$C$9, $D$9, 100%, $F$9) + CHOOSE(CONTROL!$C$27, 0.0021, 0)</f>
        <v>47.988099999999996</v>
      </c>
      <c r="H392" s="17">
        <f>47.8513 * CHOOSE(CONTROL!$C$9, $D$9, 100%, $F$9) + CHOOSE(CONTROL!$C$27, 0.0021, 0)</f>
        <v>47.853400000000001</v>
      </c>
      <c r="I392" s="17">
        <f>47.8513 * CHOOSE(CONTROL!$C$9, $D$9, 100%, $F$9) + CHOOSE(CONTROL!$C$27, 0.0021, 0)</f>
        <v>47.853400000000001</v>
      </c>
      <c r="J392" s="17">
        <f>47.8513 * CHOOSE(CONTROL!$C$9, $D$9, 100%, $F$9) + CHOOSE(CONTROL!$C$27, 0.0021, 0)</f>
        <v>47.853400000000001</v>
      </c>
      <c r="K392" s="17">
        <f>47.8513 * CHOOSE(CONTROL!$C$9, $D$9, 100%, $F$9) + CHOOSE(CONTROL!$C$27, 0.0021, 0)</f>
        <v>47.853400000000001</v>
      </c>
      <c r="L392" s="17"/>
    </row>
    <row r="393" spans="1:12" ht="15.75" x14ac:dyDescent="0.25">
      <c r="A393" s="14">
        <v>52901</v>
      </c>
      <c r="B393" s="17">
        <f>49.4438 * CHOOSE(CONTROL!$C$9, $D$9, 100%, $F$9) + CHOOSE(CONTROL!$C$27, 0.0021, 0)</f>
        <v>49.445900000000002</v>
      </c>
      <c r="C393" s="17">
        <f>49.0115 * CHOOSE(CONTROL!$C$9, $D$9, 100%, $F$9) + CHOOSE(CONTROL!$C$27, 0.0021, 0)</f>
        <v>49.013599999999997</v>
      </c>
      <c r="D393" s="17">
        <f>49.0115 * CHOOSE(CONTROL!$C$9, $D$9, 100%, $F$9) + CHOOSE(CONTROL!$C$27, 0.0021, 0)</f>
        <v>49.013599999999997</v>
      </c>
      <c r="E393" s="17">
        <f>48.8748 * CHOOSE(CONTROL!$C$9, $D$9, 100%, $F$9) + CHOOSE(CONTROL!$C$27, 0.0021, 0)</f>
        <v>48.876899999999999</v>
      </c>
      <c r="F393" s="17">
        <f>48.8748 * CHOOSE(CONTROL!$C$9, $D$9, 100%, $F$9) + CHOOSE(CONTROL!$C$27, 0.0021, 0)</f>
        <v>48.876899999999999</v>
      </c>
      <c r="G393" s="17">
        <f>49.1462 * CHOOSE(CONTROL!$C$9, $D$9, 100%, $F$9) + CHOOSE(CONTROL!$C$27, 0.0021, 0)</f>
        <v>49.148299999999999</v>
      </c>
      <c r="H393" s="17">
        <f>49.0115 * CHOOSE(CONTROL!$C$9, $D$9, 100%, $F$9) + CHOOSE(CONTROL!$C$27, 0.0021, 0)</f>
        <v>49.013599999999997</v>
      </c>
      <c r="I393" s="17">
        <f>49.0115 * CHOOSE(CONTROL!$C$9, $D$9, 100%, $F$9) + CHOOSE(CONTROL!$C$27, 0.0021, 0)</f>
        <v>49.013599999999997</v>
      </c>
      <c r="J393" s="17">
        <f>49.0115 * CHOOSE(CONTROL!$C$9, $D$9, 100%, $F$9) + CHOOSE(CONTROL!$C$27, 0.0021, 0)</f>
        <v>49.013599999999997</v>
      </c>
      <c r="K393" s="17">
        <f>49.0115 * CHOOSE(CONTROL!$C$9, $D$9, 100%, $F$9) + CHOOSE(CONTROL!$C$27, 0.0021, 0)</f>
        <v>49.013599999999997</v>
      </c>
      <c r="L393" s="17"/>
    </row>
    <row r="394" spans="1:12" ht="15.75" x14ac:dyDescent="0.25">
      <c r="A394" s="14">
        <v>52931</v>
      </c>
      <c r="B394" s="17">
        <f>49.5527 * CHOOSE(CONTROL!$C$9, $D$9, 100%, $F$9) + CHOOSE(CONTROL!$C$27, 0.0021, 0)</f>
        <v>49.5548</v>
      </c>
      <c r="C394" s="17">
        <f>49.1204 * CHOOSE(CONTROL!$C$9, $D$9, 100%, $F$9) + CHOOSE(CONTROL!$C$27, 0.0021, 0)</f>
        <v>49.122499999999995</v>
      </c>
      <c r="D394" s="17">
        <f>49.1204 * CHOOSE(CONTROL!$C$9, $D$9, 100%, $F$9) + CHOOSE(CONTROL!$C$27, 0.0021, 0)</f>
        <v>49.122499999999995</v>
      </c>
      <c r="E394" s="17">
        <f>48.9838 * CHOOSE(CONTROL!$C$9, $D$9, 100%, $F$9) + CHOOSE(CONTROL!$C$27, 0.0021, 0)</f>
        <v>48.985900000000001</v>
      </c>
      <c r="F394" s="17">
        <f>48.9838 * CHOOSE(CONTROL!$C$9, $D$9, 100%, $F$9) + CHOOSE(CONTROL!$C$27, 0.0021, 0)</f>
        <v>48.985900000000001</v>
      </c>
      <c r="G394" s="17">
        <f>49.2551 * CHOOSE(CONTROL!$C$9, $D$9, 100%, $F$9) + CHOOSE(CONTROL!$C$27, 0.0021, 0)</f>
        <v>49.257199999999997</v>
      </c>
      <c r="H394" s="17">
        <f>49.1204 * CHOOSE(CONTROL!$C$9, $D$9, 100%, $F$9) + CHOOSE(CONTROL!$C$27, 0.0021, 0)</f>
        <v>49.122499999999995</v>
      </c>
      <c r="I394" s="17">
        <f>49.1204 * CHOOSE(CONTROL!$C$9, $D$9, 100%, $F$9) + CHOOSE(CONTROL!$C$27, 0.0021, 0)</f>
        <v>49.122499999999995</v>
      </c>
      <c r="J394" s="17">
        <f>49.1204 * CHOOSE(CONTROL!$C$9, $D$9, 100%, $F$9) + CHOOSE(CONTROL!$C$27, 0.0021, 0)</f>
        <v>49.122499999999995</v>
      </c>
      <c r="K394" s="17">
        <f>49.1204 * CHOOSE(CONTROL!$C$9, $D$9, 100%, $F$9) + CHOOSE(CONTROL!$C$27, 0.0021, 0)</f>
        <v>49.122499999999995</v>
      </c>
      <c r="L394" s="17"/>
    </row>
    <row r="395" spans="1:12" ht="15.75" x14ac:dyDescent="0.25">
      <c r="A395" s="14">
        <v>52962</v>
      </c>
      <c r="B395" s="17">
        <f>48.626 * CHOOSE(CONTROL!$C$9, $D$9, 100%, $F$9) + CHOOSE(CONTROL!$C$27, 0.0021, 0)</f>
        <v>48.628099999999996</v>
      </c>
      <c r="C395" s="17">
        <f>48.1938 * CHOOSE(CONTROL!$C$9, $D$9, 100%, $F$9) + CHOOSE(CONTROL!$C$27, 0.0021, 0)</f>
        <v>48.195900000000002</v>
      </c>
      <c r="D395" s="17">
        <f>48.1938 * CHOOSE(CONTROL!$C$9, $D$9, 100%, $F$9) + CHOOSE(CONTROL!$C$27, 0.0021, 0)</f>
        <v>48.195900000000002</v>
      </c>
      <c r="E395" s="17">
        <f>48.0571 * CHOOSE(CONTROL!$C$9, $D$9, 100%, $F$9) + CHOOSE(CONTROL!$C$27, 0.0021, 0)</f>
        <v>48.059199999999997</v>
      </c>
      <c r="F395" s="17">
        <f>48.0571 * CHOOSE(CONTROL!$C$9, $D$9, 100%, $F$9) + CHOOSE(CONTROL!$C$27, 0.0021, 0)</f>
        <v>48.059199999999997</v>
      </c>
      <c r="G395" s="17">
        <f>48.3285 * CHOOSE(CONTROL!$C$9, $D$9, 100%, $F$9) + CHOOSE(CONTROL!$C$27, 0.0021, 0)</f>
        <v>48.330599999999997</v>
      </c>
      <c r="H395" s="17">
        <f>48.1938 * CHOOSE(CONTROL!$C$9, $D$9, 100%, $F$9) + CHOOSE(CONTROL!$C$27, 0.0021, 0)</f>
        <v>48.195900000000002</v>
      </c>
      <c r="I395" s="17">
        <f>48.1938 * CHOOSE(CONTROL!$C$9, $D$9, 100%, $F$9) + CHOOSE(CONTROL!$C$27, 0.0021, 0)</f>
        <v>48.195900000000002</v>
      </c>
      <c r="J395" s="17">
        <f>48.1938 * CHOOSE(CONTROL!$C$9, $D$9, 100%, $F$9) + CHOOSE(CONTROL!$C$27, 0.0021, 0)</f>
        <v>48.195900000000002</v>
      </c>
      <c r="K395" s="17">
        <f>48.1938 * CHOOSE(CONTROL!$C$9, $D$9, 100%, $F$9) + CHOOSE(CONTROL!$C$27, 0.0021, 0)</f>
        <v>48.195900000000002</v>
      </c>
      <c r="L395" s="17"/>
    </row>
    <row r="396" spans="1:12" ht="15.75" x14ac:dyDescent="0.25">
      <c r="A396" s="14">
        <v>52993</v>
      </c>
      <c r="B396" s="17">
        <f>48.0403 * CHOOSE(CONTROL!$C$9, $D$9, 100%, $F$9) + CHOOSE(CONTROL!$C$27, 0.0021, 0)</f>
        <v>48.042400000000001</v>
      </c>
      <c r="C396" s="17">
        <f>47.6081 * CHOOSE(CONTROL!$C$9, $D$9, 100%, $F$9) + CHOOSE(CONTROL!$C$27, 0.0021, 0)</f>
        <v>47.610199999999999</v>
      </c>
      <c r="D396" s="17">
        <f>47.6081 * CHOOSE(CONTROL!$C$9, $D$9, 100%, $F$9) + CHOOSE(CONTROL!$C$27, 0.0021, 0)</f>
        <v>47.610199999999999</v>
      </c>
      <c r="E396" s="17">
        <f>47.4714 * CHOOSE(CONTROL!$C$9, $D$9, 100%, $F$9) + CHOOSE(CONTROL!$C$27, 0.0021, 0)</f>
        <v>47.473500000000001</v>
      </c>
      <c r="F396" s="17">
        <f>47.4714 * CHOOSE(CONTROL!$C$9, $D$9, 100%, $F$9) + CHOOSE(CONTROL!$C$27, 0.0021, 0)</f>
        <v>47.473500000000001</v>
      </c>
      <c r="G396" s="17">
        <f>47.7428 * CHOOSE(CONTROL!$C$9, $D$9, 100%, $F$9) + CHOOSE(CONTROL!$C$27, 0.0021, 0)</f>
        <v>47.744900000000001</v>
      </c>
      <c r="H396" s="17">
        <f>47.6081 * CHOOSE(CONTROL!$C$9, $D$9, 100%, $F$9) + CHOOSE(CONTROL!$C$27, 0.0021, 0)</f>
        <v>47.610199999999999</v>
      </c>
      <c r="I396" s="17">
        <f>47.6081 * CHOOSE(CONTROL!$C$9, $D$9, 100%, $F$9) + CHOOSE(CONTROL!$C$27, 0.0021, 0)</f>
        <v>47.610199999999999</v>
      </c>
      <c r="J396" s="17">
        <f>47.6081 * CHOOSE(CONTROL!$C$9, $D$9, 100%, $F$9) + CHOOSE(CONTROL!$C$27, 0.0021, 0)</f>
        <v>47.610199999999999</v>
      </c>
      <c r="K396" s="17">
        <f>47.6081 * CHOOSE(CONTROL!$C$9, $D$9, 100%, $F$9) + CHOOSE(CONTROL!$C$27, 0.0021, 0)</f>
        <v>47.610199999999999</v>
      </c>
      <c r="L396" s="17"/>
    </row>
    <row r="397" spans="1:12" ht="15.75" x14ac:dyDescent="0.25">
      <c r="A397" s="14">
        <v>53021</v>
      </c>
      <c r="B397" s="17">
        <f>46.7463 * CHOOSE(CONTROL!$C$9, $D$9, 100%, $F$9) + CHOOSE(CONTROL!$C$27, 0.0021, 0)</f>
        <v>46.748399999999997</v>
      </c>
      <c r="C397" s="17">
        <f>46.3141 * CHOOSE(CONTROL!$C$9, $D$9, 100%, $F$9) + CHOOSE(CONTROL!$C$27, 0.0021, 0)</f>
        <v>46.316200000000002</v>
      </c>
      <c r="D397" s="17">
        <f>46.3141 * CHOOSE(CONTROL!$C$9, $D$9, 100%, $F$9) + CHOOSE(CONTROL!$C$27, 0.0021, 0)</f>
        <v>46.316200000000002</v>
      </c>
      <c r="E397" s="17">
        <f>46.1774 * CHOOSE(CONTROL!$C$9, $D$9, 100%, $F$9) + CHOOSE(CONTROL!$C$27, 0.0021, 0)</f>
        <v>46.179499999999997</v>
      </c>
      <c r="F397" s="17">
        <f>46.1774 * CHOOSE(CONTROL!$C$9, $D$9, 100%, $F$9) + CHOOSE(CONTROL!$C$27, 0.0021, 0)</f>
        <v>46.179499999999997</v>
      </c>
      <c r="G397" s="17">
        <f>46.4488 * CHOOSE(CONTROL!$C$9, $D$9, 100%, $F$9) + CHOOSE(CONTROL!$C$27, 0.0021, 0)</f>
        <v>46.450899999999997</v>
      </c>
      <c r="H397" s="17">
        <f>46.3141 * CHOOSE(CONTROL!$C$9, $D$9, 100%, $F$9) + CHOOSE(CONTROL!$C$27, 0.0021, 0)</f>
        <v>46.316200000000002</v>
      </c>
      <c r="I397" s="17">
        <f>46.3141 * CHOOSE(CONTROL!$C$9, $D$9, 100%, $F$9) + CHOOSE(CONTROL!$C$27, 0.0021, 0)</f>
        <v>46.316200000000002</v>
      </c>
      <c r="J397" s="17">
        <f>46.3141 * CHOOSE(CONTROL!$C$9, $D$9, 100%, $F$9) + CHOOSE(CONTROL!$C$27, 0.0021, 0)</f>
        <v>46.316200000000002</v>
      </c>
      <c r="K397" s="17">
        <f>46.3141 * CHOOSE(CONTROL!$C$9, $D$9, 100%, $F$9) + CHOOSE(CONTROL!$C$27, 0.0021, 0)</f>
        <v>46.316200000000002</v>
      </c>
      <c r="L397" s="17"/>
    </row>
    <row r="398" spans="1:12" ht="15.75" x14ac:dyDescent="0.25">
      <c r="A398" s="14">
        <v>53052</v>
      </c>
      <c r="B398" s="17">
        <f>46.2122 * CHOOSE(CONTROL!$C$9, $D$9, 100%, $F$9) + CHOOSE(CONTROL!$C$27, 0.0021, 0)</f>
        <v>46.214300000000001</v>
      </c>
      <c r="C398" s="17">
        <f>45.7799 * CHOOSE(CONTROL!$C$9, $D$9, 100%, $F$9) + CHOOSE(CONTROL!$C$27, 0.0021, 0)</f>
        <v>45.781999999999996</v>
      </c>
      <c r="D398" s="17">
        <f>45.7799 * CHOOSE(CONTROL!$C$9, $D$9, 100%, $F$9) + CHOOSE(CONTROL!$C$27, 0.0021, 0)</f>
        <v>45.781999999999996</v>
      </c>
      <c r="E398" s="17">
        <f>45.6432 * CHOOSE(CONTROL!$C$9, $D$9, 100%, $F$9) + CHOOSE(CONTROL!$C$27, 0.0021, 0)</f>
        <v>45.645299999999999</v>
      </c>
      <c r="F398" s="17">
        <f>45.6432 * CHOOSE(CONTROL!$C$9, $D$9, 100%, $F$9) + CHOOSE(CONTROL!$C$27, 0.0021, 0)</f>
        <v>45.645299999999999</v>
      </c>
      <c r="G398" s="17">
        <f>45.9146 * CHOOSE(CONTROL!$C$9, $D$9, 100%, $F$9) + CHOOSE(CONTROL!$C$27, 0.0021, 0)</f>
        <v>45.916699999999999</v>
      </c>
      <c r="H398" s="17">
        <f>45.7799 * CHOOSE(CONTROL!$C$9, $D$9, 100%, $F$9) + CHOOSE(CONTROL!$C$27, 0.0021, 0)</f>
        <v>45.781999999999996</v>
      </c>
      <c r="I398" s="17">
        <f>45.7799 * CHOOSE(CONTROL!$C$9, $D$9, 100%, $F$9) + CHOOSE(CONTROL!$C$27, 0.0021, 0)</f>
        <v>45.781999999999996</v>
      </c>
      <c r="J398" s="17">
        <f>45.7799 * CHOOSE(CONTROL!$C$9, $D$9, 100%, $F$9) + CHOOSE(CONTROL!$C$27, 0.0021, 0)</f>
        <v>45.781999999999996</v>
      </c>
      <c r="K398" s="17">
        <f>45.7799 * CHOOSE(CONTROL!$C$9, $D$9, 100%, $F$9) + CHOOSE(CONTROL!$C$27, 0.0021, 0)</f>
        <v>45.781999999999996</v>
      </c>
      <c r="L398" s="17"/>
    </row>
    <row r="399" spans="1:12" ht="15.75" x14ac:dyDescent="0.25">
      <c r="A399" s="14">
        <v>53082</v>
      </c>
      <c r="B399" s="17">
        <f>45.5744 * CHOOSE(CONTROL!$C$9, $D$9, 100%, $F$9) + CHOOSE(CONTROL!$C$27, 0.0021, 0)</f>
        <v>45.576499999999996</v>
      </c>
      <c r="C399" s="17">
        <f>45.1421 * CHOOSE(CONTROL!$C$9, $D$9, 100%, $F$9) + CHOOSE(CONTROL!$C$27, 0.0021, 0)</f>
        <v>45.144199999999998</v>
      </c>
      <c r="D399" s="17">
        <f>45.1421 * CHOOSE(CONTROL!$C$9, $D$9, 100%, $F$9) + CHOOSE(CONTROL!$C$27, 0.0021, 0)</f>
        <v>45.144199999999998</v>
      </c>
      <c r="E399" s="17">
        <f>45.0054 * CHOOSE(CONTROL!$C$9, $D$9, 100%, $F$9) + CHOOSE(CONTROL!$C$27, 0.0021, 0)</f>
        <v>45.0075</v>
      </c>
      <c r="F399" s="17">
        <f>45.0054 * CHOOSE(CONTROL!$C$9, $D$9, 100%, $F$9) + CHOOSE(CONTROL!$C$27, 0.0021, 0)</f>
        <v>45.0075</v>
      </c>
      <c r="G399" s="17">
        <f>45.2768 * CHOOSE(CONTROL!$C$9, $D$9, 100%, $F$9) + CHOOSE(CONTROL!$C$27, 0.0021, 0)</f>
        <v>45.2789</v>
      </c>
      <c r="H399" s="17">
        <f>45.1421 * CHOOSE(CONTROL!$C$9, $D$9, 100%, $F$9) + CHOOSE(CONTROL!$C$27, 0.0021, 0)</f>
        <v>45.144199999999998</v>
      </c>
      <c r="I399" s="17">
        <f>45.1421 * CHOOSE(CONTROL!$C$9, $D$9, 100%, $F$9) + CHOOSE(CONTROL!$C$27, 0.0021, 0)</f>
        <v>45.144199999999998</v>
      </c>
      <c r="J399" s="17">
        <f>45.1421 * CHOOSE(CONTROL!$C$9, $D$9, 100%, $F$9) + CHOOSE(CONTROL!$C$27, 0.0021, 0)</f>
        <v>45.144199999999998</v>
      </c>
      <c r="K399" s="17">
        <f>45.1421 * CHOOSE(CONTROL!$C$9, $D$9, 100%, $F$9) + CHOOSE(CONTROL!$C$27, 0.0021, 0)</f>
        <v>45.144199999999998</v>
      </c>
      <c r="L399" s="17"/>
    </row>
    <row r="400" spans="1:12" ht="15.75" x14ac:dyDescent="0.25">
      <c r="A400" s="14">
        <v>53113</v>
      </c>
      <c r="B400" s="17">
        <f>46.4833 * CHOOSE(CONTROL!$C$9, $D$9, 100%, $F$9) + CHOOSE(CONTROL!$C$27, 0.0021, 0)</f>
        <v>46.485399999999998</v>
      </c>
      <c r="C400" s="17">
        <f>46.051 * CHOOSE(CONTROL!$C$9, $D$9, 100%, $F$9) + CHOOSE(CONTROL!$C$27, 0.0021, 0)</f>
        <v>46.053100000000001</v>
      </c>
      <c r="D400" s="17">
        <f>46.051 * CHOOSE(CONTROL!$C$9, $D$9, 100%, $F$9) + CHOOSE(CONTROL!$C$27, 0.0021, 0)</f>
        <v>46.053100000000001</v>
      </c>
      <c r="E400" s="17">
        <f>45.9144 * CHOOSE(CONTROL!$C$9, $D$9, 100%, $F$9) + CHOOSE(CONTROL!$C$27, 0.0021, 0)</f>
        <v>45.916499999999999</v>
      </c>
      <c r="F400" s="17">
        <f>45.9144 * CHOOSE(CONTROL!$C$9, $D$9, 100%, $F$9) + CHOOSE(CONTROL!$C$27, 0.0021, 0)</f>
        <v>45.916499999999999</v>
      </c>
      <c r="G400" s="17">
        <f>46.1858 * CHOOSE(CONTROL!$C$9, $D$9, 100%, $F$9) + CHOOSE(CONTROL!$C$27, 0.0021, 0)</f>
        <v>46.187899999999999</v>
      </c>
      <c r="H400" s="17">
        <f>46.051 * CHOOSE(CONTROL!$C$9, $D$9, 100%, $F$9) + CHOOSE(CONTROL!$C$27, 0.0021, 0)</f>
        <v>46.053100000000001</v>
      </c>
      <c r="I400" s="17">
        <f>46.051 * CHOOSE(CONTROL!$C$9, $D$9, 100%, $F$9) + CHOOSE(CONTROL!$C$27, 0.0021, 0)</f>
        <v>46.053100000000001</v>
      </c>
      <c r="J400" s="17">
        <f>46.051 * CHOOSE(CONTROL!$C$9, $D$9, 100%, $F$9) + CHOOSE(CONTROL!$C$27, 0.0021, 0)</f>
        <v>46.053100000000001</v>
      </c>
      <c r="K400" s="17">
        <f>46.051 * CHOOSE(CONTROL!$C$9, $D$9, 100%, $F$9) + CHOOSE(CONTROL!$C$27, 0.0021, 0)</f>
        <v>46.053100000000001</v>
      </c>
      <c r="L400" s="17"/>
    </row>
    <row r="401" spans="1:12" ht="15.75" x14ac:dyDescent="0.25">
      <c r="A401" s="14">
        <v>53143</v>
      </c>
      <c r="B401" s="17">
        <f>47.0277 * CHOOSE(CONTROL!$C$9, $D$9, 100%, $F$9) + CHOOSE(CONTROL!$C$27, 0.0021, 0)</f>
        <v>47.029800000000002</v>
      </c>
      <c r="C401" s="17">
        <f>46.5955 * CHOOSE(CONTROL!$C$9, $D$9, 100%, $F$9) + CHOOSE(CONTROL!$C$27, 0.0021, 0)</f>
        <v>46.5976</v>
      </c>
      <c r="D401" s="17">
        <f>46.5955 * CHOOSE(CONTROL!$C$9, $D$9, 100%, $F$9) + CHOOSE(CONTROL!$C$27, 0.0021, 0)</f>
        <v>46.5976</v>
      </c>
      <c r="E401" s="17">
        <f>46.4588 * CHOOSE(CONTROL!$C$9, $D$9, 100%, $F$9) + CHOOSE(CONTROL!$C$27, 0.0021, 0)</f>
        <v>46.460899999999995</v>
      </c>
      <c r="F401" s="17">
        <f>46.4588 * CHOOSE(CONTROL!$C$9, $D$9, 100%, $F$9) + CHOOSE(CONTROL!$C$27, 0.0021, 0)</f>
        <v>46.460899999999995</v>
      </c>
      <c r="G401" s="17">
        <f>46.7302 * CHOOSE(CONTROL!$C$9, $D$9, 100%, $F$9) + CHOOSE(CONTROL!$C$27, 0.0021, 0)</f>
        <v>46.732300000000002</v>
      </c>
      <c r="H401" s="17">
        <f>46.5955 * CHOOSE(CONTROL!$C$9, $D$9, 100%, $F$9) + CHOOSE(CONTROL!$C$27, 0.0021, 0)</f>
        <v>46.5976</v>
      </c>
      <c r="I401" s="17">
        <f>46.5955 * CHOOSE(CONTROL!$C$9, $D$9, 100%, $F$9) + CHOOSE(CONTROL!$C$27, 0.0021, 0)</f>
        <v>46.5976</v>
      </c>
      <c r="J401" s="17">
        <f>46.5955 * CHOOSE(CONTROL!$C$9, $D$9, 100%, $F$9) + CHOOSE(CONTROL!$C$27, 0.0021, 0)</f>
        <v>46.5976</v>
      </c>
      <c r="K401" s="17">
        <f>46.5955 * CHOOSE(CONTROL!$C$9, $D$9, 100%, $F$9) + CHOOSE(CONTROL!$C$27, 0.0021, 0)</f>
        <v>46.5976</v>
      </c>
      <c r="L401" s="17"/>
    </row>
    <row r="402" spans="1:12" ht="15.75" x14ac:dyDescent="0.25">
      <c r="A402" s="14">
        <v>53174</v>
      </c>
      <c r="B402" s="17">
        <f>47.9258 * CHOOSE(CONTROL!$C$9, $D$9, 100%, $F$9) + CHOOSE(CONTROL!$C$27, 0.0021, 0)</f>
        <v>47.927900000000001</v>
      </c>
      <c r="C402" s="17">
        <f>47.4936 * CHOOSE(CONTROL!$C$9, $D$9, 100%, $F$9) + CHOOSE(CONTROL!$C$27, 0.0021, 0)</f>
        <v>47.495699999999999</v>
      </c>
      <c r="D402" s="17">
        <f>47.4936 * CHOOSE(CONTROL!$C$9, $D$9, 100%, $F$9) + CHOOSE(CONTROL!$C$27, 0.0021, 0)</f>
        <v>47.495699999999999</v>
      </c>
      <c r="E402" s="17">
        <f>47.3569 * CHOOSE(CONTROL!$C$9, $D$9, 100%, $F$9) + CHOOSE(CONTROL!$C$27, 0.0021, 0)</f>
        <v>47.359000000000002</v>
      </c>
      <c r="F402" s="17">
        <f>47.3569 * CHOOSE(CONTROL!$C$9, $D$9, 100%, $F$9) + CHOOSE(CONTROL!$C$27, 0.0021, 0)</f>
        <v>47.359000000000002</v>
      </c>
      <c r="G402" s="17">
        <f>47.6283 * CHOOSE(CONTROL!$C$9, $D$9, 100%, $F$9) + CHOOSE(CONTROL!$C$27, 0.0021, 0)</f>
        <v>47.630400000000002</v>
      </c>
      <c r="H402" s="17">
        <f>47.4936 * CHOOSE(CONTROL!$C$9, $D$9, 100%, $F$9) + CHOOSE(CONTROL!$C$27, 0.0021, 0)</f>
        <v>47.495699999999999</v>
      </c>
      <c r="I402" s="17">
        <f>47.4936 * CHOOSE(CONTROL!$C$9, $D$9, 100%, $F$9) + CHOOSE(CONTROL!$C$27, 0.0021, 0)</f>
        <v>47.495699999999999</v>
      </c>
      <c r="J402" s="17">
        <f>47.4936 * CHOOSE(CONTROL!$C$9, $D$9, 100%, $F$9) + CHOOSE(CONTROL!$C$27, 0.0021, 0)</f>
        <v>47.495699999999999</v>
      </c>
      <c r="K402" s="17">
        <f>47.4936 * CHOOSE(CONTROL!$C$9, $D$9, 100%, $F$9) + CHOOSE(CONTROL!$C$27, 0.0021, 0)</f>
        <v>47.495699999999999</v>
      </c>
      <c r="L402" s="17"/>
    </row>
    <row r="403" spans="1:12" ht="15.75" x14ac:dyDescent="0.25">
      <c r="A403" s="14">
        <v>53205</v>
      </c>
      <c r="B403" s="17">
        <f>48.1999 * CHOOSE(CONTROL!$C$9, $D$9, 100%, $F$9) + CHOOSE(CONTROL!$C$27, 0.0021, 0)</f>
        <v>48.201999999999998</v>
      </c>
      <c r="C403" s="17">
        <f>47.7677 * CHOOSE(CONTROL!$C$9, $D$9, 100%, $F$9) + CHOOSE(CONTROL!$C$27, 0.0021, 0)</f>
        <v>47.769799999999996</v>
      </c>
      <c r="D403" s="17">
        <f>47.7677 * CHOOSE(CONTROL!$C$9, $D$9, 100%, $F$9) + CHOOSE(CONTROL!$C$27, 0.0021, 0)</f>
        <v>47.769799999999996</v>
      </c>
      <c r="E403" s="17">
        <f>47.631 * CHOOSE(CONTROL!$C$9, $D$9, 100%, $F$9) + CHOOSE(CONTROL!$C$27, 0.0021, 0)</f>
        <v>47.633099999999999</v>
      </c>
      <c r="F403" s="17">
        <f>47.631 * CHOOSE(CONTROL!$C$9, $D$9, 100%, $F$9) + CHOOSE(CONTROL!$C$27, 0.0021, 0)</f>
        <v>47.633099999999999</v>
      </c>
      <c r="G403" s="17">
        <f>47.9024 * CHOOSE(CONTROL!$C$9, $D$9, 100%, $F$9) + CHOOSE(CONTROL!$C$27, 0.0021, 0)</f>
        <v>47.904499999999999</v>
      </c>
      <c r="H403" s="17">
        <f>47.7677 * CHOOSE(CONTROL!$C$9, $D$9, 100%, $F$9) + CHOOSE(CONTROL!$C$27, 0.0021, 0)</f>
        <v>47.769799999999996</v>
      </c>
      <c r="I403" s="17">
        <f>47.7677 * CHOOSE(CONTROL!$C$9, $D$9, 100%, $F$9) + CHOOSE(CONTROL!$C$27, 0.0021, 0)</f>
        <v>47.769799999999996</v>
      </c>
      <c r="J403" s="17">
        <f>47.7677 * CHOOSE(CONTROL!$C$9, $D$9, 100%, $F$9) + CHOOSE(CONTROL!$C$27, 0.0021, 0)</f>
        <v>47.769799999999996</v>
      </c>
      <c r="K403" s="17">
        <f>47.7677 * CHOOSE(CONTROL!$C$9, $D$9, 100%, $F$9) + CHOOSE(CONTROL!$C$27, 0.0021, 0)</f>
        <v>47.769799999999996</v>
      </c>
      <c r="L403" s="17"/>
    </row>
    <row r="404" spans="1:12" ht="15.75" x14ac:dyDescent="0.25">
      <c r="A404" s="14">
        <v>53235</v>
      </c>
      <c r="B404" s="17">
        <f>49.1335 * CHOOSE(CONTROL!$C$9, $D$9, 100%, $F$9) + CHOOSE(CONTROL!$C$27, 0.0021, 0)</f>
        <v>49.135599999999997</v>
      </c>
      <c r="C404" s="17">
        <f>48.7012 * CHOOSE(CONTROL!$C$9, $D$9, 100%, $F$9) + CHOOSE(CONTROL!$C$27, 0.0021, 0)</f>
        <v>48.703299999999999</v>
      </c>
      <c r="D404" s="17">
        <f>48.7012 * CHOOSE(CONTROL!$C$9, $D$9, 100%, $F$9) + CHOOSE(CONTROL!$C$27, 0.0021, 0)</f>
        <v>48.703299999999999</v>
      </c>
      <c r="E404" s="17">
        <f>48.5646 * CHOOSE(CONTROL!$C$9, $D$9, 100%, $F$9) + CHOOSE(CONTROL!$C$27, 0.0021, 0)</f>
        <v>48.566699999999997</v>
      </c>
      <c r="F404" s="17">
        <f>48.5646 * CHOOSE(CONTROL!$C$9, $D$9, 100%, $F$9) + CHOOSE(CONTROL!$C$27, 0.0021, 0)</f>
        <v>48.566699999999997</v>
      </c>
      <c r="G404" s="17">
        <f>48.8359 * CHOOSE(CONTROL!$C$9, $D$9, 100%, $F$9) + CHOOSE(CONTROL!$C$27, 0.0021, 0)</f>
        <v>48.838000000000001</v>
      </c>
      <c r="H404" s="17">
        <f>48.7012 * CHOOSE(CONTROL!$C$9, $D$9, 100%, $F$9) + CHOOSE(CONTROL!$C$27, 0.0021, 0)</f>
        <v>48.703299999999999</v>
      </c>
      <c r="I404" s="17">
        <f>48.7012 * CHOOSE(CONTROL!$C$9, $D$9, 100%, $F$9) + CHOOSE(CONTROL!$C$27, 0.0021, 0)</f>
        <v>48.703299999999999</v>
      </c>
      <c r="J404" s="17">
        <f>48.7012 * CHOOSE(CONTROL!$C$9, $D$9, 100%, $F$9) + CHOOSE(CONTROL!$C$27, 0.0021, 0)</f>
        <v>48.703299999999999</v>
      </c>
      <c r="K404" s="17">
        <f>48.7012 * CHOOSE(CONTROL!$C$9, $D$9, 100%, $F$9) + CHOOSE(CONTROL!$C$27, 0.0021, 0)</f>
        <v>48.703299999999999</v>
      </c>
      <c r="L404" s="17"/>
    </row>
    <row r="405" spans="1:12" ht="15.75" x14ac:dyDescent="0.25">
      <c r="A405" s="14">
        <v>53266</v>
      </c>
      <c r="B405" s="17">
        <f>50.3151 * CHOOSE(CONTROL!$C$9, $D$9, 100%, $F$9) + CHOOSE(CONTROL!$C$27, 0.0021, 0)</f>
        <v>50.3172</v>
      </c>
      <c r="C405" s="17">
        <f>49.8829 * CHOOSE(CONTROL!$C$9, $D$9, 100%, $F$9) + CHOOSE(CONTROL!$C$27, 0.0021, 0)</f>
        <v>49.884999999999998</v>
      </c>
      <c r="D405" s="17">
        <f>49.8829 * CHOOSE(CONTROL!$C$9, $D$9, 100%, $F$9) + CHOOSE(CONTROL!$C$27, 0.0021, 0)</f>
        <v>49.884999999999998</v>
      </c>
      <c r="E405" s="17">
        <f>49.7462 * CHOOSE(CONTROL!$C$9, $D$9, 100%, $F$9) + CHOOSE(CONTROL!$C$27, 0.0021, 0)</f>
        <v>49.7483</v>
      </c>
      <c r="F405" s="17">
        <f>49.7462 * CHOOSE(CONTROL!$C$9, $D$9, 100%, $F$9) + CHOOSE(CONTROL!$C$27, 0.0021, 0)</f>
        <v>49.7483</v>
      </c>
      <c r="G405" s="17">
        <f>50.0176 * CHOOSE(CONTROL!$C$9, $D$9, 100%, $F$9) + CHOOSE(CONTROL!$C$27, 0.0021, 0)</f>
        <v>50.0197</v>
      </c>
      <c r="H405" s="17">
        <f>49.8829 * CHOOSE(CONTROL!$C$9, $D$9, 100%, $F$9) + CHOOSE(CONTROL!$C$27, 0.0021, 0)</f>
        <v>49.884999999999998</v>
      </c>
      <c r="I405" s="17">
        <f>49.8829 * CHOOSE(CONTROL!$C$9, $D$9, 100%, $F$9) + CHOOSE(CONTROL!$C$27, 0.0021, 0)</f>
        <v>49.884999999999998</v>
      </c>
      <c r="J405" s="17">
        <f>49.8829 * CHOOSE(CONTROL!$C$9, $D$9, 100%, $F$9) + CHOOSE(CONTROL!$C$27, 0.0021, 0)</f>
        <v>49.884999999999998</v>
      </c>
      <c r="K405" s="17">
        <f>49.8829 * CHOOSE(CONTROL!$C$9, $D$9, 100%, $F$9) + CHOOSE(CONTROL!$C$27, 0.0021, 0)</f>
        <v>49.884999999999998</v>
      </c>
      <c r="L405" s="17"/>
    </row>
    <row r="406" spans="1:12" ht="15.75" x14ac:dyDescent="0.25">
      <c r="A406" s="14">
        <v>53296</v>
      </c>
      <c r="B406" s="17">
        <f>50.4261 * CHOOSE(CONTROL!$C$9, $D$9, 100%, $F$9) + CHOOSE(CONTROL!$C$27, 0.0021, 0)</f>
        <v>50.428199999999997</v>
      </c>
      <c r="C406" s="17">
        <f>49.9938 * CHOOSE(CONTROL!$C$9, $D$9, 100%, $F$9) + CHOOSE(CONTROL!$C$27, 0.0021, 0)</f>
        <v>49.995899999999999</v>
      </c>
      <c r="D406" s="17">
        <f>49.9938 * CHOOSE(CONTROL!$C$9, $D$9, 100%, $F$9) + CHOOSE(CONTROL!$C$27, 0.0021, 0)</f>
        <v>49.995899999999999</v>
      </c>
      <c r="E406" s="17">
        <f>49.8572 * CHOOSE(CONTROL!$C$9, $D$9, 100%, $F$9) + CHOOSE(CONTROL!$C$27, 0.0021, 0)</f>
        <v>49.859299999999998</v>
      </c>
      <c r="F406" s="17">
        <f>49.8572 * CHOOSE(CONTROL!$C$9, $D$9, 100%, $F$9) + CHOOSE(CONTROL!$C$27, 0.0021, 0)</f>
        <v>49.859299999999998</v>
      </c>
      <c r="G406" s="17">
        <f>50.1285 * CHOOSE(CONTROL!$C$9, $D$9, 100%, $F$9) + CHOOSE(CONTROL!$C$27, 0.0021, 0)</f>
        <v>50.130600000000001</v>
      </c>
      <c r="H406" s="17">
        <f>49.9938 * CHOOSE(CONTROL!$C$9, $D$9, 100%, $F$9) + CHOOSE(CONTROL!$C$27, 0.0021, 0)</f>
        <v>49.995899999999999</v>
      </c>
      <c r="I406" s="17">
        <f>49.9938 * CHOOSE(CONTROL!$C$9, $D$9, 100%, $F$9) + CHOOSE(CONTROL!$C$27, 0.0021, 0)</f>
        <v>49.995899999999999</v>
      </c>
      <c r="J406" s="17">
        <f>49.9938 * CHOOSE(CONTROL!$C$9, $D$9, 100%, $F$9) + CHOOSE(CONTROL!$C$27, 0.0021, 0)</f>
        <v>49.995899999999999</v>
      </c>
      <c r="K406" s="17">
        <f>49.9938 * CHOOSE(CONTROL!$C$9, $D$9, 100%, $F$9) + CHOOSE(CONTROL!$C$27, 0.0021, 0)</f>
        <v>49.995899999999999</v>
      </c>
      <c r="L406" s="17"/>
    </row>
    <row r="407" spans="1:12" ht="15.75" x14ac:dyDescent="0.25">
      <c r="A407" s="14">
        <v>53327</v>
      </c>
      <c r="B407" s="17">
        <f>49.4823 * CHOOSE(CONTROL!$C$9, $D$9, 100%, $F$9) + CHOOSE(CONTROL!$C$27, 0.0021, 0)</f>
        <v>49.484400000000001</v>
      </c>
      <c r="C407" s="17">
        <f>49.05 * CHOOSE(CONTROL!$C$9, $D$9, 100%, $F$9) + CHOOSE(CONTROL!$C$27, 0.0021, 0)</f>
        <v>49.052099999999996</v>
      </c>
      <c r="D407" s="17">
        <f>49.05 * CHOOSE(CONTROL!$C$9, $D$9, 100%, $F$9) + CHOOSE(CONTROL!$C$27, 0.0021, 0)</f>
        <v>49.052099999999996</v>
      </c>
      <c r="E407" s="17">
        <f>48.9134 * CHOOSE(CONTROL!$C$9, $D$9, 100%, $F$9) + CHOOSE(CONTROL!$C$27, 0.0021, 0)</f>
        <v>48.915500000000002</v>
      </c>
      <c r="F407" s="17">
        <f>48.9134 * CHOOSE(CONTROL!$C$9, $D$9, 100%, $F$9) + CHOOSE(CONTROL!$C$27, 0.0021, 0)</f>
        <v>48.915500000000002</v>
      </c>
      <c r="G407" s="17">
        <f>49.1848 * CHOOSE(CONTROL!$C$9, $D$9, 100%, $F$9) + CHOOSE(CONTROL!$C$27, 0.0021, 0)</f>
        <v>49.186900000000001</v>
      </c>
      <c r="H407" s="17">
        <f>49.05 * CHOOSE(CONTROL!$C$9, $D$9, 100%, $F$9) + CHOOSE(CONTROL!$C$27, 0.0021, 0)</f>
        <v>49.052099999999996</v>
      </c>
      <c r="I407" s="17">
        <f>49.05 * CHOOSE(CONTROL!$C$9, $D$9, 100%, $F$9) + CHOOSE(CONTROL!$C$27, 0.0021, 0)</f>
        <v>49.052099999999996</v>
      </c>
      <c r="J407" s="17">
        <f>49.05 * CHOOSE(CONTROL!$C$9, $D$9, 100%, $F$9) + CHOOSE(CONTROL!$C$27, 0.0021, 0)</f>
        <v>49.052099999999996</v>
      </c>
      <c r="K407" s="17">
        <f>49.05 * CHOOSE(CONTROL!$C$9, $D$9, 100%, $F$9) + CHOOSE(CONTROL!$C$27, 0.0021, 0)</f>
        <v>49.052099999999996</v>
      </c>
      <c r="L407" s="17"/>
    </row>
    <row r="408" spans="1:12" ht="15.75" x14ac:dyDescent="0.25">
      <c r="A408" s="14">
        <v>53358</v>
      </c>
      <c r="B408" s="17">
        <f>48.8858 * CHOOSE(CONTROL!$C$9, $D$9, 100%, $F$9) + CHOOSE(CONTROL!$C$27, 0.0021, 0)</f>
        <v>48.887900000000002</v>
      </c>
      <c r="C408" s="17">
        <f>48.4535 * CHOOSE(CONTROL!$C$9, $D$9, 100%, $F$9) + CHOOSE(CONTROL!$C$27, 0.0021, 0)</f>
        <v>48.455599999999997</v>
      </c>
      <c r="D408" s="17">
        <f>48.4535 * CHOOSE(CONTROL!$C$9, $D$9, 100%, $F$9) + CHOOSE(CONTROL!$C$27, 0.0021, 0)</f>
        <v>48.455599999999997</v>
      </c>
      <c r="E408" s="17">
        <f>48.3169 * CHOOSE(CONTROL!$C$9, $D$9, 100%, $F$9) + CHOOSE(CONTROL!$C$27, 0.0021, 0)</f>
        <v>48.318999999999996</v>
      </c>
      <c r="F408" s="17">
        <f>48.3169 * CHOOSE(CONTROL!$C$9, $D$9, 100%, $F$9) + CHOOSE(CONTROL!$C$27, 0.0021, 0)</f>
        <v>48.318999999999996</v>
      </c>
      <c r="G408" s="17">
        <f>48.5882 * CHOOSE(CONTROL!$C$9, $D$9, 100%, $F$9) + CHOOSE(CONTROL!$C$27, 0.0021, 0)</f>
        <v>48.590299999999999</v>
      </c>
      <c r="H408" s="17">
        <f>48.4535 * CHOOSE(CONTROL!$C$9, $D$9, 100%, $F$9) + CHOOSE(CONTROL!$C$27, 0.0021, 0)</f>
        <v>48.455599999999997</v>
      </c>
      <c r="I408" s="17">
        <f>48.4535 * CHOOSE(CONTROL!$C$9, $D$9, 100%, $F$9) + CHOOSE(CONTROL!$C$27, 0.0021, 0)</f>
        <v>48.455599999999997</v>
      </c>
      <c r="J408" s="17">
        <f>48.4535 * CHOOSE(CONTROL!$C$9, $D$9, 100%, $F$9) + CHOOSE(CONTROL!$C$27, 0.0021, 0)</f>
        <v>48.455599999999997</v>
      </c>
      <c r="K408" s="17">
        <f>48.4535 * CHOOSE(CONTROL!$C$9, $D$9, 100%, $F$9) + CHOOSE(CONTROL!$C$27, 0.0021, 0)</f>
        <v>48.455599999999997</v>
      </c>
      <c r="L408" s="17"/>
    </row>
    <row r="409" spans="1:12" ht="15.75" x14ac:dyDescent="0.25">
      <c r="A409" s="14">
        <v>53386</v>
      </c>
      <c r="B409" s="17">
        <f>47.5679 * CHOOSE(CONTROL!$C$9, $D$9, 100%, $F$9) + CHOOSE(CONTROL!$C$27, 0.0021, 0)</f>
        <v>47.57</v>
      </c>
      <c r="C409" s="17">
        <f>47.1356 * CHOOSE(CONTROL!$C$9, $D$9, 100%, $F$9) + CHOOSE(CONTROL!$C$27, 0.0021, 0)</f>
        <v>47.137699999999995</v>
      </c>
      <c r="D409" s="17">
        <f>47.1356 * CHOOSE(CONTROL!$C$9, $D$9, 100%, $F$9) + CHOOSE(CONTROL!$C$27, 0.0021, 0)</f>
        <v>47.137699999999995</v>
      </c>
      <c r="E409" s="17">
        <f>46.9989 * CHOOSE(CONTROL!$C$9, $D$9, 100%, $F$9) + CHOOSE(CONTROL!$C$27, 0.0021, 0)</f>
        <v>47.000999999999998</v>
      </c>
      <c r="F409" s="17">
        <f>46.9989 * CHOOSE(CONTROL!$C$9, $D$9, 100%, $F$9) + CHOOSE(CONTROL!$C$27, 0.0021, 0)</f>
        <v>47.000999999999998</v>
      </c>
      <c r="G409" s="17">
        <f>47.2703 * CHOOSE(CONTROL!$C$9, $D$9, 100%, $F$9) + CHOOSE(CONTROL!$C$27, 0.0021, 0)</f>
        <v>47.272399999999998</v>
      </c>
      <c r="H409" s="17">
        <f>47.1356 * CHOOSE(CONTROL!$C$9, $D$9, 100%, $F$9) + CHOOSE(CONTROL!$C$27, 0.0021, 0)</f>
        <v>47.137699999999995</v>
      </c>
      <c r="I409" s="17">
        <f>47.1356 * CHOOSE(CONTROL!$C$9, $D$9, 100%, $F$9) + CHOOSE(CONTROL!$C$27, 0.0021, 0)</f>
        <v>47.137699999999995</v>
      </c>
      <c r="J409" s="17">
        <f>47.1356 * CHOOSE(CONTROL!$C$9, $D$9, 100%, $F$9) + CHOOSE(CONTROL!$C$27, 0.0021, 0)</f>
        <v>47.137699999999995</v>
      </c>
      <c r="K409" s="17">
        <f>47.1356 * CHOOSE(CONTROL!$C$9, $D$9, 100%, $F$9) + CHOOSE(CONTROL!$C$27, 0.0021, 0)</f>
        <v>47.137699999999995</v>
      </c>
      <c r="L409" s="17"/>
    </row>
    <row r="410" spans="1:12" ht="15.75" x14ac:dyDescent="0.25">
      <c r="A410" s="14">
        <v>53417</v>
      </c>
      <c r="B410" s="17">
        <f>47.0238 * CHOOSE(CONTROL!$C$9, $D$9, 100%, $F$9) + CHOOSE(CONTROL!$C$27, 0.0021, 0)</f>
        <v>47.0259</v>
      </c>
      <c r="C410" s="17">
        <f>46.5916 * CHOOSE(CONTROL!$C$9, $D$9, 100%, $F$9) + CHOOSE(CONTROL!$C$27, 0.0021, 0)</f>
        <v>46.593699999999998</v>
      </c>
      <c r="D410" s="17">
        <f>46.5916 * CHOOSE(CONTROL!$C$9, $D$9, 100%, $F$9) + CHOOSE(CONTROL!$C$27, 0.0021, 0)</f>
        <v>46.593699999999998</v>
      </c>
      <c r="E410" s="17">
        <f>46.4549 * CHOOSE(CONTROL!$C$9, $D$9, 100%, $F$9) + CHOOSE(CONTROL!$C$27, 0.0021, 0)</f>
        <v>46.457000000000001</v>
      </c>
      <c r="F410" s="17">
        <f>46.4549 * CHOOSE(CONTROL!$C$9, $D$9, 100%, $F$9) + CHOOSE(CONTROL!$C$27, 0.0021, 0)</f>
        <v>46.457000000000001</v>
      </c>
      <c r="G410" s="17">
        <f>46.7263 * CHOOSE(CONTROL!$C$9, $D$9, 100%, $F$9) + CHOOSE(CONTROL!$C$27, 0.0021, 0)</f>
        <v>46.728400000000001</v>
      </c>
      <c r="H410" s="17">
        <f>46.5916 * CHOOSE(CONTROL!$C$9, $D$9, 100%, $F$9) + CHOOSE(CONTROL!$C$27, 0.0021, 0)</f>
        <v>46.593699999999998</v>
      </c>
      <c r="I410" s="17">
        <f>46.5916 * CHOOSE(CONTROL!$C$9, $D$9, 100%, $F$9) + CHOOSE(CONTROL!$C$27, 0.0021, 0)</f>
        <v>46.593699999999998</v>
      </c>
      <c r="J410" s="17">
        <f>46.5916 * CHOOSE(CONTROL!$C$9, $D$9, 100%, $F$9) + CHOOSE(CONTROL!$C$27, 0.0021, 0)</f>
        <v>46.593699999999998</v>
      </c>
      <c r="K410" s="17">
        <f>46.5916 * CHOOSE(CONTROL!$C$9, $D$9, 100%, $F$9) + CHOOSE(CONTROL!$C$27, 0.0021, 0)</f>
        <v>46.593699999999998</v>
      </c>
      <c r="L410" s="17"/>
    </row>
    <row r="411" spans="1:12" ht="15.75" x14ac:dyDescent="0.25">
      <c r="A411" s="14">
        <v>53447</v>
      </c>
      <c r="B411" s="17">
        <f>46.3742 * CHOOSE(CONTROL!$C$9, $D$9, 100%, $F$9) + CHOOSE(CONTROL!$C$27, 0.0021, 0)</f>
        <v>46.376300000000001</v>
      </c>
      <c r="C411" s="17">
        <f>45.942 * CHOOSE(CONTROL!$C$9, $D$9, 100%, $F$9) + CHOOSE(CONTROL!$C$27, 0.0021, 0)</f>
        <v>45.944099999999999</v>
      </c>
      <c r="D411" s="17">
        <f>45.942 * CHOOSE(CONTROL!$C$9, $D$9, 100%, $F$9) + CHOOSE(CONTROL!$C$27, 0.0021, 0)</f>
        <v>45.944099999999999</v>
      </c>
      <c r="E411" s="17">
        <f>45.8053 * CHOOSE(CONTROL!$C$9, $D$9, 100%, $F$9) + CHOOSE(CONTROL!$C$27, 0.0021, 0)</f>
        <v>45.807400000000001</v>
      </c>
      <c r="F411" s="17">
        <f>45.8053 * CHOOSE(CONTROL!$C$9, $D$9, 100%, $F$9) + CHOOSE(CONTROL!$C$27, 0.0021, 0)</f>
        <v>45.807400000000001</v>
      </c>
      <c r="G411" s="17">
        <f>46.0767 * CHOOSE(CONTROL!$C$9, $D$9, 100%, $F$9) + CHOOSE(CONTROL!$C$27, 0.0021, 0)</f>
        <v>46.078800000000001</v>
      </c>
      <c r="H411" s="17">
        <f>45.942 * CHOOSE(CONTROL!$C$9, $D$9, 100%, $F$9) + CHOOSE(CONTROL!$C$27, 0.0021, 0)</f>
        <v>45.944099999999999</v>
      </c>
      <c r="I411" s="17">
        <f>45.942 * CHOOSE(CONTROL!$C$9, $D$9, 100%, $F$9) + CHOOSE(CONTROL!$C$27, 0.0021, 0)</f>
        <v>45.944099999999999</v>
      </c>
      <c r="J411" s="17">
        <f>45.942 * CHOOSE(CONTROL!$C$9, $D$9, 100%, $F$9) + CHOOSE(CONTROL!$C$27, 0.0021, 0)</f>
        <v>45.944099999999999</v>
      </c>
      <c r="K411" s="17">
        <f>45.942 * CHOOSE(CONTROL!$C$9, $D$9, 100%, $F$9) + CHOOSE(CONTROL!$C$27, 0.0021, 0)</f>
        <v>45.944099999999999</v>
      </c>
      <c r="L411" s="17"/>
    </row>
    <row r="412" spans="1:12" ht="15.75" x14ac:dyDescent="0.25">
      <c r="A412" s="14">
        <v>53478</v>
      </c>
      <c r="B412" s="17">
        <f>47.3 * CHOOSE(CONTROL!$C$9, $D$9, 100%, $F$9) + CHOOSE(CONTROL!$C$27, 0.0021, 0)</f>
        <v>47.302099999999996</v>
      </c>
      <c r="C412" s="17">
        <f>46.8677 * CHOOSE(CONTROL!$C$9, $D$9, 100%, $F$9) + CHOOSE(CONTROL!$C$27, 0.0021, 0)</f>
        <v>46.869799999999998</v>
      </c>
      <c r="D412" s="17">
        <f>46.8677 * CHOOSE(CONTROL!$C$9, $D$9, 100%, $F$9) + CHOOSE(CONTROL!$C$27, 0.0021, 0)</f>
        <v>46.869799999999998</v>
      </c>
      <c r="E412" s="17">
        <f>46.7311 * CHOOSE(CONTROL!$C$9, $D$9, 100%, $F$9) + CHOOSE(CONTROL!$C$27, 0.0021, 0)</f>
        <v>46.733199999999997</v>
      </c>
      <c r="F412" s="17">
        <f>46.7311 * CHOOSE(CONTROL!$C$9, $D$9, 100%, $F$9) + CHOOSE(CONTROL!$C$27, 0.0021, 0)</f>
        <v>46.733199999999997</v>
      </c>
      <c r="G412" s="17">
        <f>47.0024 * CHOOSE(CONTROL!$C$9, $D$9, 100%, $F$9) + CHOOSE(CONTROL!$C$27, 0.0021, 0)</f>
        <v>47.0045</v>
      </c>
      <c r="H412" s="17">
        <f>46.8677 * CHOOSE(CONTROL!$C$9, $D$9, 100%, $F$9) + CHOOSE(CONTROL!$C$27, 0.0021, 0)</f>
        <v>46.869799999999998</v>
      </c>
      <c r="I412" s="17">
        <f>46.8677 * CHOOSE(CONTROL!$C$9, $D$9, 100%, $F$9) + CHOOSE(CONTROL!$C$27, 0.0021, 0)</f>
        <v>46.869799999999998</v>
      </c>
      <c r="J412" s="17">
        <f>46.8677 * CHOOSE(CONTROL!$C$9, $D$9, 100%, $F$9) + CHOOSE(CONTROL!$C$27, 0.0021, 0)</f>
        <v>46.869799999999998</v>
      </c>
      <c r="K412" s="17">
        <f>46.8677 * CHOOSE(CONTROL!$C$9, $D$9, 100%, $F$9) + CHOOSE(CONTROL!$C$27, 0.0021, 0)</f>
        <v>46.869799999999998</v>
      </c>
      <c r="L412" s="17"/>
    </row>
    <row r="413" spans="1:12" ht="15.75" x14ac:dyDescent="0.25">
      <c r="A413" s="14">
        <v>53508</v>
      </c>
      <c r="B413" s="17">
        <f>47.8545 * CHOOSE(CONTROL!$C$9, $D$9, 100%, $F$9) + CHOOSE(CONTROL!$C$27, 0.0021, 0)</f>
        <v>47.8566</v>
      </c>
      <c r="C413" s="17">
        <f>47.4222 * CHOOSE(CONTROL!$C$9, $D$9, 100%, $F$9) + CHOOSE(CONTROL!$C$27, 0.0021, 0)</f>
        <v>47.424299999999995</v>
      </c>
      <c r="D413" s="17">
        <f>47.4222 * CHOOSE(CONTROL!$C$9, $D$9, 100%, $F$9) + CHOOSE(CONTROL!$C$27, 0.0021, 0)</f>
        <v>47.424299999999995</v>
      </c>
      <c r="E413" s="17">
        <f>47.2855 * CHOOSE(CONTROL!$C$9, $D$9, 100%, $F$9) + CHOOSE(CONTROL!$C$27, 0.0021, 0)</f>
        <v>47.287599999999998</v>
      </c>
      <c r="F413" s="17">
        <f>47.2855 * CHOOSE(CONTROL!$C$9, $D$9, 100%, $F$9) + CHOOSE(CONTROL!$C$27, 0.0021, 0)</f>
        <v>47.287599999999998</v>
      </c>
      <c r="G413" s="17">
        <f>47.5569 * CHOOSE(CONTROL!$C$9, $D$9, 100%, $F$9) + CHOOSE(CONTROL!$C$27, 0.0021, 0)</f>
        <v>47.558999999999997</v>
      </c>
      <c r="H413" s="17">
        <f>47.4222 * CHOOSE(CONTROL!$C$9, $D$9, 100%, $F$9) + CHOOSE(CONTROL!$C$27, 0.0021, 0)</f>
        <v>47.424299999999995</v>
      </c>
      <c r="I413" s="17">
        <f>47.4222 * CHOOSE(CONTROL!$C$9, $D$9, 100%, $F$9) + CHOOSE(CONTROL!$C$27, 0.0021, 0)</f>
        <v>47.424299999999995</v>
      </c>
      <c r="J413" s="17">
        <f>47.4222 * CHOOSE(CONTROL!$C$9, $D$9, 100%, $F$9) + CHOOSE(CONTROL!$C$27, 0.0021, 0)</f>
        <v>47.424299999999995</v>
      </c>
      <c r="K413" s="17">
        <f>47.4222 * CHOOSE(CONTROL!$C$9, $D$9, 100%, $F$9) + CHOOSE(CONTROL!$C$27, 0.0021, 0)</f>
        <v>47.424299999999995</v>
      </c>
      <c r="L413" s="17"/>
    </row>
    <row r="414" spans="1:12" ht="15.75" x14ac:dyDescent="0.25">
      <c r="A414" s="14">
        <v>53539</v>
      </c>
      <c r="B414" s="17">
        <f>48.7691 * CHOOSE(CONTROL!$C$9, $D$9, 100%, $F$9) + CHOOSE(CONTROL!$C$27, 0.0021, 0)</f>
        <v>48.7712</v>
      </c>
      <c r="C414" s="17">
        <f>48.3369 * CHOOSE(CONTROL!$C$9, $D$9, 100%, $F$9) + CHOOSE(CONTROL!$C$27, 0.0021, 0)</f>
        <v>48.338999999999999</v>
      </c>
      <c r="D414" s="17">
        <f>48.3369 * CHOOSE(CONTROL!$C$9, $D$9, 100%, $F$9) + CHOOSE(CONTROL!$C$27, 0.0021, 0)</f>
        <v>48.338999999999999</v>
      </c>
      <c r="E414" s="17">
        <f>48.2002 * CHOOSE(CONTROL!$C$9, $D$9, 100%, $F$9) + CHOOSE(CONTROL!$C$27, 0.0021, 0)</f>
        <v>48.202300000000001</v>
      </c>
      <c r="F414" s="17">
        <f>48.2002 * CHOOSE(CONTROL!$C$9, $D$9, 100%, $F$9) + CHOOSE(CONTROL!$C$27, 0.0021, 0)</f>
        <v>48.202300000000001</v>
      </c>
      <c r="G414" s="17">
        <f>48.4716 * CHOOSE(CONTROL!$C$9, $D$9, 100%, $F$9) + CHOOSE(CONTROL!$C$27, 0.0021, 0)</f>
        <v>48.473700000000001</v>
      </c>
      <c r="H414" s="17">
        <f>48.3369 * CHOOSE(CONTROL!$C$9, $D$9, 100%, $F$9) + CHOOSE(CONTROL!$C$27, 0.0021, 0)</f>
        <v>48.338999999999999</v>
      </c>
      <c r="I414" s="17">
        <f>48.3369 * CHOOSE(CONTROL!$C$9, $D$9, 100%, $F$9) + CHOOSE(CONTROL!$C$27, 0.0021, 0)</f>
        <v>48.338999999999999</v>
      </c>
      <c r="J414" s="17">
        <f>48.3369 * CHOOSE(CONTROL!$C$9, $D$9, 100%, $F$9) + CHOOSE(CONTROL!$C$27, 0.0021, 0)</f>
        <v>48.338999999999999</v>
      </c>
      <c r="K414" s="17">
        <f>48.3369 * CHOOSE(CONTROL!$C$9, $D$9, 100%, $F$9) + CHOOSE(CONTROL!$C$27, 0.0021, 0)</f>
        <v>48.338999999999999</v>
      </c>
      <c r="L414" s="17"/>
    </row>
    <row r="415" spans="1:12" ht="15.75" x14ac:dyDescent="0.25">
      <c r="A415" s="14">
        <v>53570</v>
      </c>
      <c r="B415" s="17">
        <f>49.0483 * CHOOSE(CONTROL!$C$9, $D$9, 100%, $F$9) + CHOOSE(CONTROL!$C$27, 0.0021, 0)</f>
        <v>49.050399999999996</v>
      </c>
      <c r="C415" s="17">
        <f>48.6161 * CHOOSE(CONTROL!$C$9, $D$9, 100%, $F$9) + CHOOSE(CONTROL!$C$27, 0.0021, 0)</f>
        <v>48.618200000000002</v>
      </c>
      <c r="D415" s="17">
        <f>48.6161 * CHOOSE(CONTROL!$C$9, $D$9, 100%, $F$9) + CHOOSE(CONTROL!$C$27, 0.0021, 0)</f>
        <v>48.618200000000002</v>
      </c>
      <c r="E415" s="17">
        <f>48.4794 * CHOOSE(CONTROL!$C$9, $D$9, 100%, $F$9) + CHOOSE(CONTROL!$C$27, 0.0021, 0)</f>
        <v>48.481499999999997</v>
      </c>
      <c r="F415" s="17">
        <f>48.4794 * CHOOSE(CONTROL!$C$9, $D$9, 100%, $F$9) + CHOOSE(CONTROL!$C$27, 0.0021, 0)</f>
        <v>48.481499999999997</v>
      </c>
      <c r="G415" s="17">
        <f>48.7508 * CHOOSE(CONTROL!$C$9, $D$9, 100%, $F$9) + CHOOSE(CONTROL!$C$27, 0.0021, 0)</f>
        <v>48.752899999999997</v>
      </c>
      <c r="H415" s="17">
        <f>48.6161 * CHOOSE(CONTROL!$C$9, $D$9, 100%, $F$9) + CHOOSE(CONTROL!$C$27, 0.0021, 0)</f>
        <v>48.618200000000002</v>
      </c>
      <c r="I415" s="17">
        <f>48.6161 * CHOOSE(CONTROL!$C$9, $D$9, 100%, $F$9) + CHOOSE(CONTROL!$C$27, 0.0021, 0)</f>
        <v>48.618200000000002</v>
      </c>
      <c r="J415" s="17">
        <f>48.6161 * CHOOSE(CONTROL!$C$9, $D$9, 100%, $F$9) + CHOOSE(CONTROL!$C$27, 0.0021, 0)</f>
        <v>48.618200000000002</v>
      </c>
      <c r="K415" s="17">
        <f>48.6161 * CHOOSE(CONTROL!$C$9, $D$9, 100%, $F$9) + CHOOSE(CONTROL!$C$27, 0.0021, 0)</f>
        <v>48.618200000000002</v>
      </c>
      <c r="L415" s="17"/>
    </row>
    <row r="416" spans="1:12" ht="15.75" x14ac:dyDescent="0.25">
      <c r="A416" s="14">
        <v>53600</v>
      </c>
      <c r="B416" s="17">
        <f>49.9991 * CHOOSE(CONTROL!$C$9, $D$9, 100%, $F$9) + CHOOSE(CONTROL!$C$27, 0.0021, 0)</f>
        <v>50.001199999999997</v>
      </c>
      <c r="C416" s="17">
        <f>49.5669 * CHOOSE(CONTROL!$C$9, $D$9, 100%, $F$9) + CHOOSE(CONTROL!$C$27, 0.0021, 0)</f>
        <v>49.568999999999996</v>
      </c>
      <c r="D416" s="17">
        <f>49.5669 * CHOOSE(CONTROL!$C$9, $D$9, 100%, $F$9) + CHOOSE(CONTROL!$C$27, 0.0021, 0)</f>
        <v>49.568999999999996</v>
      </c>
      <c r="E416" s="17">
        <f>49.4302 * CHOOSE(CONTROL!$C$9, $D$9, 100%, $F$9) + CHOOSE(CONTROL!$C$27, 0.0021, 0)</f>
        <v>49.432299999999998</v>
      </c>
      <c r="F416" s="17">
        <f>49.4302 * CHOOSE(CONTROL!$C$9, $D$9, 100%, $F$9) + CHOOSE(CONTROL!$C$27, 0.0021, 0)</f>
        <v>49.432299999999998</v>
      </c>
      <c r="G416" s="17">
        <f>49.7016 * CHOOSE(CONTROL!$C$9, $D$9, 100%, $F$9) + CHOOSE(CONTROL!$C$27, 0.0021, 0)</f>
        <v>49.703699999999998</v>
      </c>
      <c r="H416" s="17">
        <f>49.5669 * CHOOSE(CONTROL!$C$9, $D$9, 100%, $F$9) + CHOOSE(CONTROL!$C$27, 0.0021, 0)</f>
        <v>49.568999999999996</v>
      </c>
      <c r="I416" s="17">
        <f>49.5669 * CHOOSE(CONTROL!$C$9, $D$9, 100%, $F$9) + CHOOSE(CONTROL!$C$27, 0.0021, 0)</f>
        <v>49.568999999999996</v>
      </c>
      <c r="J416" s="17">
        <f>49.5669 * CHOOSE(CONTROL!$C$9, $D$9, 100%, $F$9) + CHOOSE(CONTROL!$C$27, 0.0021, 0)</f>
        <v>49.568999999999996</v>
      </c>
      <c r="K416" s="17">
        <f>49.5669 * CHOOSE(CONTROL!$C$9, $D$9, 100%, $F$9) + CHOOSE(CONTROL!$C$27, 0.0021, 0)</f>
        <v>49.568999999999996</v>
      </c>
      <c r="L416" s="17"/>
    </row>
    <row r="417" spans="1:12" ht="15.75" x14ac:dyDescent="0.25">
      <c r="A417" s="14">
        <v>53631</v>
      </c>
      <c r="B417" s="17">
        <f>51.2026 * CHOOSE(CONTROL!$C$9, $D$9, 100%, $F$9) + CHOOSE(CONTROL!$C$27, 0.0021, 0)</f>
        <v>51.204699999999995</v>
      </c>
      <c r="C417" s="17">
        <f>50.7704 * CHOOSE(CONTROL!$C$9, $D$9, 100%, $F$9) + CHOOSE(CONTROL!$C$27, 0.0021, 0)</f>
        <v>50.772500000000001</v>
      </c>
      <c r="D417" s="17">
        <f>50.7704 * CHOOSE(CONTROL!$C$9, $D$9, 100%, $F$9) + CHOOSE(CONTROL!$C$27, 0.0021, 0)</f>
        <v>50.772500000000001</v>
      </c>
      <c r="E417" s="17">
        <f>50.6337 * CHOOSE(CONTROL!$C$9, $D$9, 100%, $F$9) + CHOOSE(CONTROL!$C$27, 0.0021, 0)</f>
        <v>50.635799999999996</v>
      </c>
      <c r="F417" s="17">
        <f>50.6337 * CHOOSE(CONTROL!$C$9, $D$9, 100%, $F$9) + CHOOSE(CONTROL!$C$27, 0.0021, 0)</f>
        <v>50.635799999999996</v>
      </c>
      <c r="G417" s="17">
        <f>50.9051 * CHOOSE(CONTROL!$C$9, $D$9, 100%, $F$9) + CHOOSE(CONTROL!$C$27, 0.0021, 0)</f>
        <v>50.907199999999996</v>
      </c>
      <c r="H417" s="17">
        <f>50.7704 * CHOOSE(CONTROL!$C$9, $D$9, 100%, $F$9) + CHOOSE(CONTROL!$C$27, 0.0021, 0)</f>
        <v>50.772500000000001</v>
      </c>
      <c r="I417" s="17">
        <f>50.7704 * CHOOSE(CONTROL!$C$9, $D$9, 100%, $F$9) + CHOOSE(CONTROL!$C$27, 0.0021, 0)</f>
        <v>50.772500000000001</v>
      </c>
      <c r="J417" s="17">
        <f>50.7704 * CHOOSE(CONTROL!$C$9, $D$9, 100%, $F$9) + CHOOSE(CONTROL!$C$27, 0.0021, 0)</f>
        <v>50.772500000000001</v>
      </c>
      <c r="K417" s="17">
        <f>50.7704 * CHOOSE(CONTROL!$C$9, $D$9, 100%, $F$9) + CHOOSE(CONTROL!$C$27, 0.0021, 0)</f>
        <v>50.772500000000001</v>
      </c>
      <c r="L417" s="17"/>
    </row>
    <row r="418" spans="1:12" ht="15.75" x14ac:dyDescent="0.25">
      <c r="A418" s="14">
        <v>53661</v>
      </c>
      <c r="B418" s="17">
        <f>51.3156 * CHOOSE(CONTROL!$C$9, $D$9, 100%, $F$9) + CHOOSE(CONTROL!$C$27, 0.0021, 0)</f>
        <v>51.317700000000002</v>
      </c>
      <c r="C418" s="17">
        <f>50.8834 * CHOOSE(CONTROL!$C$9, $D$9, 100%, $F$9) + CHOOSE(CONTROL!$C$27, 0.0021, 0)</f>
        <v>50.8855</v>
      </c>
      <c r="D418" s="17">
        <f>50.8834 * CHOOSE(CONTROL!$C$9, $D$9, 100%, $F$9) + CHOOSE(CONTROL!$C$27, 0.0021, 0)</f>
        <v>50.8855</v>
      </c>
      <c r="E418" s="17">
        <f>50.7467 * CHOOSE(CONTROL!$C$9, $D$9, 100%, $F$9) + CHOOSE(CONTROL!$C$27, 0.0021, 0)</f>
        <v>50.748799999999996</v>
      </c>
      <c r="F418" s="17">
        <f>50.7467 * CHOOSE(CONTROL!$C$9, $D$9, 100%, $F$9) + CHOOSE(CONTROL!$C$27, 0.0021, 0)</f>
        <v>50.748799999999996</v>
      </c>
      <c r="G418" s="17">
        <f>51.0181 * CHOOSE(CONTROL!$C$9, $D$9, 100%, $F$9) + CHOOSE(CONTROL!$C$27, 0.0021, 0)</f>
        <v>51.020199999999996</v>
      </c>
      <c r="H418" s="17">
        <f>50.8834 * CHOOSE(CONTROL!$C$9, $D$9, 100%, $F$9) + CHOOSE(CONTROL!$C$27, 0.0021, 0)</f>
        <v>50.8855</v>
      </c>
      <c r="I418" s="17">
        <f>50.8834 * CHOOSE(CONTROL!$C$9, $D$9, 100%, $F$9) + CHOOSE(CONTROL!$C$27, 0.0021, 0)</f>
        <v>50.8855</v>
      </c>
      <c r="J418" s="17">
        <f>50.8834 * CHOOSE(CONTROL!$C$9, $D$9, 100%, $F$9) + CHOOSE(CONTROL!$C$27, 0.0021, 0)</f>
        <v>50.8855</v>
      </c>
      <c r="K418" s="17">
        <f>50.8834 * CHOOSE(CONTROL!$C$9, $D$9, 100%, $F$9) + CHOOSE(CONTROL!$C$27, 0.0021, 0)</f>
        <v>50.8855</v>
      </c>
      <c r="L418" s="17"/>
    </row>
    <row r="419" spans="1:12" ht="15.75" x14ac:dyDescent="0.25">
      <c r="A419" s="14">
        <v>53692</v>
      </c>
      <c r="B419" s="17">
        <f>50.3544 * CHOOSE(CONTROL!$C$9, $D$9, 100%, $F$9) + CHOOSE(CONTROL!$C$27, 0.0021, 0)</f>
        <v>50.356499999999997</v>
      </c>
      <c r="C419" s="17">
        <f>49.9221 * CHOOSE(CONTROL!$C$9, $D$9, 100%, $F$9) + CHOOSE(CONTROL!$C$27, 0.0021, 0)</f>
        <v>49.924199999999999</v>
      </c>
      <c r="D419" s="17">
        <f>49.9221 * CHOOSE(CONTROL!$C$9, $D$9, 100%, $F$9) + CHOOSE(CONTROL!$C$27, 0.0021, 0)</f>
        <v>49.924199999999999</v>
      </c>
      <c r="E419" s="17">
        <f>49.7855 * CHOOSE(CONTROL!$C$9, $D$9, 100%, $F$9) + CHOOSE(CONTROL!$C$27, 0.0021, 0)</f>
        <v>49.787599999999998</v>
      </c>
      <c r="F419" s="17">
        <f>49.7855 * CHOOSE(CONTROL!$C$9, $D$9, 100%, $F$9) + CHOOSE(CONTROL!$C$27, 0.0021, 0)</f>
        <v>49.787599999999998</v>
      </c>
      <c r="G419" s="17">
        <f>50.0569 * CHOOSE(CONTROL!$C$9, $D$9, 100%, $F$9) + CHOOSE(CONTROL!$C$27, 0.0021, 0)</f>
        <v>50.058999999999997</v>
      </c>
      <c r="H419" s="17">
        <f>49.9221 * CHOOSE(CONTROL!$C$9, $D$9, 100%, $F$9) + CHOOSE(CONTROL!$C$27, 0.0021, 0)</f>
        <v>49.924199999999999</v>
      </c>
      <c r="I419" s="17">
        <f>49.9221 * CHOOSE(CONTROL!$C$9, $D$9, 100%, $F$9) + CHOOSE(CONTROL!$C$27, 0.0021, 0)</f>
        <v>49.924199999999999</v>
      </c>
      <c r="J419" s="17">
        <f>49.9221 * CHOOSE(CONTROL!$C$9, $D$9, 100%, $F$9) + CHOOSE(CONTROL!$C$27, 0.0021, 0)</f>
        <v>49.924199999999999</v>
      </c>
      <c r="K419" s="17">
        <f>49.9221 * CHOOSE(CONTROL!$C$9, $D$9, 100%, $F$9) + CHOOSE(CONTROL!$C$27, 0.0021, 0)</f>
        <v>49.924199999999999</v>
      </c>
      <c r="L419" s="17"/>
    </row>
    <row r="420" spans="1:12" ht="15.75" x14ac:dyDescent="0.25">
      <c r="A420" s="14">
        <v>53723</v>
      </c>
      <c r="B420" s="17">
        <f>49.7468 * CHOOSE(CONTROL!$C$9, $D$9, 100%, $F$9) + CHOOSE(CONTROL!$C$27, 0.0021, 0)</f>
        <v>49.748899999999999</v>
      </c>
      <c r="C420" s="17">
        <f>49.3146 * CHOOSE(CONTROL!$C$9, $D$9, 100%, $F$9) + CHOOSE(CONTROL!$C$27, 0.0021, 0)</f>
        <v>49.316699999999997</v>
      </c>
      <c r="D420" s="17">
        <f>49.3146 * CHOOSE(CONTROL!$C$9, $D$9, 100%, $F$9) + CHOOSE(CONTROL!$C$27, 0.0021, 0)</f>
        <v>49.316699999999997</v>
      </c>
      <c r="E420" s="17">
        <f>49.1779 * CHOOSE(CONTROL!$C$9, $D$9, 100%, $F$9) + CHOOSE(CONTROL!$C$27, 0.0021, 0)</f>
        <v>49.18</v>
      </c>
      <c r="F420" s="17">
        <f>49.1779 * CHOOSE(CONTROL!$C$9, $D$9, 100%, $F$9) + CHOOSE(CONTROL!$C$27, 0.0021, 0)</f>
        <v>49.18</v>
      </c>
      <c r="G420" s="17">
        <f>49.4493 * CHOOSE(CONTROL!$C$9, $D$9, 100%, $F$9) + CHOOSE(CONTROL!$C$27, 0.0021, 0)</f>
        <v>49.4514</v>
      </c>
      <c r="H420" s="17">
        <f>49.3146 * CHOOSE(CONTROL!$C$9, $D$9, 100%, $F$9) + CHOOSE(CONTROL!$C$27, 0.0021, 0)</f>
        <v>49.316699999999997</v>
      </c>
      <c r="I420" s="17">
        <f>49.3146 * CHOOSE(CONTROL!$C$9, $D$9, 100%, $F$9) + CHOOSE(CONTROL!$C$27, 0.0021, 0)</f>
        <v>49.316699999999997</v>
      </c>
      <c r="J420" s="17">
        <f>49.3146 * CHOOSE(CONTROL!$C$9, $D$9, 100%, $F$9) + CHOOSE(CONTROL!$C$27, 0.0021, 0)</f>
        <v>49.316699999999997</v>
      </c>
      <c r="K420" s="17">
        <f>49.3146 * CHOOSE(CONTROL!$C$9, $D$9, 100%, $F$9) + CHOOSE(CONTROL!$C$27, 0.0021, 0)</f>
        <v>49.316699999999997</v>
      </c>
      <c r="L420" s="17"/>
    </row>
    <row r="421" spans="1:12" ht="15.75" x14ac:dyDescent="0.25">
      <c r="A421" s="14">
        <v>53751</v>
      </c>
      <c r="B421" s="17">
        <f>48.4046 * CHOOSE(CONTROL!$C$9, $D$9, 100%, $F$9) + CHOOSE(CONTROL!$C$27, 0.0021, 0)</f>
        <v>48.406700000000001</v>
      </c>
      <c r="C421" s="17">
        <f>47.9723 * CHOOSE(CONTROL!$C$9, $D$9, 100%, $F$9) + CHOOSE(CONTROL!$C$27, 0.0021, 0)</f>
        <v>47.974399999999996</v>
      </c>
      <c r="D421" s="17">
        <f>47.9723 * CHOOSE(CONTROL!$C$9, $D$9, 100%, $F$9) + CHOOSE(CONTROL!$C$27, 0.0021, 0)</f>
        <v>47.974399999999996</v>
      </c>
      <c r="E421" s="17">
        <f>47.8357 * CHOOSE(CONTROL!$C$9, $D$9, 100%, $F$9) + CHOOSE(CONTROL!$C$27, 0.0021, 0)</f>
        <v>47.837800000000001</v>
      </c>
      <c r="F421" s="17">
        <f>47.8357 * CHOOSE(CONTROL!$C$9, $D$9, 100%, $F$9) + CHOOSE(CONTROL!$C$27, 0.0021, 0)</f>
        <v>47.837800000000001</v>
      </c>
      <c r="G421" s="17">
        <f>48.107 * CHOOSE(CONTROL!$C$9, $D$9, 100%, $F$9) + CHOOSE(CONTROL!$C$27, 0.0021, 0)</f>
        <v>48.109099999999998</v>
      </c>
      <c r="H421" s="17">
        <f>47.9723 * CHOOSE(CONTROL!$C$9, $D$9, 100%, $F$9) + CHOOSE(CONTROL!$C$27, 0.0021, 0)</f>
        <v>47.974399999999996</v>
      </c>
      <c r="I421" s="17">
        <f>47.9723 * CHOOSE(CONTROL!$C$9, $D$9, 100%, $F$9) + CHOOSE(CONTROL!$C$27, 0.0021, 0)</f>
        <v>47.974399999999996</v>
      </c>
      <c r="J421" s="17">
        <f>47.9723 * CHOOSE(CONTROL!$C$9, $D$9, 100%, $F$9) + CHOOSE(CONTROL!$C$27, 0.0021, 0)</f>
        <v>47.974399999999996</v>
      </c>
      <c r="K421" s="17">
        <f>47.9723 * CHOOSE(CONTROL!$C$9, $D$9, 100%, $F$9) + CHOOSE(CONTROL!$C$27, 0.0021, 0)</f>
        <v>47.974399999999996</v>
      </c>
      <c r="L421" s="17"/>
    </row>
    <row r="422" spans="1:12" ht="15.75" x14ac:dyDescent="0.25">
      <c r="A422" s="14">
        <v>53782</v>
      </c>
      <c r="B422" s="17">
        <f>47.8505 * CHOOSE(CONTROL!$C$9, $D$9, 100%, $F$9) + CHOOSE(CONTROL!$C$27, 0.0021, 0)</f>
        <v>47.852599999999995</v>
      </c>
      <c r="C422" s="17">
        <f>47.4182 * CHOOSE(CONTROL!$C$9, $D$9, 100%, $F$9) + CHOOSE(CONTROL!$C$27, 0.0021, 0)</f>
        <v>47.420299999999997</v>
      </c>
      <c r="D422" s="17">
        <f>47.4182 * CHOOSE(CONTROL!$C$9, $D$9, 100%, $F$9) + CHOOSE(CONTROL!$C$27, 0.0021, 0)</f>
        <v>47.420299999999997</v>
      </c>
      <c r="E422" s="17">
        <f>47.2816 * CHOOSE(CONTROL!$C$9, $D$9, 100%, $F$9) + CHOOSE(CONTROL!$C$27, 0.0021, 0)</f>
        <v>47.283699999999996</v>
      </c>
      <c r="F422" s="17">
        <f>47.2816 * CHOOSE(CONTROL!$C$9, $D$9, 100%, $F$9) + CHOOSE(CONTROL!$C$27, 0.0021, 0)</f>
        <v>47.283699999999996</v>
      </c>
      <c r="G422" s="17">
        <f>47.553 * CHOOSE(CONTROL!$C$9, $D$9, 100%, $F$9) + CHOOSE(CONTROL!$C$27, 0.0021, 0)</f>
        <v>47.555099999999996</v>
      </c>
      <c r="H422" s="17">
        <f>47.4182 * CHOOSE(CONTROL!$C$9, $D$9, 100%, $F$9) + CHOOSE(CONTROL!$C$27, 0.0021, 0)</f>
        <v>47.420299999999997</v>
      </c>
      <c r="I422" s="17">
        <f>47.4182 * CHOOSE(CONTROL!$C$9, $D$9, 100%, $F$9) + CHOOSE(CONTROL!$C$27, 0.0021, 0)</f>
        <v>47.420299999999997</v>
      </c>
      <c r="J422" s="17">
        <f>47.4182 * CHOOSE(CONTROL!$C$9, $D$9, 100%, $F$9) + CHOOSE(CONTROL!$C$27, 0.0021, 0)</f>
        <v>47.420299999999997</v>
      </c>
      <c r="K422" s="17">
        <f>47.4182 * CHOOSE(CONTROL!$C$9, $D$9, 100%, $F$9) + CHOOSE(CONTROL!$C$27, 0.0021, 0)</f>
        <v>47.420299999999997</v>
      </c>
      <c r="L422" s="17"/>
    </row>
    <row r="423" spans="1:12" ht="15.75" x14ac:dyDescent="0.25">
      <c r="A423" s="14">
        <v>53812</v>
      </c>
      <c r="B423" s="17">
        <f>47.1889 * CHOOSE(CONTROL!$C$9, $D$9, 100%, $F$9) + CHOOSE(CONTROL!$C$27, 0.0021, 0)</f>
        <v>47.190999999999995</v>
      </c>
      <c r="C423" s="17">
        <f>46.7567 * CHOOSE(CONTROL!$C$9, $D$9, 100%, $F$9) + CHOOSE(CONTROL!$C$27, 0.0021, 0)</f>
        <v>46.758800000000001</v>
      </c>
      <c r="D423" s="17">
        <f>46.7567 * CHOOSE(CONTROL!$C$9, $D$9, 100%, $F$9) + CHOOSE(CONTROL!$C$27, 0.0021, 0)</f>
        <v>46.758800000000001</v>
      </c>
      <c r="E423" s="17">
        <f>46.62 * CHOOSE(CONTROL!$C$9, $D$9, 100%, $F$9) + CHOOSE(CONTROL!$C$27, 0.0021, 0)</f>
        <v>46.622099999999996</v>
      </c>
      <c r="F423" s="17">
        <f>46.62 * CHOOSE(CONTROL!$C$9, $D$9, 100%, $F$9) + CHOOSE(CONTROL!$C$27, 0.0021, 0)</f>
        <v>46.622099999999996</v>
      </c>
      <c r="G423" s="17">
        <f>46.8914 * CHOOSE(CONTROL!$C$9, $D$9, 100%, $F$9) + CHOOSE(CONTROL!$C$27, 0.0021, 0)</f>
        <v>46.893499999999996</v>
      </c>
      <c r="H423" s="17">
        <f>46.7567 * CHOOSE(CONTROL!$C$9, $D$9, 100%, $F$9) + CHOOSE(CONTROL!$C$27, 0.0021, 0)</f>
        <v>46.758800000000001</v>
      </c>
      <c r="I423" s="17">
        <f>46.7567 * CHOOSE(CONTROL!$C$9, $D$9, 100%, $F$9) + CHOOSE(CONTROL!$C$27, 0.0021, 0)</f>
        <v>46.758800000000001</v>
      </c>
      <c r="J423" s="17">
        <f>46.7567 * CHOOSE(CONTROL!$C$9, $D$9, 100%, $F$9) + CHOOSE(CONTROL!$C$27, 0.0021, 0)</f>
        <v>46.758800000000001</v>
      </c>
      <c r="K423" s="17">
        <f>46.7567 * CHOOSE(CONTROL!$C$9, $D$9, 100%, $F$9) + CHOOSE(CONTROL!$C$27, 0.0021, 0)</f>
        <v>46.758800000000001</v>
      </c>
      <c r="L423" s="17"/>
    </row>
    <row r="424" spans="1:12" ht="15.75" x14ac:dyDescent="0.25">
      <c r="A424" s="14">
        <v>53843</v>
      </c>
      <c r="B424" s="17">
        <f>48.1317 * CHOOSE(CONTROL!$C$9, $D$9, 100%, $F$9) + CHOOSE(CONTROL!$C$27, 0.0021, 0)</f>
        <v>48.133800000000001</v>
      </c>
      <c r="C424" s="17">
        <f>47.6995 * CHOOSE(CONTROL!$C$9, $D$9, 100%, $F$9) + CHOOSE(CONTROL!$C$27, 0.0021, 0)</f>
        <v>47.701599999999999</v>
      </c>
      <c r="D424" s="17">
        <f>47.6995 * CHOOSE(CONTROL!$C$9, $D$9, 100%, $F$9) + CHOOSE(CONTROL!$C$27, 0.0021, 0)</f>
        <v>47.701599999999999</v>
      </c>
      <c r="E424" s="17">
        <f>47.5628 * CHOOSE(CONTROL!$C$9, $D$9, 100%, $F$9) + CHOOSE(CONTROL!$C$27, 0.0021, 0)</f>
        <v>47.564900000000002</v>
      </c>
      <c r="F424" s="17">
        <f>47.5628 * CHOOSE(CONTROL!$C$9, $D$9, 100%, $F$9) + CHOOSE(CONTROL!$C$27, 0.0021, 0)</f>
        <v>47.564900000000002</v>
      </c>
      <c r="G424" s="17">
        <f>47.8342 * CHOOSE(CONTROL!$C$9, $D$9, 100%, $F$9) + CHOOSE(CONTROL!$C$27, 0.0021, 0)</f>
        <v>47.836300000000001</v>
      </c>
      <c r="H424" s="17">
        <f>47.6995 * CHOOSE(CONTROL!$C$9, $D$9, 100%, $F$9) + CHOOSE(CONTROL!$C$27, 0.0021, 0)</f>
        <v>47.701599999999999</v>
      </c>
      <c r="I424" s="17">
        <f>47.6995 * CHOOSE(CONTROL!$C$9, $D$9, 100%, $F$9) + CHOOSE(CONTROL!$C$27, 0.0021, 0)</f>
        <v>47.701599999999999</v>
      </c>
      <c r="J424" s="17">
        <f>47.6995 * CHOOSE(CONTROL!$C$9, $D$9, 100%, $F$9) + CHOOSE(CONTROL!$C$27, 0.0021, 0)</f>
        <v>47.701599999999999</v>
      </c>
      <c r="K424" s="17">
        <f>47.6995 * CHOOSE(CONTROL!$C$9, $D$9, 100%, $F$9) + CHOOSE(CONTROL!$C$27, 0.0021, 0)</f>
        <v>47.701599999999999</v>
      </c>
      <c r="L424" s="17"/>
    </row>
    <row r="425" spans="1:12" ht="15.75" x14ac:dyDescent="0.25">
      <c r="A425" s="14">
        <v>53873</v>
      </c>
      <c r="B425" s="17">
        <f>48.6965 * CHOOSE(CONTROL!$C$9, $D$9, 100%, $F$9) + CHOOSE(CONTROL!$C$27, 0.0021, 0)</f>
        <v>48.698599999999999</v>
      </c>
      <c r="C425" s="17">
        <f>48.2642 * CHOOSE(CONTROL!$C$9, $D$9, 100%, $F$9) + CHOOSE(CONTROL!$C$27, 0.0021, 0)</f>
        <v>48.266300000000001</v>
      </c>
      <c r="D425" s="17">
        <f>48.2642 * CHOOSE(CONTROL!$C$9, $D$9, 100%, $F$9) + CHOOSE(CONTROL!$C$27, 0.0021, 0)</f>
        <v>48.266300000000001</v>
      </c>
      <c r="E425" s="17">
        <f>48.1276 * CHOOSE(CONTROL!$C$9, $D$9, 100%, $F$9) + CHOOSE(CONTROL!$C$27, 0.0021, 0)</f>
        <v>48.1297</v>
      </c>
      <c r="F425" s="17">
        <f>48.1276 * CHOOSE(CONTROL!$C$9, $D$9, 100%, $F$9) + CHOOSE(CONTROL!$C$27, 0.0021, 0)</f>
        <v>48.1297</v>
      </c>
      <c r="G425" s="17">
        <f>48.3989 * CHOOSE(CONTROL!$C$9, $D$9, 100%, $F$9) + CHOOSE(CONTROL!$C$27, 0.0021, 0)</f>
        <v>48.400999999999996</v>
      </c>
      <c r="H425" s="17">
        <f>48.2642 * CHOOSE(CONTROL!$C$9, $D$9, 100%, $F$9) + CHOOSE(CONTROL!$C$27, 0.0021, 0)</f>
        <v>48.266300000000001</v>
      </c>
      <c r="I425" s="17">
        <f>48.2642 * CHOOSE(CONTROL!$C$9, $D$9, 100%, $F$9) + CHOOSE(CONTROL!$C$27, 0.0021, 0)</f>
        <v>48.266300000000001</v>
      </c>
      <c r="J425" s="17">
        <f>48.2642 * CHOOSE(CONTROL!$C$9, $D$9, 100%, $F$9) + CHOOSE(CONTROL!$C$27, 0.0021, 0)</f>
        <v>48.266300000000001</v>
      </c>
      <c r="K425" s="17">
        <f>48.2642 * CHOOSE(CONTROL!$C$9, $D$9, 100%, $F$9) + CHOOSE(CONTROL!$C$27, 0.0021, 0)</f>
        <v>48.266300000000001</v>
      </c>
      <c r="L425" s="17"/>
    </row>
    <row r="426" spans="1:12" ht="15.75" x14ac:dyDescent="0.25">
      <c r="A426" s="14">
        <v>53904</v>
      </c>
      <c r="B426" s="17">
        <f>49.6281 * CHOOSE(CONTROL!$C$9, $D$9, 100%, $F$9) + CHOOSE(CONTROL!$C$27, 0.0021, 0)</f>
        <v>49.630200000000002</v>
      </c>
      <c r="C426" s="17">
        <f>49.1958 * CHOOSE(CONTROL!$C$9, $D$9, 100%, $F$9) + CHOOSE(CONTROL!$C$27, 0.0021, 0)</f>
        <v>49.197899999999997</v>
      </c>
      <c r="D426" s="17">
        <f>49.1958 * CHOOSE(CONTROL!$C$9, $D$9, 100%, $F$9) + CHOOSE(CONTROL!$C$27, 0.0021, 0)</f>
        <v>49.197899999999997</v>
      </c>
      <c r="E426" s="17">
        <f>49.0592 * CHOOSE(CONTROL!$C$9, $D$9, 100%, $F$9) + CHOOSE(CONTROL!$C$27, 0.0021, 0)</f>
        <v>49.061299999999996</v>
      </c>
      <c r="F426" s="17">
        <f>49.0592 * CHOOSE(CONTROL!$C$9, $D$9, 100%, $F$9) + CHOOSE(CONTROL!$C$27, 0.0021, 0)</f>
        <v>49.061299999999996</v>
      </c>
      <c r="G426" s="17">
        <f>49.3305 * CHOOSE(CONTROL!$C$9, $D$9, 100%, $F$9) + CHOOSE(CONTROL!$C$27, 0.0021, 0)</f>
        <v>49.332599999999999</v>
      </c>
      <c r="H426" s="17">
        <f>49.1958 * CHOOSE(CONTROL!$C$9, $D$9, 100%, $F$9) + CHOOSE(CONTROL!$C$27, 0.0021, 0)</f>
        <v>49.197899999999997</v>
      </c>
      <c r="I426" s="17">
        <f>49.1958 * CHOOSE(CONTROL!$C$9, $D$9, 100%, $F$9) + CHOOSE(CONTROL!$C$27, 0.0021, 0)</f>
        <v>49.197899999999997</v>
      </c>
      <c r="J426" s="17">
        <f>49.1958 * CHOOSE(CONTROL!$C$9, $D$9, 100%, $F$9) + CHOOSE(CONTROL!$C$27, 0.0021, 0)</f>
        <v>49.197899999999997</v>
      </c>
      <c r="K426" s="17">
        <f>49.1958 * CHOOSE(CONTROL!$C$9, $D$9, 100%, $F$9) + CHOOSE(CONTROL!$C$27, 0.0021, 0)</f>
        <v>49.197899999999997</v>
      </c>
      <c r="L426" s="17"/>
    </row>
    <row r="427" spans="1:12" ht="15.75" x14ac:dyDescent="0.25">
      <c r="A427" s="14">
        <v>53935</v>
      </c>
      <c r="B427" s="17">
        <f>49.9124 * CHOOSE(CONTROL!$C$9, $D$9, 100%, $F$9) + CHOOSE(CONTROL!$C$27, 0.0021, 0)</f>
        <v>49.914499999999997</v>
      </c>
      <c r="C427" s="17">
        <f>49.4802 * CHOOSE(CONTROL!$C$9, $D$9, 100%, $F$9) + CHOOSE(CONTROL!$C$27, 0.0021, 0)</f>
        <v>49.482300000000002</v>
      </c>
      <c r="D427" s="17">
        <f>49.4802 * CHOOSE(CONTROL!$C$9, $D$9, 100%, $F$9) + CHOOSE(CONTROL!$C$27, 0.0021, 0)</f>
        <v>49.482300000000002</v>
      </c>
      <c r="E427" s="17">
        <f>49.3435 * CHOOSE(CONTROL!$C$9, $D$9, 100%, $F$9) + CHOOSE(CONTROL!$C$27, 0.0021, 0)</f>
        <v>49.345599999999997</v>
      </c>
      <c r="F427" s="17">
        <f>49.3435 * CHOOSE(CONTROL!$C$9, $D$9, 100%, $F$9) + CHOOSE(CONTROL!$C$27, 0.0021, 0)</f>
        <v>49.345599999999997</v>
      </c>
      <c r="G427" s="17">
        <f>49.6149 * CHOOSE(CONTROL!$C$9, $D$9, 100%, $F$9) + CHOOSE(CONTROL!$C$27, 0.0021, 0)</f>
        <v>49.616999999999997</v>
      </c>
      <c r="H427" s="17">
        <f>49.4802 * CHOOSE(CONTROL!$C$9, $D$9, 100%, $F$9) + CHOOSE(CONTROL!$C$27, 0.0021, 0)</f>
        <v>49.482300000000002</v>
      </c>
      <c r="I427" s="17">
        <f>49.4802 * CHOOSE(CONTROL!$C$9, $D$9, 100%, $F$9) + CHOOSE(CONTROL!$C$27, 0.0021, 0)</f>
        <v>49.482300000000002</v>
      </c>
      <c r="J427" s="17">
        <f>49.4802 * CHOOSE(CONTROL!$C$9, $D$9, 100%, $F$9) + CHOOSE(CONTROL!$C$27, 0.0021, 0)</f>
        <v>49.482300000000002</v>
      </c>
      <c r="K427" s="17">
        <f>49.4802 * CHOOSE(CONTROL!$C$9, $D$9, 100%, $F$9) + CHOOSE(CONTROL!$C$27, 0.0021, 0)</f>
        <v>49.482300000000002</v>
      </c>
      <c r="L427" s="17"/>
    </row>
    <row r="428" spans="1:12" ht="15.75" x14ac:dyDescent="0.25">
      <c r="A428" s="14">
        <v>53965</v>
      </c>
      <c r="B428" s="17">
        <f>50.8808 * CHOOSE(CONTROL!$C$9, $D$9, 100%, $F$9) + CHOOSE(CONTROL!$C$27, 0.0021, 0)</f>
        <v>50.882899999999999</v>
      </c>
      <c r="C428" s="17">
        <f>50.4485 * CHOOSE(CONTROL!$C$9, $D$9, 100%, $F$9) + CHOOSE(CONTROL!$C$27, 0.0021, 0)</f>
        <v>50.450600000000001</v>
      </c>
      <c r="D428" s="17">
        <f>50.4485 * CHOOSE(CONTROL!$C$9, $D$9, 100%, $F$9) + CHOOSE(CONTROL!$C$27, 0.0021, 0)</f>
        <v>50.450600000000001</v>
      </c>
      <c r="E428" s="17">
        <f>50.3119 * CHOOSE(CONTROL!$C$9, $D$9, 100%, $F$9) + CHOOSE(CONTROL!$C$27, 0.0021, 0)</f>
        <v>50.314</v>
      </c>
      <c r="F428" s="17">
        <f>50.3119 * CHOOSE(CONTROL!$C$9, $D$9, 100%, $F$9) + CHOOSE(CONTROL!$C$27, 0.0021, 0)</f>
        <v>50.314</v>
      </c>
      <c r="G428" s="17">
        <f>50.5832 * CHOOSE(CONTROL!$C$9, $D$9, 100%, $F$9) + CHOOSE(CONTROL!$C$27, 0.0021, 0)</f>
        <v>50.585299999999997</v>
      </c>
      <c r="H428" s="17">
        <f>50.4485 * CHOOSE(CONTROL!$C$9, $D$9, 100%, $F$9) + CHOOSE(CONTROL!$C$27, 0.0021, 0)</f>
        <v>50.450600000000001</v>
      </c>
      <c r="I428" s="17">
        <f>50.4485 * CHOOSE(CONTROL!$C$9, $D$9, 100%, $F$9) + CHOOSE(CONTROL!$C$27, 0.0021, 0)</f>
        <v>50.450600000000001</v>
      </c>
      <c r="J428" s="17">
        <f>50.4485 * CHOOSE(CONTROL!$C$9, $D$9, 100%, $F$9) + CHOOSE(CONTROL!$C$27, 0.0021, 0)</f>
        <v>50.450600000000001</v>
      </c>
      <c r="K428" s="17">
        <f>50.4485 * CHOOSE(CONTROL!$C$9, $D$9, 100%, $F$9) + CHOOSE(CONTROL!$C$27, 0.0021, 0)</f>
        <v>50.450600000000001</v>
      </c>
      <c r="L428" s="17"/>
    </row>
    <row r="429" spans="1:12" ht="15.75" x14ac:dyDescent="0.25">
      <c r="A429" s="14">
        <v>53996</v>
      </c>
      <c r="B429" s="17">
        <f>52.1065 * CHOOSE(CONTROL!$C$9, $D$9, 100%, $F$9) + CHOOSE(CONTROL!$C$27, 0.0021, 0)</f>
        <v>52.108599999999996</v>
      </c>
      <c r="C429" s="17">
        <f>51.6743 * CHOOSE(CONTROL!$C$9, $D$9, 100%, $F$9) + CHOOSE(CONTROL!$C$27, 0.0021, 0)</f>
        <v>51.676400000000001</v>
      </c>
      <c r="D429" s="17">
        <f>51.6743 * CHOOSE(CONTROL!$C$9, $D$9, 100%, $F$9) + CHOOSE(CONTROL!$C$27, 0.0021, 0)</f>
        <v>51.676400000000001</v>
      </c>
      <c r="E429" s="17">
        <f>51.5376 * CHOOSE(CONTROL!$C$9, $D$9, 100%, $F$9) + CHOOSE(CONTROL!$C$27, 0.0021, 0)</f>
        <v>51.539699999999996</v>
      </c>
      <c r="F429" s="17">
        <f>51.5376 * CHOOSE(CONTROL!$C$9, $D$9, 100%, $F$9) + CHOOSE(CONTROL!$C$27, 0.0021, 0)</f>
        <v>51.539699999999996</v>
      </c>
      <c r="G429" s="17">
        <f>51.809 * CHOOSE(CONTROL!$C$9, $D$9, 100%, $F$9) + CHOOSE(CONTROL!$C$27, 0.0021, 0)</f>
        <v>51.811099999999996</v>
      </c>
      <c r="H429" s="17">
        <f>51.6743 * CHOOSE(CONTROL!$C$9, $D$9, 100%, $F$9) + CHOOSE(CONTROL!$C$27, 0.0021, 0)</f>
        <v>51.676400000000001</v>
      </c>
      <c r="I429" s="17">
        <f>51.6743 * CHOOSE(CONTROL!$C$9, $D$9, 100%, $F$9) + CHOOSE(CONTROL!$C$27, 0.0021, 0)</f>
        <v>51.676400000000001</v>
      </c>
      <c r="J429" s="17">
        <f>51.6743 * CHOOSE(CONTROL!$C$9, $D$9, 100%, $F$9) + CHOOSE(CONTROL!$C$27, 0.0021, 0)</f>
        <v>51.676400000000001</v>
      </c>
      <c r="K429" s="17">
        <f>51.6743 * CHOOSE(CONTROL!$C$9, $D$9, 100%, $F$9) + CHOOSE(CONTROL!$C$27, 0.0021, 0)</f>
        <v>51.676400000000001</v>
      </c>
      <c r="L429" s="17"/>
    </row>
    <row r="430" spans="1:12" ht="15.75" x14ac:dyDescent="0.25">
      <c r="A430" s="14">
        <v>54026</v>
      </c>
      <c r="B430" s="17">
        <f>52.2216 * CHOOSE(CONTROL!$C$9, $D$9, 100%, $F$9) + CHOOSE(CONTROL!$C$27, 0.0021, 0)</f>
        <v>52.223700000000001</v>
      </c>
      <c r="C430" s="17">
        <f>51.7894 * CHOOSE(CONTROL!$C$9, $D$9, 100%, $F$9) + CHOOSE(CONTROL!$C$27, 0.0021, 0)</f>
        <v>51.791499999999999</v>
      </c>
      <c r="D430" s="17">
        <f>51.7894 * CHOOSE(CONTROL!$C$9, $D$9, 100%, $F$9) + CHOOSE(CONTROL!$C$27, 0.0021, 0)</f>
        <v>51.791499999999999</v>
      </c>
      <c r="E430" s="17">
        <f>51.6527 * CHOOSE(CONTROL!$C$9, $D$9, 100%, $F$9) + CHOOSE(CONTROL!$C$27, 0.0021, 0)</f>
        <v>51.654800000000002</v>
      </c>
      <c r="F430" s="17">
        <f>51.6527 * CHOOSE(CONTROL!$C$9, $D$9, 100%, $F$9) + CHOOSE(CONTROL!$C$27, 0.0021, 0)</f>
        <v>51.654800000000002</v>
      </c>
      <c r="G430" s="17">
        <f>51.9241 * CHOOSE(CONTROL!$C$9, $D$9, 100%, $F$9) + CHOOSE(CONTROL!$C$27, 0.0021, 0)</f>
        <v>51.926200000000001</v>
      </c>
      <c r="H430" s="17">
        <f>51.7894 * CHOOSE(CONTROL!$C$9, $D$9, 100%, $F$9) + CHOOSE(CONTROL!$C$27, 0.0021, 0)</f>
        <v>51.791499999999999</v>
      </c>
      <c r="I430" s="17">
        <f>51.7894 * CHOOSE(CONTROL!$C$9, $D$9, 100%, $F$9) + CHOOSE(CONTROL!$C$27, 0.0021, 0)</f>
        <v>51.791499999999999</v>
      </c>
      <c r="J430" s="17">
        <f>51.7894 * CHOOSE(CONTROL!$C$9, $D$9, 100%, $F$9) + CHOOSE(CONTROL!$C$27, 0.0021, 0)</f>
        <v>51.791499999999999</v>
      </c>
      <c r="K430" s="17">
        <f>51.7894 * CHOOSE(CONTROL!$C$9, $D$9, 100%, $F$9) + CHOOSE(CONTROL!$C$27, 0.0021, 0)</f>
        <v>51.791499999999999</v>
      </c>
      <c r="L430" s="17"/>
    </row>
    <row r="431" spans="1:12" ht="15.75" x14ac:dyDescent="0.25">
      <c r="A431" s="14">
        <v>54057</v>
      </c>
      <c r="B431" s="17">
        <f>51.2426 * CHOOSE(CONTROL!$C$9, $D$9, 100%, $F$9) + CHOOSE(CONTROL!$C$27, 0.0021, 0)</f>
        <v>51.244700000000002</v>
      </c>
      <c r="C431" s="17">
        <f>50.8104 * CHOOSE(CONTROL!$C$9, $D$9, 100%, $F$9) + CHOOSE(CONTROL!$C$27, 0.0021, 0)</f>
        <v>50.8125</v>
      </c>
      <c r="D431" s="17">
        <f>50.8104 * CHOOSE(CONTROL!$C$9, $D$9, 100%, $F$9) + CHOOSE(CONTROL!$C$27, 0.0021, 0)</f>
        <v>50.8125</v>
      </c>
      <c r="E431" s="17">
        <f>50.6737 * CHOOSE(CONTROL!$C$9, $D$9, 100%, $F$9) + CHOOSE(CONTROL!$C$27, 0.0021, 0)</f>
        <v>50.675799999999995</v>
      </c>
      <c r="F431" s="17">
        <f>50.6737 * CHOOSE(CONTROL!$C$9, $D$9, 100%, $F$9) + CHOOSE(CONTROL!$C$27, 0.0021, 0)</f>
        <v>50.675799999999995</v>
      </c>
      <c r="G431" s="17">
        <f>50.9451 * CHOOSE(CONTROL!$C$9, $D$9, 100%, $F$9) + CHOOSE(CONTROL!$C$27, 0.0021, 0)</f>
        <v>50.947199999999995</v>
      </c>
      <c r="H431" s="17">
        <f>50.8104 * CHOOSE(CONTROL!$C$9, $D$9, 100%, $F$9) + CHOOSE(CONTROL!$C$27, 0.0021, 0)</f>
        <v>50.8125</v>
      </c>
      <c r="I431" s="17">
        <f>50.8104 * CHOOSE(CONTROL!$C$9, $D$9, 100%, $F$9) + CHOOSE(CONTROL!$C$27, 0.0021, 0)</f>
        <v>50.8125</v>
      </c>
      <c r="J431" s="17">
        <f>50.8104 * CHOOSE(CONTROL!$C$9, $D$9, 100%, $F$9) + CHOOSE(CONTROL!$C$27, 0.0021, 0)</f>
        <v>50.8125</v>
      </c>
      <c r="K431" s="17">
        <f>50.8104 * CHOOSE(CONTROL!$C$9, $D$9, 100%, $F$9) + CHOOSE(CONTROL!$C$27, 0.0021, 0)</f>
        <v>50.8125</v>
      </c>
      <c r="L431" s="17"/>
    </row>
    <row r="432" spans="1:12" ht="15.75" x14ac:dyDescent="0.25">
      <c r="A432" s="14">
        <v>54088</v>
      </c>
      <c r="B432" s="17">
        <f>50.6238 * CHOOSE(CONTROL!$C$9, $D$9, 100%, $F$9) + CHOOSE(CONTROL!$C$27, 0.0021, 0)</f>
        <v>50.625900000000001</v>
      </c>
      <c r="C432" s="17">
        <f>50.1916 * CHOOSE(CONTROL!$C$9, $D$9, 100%, $F$9) + CHOOSE(CONTROL!$C$27, 0.0021, 0)</f>
        <v>50.1937</v>
      </c>
      <c r="D432" s="17">
        <f>50.1916 * CHOOSE(CONTROL!$C$9, $D$9, 100%, $F$9) + CHOOSE(CONTROL!$C$27, 0.0021, 0)</f>
        <v>50.1937</v>
      </c>
      <c r="E432" s="17">
        <f>50.0549 * CHOOSE(CONTROL!$C$9, $D$9, 100%, $F$9) + CHOOSE(CONTROL!$C$27, 0.0021, 0)</f>
        <v>50.057000000000002</v>
      </c>
      <c r="F432" s="17">
        <f>50.0549 * CHOOSE(CONTROL!$C$9, $D$9, 100%, $F$9) + CHOOSE(CONTROL!$C$27, 0.0021, 0)</f>
        <v>50.057000000000002</v>
      </c>
      <c r="G432" s="17">
        <f>50.3263 * CHOOSE(CONTROL!$C$9, $D$9, 100%, $F$9) + CHOOSE(CONTROL!$C$27, 0.0021, 0)</f>
        <v>50.328400000000002</v>
      </c>
      <c r="H432" s="17">
        <f>50.1916 * CHOOSE(CONTROL!$C$9, $D$9, 100%, $F$9) + CHOOSE(CONTROL!$C$27, 0.0021, 0)</f>
        <v>50.1937</v>
      </c>
      <c r="I432" s="17">
        <f>50.1916 * CHOOSE(CONTROL!$C$9, $D$9, 100%, $F$9) + CHOOSE(CONTROL!$C$27, 0.0021, 0)</f>
        <v>50.1937</v>
      </c>
      <c r="J432" s="17">
        <f>50.1916 * CHOOSE(CONTROL!$C$9, $D$9, 100%, $F$9) + CHOOSE(CONTROL!$C$27, 0.0021, 0)</f>
        <v>50.1937</v>
      </c>
      <c r="K432" s="17">
        <f>50.1916 * CHOOSE(CONTROL!$C$9, $D$9, 100%, $F$9) + CHOOSE(CONTROL!$C$27, 0.0021, 0)</f>
        <v>50.1937</v>
      </c>
      <c r="L432" s="17"/>
    </row>
    <row r="433" spans="1:12" ht="15.75" x14ac:dyDescent="0.25">
      <c r="A433" s="14">
        <v>54116</v>
      </c>
      <c r="B433" s="17">
        <f>49.2568 * CHOOSE(CONTROL!$C$9, $D$9, 100%, $F$9) + CHOOSE(CONTROL!$C$27, 0.0021, 0)</f>
        <v>49.258899999999997</v>
      </c>
      <c r="C433" s="17">
        <f>48.8245 * CHOOSE(CONTROL!$C$9, $D$9, 100%, $F$9) + CHOOSE(CONTROL!$C$27, 0.0021, 0)</f>
        <v>48.826599999999999</v>
      </c>
      <c r="D433" s="17">
        <f>48.8245 * CHOOSE(CONTROL!$C$9, $D$9, 100%, $F$9) + CHOOSE(CONTROL!$C$27, 0.0021, 0)</f>
        <v>48.826599999999999</v>
      </c>
      <c r="E433" s="17">
        <f>48.6879 * CHOOSE(CONTROL!$C$9, $D$9, 100%, $F$9) + CHOOSE(CONTROL!$C$27, 0.0021, 0)</f>
        <v>48.69</v>
      </c>
      <c r="F433" s="17">
        <f>48.6879 * CHOOSE(CONTROL!$C$9, $D$9, 100%, $F$9) + CHOOSE(CONTROL!$C$27, 0.0021, 0)</f>
        <v>48.69</v>
      </c>
      <c r="G433" s="17">
        <f>48.9592 * CHOOSE(CONTROL!$C$9, $D$9, 100%, $F$9) + CHOOSE(CONTROL!$C$27, 0.0021, 0)</f>
        <v>48.961300000000001</v>
      </c>
      <c r="H433" s="17">
        <f>48.8245 * CHOOSE(CONTROL!$C$9, $D$9, 100%, $F$9) + CHOOSE(CONTROL!$C$27, 0.0021, 0)</f>
        <v>48.826599999999999</v>
      </c>
      <c r="I433" s="17">
        <f>48.8245 * CHOOSE(CONTROL!$C$9, $D$9, 100%, $F$9) + CHOOSE(CONTROL!$C$27, 0.0021, 0)</f>
        <v>48.826599999999999</v>
      </c>
      <c r="J433" s="17">
        <f>48.8245 * CHOOSE(CONTROL!$C$9, $D$9, 100%, $F$9) + CHOOSE(CONTROL!$C$27, 0.0021, 0)</f>
        <v>48.826599999999999</v>
      </c>
      <c r="K433" s="17">
        <f>48.8245 * CHOOSE(CONTROL!$C$9, $D$9, 100%, $F$9) + CHOOSE(CONTROL!$C$27, 0.0021, 0)</f>
        <v>48.826599999999999</v>
      </c>
      <c r="L433" s="17"/>
    </row>
    <row r="434" spans="1:12" ht="15.75" x14ac:dyDescent="0.25">
      <c r="A434" s="14">
        <v>54148</v>
      </c>
      <c r="B434" s="17">
        <f>48.6924 * CHOOSE(CONTROL!$C$9, $D$9, 100%, $F$9) + CHOOSE(CONTROL!$C$27, 0.0021, 0)</f>
        <v>48.694499999999998</v>
      </c>
      <c r="C434" s="17">
        <f>48.2602 * CHOOSE(CONTROL!$C$9, $D$9, 100%, $F$9) + CHOOSE(CONTROL!$C$27, 0.0021, 0)</f>
        <v>48.262299999999996</v>
      </c>
      <c r="D434" s="17">
        <f>48.2602 * CHOOSE(CONTROL!$C$9, $D$9, 100%, $F$9) + CHOOSE(CONTROL!$C$27, 0.0021, 0)</f>
        <v>48.262299999999996</v>
      </c>
      <c r="E434" s="17">
        <f>48.1235 * CHOOSE(CONTROL!$C$9, $D$9, 100%, $F$9) + CHOOSE(CONTROL!$C$27, 0.0021, 0)</f>
        <v>48.125599999999999</v>
      </c>
      <c r="F434" s="17">
        <f>48.1235 * CHOOSE(CONTROL!$C$9, $D$9, 100%, $F$9) + CHOOSE(CONTROL!$C$27, 0.0021, 0)</f>
        <v>48.125599999999999</v>
      </c>
      <c r="G434" s="17">
        <f>48.3949 * CHOOSE(CONTROL!$C$9, $D$9, 100%, $F$9) + CHOOSE(CONTROL!$C$27, 0.0021, 0)</f>
        <v>48.396999999999998</v>
      </c>
      <c r="H434" s="17">
        <f>48.2602 * CHOOSE(CONTROL!$C$9, $D$9, 100%, $F$9) + CHOOSE(CONTROL!$C$27, 0.0021, 0)</f>
        <v>48.262299999999996</v>
      </c>
      <c r="I434" s="17">
        <f>48.2602 * CHOOSE(CONTROL!$C$9, $D$9, 100%, $F$9) + CHOOSE(CONTROL!$C$27, 0.0021, 0)</f>
        <v>48.262299999999996</v>
      </c>
      <c r="J434" s="17">
        <f>48.2602 * CHOOSE(CONTROL!$C$9, $D$9, 100%, $F$9) + CHOOSE(CONTROL!$C$27, 0.0021, 0)</f>
        <v>48.262299999999996</v>
      </c>
      <c r="K434" s="17">
        <f>48.2602 * CHOOSE(CONTROL!$C$9, $D$9, 100%, $F$9) + CHOOSE(CONTROL!$C$27, 0.0021, 0)</f>
        <v>48.262299999999996</v>
      </c>
      <c r="L434" s="17"/>
    </row>
    <row r="435" spans="1:12" ht="15.75" x14ac:dyDescent="0.25">
      <c r="A435" s="14">
        <v>54178</v>
      </c>
      <c r="B435" s="17">
        <f>48.0186 * CHOOSE(CONTROL!$C$9, $D$9, 100%, $F$9) + CHOOSE(CONTROL!$C$27, 0.0021, 0)</f>
        <v>48.020699999999998</v>
      </c>
      <c r="C435" s="17">
        <f>47.5864 * CHOOSE(CONTROL!$C$9, $D$9, 100%, $F$9) + CHOOSE(CONTROL!$C$27, 0.0021, 0)</f>
        <v>47.588499999999996</v>
      </c>
      <c r="D435" s="17">
        <f>47.5864 * CHOOSE(CONTROL!$C$9, $D$9, 100%, $F$9) + CHOOSE(CONTROL!$C$27, 0.0021, 0)</f>
        <v>47.588499999999996</v>
      </c>
      <c r="E435" s="17">
        <f>47.4497 * CHOOSE(CONTROL!$C$9, $D$9, 100%, $F$9) + CHOOSE(CONTROL!$C$27, 0.0021, 0)</f>
        <v>47.451799999999999</v>
      </c>
      <c r="F435" s="17">
        <f>47.4497 * CHOOSE(CONTROL!$C$9, $D$9, 100%, $F$9) + CHOOSE(CONTROL!$C$27, 0.0021, 0)</f>
        <v>47.451799999999999</v>
      </c>
      <c r="G435" s="17">
        <f>47.7211 * CHOOSE(CONTROL!$C$9, $D$9, 100%, $F$9) + CHOOSE(CONTROL!$C$27, 0.0021, 0)</f>
        <v>47.723199999999999</v>
      </c>
      <c r="H435" s="17">
        <f>47.5864 * CHOOSE(CONTROL!$C$9, $D$9, 100%, $F$9) + CHOOSE(CONTROL!$C$27, 0.0021, 0)</f>
        <v>47.588499999999996</v>
      </c>
      <c r="I435" s="17">
        <f>47.5864 * CHOOSE(CONTROL!$C$9, $D$9, 100%, $F$9) + CHOOSE(CONTROL!$C$27, 0.0021, 0)</f>
        <v>47.588499999999996</v>
      </c>
      <c r="J435" s="17">
        <f>47.5864 * CHOOSE(CONTROL!$C$9, $D$9, 100%, $F$9) + CHOOSE(CONTROL!$C$27, 0.0021, 0)</f>
        <v>47.588499999999996</v>
      </c>
      <c r="K435" s="17">
        <f>47.5864 * CHOOSE(CONTROL!$C$9, $D$9, 100%, $F$9) + CHOOSE(CONTROL!$C$27, 0.0021, 0)</f>
        <v>47.588499999999996</v>
      </c>
      <c r="L435" s="17"/>
    </row>
    <row r="436" spans="1:12" ht="15.75" x14ac:dyDescent="0.25">
      <c r="A436" s="14">
        <v>54209</v>
      </c>
      <c r="B436" s="17">
        <f>48.9789 * CHOOSE(CONTROL!$C$9, $D$9, 100%, $F$9) + CHOOSE(CONTROL!$C$27, 0.0021, 0)</f>
        <v>48.981000000000002</v>
      </c>
      <c r="C436" s="17">
        <f>48.5466 * CHOOSE(CONTROL!$C$9, $D$9, 100%, $F$9) + CHOOSE(CONTROL!$C$27, 0.0021, 0)</f>
        <v>48.548699999999997</v>
      </c>
      <c r="D436" s="17">
        <f>48.5466 * CHOOSE(CONTROL!$C$9, $D$9, 100%, $F$9) + CHOOSE(CONTROL!$C$27, 0.0021, 0)</f>
        <v>48.548699999999997</v>
      </c>
      <c r="E436" s="17">
        <f>48.41 * CHOOSE(CONTROL!$C$9, $D$9, 100%, $F$9) + CHOOSE(CONTROL!$C$27, 0.0021, 0)</f>
        <v>48.412099999999995</v>
      </c>
      <c r="F436" s="17">
        <f>48.41 * CHOOSE(CONTROL!$C$9, $D$9, 100%, $F$9) + CHOOSE(CONTROL!$C$27, 0.0021, 0)</f>
        <v>48.412099999999995</v>
      </c>
      <c r="G436" s="17">
        <f>48.6814 * CHOOSE(CONTROL!$C$9, $D$9, 100%, $F$9) + CHOOSE(CONTROL!$C$27, 0.0021, 0)</f>
        <v>48.683499999999995</v>
      </c>
      <c r="H436" s="17">
        <f>48.5466 * CHOOSE(CONTROL!$C$9, $D$9, 100%, $F$9) + CHOOSE(CONTROL!$C$27, 0.0021, 0)</f>
        <v>48.548699999999997</v>
      </c>
      <c r="I436" s="17">
        <f>48.5466 * CHOOSE(CONTROL!$C$9, $D$9, 100%, $F$9) + CHOOSE(CONTROL!$C$27, 0.0021, 0)</f>
        <v>48.548699999999997</v>
      </c>
      <c r="J436" s="17">
        <f>48.5466 * CHOOSE(CONTROL!$C$9, $D$9, 100%, $F$9) + CHOOSE(CONTROL!$C$27, 0.0021, 0)</f>
        <v>48.548699999999997</v>
      </c>
      <c r="K436" s="17">
        <f>48.5466 * CHOOSE(CONTROL!$C$9, $D$9, 100%, $F$9) + CHOOSE(CONTROL!$C$27, 0.0021, 0)</f>
        <v>48.548699999999997</v>
      </c>
      <c r="L436" s="17"/>
    </row>
    <row r="437" spans="1:12" ht="15.75" x14ac:dyDescent="0.25">
      <c r="A437" s="14">
        <v>54239</v>
      </c>
      <c r="B437" s="17">
        <f>49.5541 * CHOOSE(CONTROL!$C$9, $D$9, 100%, $F$9) + CHOOSE(CONTROL!$C$27, 0.0021, 0)</f>
        <v>49.556199999999997</v>
      </c>
      <c r="C437" s="17">
        <f>49.1218 * CHOOSE(CONTROL!$C$9, $D$9, 100%, $F$9) + CHOOSE(CONTROL!$C$27, 0.0021, 0)</f>
        <v>49.123899999999999</v>
      </c>
      <c r="D437" s="17">
        <f>49.1218 * CHOOSE(CONTROL!$C$9, $D$9, 100%, $F$9) + CHOOSE(CONTROL!$C$27, 0.0021, 0)</f>
        <v>49.123899999999999</v>
      </c>
      <c r="E437" s="17">
        <f>48.9852 * CHOOSE(CONTROL!$C$9, $D$9, 100%, $F$9) + CHOOSE(CONTROL!$C$27, 0.0021, 0)</f>
        <v>48.987299999999998</v>
      </c>
      <c r="F437" s="17">
        <f>48.9852 * CHOOSE(CONTROL!$C$9, $D$9, 100%, $F$9) + CHOOSE(CONTROL!$C$27, 0.0021, 0)</f>
        <v>48.987299999999998</v>
      </c>
      <c r="G437" s="17">
        <f>49.2565 * CHOOSE(CONTROL!$C$9, $D$9, 100%, $F$9) + CHOOSE(CONTROL!$C$27, 0.0021, 0)</f>
        <v>49.258600000000001</v>
      </c>
      <c r="H437" s="17">
        <f>49.1218 * CHOOSE(CONTROL!$C$9, $D$9, 100%, $F$9) + CHOOSE(CONTROL!$C$27, 0.0021, 0)</f>
        <v>49.123899999999999</v>
      </c>
      <c r="I437" s="17">
        <f>49.1218 * CHOOSE(CONTROL!$C$9, $D$9, 100%, $F$9) + CHOOSE(CONTROL!$C$27, 0.0021, 0)</f>
        <v>49.123899999999999</v>
      </c>
      <c r="J437" s="17">
        <f>49.1218 * CHOOSE(CONTROL!$C$9, $D$9, 100%, $F$9) + CHOOSE(CONTROL!$C$27, 0.0021, 0)</f>
        <v>49.123899999999999</v>
      </c>
      <c r="K437" s="17">
        <f>49.1218 * CHOOSE(CONTROL!$C$9, $D$9, 100%, $F$9) + CHOOSE(CONTROL!$C$27, 0.0021, 0)</f>
        <v>49.123899999999999</v>
      </c>
      <c r="L437" s="17"/>
    </row>
    <row r="438" spans="1:12" ht="15.75" x14ac:dyDescent="0.25">
      <c r="A438" s="14">
        <v>54270</v>
      </c>
      <c r="B438" s="17">
        <f>50.5029 * CHOOSE(CONTROL!$C$9, $D$9, 100%, $F$9) + CHOOSE(CONTROL!$C$27, 0.0021, 0)</f>
        <v>50.504999999999995</v>
      </c>
      <c r="C438" s="17">
        <f>50.0706 * CHOOSE(CONTROL!$C$9, $D$9, 100%, $F$9) + CHOOSE(CONTROL!$C$27, 0.0021, 0)</f>
        <v>50.072699999999998</v>
      </c>
      <c r="D438" s="17">
        <f>50.0706 * CHOOSE(CONTROL!$C$9, $D$9, 100%, $F$9) + CHOOSE(CONTROL!$C$27, 0.0021, 0)</f>
        <v>50.072699999999998</v>
      </c>
      <c r="E438" s="17">
        <f>49.934 * CHOOSE(CONTROL!$C$9, $D$9, 100%, $F$9) + CHOOSE(CONTROL!$C$27, 0.0021, 0)</f>
        <v>49.936099999999996</v>
      </c>
      <c r="F438" s="17">
        <f>49.934 * CHOOSE(CONTROL!$C$9, $D$9, 100%, $F$9) + CHOOSE(CONTROL!$C$27, 0.0021, 0)</f>
        <v>49.936099999999996</v>
      </c>
      <c r="G438" s="17">
        <f>50.2053 * CHOOSE(CONTROL!$C$9, $D$9, 100%, $F$9) + CHOOSE(CONTROL!$C$27, 0.0021, 0)</f>
        <v>50.2074</v>
      </c>
      <c r="H438" s="17">
        <f>50.0706 * CHOOSE(CONTROL!$C$9, $D$9, 100%, $F$9) + CHOOSE(CONTROL!$C$27, 0.0021, 0)</f>
        <v>50.072699999999998</v>
      </c>
      <c r="I438" s="17">
        <f>50.0706 * CHOOSE(CONTROL!$C$9, $D$9, 100%, $F$9) + CHOOSE(CONTROL!$C$27, 0.0021, 0)</f>
        <v>50.072699999999998</v>
      </c>
      <c r="J438" s="17">
        <f>50.0706 * CHOOSE(CONTROL!$C$9, $D$9, 100%, $F$9) + CHOOSE(CONTROL!$C$27, 0.0021, 0)</f>
        <v>50.072699999999998</v>
      </c>
      <c r="K438" s="17">
        <f>50.0706 * CHOOSE(CONTROL!$C$9, $D$9, 100%, $F$9) + CHOOSE(CONTROL!$C$27, 0.0021, 0)</f>
        <v>50.072699999999998</v>
      </c>
      <c r="L438" s="17"/>
    </row>
    <row r="439" spans="1:12" ht="15.75" x14ac:dyDescent="0.25">
      <c r="A439" s="14">
        <v>54301</v>
      </c>
      <c r="B439" s="17">
        <f>50.7925 * CHOOSE(CONTROL!$C$9, $D$9, 100%, $F$9) + CHOOSE(CONTROL!$C$27, 0.0021, 0)</f>
        <v>50.794599999999996</v>
      </c>
      <c r="C439" s="17">
        <f>50.3602 * CHOOSE(CONTROL!$C$9, $D$9, 100%, $F$9) + CHOOSE(CONTROL!$C$27, 0.0021, 0)</f>
        <v>50.362299999999998</v>
      </c>
      <c r="D439" s="17">
        <f>50.3602 * CHOOSE(CONTROL!$C$9, $D$9, 100%, $F$9) + CHOOSE(CONTROL!$C$27, 0.0021, 0)</f>
        <v>50.362299999999998</v>
      </c>
      <c r="E439" s="17">
        <f>50.2236 * CHOOSE(CONTROL!$C$9, $D$9, 100%, $F$9) + CHOOSE(CONTROL!$C$27, 0.0021, 0)</f>
        <v>50.225699999999996</v>
      </c>
      <c r="F439" s="17">
        <f>50.2236 * CHOOSE(CONTROL!$C$9, $D$9, 100%, $F$9) + CHOOSE(CONTROL!$C$27, 0.0021, 0)</f>
        <v>50.225699999999996</v>
      </c>
      <c r="G439" s="17">
        <f>50.4949 * CHOOSE(CONTROL!$C$9, $D$9, 100%, $F$9) + CHOOSE(CONTROL!$C$27, 0.0021, 0)</f>
        <v>50.497</v>
      </c>
      <c r="H439" s="17">
        <f>50.3602 * CHOOSE(CONTROL!$C$9, $D$9, 100%, $F$9) + CHOOSE(CONTROL!$C$27, 0.0021, 0)</f>
        <v>50.362299999999998</v>
      </c>
      <c r="I439" s="17">
        <f>50.3602 * CHOOSE(CONTROL!$C$9, $D$9, 100%, $F$9) + CHOOSE(CONTROL!$C$27, 0.0021, 0)</f>
        <v>50.362299999999998</v>
      </c>
      <c r="J439" s="17">
        <f>50.3602 * CHOOSE(CONTROL!$C$9, $D$9, 100%, $F$9) + CHOOSE(CONTROL!$C$27, 0.0021, 0)</f>
        <v>50.362299999999998</v>
      </c>
      <c r="K439" s="17">
        <f>50.3602 * CHOOSE(CONTROL!$C$9, $D$9, 100%, $F$9) + CHOOSE(CONTROL!$C$27, 0.0021, 0)</f>
        <v>50.362299999999998</v>
      </c>
      <c r="L439" s="17"/>
    </row>
    <row r="440" spans="1:12" ht="15.75" x14ac:dyDescent="0.25">
      <c r="A440" s="14">
        <v>54331</v>
      </c>
      <c r="B440" s="17">
        <f>51.7787 * CHOOSE(CONTROL!$C$9, $D$9, 100%, $F$9) + CHOOSE(CONTROL!$C$27, 0.0021, 0)</f>
        <v>51.780799999999999</v>
      </c>
      <c r="C440" s="17">
        <f>51.3465 * CHOOSE(CONTROL!$C$9, $D$9, 100%, $F$9) + CHOOSE(CONTROL!$C$27, 0.0021, 0)</f>
        <v>51.348599999999998</v>
      </c>
      <c r="D440" s="17">
        <f>51.3465 * CHOOSE(CONTROL!$C$9, $D$9, 100%, $F$9) + CHOOSE(CONTROL!$C$27, 0.0021, 0)</f>
        <v>51.348599999999998</v>
      </c>
      <c r="E440" s="17">
        <f>51.2098 * CHOOSE(CONTROL!$C$9, $D$9, 100%, $F$9) + CHOOSE(CONTROL!$C$27, 0.0021, 0)</f>
        <v>51.2119</v>
      </c>
      <c r="F440" s="17">
        <f>51.2098 * CHOOSE(CONTROL!$C$9, $D$9, 100%, $F$9) + CHOOSE(CONTROL!$C$27, 0.0021, 0)</f>
        <v>51.2119</v>
      </c>
      <c r="G440" s="17">
        <f>51.4812 * CHOOSE(CONTROL!$C$9, $D$9, 100%, $F$9) + CHOOSE(CONTROL!$C$27, 0.0021, 0)</f>
        <v>51.4833</v>
      </c>
      <c r="H440" s="17">
        <f>51.3465 * CHOOSE(CONTROL!$C$9, $D$9, 100%, $F$9) + CHOOSE(CONTROL!$C$27, 0.0021, 0)</f>
        <v>51.348599999999998</v>
      </c>
      <c r="I440" s="17">
        <f>51.3465 * CHOOSE(CONTROL!$C$9, $D$9, 100%, $F$9) + CHOOSE(CONTROL!$C$27, 0.0021, 0)</f>
        <v>51.348599999999998</v>
      </c>
      <c r="J440" s="17">
        <f>51.3465 * CHOOSE(CONTROL!$C$9, $D$9, 100%, $F$9) + CHOOSE(CONTROL!$C$27, 0.0021, 0)</f>
        <v>51.348599999999998</v>
      </c>
      <c r="K440" s="17">
        <f>51.3465 * CHOOSE(CONTROL!$C$9, $D$9, 100%, $F$9) + CHOOSE(CONTROL!$C$27, 0.0021, 0)</f>
        <v>51.348599999999998</v>
      </c>
      <c r="L440" s="17"/>
    </row>
    <row r="441" spans="1:12" ht="15.75" x14ac:dyDescent="0.25">
      <c r="A441" s="14">
        <v>54362</v>
      </c>
      <c r="B441" s="17">
        <f>53.0271 * CHOOSE(CONTROL!$C$9, $D$9, 100%, $F$9) + CHOOSE(CONTROL!$C$27, 0.0021, 0)</f>
        <v>53.029199999999996</v>
      </c>
      <c r="C441" s="17">
        <f>52.5949 * CHOOSE(CONTROL!$C$9, $D$9, 100%, $F$9) + CHOOSE(CONTROL!$C$27, 0.0021, 0)</f>
        <v>52.597000000000001</v>
      </c>
      <c r="D441" s="17">
        <f>52.5949 * CHOOSE(CONTROL!$C$9, $D$9, 100%, $F$9) + CHOOSE(CONTROL!$C$27, 0.0021, 0)</f>
        <v>52.597000000000001</v>
      </c>
      <c r="E441" s="17">
        <f>52.4582 * CHOOSE(CONTROL!$C$9, $D$9, 100%, $F$9) + CHOOSE(CONTROL!$C$27, 0.0021, 0)</f>
        <v>52.460299999999997</v>
      </c>
      <c r="F441" s="17">
        <f>52.4582 * CHOOSE(CONTROL!$C$9, $D$9, 100%, $F$9) + CHOOSE(CONTROL!$C$27, 0.0021, 0)</f>
        <v>52.460299999999997</v>
      </c>
      <c r="G441" s="17">
        <f>52.7296 * CHOOSE(CONTROL!$C$9, $D$9, 100%, $F$9) + CHOOSE(CONTROL!$C$27, 0.0021, 0)</f>
        <v>52.731699999999996</v>
      </c>
      <c r="H441" s="17">
        <f>52.5949 * CHOOSE(CONTROL!$C$9, $D$9, 100%, $F$9) + CHOOSE(CONTROL!$C$27, 0.0021, 0)</f>
        <v>52.597000000000001</v>
      </c>
      <c r="I441" s="17">
        <f>52.5949 * CHOOSE(CONTROL!$C$9, $D$9, 100%, $F$9) + CHOOSE(CONTROL!$C$27, 0.0021, 0)</f>
        <v>52.597000000000001</v>
      </c>
      <c r="J441" s="17">
        <f>52.5949 * CHOOSE(CONTROL!$C$9, $D$9, 100%, $F$9) + CHOOSE(CONTROL!$C$27, 0.0021, 0)</f>
        <v>52.597000000000001</v>
      </c>
      <c r="K441" s="17">
        <f>52.5949 * CHOOSE(CONTROL!$C$9, $D$9, 100%, $F$9) + CHOOSE(CONTROL!$C$27, 0.0021, 0)</f>
        <v>52.597000000000001</v>
      </c>
      <c r="L441" s="17"/>
    </row>
    <row r="442" spans="1:12" ht="15.75" x14ac:dyDescent="0.25">
      <c r="A442" s="14">
        <v>54392</v>
      </c>
      <c r="B442" s="17">
        <f>53.1443 * CHOOSE(CONTROL!$C$9, $D$9, 100%, $F$9) + CHOOSE(CONTROL!$C$27, 0.0021, 0)</f>
        <v>53.1464</v>
      </c>
      <c r="C442" s="17">
        <f>52.7121 * CHOOSE(CONTROL!$C$9, $D$9, 100%, $F$9) + CHOOSE(CONTROL!$C$27, 0.0021, 0)</f>
        <v>52.714199999999998</v>
      </c>
      <c r="D442" s="17">
        <f>52.7121 * CHOOSE(CONTROL!$C$9, $D$9, 100%, $F$9) + CHOOSE(CONTROL!$C$27, 0.0021, 0)</f>
        <v>52.714199999999998</v>
      </c>
      <c r="E442" s="17">
        <f>52.5754 * CHOOSE(CONTROL!$C$9, $D$9, 100%, $F$9) + CHOOSE(CONTROL!$C$27, 0.0021, 0)</f>
        <v>52.577500000000001</v>
      </c>
      <c r="F442" s="17">
        <f>52.5754 * CHOOSE(CONTROL!$C$9, $D$9, 100%, $F$9) + CHOOSE(CONTROL!$C$27, 0.0021, 0)</f>
        <v>52.577500000000001</v>
      </c>
      <c r="G442" s="17">
        <f>52.8468 * CHOOSE(CONTROL!$C$9, $D$9, 100%, $F$9) + CHOOSE(CONTROL!$C$27, 0.0021, 0)</f>
        <v>52.8489</v>
      </c>
      <c r="H442" s="17">
        <f>52.7121 * CHOOSE(CONTROL!$C$9, $D$9, 100%, $F$9) + CHOOSE(CONTROL!$C$27, 0.0021, 0)</f>
        <v>52.714199999999998</v>
      </c>
      <c r="I442" s="17">
        <f>52.7121 * CHOOSE(CONTROL!$C$9, $D$9, 100%, $F$9) + CHOOSE(CONTROL!$C$27, 0.0021, 0)</f>
        <v>52.714199999999998</v>
      </c>
      <c r="J442" s="17">
        <f>52.7121 * CHOOSE(CONTROL!$C$9, $D$9, 100%, $F$9) + CHOOSE(CONTROL!$C$27, 0.0021, 0)</f>
        <v>52.714199999999998</v>
      </c>
      <c r="K442" s="17">
        <f>52.7121 * CHOOSE(CONTROL!$C$9, $D$9, 100%, $F$9) + CHOOSE(CONTROL!$C$27, 0.0021, 0)</f>
        <v>52.714199999999998</v>
      </c>
      <c r="L442" s="17"/>
    </row>
    <row r="443" spans="1:12" ht="15.75" x14ac:dyDescent="0.25">
      <c r="A443" s="14">
        <v>54423</v>
      </c>
      <c r="B443" s="17">
        <f>52.1473 * CHOOSE(CONTROL!$C$9, $D$9, 100%, $F$9) + CHOOSE(CONTROL!$C$27, 0.0021, 0)</f>
        <v>52.1494</v>
      </c>
      <c r="C443" s="17">
        <f>51.715 * CHOOSE(CONTROL!$C$9, $D$9, 100%, $F$9) + CHOOSE(CONTROL!$C$27, 0.0021, 0)</f>
        <v>51.717100000000002</v>
      </c>
      <c r="D443" s="17">
        <f>51.715 * CHOOSE(CONTROL!$C$9, $D$9, 100%, $F$9) + CHOOSE(CONTROL!$C$27, 0.0021, 0)</f>
        <v>51.717100000000002</v>
      </c>
      <c r="E443" s="17">
        <f>51.5784 * CHOOSE(CONTROL!$C$9, $D$9, 100%, $F$9) + CHOOSE(CONTROL!$C$27, 0.0021, 0)</f>
        <v>51.580500000000001</v>
      </c>
      <c r="F443" s="17">
        <f>51.5784 * CHOOSE(CONTROL!$C$9, $D$9, 100%, $F$9) + CHOOSE(CONTROL!$C$27, 0.0021, 0)</f>
        <v>51.580500000000001</v>
      </c>
      <c r="G443" s="17">
        <f>51.8497 * CHOOSE(CONTROL!$C$9, $D$9, 100%, $F$9) + CHOOSE(CONTROL!$C$27, 0.0021, 0)</f>
        <v>51.851799999999997</v>
      </c>
      <c r="H443" s="17">
        <f>51.715 * CHOOSE(CONTROL!$C$9, $D$9, 100%, $F$9) + CHOOSE(CONTROL!$C$27, 0.0021, 0)</f>
        <v>51.717100000000002</v>
      </c>
      <c r="I443" s="17">
        <f>51.715 * CHOOSE(CONTROL!$C$9, $D$9, 100%, $F$9) + CHOOSE(CONTROL!$C$27, 0.0021, 0)</f>
        <v>51.717100000000002</v>
      </c>
      <c r="J443" s="17">
        <f>51.715 * CHOOSE(CONTROL!$C$9, $D$9, 100%, $F$9) + CHOOSE(CONTROL!$C$27, 0.0021, 0)</f>
        <v>51.717100000000002</v>
      </c>
      <c r="K443" s="17">
        <f>51.715 * CHOOSE(CONTROL!$C$9, $D$9, 100%, $F$9) + CHOOSE(CONTROL!$C$27, 0.0021, 0)</f>
        <v>51.717100000000002</v>
      </c>
      <c r="L443" s="17"/>
    </row>
    <row r="444" spans="1:12" ht="15.75" x14ac:dyDescent="0.25">
      <c r="A444" s="14">
        <v>54454</v>
      </c>
      <c r="B444" s="17">
        <f>51.517 * CHOOSE(CONTROL!$C$9, $D$9, 100%, $F$9) + CHOOSE(CONTROL!$C$27, 0.0021, 0)</f>
        <v>51.519100000000002</v>
      </c>
      <c r="C444" s="17">
        <f>51.0848 * CHOOSE(CONTROL!$C$9, $D$9, 100%, $F$9) + CHOOSE(CONTROL!$C$27, 0.0021, 0)</f>
        <v>51.0869</v>
      </c>
      <c r="D444" s="17">
        <f>51.0848 * CHOOSE(CONTROL!$C$9, $D$9, 100%, $F$9) + CHOOSE(CONTROL!$C$27, 0.0021, 0)</f>
        <v>51.0869</v>
      </c>
      <c r="E444" s="17">
        <f>50.9481 * CHOOSE(CONTROL!$C$9, $D$9, 100%, $F$9) + CHOOSE(CONTROL!$C$27, 0.0021, 0)</f>
        <v>50.950199999999995</v>
      </c>
      <c r="F444" s="17">
        <f>50.9481 * CHOOSE(CONTROL!$C$9, $D$9, 100%, $F$9) + CHOOSE(CONTROL!$C$27, 0.0021, 0)</f>
        <v>50.950199999999995</v>
      </c>
      <c r="G444" s="17">
        <f>51.2195 * CHOOSE(CONTROL!$C$9, $D$9, 100%, $F$9) + CHOOSE(CONTROL!$C$27, 0.0021, 0)</f>
        <v>51.221599999999995</v>
      </c>
      <c r="H444" s="17">
        <f>51.0848 * CHOOSE(CONTROL!$C$9, $D$9, 100%, $F$9) + CHOOSE(CONTROL!$C$27, 0.0021, 0)</f>
        <v>51.0869</v>
      </c>
      <c r="I444" s="17">
        <f>51.0848 * CHOOSE(CONTROL!$C$9, $D$9, 100%, $F$9) + CHOOSE(CONTROL!$C$27, 0.0021, 0)</f>
        <v>51.0869</v>
      </c>
      <c r="J444" s="17">
        <f>51.0848 * CHOOSE(CONTROL!$C$9, $D$9, 100%, $F$9) + CHOOSE(CONTROL!$C$27, 0.0021, 0)</f>
        <v>51.0869</v>
      </c>
      <c r="K444" s="17">
        <f>51.0848 * CHOOSE(CONTROL!$C$9, $D$9, 100%, $F$9) + CHOOSE(CONTROL!$C$27, 0.0021, 0)</f>
        <v>51.0869</v>
      </c>
      <c r="L444" s="17"/>
    </row>
    <row r="445" spans="1:12" ht="15.75" x14ac:dyDescent="0.25">
      <c r="A445" s="14">
        <v>54482</v>
      </c>
      <c r="B445" s="17">
        <f>50.1247 * CHOOSE(CONTROL!$C$9, $D$9, 100%, $F$9) + CHOOSE(CONTROL!$C$27, 0.0021, 0)</f>
        <v>50.126799999999996</v>
      </c>
      <c r="C445" s="17">
        <f>49.6925 * CHOOSE(CONTROL!$C$9, $D$9, 100%, $F$9) + CHOOSE(CONTROL!$C$27, 0.0021, 0)</f>
        <v>49.694600000000001</v>
      </c>
      <c r="D445" s="17">
        <f>49.6925 * CHOOSE(CONTROL!$C$9, $D$9, 100%, $F$9) + CHOOSE(CONTROL!$C$27, 0.0021, 0)</f>
        <v>49.694600000000001</v>
      </c>
      <c r="E445" s="17">
        <f>49.5558 * CHOOSE(CONTROL!$C$9, $D$9, 100%, $F$9) + CHOOSE(CONTROL!$C$27, 0.0021, 0)</f>
        <v>49.557899999999997</v>
      </c>
      <c r="F445" s="17">
        <f>49.5558 * CHOOSE(CONTROL!$C$9, $D$9, 100%, $F$9) + CHOOSE(CONTROL!$C$27, 0.0021, 0)</f>
        <v>49.557899999999997</v>
      </c>
      <c r="G445" s="17">
        <f>49.8272 * CHOOSE(CONTROL!$C$9, $D$9, 100%, $F$9) + CHOOSE(CONTROL!$C$27, 0.0021, 0)</f>
        <v>49.829299999999996</v>
      </c>
      <c r="H445" s="17">
        <f>49.6925 * CHOOSE(CONTROL!$C$9, $D$9, 100%, $F$9) + CHOOSE(CONTROL!$C$27, 0.0021, 0)</f>
        <v>49.694600000000001</v>
      </c>
      <c r="I445" s="17">
        <f>49.6925 * CHOOSE(CONTROL!$C$9, $D$9, 100%, $F$9) + CHOOSE(CONTROL!$C$27, 0.0021, 0)</f>
        <v>49.694600000000001</v>
      </c>
      <c r="J445" s="17">
        <f>49.6925 * CHOOSE(CONTROL!$C$9, $D$9, 100%, $F$9) + CHOOSE(CONTROL!$C$27, 0.0021, 0)</f>
        <v>49.694600000000001</v>
      </c>
      <c r="K445" s="17">
        <f>49.6925 * CHOOSE(CONTROL!$C$9, $D$9, 100%, $F$9) + CHOOSE(CONTROL!$C$27, 0.0021, 0)</f>
        <v>49.694600000000001</v>
      </c>
      <c r="L445" s="17"/>
    </row>
    <row r="446" spans="1:12" ht="15.75" x14ac:dyDescent="0.25">
      <c r="A446" s="14">
        <v>54513</v>
      </c>
      <c r="B446" s="17">
        <f>49.55 * CHOOSE(CONTROL!$C$9, $D$9, 100%, $F$9) + CHOOSE(CONTROL!$C$27, 0.0021, 0)</f>
        <v>49.552099999999996</v>
      </c>
      <c r="C446" s="17">
        <f>49.1177 * CHOOSE(CONTROL!$C$9, $D$9, 100%, $F$9) + CHOOSE(CONTROL!$C$27, 0.0021, 0)</f>
        <v>49.119799999999998</v>
      </c>
      <c r="D446" s="17">
        <f>49.1177 * CHOOSE(CONTROL!$C$9, $D$9, 100%, $F$9) + CHOOSE(CONTROL!$C$27, 0.0021, 0)</f>
        <v>49.119799999999998</v>
      </c>
      <c r="E446" s="17">
        <f>48.981 * CHOOSE(CONTROL!$C$9, $D$9, 100%, $F$9) + CHOOSE(CONTROL!$C$27, 0.0021, 0)</f>
        <v>48.9831</v>
      </c>
      <c r="F446" s="17">
        <f>48.981 * CHOOSE(CONTROL!$C$9, $D$9, 100%, $F$9) + CHOOSE(CONTROL!$C$27, 0.0021, 0)</f>
        <v>48.9831</v>
      </c>
      <c r="G446" s="17">
        <f>49.2524 * CHOOSE(CONTROL!$C$9, $D$9, 100%, $F$9) + CHOOSE(CONTROL!$C$27, 0.0021, 0)</f>
        <v>49.2545</v>
      </c>
      <c r="H446" s="17">
        <f>49.1177 * CHOOSE(CONTROL!$C$9, $D$9, 100%, $F$9) + CHOOSE(CONTROL!$C$27, 0.0021, 0)</f>
        <v>49.119799999999998</v>
      </c>
      <c r="I446" s="17">
        <f>49.1177 * CHOOSE(CONTROL!$C$9, $D$9, 100%, $F$9) + CHOOSE(CONTROL!$C$27, 0.0021, 0)</f>
        <v>49.119799999999998</v>
      </c>
      <c r="J446" s="17">
        <f>49.1177 * CHOOSE(CONTROL!$C$9, $D$9, 100%, $F$9) + CHOOSE(CONTROL!$C$27, 0.0021, 0)</f>
        <v>49.119799999999998</v>
      </c>
      <c r="K446" s="17">
        <f>49.1177 * CHOOSE(CONTROL!$C$9, $D$9, 100%, $F$9) + CHOOSE(CONTROL!$C$27, 0.0021, 0)</f>
        <v>49.119799999999998</v>
      </c>
      <c r="L446" s="17"/>
    </row>
    <row r="447" spans="1:12" ht="15.75" x14ac:dyDescent="0.25">
      <c r="A447" s="14">
        <v>54543</v>
      </c>
      <c r="B447" s="17">
        <f>48.8637 * CHOOSE(CONTROL!$C$9, $D$9, 100%, $F$9) + CHOOSE(CONTROL!$C$27, 0.0021, 0)</f>
        <v>48.8658</v>
      </c>
      <c r="C447" s="17">
        <f>48.4314 * CHOOSE(CONTROL!$C$9, $D$9, 100%, $F$9) + CHOOSE(CONTROL!$C$27, 0.0021, 0)</f>
        <v>48.433499999999995</v>
      </c>
      <c r="D447" s="17">
        <f>48.4314 * CHOOSE(CONTROL!$C$9, $D$9, 100%, $F$9) + CHOOSE(CONTROL!$C$27, 0.0021, 0)</f>
        <v>48.433499999999995</v>
      </c>
      <c r="E447" s="17">
        <f>48.2948 * CHOOSE(CONTROL!$C$9, $D$9, 100%, $F$9) + CHOOSE(CONTROL!$C$27, 0.0021, 0)</f>
        <v>48.296900000000001</v>
      </c>
      <c r="F447" s="17">
        <f>48.2948 * CHOOSE(CONTROL!$C$9, $D$9, 100%, $F$9) + CHOOSE(CONTROL!$C$27, 0.0021, 0)</f>
        <v>48.296900000000001</v>
      </c>
      <c r="G447" s="17">
        <f>48.5661 * CHOOSE(CONTROL!$C$9, $D$9, 100%, $F$9) + CHOOSE(CONTROL!$C$27, 0.0021, 0)</f>
        <v>48.568199999999997</v>
      </c>
      <c r="H447" s="17">
        <f>48.4314 * CHOOSE(CONTROL!$C$9, $D$9, 100%, $F$9) + CHOOSE(CONTROL!$C$27, 0.0021, 0)</f>
        <v>48.433499999999995</v>
      </c>
      <c r="I447" s="17">
        <f>48.4314 * CHOOSE(CONTROL!$C$9, $D$9, 100%, $F$9) + CHOOSE(CONTROL!$C$27, 0.0021, 0)</f>
        <v>48.433499999999995</v>
      </c>
      <c r="J447" s="17">
        <f>48.4314 * CHOOSE(CONTROL!$C$9, $D$9, 100%, $F$9) + CHOOSE(CONTROL!$C$27, 0.0021, 0)</f>
        <v>48.433499999999995</v>
      </c>
      <c r="K447" s="17">
        <f>48.4314 * CHOOSE(CONTROL!$C$9, $D$9, 100%, $F$9) + CHOOSE(CONTROL!$C$27, 0.0021, 0)</f>
        <v>48.433499999999995</v>
      </c>
      <c r="L447" s="17"/>
    </row>
    <row r="448" spans="1:12" ht="15.75" x14ac:dyDescent="0.25">
      <c r="A448" s="14">
        <v>54574</v>
      </c>
      <c r="B448" s="17">
        <f>49.8417 * CHOOSE(CONTROL!$C$9, $D$9, 100%, $F$9) + CHOOSE(CONTROL!$C$27, 0.0021, 0)</f>
        <v>49.843800000000002</v>
      </c>
      <c r="C448" s="17">
        <f>49.4095 * CHOOSE(CONTROL!$C$9, $D$9, 100%, $F$9) + CHOOSE(CONTROL!$C$27, 0.0021, 0)</f>
        <v>49.4116</v>
      </c>
      <c r="D448" s="17">
        <f>49.4095 * CHOOSE(CONTROL!$C$9, $D$9, 100%, $F$9) + CHOOSE(CONTROL!$C$27, 0.0021, 0)</f>
        <v>49.4116</v>
      </c>
      <c r="E448" s="17">
        <f>49.2728 * CHOOSE(CONTROL!$C$9, $D$9, 100%, $F$9) + CHOOSE(CONTROL!$C$27, 0.0021, 0)</f>
        <v>49.274899999999995</v>
      </c>
      <c r="F448" s="17">
        <f>49.2728 * CHOOSE(CONTROL!$C$9, $D$9, 100%, $F$9) + CHOOSE(CONTROL!$C$27, 0.0021, 0)</f>
        <v>49.274899999999995</v>
      </c>
      <c r="G448" s="17">
        <f>49.5442 * CHOOSE(CONTROL!$C$9, $D$9, 100%, $F$9) + CHOOSE(CONTROL!$C$27, 0.0021, 0)</f>
        <v>49.546299999999995</v>
      </c>
      <c r="H448" s="17">
        <f>49.4095 * CHOOSE(CONTROL!$C$9, $D$9, 100%, $F$9) + CHOOSE(CONTROL!$C$27, 0.0021, 0)</f>
        <v>49.4116</v>
      </c>
      <c r="I448" s="17">
        <f>49.4095 * CHOOSE(CONTROL!$C$9, $D$9, 100%, $F$9) + CHOOSE(CONTROL!$C$27, 0.0021, 0)</f>
        <v>49.4116</v>
      </c>
      <c r="J448" s="17">
        <f>49.4095 * CHOOSE(CONTROL!$C$9, $D$9, 100%, $F$9) + CHOOSE(CONTROL!$C$27, 0.0021, 0)</f>
        <v>49.4116</v>
      </c>
      <c r="K448" s="17">
        <f>49.4095 * CHOOSE(CONTROL!$C$9, $D$9, 100%, $F$9) + CHOOSE(CONTROL!$C$27, 0.0021, 0)</f>
        <v>49.4116</v>
      </c>
      <c r="L448" s="17"/>
    </row>
    <row r="449" spans="1:12" ht="15.75" x14ac:dyDescent="0.25">
      <c r="A449" s="14">
        <v>54604</v>
      </c>
      <c r="B449" s="17">
        <f>50.4275 * CHOOSE(CONTROL!$C$9, $D$9, 100%, $F$9) + CHOOSE(CONTROL!$C$27, 0.0021, 0)</f>
        <v>50.429600000000001</v>
      </c>
      <c r="C449" s="17">
        <f>49.9952 * CHOOSE(CONTROL!$C$9, $D$9, 100%, $F$9) + CHOOSE(CONTROL!$C$27, 0.0021, 0)</f>
        <v>49.997299999999996</v>
      </c>
      <c r="D449" s="17">
        <f>49.9952 * CHOOSE(CONTROL!$C$9, $D$9, 100%, $F$9) + CHOOSE(CONTROL!$C$27, 0.0021, 0)</f>
        <v>49.997299999999996</v>
      </c>
      <c r="E449" s="17">
        <f>49.8586 * CHOOSE(CONTROL!$C$9, $D$9, 100%, $F$9) + CHOOSE(CONTROL!$C$27, 0.0021, 0)</f>
        <v>49.860700000000001</v>
      </c>
      <c r="F449" s="17">
        <f>49.8586 * CHOOSE(CONTROL!$C$9, $D$9, 100%, $F$9) + CHOOSE(CONTROL!$C$27, 0.0021, 0)</f>
        <v>49.860700000000001</v>
      </c>
      <c r="G449" s="17">
        <f>50.13 * CHOOSE(CONTROL!$C$9, $D$9, 100%, $F$9) + CHOOSE(CONTROL!$C$27, 0.0021, 0)</f>
        <v>50.132100000000001</v>
      </c>
      <c r="H449" s="17">
        <f>49.9952 * CHOOSE(CONTROL!$C$9, $D$9, 100%, $F$9) + CHOOSE(CONTROL!$C$27, 0.0021, 0)</f>
        <v>49.997299999999996</v>
      </c>
      <c r="I449" s="17">
        <f>49.9952 * CHOOSE(CONTROL!$C$9, $D$9, 100%, $F$9) + CHOOSE(CONTROL!$C$27, 0.0021, 0)</f>
        <v>49.997299999999996</v>
      </c>
      <c r="J449" s="17">
        <f>49.9952 * CHOOSE(CONTROL!$C$9, $D$9, 100%, $F$9) + CHOOSE(CONTROL!$C$27, 0.0021, 0)</f>
        <v>49.997299999999996</v>
      </c>
      <c r="K449" s="17">
        <f>49.9952 * CHOOSE(CONTROL!$C$9, $D$9, 100%, $F$9) + CHOOSE(CONTROL!$C$27, 0.0021, 0)</f>
        <v>49.997299999999996</v>
      </c>
      <c r="L449" s="17"/>
    </row>
    <row r="450" spans="1:12" ht="15.75" x14ac:dyDescent="0.25">
      <c r="A450" s="14">
        <v>54635</v>
      </c>
      <c r="B450" s="17">
        <f>51.3938 * CHOOSE(CONTROL!$C$9, $D$9, 100%, $F$9) + CHOOSE(CONTROL!$C$27, 0.0021, 0)</f>
        <v>51.395899999999997</v>
      </c>
      <c r="C450" s="17">
        <f>50.9616 * CHOOSE(CONTROL!$C$9, $D$9, 100%, $F$9) + CHOOSE(CONTROL!$C$27, 0.0021, 0)</f>
        <v>50.963699999999996</v>
      </c>
      <c r="D450" s="17">
        <f>50.9616 * CHOOSE(CONTROL!$C$9, $D$9, 100%, $F$9) + CHOOSE(CONTROL!$C$27, 0.0021, 0)</f>
        <v>50.963699999999996</v>
      </c>
      <c r="E450" s="17">
        <f>50.8249 * CHOOSE(CONTROL!$C$9, $D$9, 100%, $F$9) + CHOOSE(CONTROL!$C$27, 0.0021, 0)</f>
        <v>50.826999999999998</v>
      </c>
      <c r="F450" s="17">
        <f>50.8249 * CHOOSE(CONTROL!$C$9, $D$9, 100%, $F$9) + CHOOSE(CONTROL!$C$27, 0.0021, 0)</f>
        <v>50.826999999999998</v>
      </c>
      <c r="G450" s="17">
        <f>51.0963 * CHOOSE(CONTROL!$C$9, $D$9, 100%, $F$9) + CHOOSE(CONTROL!$C$27, 0.0021, 0)</f>
        <v>51.098399999999998</v>
      </c>
      <c r="H450" s="17">
        <f>50.9616 * CHOOSE(CONTROL!$C$9, $D$9, 100%, $F$9) + CHOOSE(CONTROL!$C$27, 0.0021, 0)</f>
        <v>50.963699999999996</v>
      </c>
      <c r="I450" s="17">
        <f>50.9616 * CHOOSE(CONTROL!$C$9, $D$9, 100%, $F$9) + CHOOSE(CONTROL!$C$27, 0.0021, 0)</f>
        <v>50.963699999999996</v>
      </c>
      <c r="J450" s="17">
        <f>50.9616 * CHOOSE(CONTROL!$C$9, $D$9, 100%, $F$9) + CHOOSE(CONTROL!$C$27, 0.0021, 0)</f>
        <v>50.963699999999996</v>
      </c>
      <c r="K450" s="17">
        <f>50.9616 * CHOOSE(CONTROL!$C$9, $D$9, 100%, $F$9) + CHOOSE(CONTROL!$C$27, 0.0021, 0)</f>
        <v>50.963699999999996</v>
      </c>
      <c r="L450" s="17"/>
    </row>
    <row r="451" spans="1:12" ht="15.75" x14ac:dyDescent="0.25">
      <c r="A451" s="14">
        <v>54666</v>
      </c>
      <c r="B451" s="17">
        <f>51.6888 * CHOOSE(CONTROL!$C$9, $D$9, 100%, $F$9) + CHOOSE(CONTROL!$C$27, 0.0021, 0)</f>
        <v>51.690899999999999</v>
      </c>
      <c r="C451" s="17">
        <f>51.2565 * CHOOSE(CONTROL!$C$9, $D$9, 100%, $F$9) + CHOOSE(CONTROL!$C$27, 0.0021, 0)</f>
        <v>51.258600000000001</v>
      </c>
      <c r="D451" s="17">
        <f>51.2565 * CHOOSE(CONTROL!$C$9, $D$9, 100%, $F$9) + CHOOSE(CONTROL!$C$27, 0.0021, 0)</f>
        <v>51.258600000000001</v>
      </c>
      <c r="E451" s="17">
        <f>51.1199 * CHOOSE(CONTROL!$C$9, $D$9, 100%, $F$9) + CHOOSE(CONTROL!$C$27, 0.0021, 0)</f>
        <v>51.122</v>
      </c>
      <c r="F451" s="17">
        <f>51.1199 * CHOOSE(CONTROL!$C$9, $D$9, 100%, $F$9) + CHOOSE(CONTROL!$C$27, 0.0021, 0)</f>
        <v>51.122</v>
      </c>
      <c r="G451" s="17">
        <f>51.3913 * CHOOSE(CONTROL!$C$9, $D$9, 100%, $F$9) + CHOOSE(CONTROL!$C$27, 0.0021, 0)</f>
        <v>51.3934</v>
      </c>
      <c r="H451" s="17">
        <f>51.2565 * CHOOSE(CONTROL!$C$9, $D$9, 100%, $F$9) + CHOOSE(CONTROL!$C$27, 0.0021, 0)</f>
        <v>51.258600000000001</v>
      </c>
      <c r="I451" s="17">
        <f>51.2565 * CHOOSE(CONTROL!$C$9, $D$9, 100%, $F$9) + CHOOSE(CONTROL!$C$27, 0.0021, 0)</f>
        <v>51.258600000000001</v>
      </c>
      <c r="J451" s="17">
        <f>51.2565 * CHOOSE(CONTROL!$C$9, $D$9, 100%, $F$9) + CHOOSE(CONTROL!$C$27, 0.0021, 0)</f>
        <v>51.258600000000001</v>
      </c>
      <c r="K451" s="17">
        <f>51.2565 * CHOOSE(CONTROL!$C$9, $D$9, 100%, $F$9) + CHOOSE(CONTROL!$C$27, 0.0021, 0)</f>
        <v>51.258600000000001</v>
      </c>
      <c r="L451" s="17"/>
    </row>
    <row r="452" spans="1:12" ht="15.75" x14ac:dyDescent="0.25">
      <c r="A452" s="14">
        <v>54696</v>
      </c>
      <c r="B452" s="17">
        <f>52.6933 * CHOOSE(CONTROL!$C$9, $D$9, 100%, $F$9) + CHOOSE(CONTROL!$C$27, 0.0021, 0)</f>
        <v>52.695399999999999</v>
      </c>
      <c r="C452" s="17">
        <f>52.261 * CHOOSE(CONTROL!$C$9, $D$9, 100%, $F$9) + CHOOSE(CONTROL!$C$27, 0.0021, 0)</f>
        <v>52.263100000000001</v>
      </c>
      <c r="D452" s="17">
        <f>52.261 * CHOOSE(CONTROL!$C$9, $D$9, 100%, $F$9) + CHOOSE(CONTROL!$C$27, 0.0021, 0)</f>
        <v>52.263100000000001</v>
      </c>
      <c r="E452" s="17">
        <f>52.1244 * CHOOSE(CONTROL!$C$9, $D$9, 100%, $F$9) + CHOOSE(CONTROL!$C$27, 0.0021, 0)</f>
        <v>52.1265</v>
      </c>
      <c r="F452" s="17">
        <f>52.1244 * CHOOSE(CONTROL!$C$9, $D$9, 100%, $F$9) + CHOOSE(CONTROL!$C$27, 0.0021, 0)</f>
        <v>52.1265</v>
      </c>
      <c r="G452" s="17">
        <f>52.3957 * CHOOSE(CONTROL!$C$9, $D$9, 100%, $F$9) + CHOOSE(CONTROL!$C$27, 0.0021, 0)</f>
        <v>52.397799999999997</v>
      </c>
      <c r="H452" s="17">
        <f>52.261 * CHOOSE(CONTROL!$C$9, $D$9, 100%, $F$9) + CHOOSE(CONTROL!$C$27, 0.0021, 0)</f>
        <v>52.263100000000001</v>
      </c>
      <c r="I452" s="17">
        <f>52.261 * CHOOSE(CONTROL!$C$9, $D$9, 100%, $F$9) + CHOOSE(CONTROL!$C$27, 0.0021, 0)</f>
        <v>52.263100000000001</v>
      </c>
      <c r="J452" s="17">
        <f>52.261 * CHOOSE(CONTROL!$C$9, $D$9, 100%, $F$9) + CHOOSE(CONTROL!$C$27, 0.0021, 0)</f>
        <v>52.263100000000001</v>
      </c>
      <c r="K452" s="17">
        <f>52.261 * CHOOSE(CONTROL!$C$9, $D$9, 100%, $F$9) + CHOOSE(CONTROL!$C$27, 0.0021, 0)</f>
        <v>52.263100000000001</v>
      </c>
      <c r="L452" s="17"/>
    </row>
    <row r="453" spans="1:12" ht="15.75" x14ac:dyDescent="0.25">
      <c r="A453" s="14">
        <v>54727</v>
      </c>
      <c r="B453" s="17">
        <f>53.9648 * CHOOSE(CONTROL!$C$9, $D$9, 100%, $F$9) + CHOOSE(CONTROL!$C$27, 0.0021, 0)</f>
        <v>53.966899999999995</v>
      </c>
      <c r="C453" s="17">
        <f>53.5325 * CHOOSE(CONTROL!$C$9, $D$9, 100%, $F$9) + CHOOSE(CONTROL!$C$27, 0.0021, 0)</f>
        <v>53.534599999999998</v>
      </c>
      <c r="D453" s="17">
        <f>53.5325 * CHOOSE(CONTROL!$C$9, $D$9, 100%, $F$9) + CHOOSE(CONTROL!$C$27, 0.0021, 0)</f>
        <v>53.534599999999998</v>
      </c>
      <c r="E453" s="17">
        <f>53.3959 * CHOOSE(CONTROL!$C$9, $D$9, 100%, $F$9) + CHOOSE(CONTROL!$C$27, 0.0021, 0)</f>
        <v>53.397999999999996</v>
      </c>
      <c r="F453" s="17">
        <f>53.3959 * CHOOSE(CONTROL!$C$9, $D$9, 100%, $F$9) + CHOOSE(CONTROL!$C$27, 0.0021, 0)</f>
        <v>53.397999999999996</v>
      </c>
      <c r="G453" s="17">
        <f>53.6672 * CHOOSE(CONTROL!$C$9, $D$9, 100%, $F$9) + CHOOSE(CONTROL!$C$27, 0.0021, 0)</f>
        <v>53.6693</v>
      </c>
      <c r="H453" s="17">
        <f>53.5325 * CHOOSE(CONTROL!$C$9, $D$9, 100%, $F$9) + CHOOSE(CONTROL!$C$27, 0.0021, 0)</f>
        <v>53.534599999999998</v>
      </c>
      <c r="I453" s="17">
        <f>53.5325 * CHOOSE(CONTROL!$C$9, $D$9, 100%, $F$9) + CHOOSE(CONTROL!$C$27, 0.0021, 0)</f>
        <v>53.534599999999998</v>
      </c>
      <c r="J453" s="17">
        <f>53.5325 * CHOOSE(CONTROL!$C$9, $D$9, 100%, $F$9) + CHOOSE(CONTROL!$C$27, 0.0021, 0)</f>
        <v>53.534599999999998</v>
      </c>
      <c r="K453" s="17">
        <f>53.5325 * CHOOSE(CONTROL!$C$9, $D$9, 100%, $F$9) + CHOOSE(CONTROL!$C$27, 0.0021, 0)</f>
        <v>53.534599999999998</v>
      </c>
      <c r="L453" s="17"/>
    </row>
    <row r="454" spans="1:12" ht="15.75" x14ac:dyDescent="0.25">
      <c r="A454" s="14">
        <v>54757</v>
      </c>
      <c r="B454" s="17">
        <f>54.0841 * CHOOSE(CONTROL!$C$9, $D$9, 100%, $F$9) + CHOOSE(CONTROL!$C$27, 0.0021, 0)</f>
        <v>54.086199999999998</v>
      </c>
      <c r="C454" s="17">
        <f>53.6519 * CHOOSE(CONTROL!$C$9, $D$9, 100%, $F$9) + CHOOSE(CONTROL!$C$27, 0.0021, 0)</f>
        <v>53.653999999999996</v>
      </c>
      <c r="D454" s="17">
        <f>53.6519 * CHOOSE(CONTROL!$C$9, $D$9, 100%, $F$9) + CHOOSE(CONTROL!$C$27, 0.0021, 0)</f>
        <v>53.653999999999996</v>
      </c>
      <c r="E454" s="17">
        <f>53.5152 * CHOOSE(CONTROL!$C$9, $D$9, 100%, $F$9) + CHOOSE(CONTROL!$C$27, 0.0021, 0)</f>
        <v>53.517299999999999</v>
      </c>
      <c r="F454" s="17">
        <f>53.5152 * CHOOSE(CONTROL!$C$9, $D$9, 100%, $F$9) + CHOOSE(CONTROL!$C$27, 0.0021, 0)</f>
        <v>53.517299999999999</v>
      </c>
      <c r="G454" s="17">
        <f>53.7866 * CHOOSE(CONTROL!$C$9, $D$9, 100%, $F$9) + CHOOSE(CONTROL!$C$27, 0.0021, 0)</f>
        <v>53.788699999999999</v>
      </c>
      <c r="H454" s="17">
        <f>53.6519 * CHOOSE(CONTROL!$C$9, $D$9, 100%, $F$9) + CHOOSE(CONTROL!$C$27, 0.0021, 0)</f>
        <v>53.653999999999996</v>
      </c>
      <c r="I454" s="17">
        <f>53.6519 * CHOOSE(CONTROL!$C$9, $D$9, 100%, $F$9) + CHOOSE(CONTROL!$C$27, 0.0021, 0)</f>
        <v>53.653999999999996</v>
      </c>
      <c r="J454" s="17">
        <f>53.6519 * CHOOSE(CONTROL!$C$9, $D$9, 100%, $F$9) + CHOOSE(CONTROL!$C$27, 0.0021, 0)</f>
        <v>53.653999999999996</v>
      </c>
      <c r="K454" s="17">
        <f>53.6519 * CHOOSE(CONTROL!$C$9, $D$9, 100%, $F$9) + CHOOSE(CONTROL!$C$27, 0.0021, 0)</f>
        <v>53.653999999999996</v>
      </c>
      <c r="L454" s="17"/>
    </row>
    <row r="455" spans="1:12" ht="15.75" x14ac:dyDescent="0.25">
      <c r="A455" s="14">
        <v>54788</v>
      </c>
      <c r="B455" s="17">
        <f>53.0686 * CHOOSE(CONTROL!$C$9, $D$9, 100%, $F$9) + CHOOSE(CONTROL!$C$27, 0.0021, 0)</f>
        <v>53.070700000000002</v>
      </c>
      <c r="C455" s="17">
        <f>52.6364 * CHOOSE(CONTROL!$C$9, $D$9, 100%, $F$9) + CHOOSE(CONTROL!$C$27, 0.0021, 0)</f>
        <v>52.638500000000001</v>
      </c>
      <c r="D455" s="17">
        <f>52.6364 * CHOOSE(CONTROL!$C$9, $D$9, 100%, $F$9) + CHOOSE(CONTROL!$C$27, 0.0021, 0)</f>
        <v>52.638500000000001</v>
      </c>
      <c r="E455" s="17">
        <f>52.4997 * CHOOSE(CONTROL!$C$9, $D$9, 100%, $F$9) + CHOOSE(CONTROL!$C$27, 0.0021, 0)</f>
        <v>52.501799999999996</v>
      </c>
      <c r="F455" s="17">
        <f>52.4997 * CHOOSE(CONTROL!$C$9, $D$9, 100%, $F$9) + CHOOSE(CONTROL!$C$27, 0.0021, 0)</f>
        <v>52.501799999999996</v>
      </c>
      <c r="G455" s="17">
        <f>52.7711 * CHOOSE(CONTROL!$C$9, $D$9, 100%, $F$9) + CHOOSE(CONTROL!$C$27, 0.0021, 0)</f>
        <v>52.773199999999996</v>
      </c>
      <c r="H455" s="17">
        <f>52.6364 * CHOOSE(CONTROL!$C$9, $D$9, 100%, $F$9) + CHOOSE(CONTROL!$C$27, 0.0021, 0)</f>
        <v>52.638500000000001</v>
      </c>
      <c r="I455" s="17">
        <f>52.6364 * CHOOSE(CONTROL!$C$9, $D$9, 100%, $F$9) + CHOOSE(CONTROL!$C$27, 0.0021, 0)</f>
        <v>52.638500000000001</v>
      </c>
      <c r="J455" s="17">
        <f>52.6364 * CHOOSE(CONTROL!$C$9, $D$9, 100%, $F$9) + CHOOSE(CONTROL!$C$27, 0.0021, 0)</f>
        <v>52.638500000000001</v>
      </c>
      <c r="K455" s="17">
        <f>52.6364 * CHOOSE(CONTROL!$C$9, $D$9, 100%, $F$9) + CHOOSE(CONTROL!$C$27, 0.0021, 0)</f>
        <v>52.638500000000001</v>
      </c>
      <c r="L455" s="17"/>
    </row>
    <row r="456" spans="1:12" ht="15.75" x14ac:dyDescent="0.25">
      <c r="A456" s="14">
        <v>54819</v>
      </c>
      <c r="B456" s="17">
        <f>52.4268 * CHOOSE(CONTROL!$C$9, $D$9, 100%, $F$9) + CHOOSE(CONTROL!$C$27, 0.0021, 0)</f>
        <v>52.428899999999999</v>
      </c>
      <c r="C456" s="17">
        <f>51.9945 * CHOOSE(CONTROL!$C$9, $D$9, 100%, $F$9) + CHOOSE(CONTROL!$C$27, 0.0021, 0)</f>
        <v>51.996600000000001</v>
      </c>
      <c r="D456" s="17">
        <f>51.9945 * CHOOSE(CONTROL!$C$9, $D$9, 100%, $F$9) + CHOOSE(CONTROL!$C$27, 0.0021, 0)</f>
        <v>51.996600000000001</v>
      </c>
      <c r="E456" s="17">
        <f>51.8579 * CHOOSE(CONTROL!$C$9, $D$9, 100%, $F$9) + CHOOSE(CONTROL!$C$27, 0.0021, 0)</f>
        <v>51.86</v>
      </c>
      <c r="F456" s="17">
        <f>51.8579 * CHOOSE(CONTROL!$C$9, $D$9, 100%, $F$9) + CHOOSE(CONTROL!$C$27, 0.0021, 0)</f>
        <v>51.86</v>
      </c>
      <c r="G456" s="17">
        <f>52.1292 * CHOOSE(CONTROL!$C$9, $D$9, 100%, $F$9) + CHOOSE(CONTROL!$C$27, 0.0021, 0)</f>
        <v>52.131299999999996</v>
      </c>
      <c r="H456" s="17">
        <f>51.9945 * CHOOSE(CONTROL!$C$9, $D$9, 100%, $F$9) + CHOOSE(CONTROL!$C$27, 0.0021, 0)</f>
        <v>51.996600000000001</v>
      </c>
      <c r="I456" s="17">
        <f>51.9945 * CHOOSE(CONTROL!$C$9, $D$9, 100%, $F$9) + CHOOSE(CONTROL!$C$27, 0.0021, 0)</f>
        <v>51.996600000000001</v>
      </c>
      <c r="J456" s="17">
        <f>51.9945 * CHOOSE(CONTROL!$C$9, $D$9, 100%, $F$9) + CHOOSE(CONTROL!$C$27, 0.0021, 0)</f>
        <v>51.996600000000001</v>
      </c>
      <c r="K456" s="17">
        <f>51.9945 * CHOOSE(CONTROL!$C$9, $D$9, 100%, $F$9) + CHOOSE(CONTROL!$C$27, 0.0021, 0)</f>
        <v>51.996600000000001</v>
      </c>
      <c r="L456" s="17"/>
    </row>
    <row r="457" spans="1:12" ht="15.75" x14ac:dyDescent="0.25">
      <c r="A457" s="14">
        <v>54847</v>
      </c>
      <c r="B457" s="17">
        <f>51.0087 * CHOOSE(CONTROL!$C$9, $D$9, 100%, $F$9) + CHOOSE(CONTROL!$C$27, 0.0021, 0)</f>
        <v>51.010799999999996</v>
      </c>
      <c r="C457" s="17">
        <f>50.5764 * CHOOSE(CONTROL!$C$9, $D$9, 100%, $F$9) + CHOOSE(CONTROL!$C$27, 0.0021, 0)</f>
        <v>50.578499999999998</v>
      </c>
      <c r="D457" s="17">
        <f>50.5764 * CHOOSE(CONTROL!$C$9, $D$9, 100%, $F$9) + CHOOSE(CONTROL!$C$27, 0.0021, 0)</f>
        <v>50.578499999999998</v>
      </c>
      <c r="E457" s="17">
        <f>50.4398 * CHOOSE(CONTROL!$C$9, $D$9, 100%, $F$9) + CHOOSE(CONTROL!$C$27, 0.0021, 0)</f>
        <v>50.441899999999997</v>
      </c>
      <c r="F457" s="17">
        <f>50.4398 * CHOOSE(CONTROL!$C$9, $D$9, 100%, $F$9) + CHOOSE(CONTROL!$C$27, 0.0021, 0)</f>
        <v>50.441899999999997</v>
      </c>
      <c r="G457" s="17">
        <f>50.7112 * CHOOSE(CONTROL!$C$9, $D$9, 100%, $F$9) + CHOOSE(CONTROL!$C$27, 0.0021, 0)</f>
        <v>50.713299999999997</v>
      </c>
      <c r="H457" s="17">
        <f>50.5764 * CHOOSE(CONTROL!$C$9, $D$9, 100%, $F$9) + CHOOSE(CONTROL!$C$27, 0.0021, 0)</f>
        <v>50.578499999999998</v>
      </c>
      <c r="I457" s="17">
        <f>50.5764 * CHOOSE(CONTROL!$C$9, $D$9, 100%, $F$9) + CHOOSE(CONTROL!$C$27, 0.0021, 0)</f>
        <v>50.578499999999998</v>
      </c>
      <c r="J457" s="17">
        <f>50.5764 * CHOOSE(CONTROL!$C$9, $D$9, 100%, $F$9) + CHOOSE(CONTROL!$C$27, 0.0021, 0)</f>
        <v>50.578499999999998</v>
      </c>
      <c r="K457" s="17">
        <f>50.5764 * CHOOSE(CONTROL!$C$9, $D$9, 100%, $F$9) + CHOOSE(CONTROL!$C$27, 0.0021, 0)</f>
        <v>50.578499999999998</v>
      </c>
      <c r="L457" s="17"/>
    </row>
    <row r="458" spans="1:12" ht="15.75" x14ac:dyDescent="0.25">
      <c r="A458" s="14">
        <v>54878</v>
      </c>
      <c r="B458" s="17">
        <f>50.4233 * CHOOSE(CONTROL!$C$9, $D$9, 100%, $F$9) + CHOOSE(CONTROL!$C$27, 0.0021, 0)</f>
        <v>50.425399999999996</v>
      </c>
      <c r="C458" s="17">
        <f>49.9911 * CHOOSE(CONTROL!$C$9, $D$9, 100%, $F$9) + CHOOSE(CONTROL!$C$27, 0.0021, 0)</f>
        <v>49.993200000000002</v>
      </c>
      <c r="D458" s="17">
        <f>49.9911 * CHOOSE(CONTROL!$C$9, $D$9, 100%, $F$9) + CHOOSE(CONTROL!$C$27, 0.0021, 0)</f>
        <v>49.993200000000002</v>
      </c>
      <c r="E458" s="17">
        <f>49.8544 * CHOOSE(CONTROL!$C$9, $D$9, 100%, $F$9) + CHOOSE(CONTROL!$C$27, 0.0021, 0)</f>
        <v>49.856499999999997</v>
      </c>
      <c r="F458" s="17">
        <f>49.8544 * CHOOSE(CONTROL!$C$9, $D$9, 100%, $F$9) + CHOOSE(CONTROL!$C$27, 0.0021, 0)</f>
        <v>49.856499999999997</v>
      </c>
      <c r="G458" s="17">
        <f>50.1258 * CHOOSE(CONTROL!$C$9, $D$9, 100%, $F$9) + CHOOSE(CONTROL!$C$27, 0.0021, 0)</f>
        <v>50.127899999999997</v>
      </c>
      <c r="H458" s="17">
        <f>49.9911 * CHOOSE(CONTROL!$C$9, $D$9, 100%, $F$9) + CHOOSE(CONTROL!$C$27, 0.0021, 0)</f>
        <v>49.993200000000002</v>
      </c>
      <c r="I458" s="17">
        <f>49.9911 * CHOOSE(CONTROL!$C$9, $D$9, 100%, $F$9) + CHOOSE(CONTROL!$C$27, 0.0021, 0)</f>
        <v>49.993200000000002</v>
      </c>
      <c r="J458" s="17">
        <f>49.9911 * CHOOSE(CONTROL!$C$9, $D$9, 100%, $F$9) + CHOOSE(CONTROL!$C$27, 0.0021, 0)</f>
        <v>49.993200000000002</v>
      </c>
      <c r="K458" s="17">
        <f>49.9911 * CHOOSE(CONTROL!$C$9, $D$9, 100%, $F$9) + CHOOSE(CONTROL!$C$27, 0.0021, 0)</f>
        <v>49.993200000000002</v>
      </c>
      <c r="L458" s="17"/>
    </row>
    <row r="459" spans="1:12" ht="15.75" x14ac:dyDescent="0.25">
      <c r="A459" s="14">
        <v>54908</v>
      </c>
      <c r="B459" s="17">
        <f>49.7244 * CHOOSE(CONTROL!$C$9, $D$9, 100%, $F$9) + CHOOSE(CONTROL!$C$27, 0.0021, 0)</f>
        <v>49.726500000000001</v>
      </c>
      <c r="C459" s="17">
        <f>49.2921 * CHOOSE(CONTROL!$C$9, $D$9, 100%, $F$9) + CHOOSE(CONTROL!$C$27, 0.0021, 0)</f>
        <v>49.294199999999996</v>
      </c>
      <c r="D459" s="17">
        <f>49.2921 * CHOOSE(CONTROL!$C$9, $D$9, 100%, $F$9) + CHOOSE(CONTROL!$C$27, 0.0021, 0)</f>
        <v>49.294199999999996</v>
      </c>
      <c r="E459" s="17">
        <f>49.1554 * CHOOSE(CONTROL!$C$9, $D$9, 100%, $F$9) + CHOOSE(CONTROL!$C$27, 0.0021, 0)</f>
        <v>49.157499999999999</v>
      </c>
      <c r="F459" s="17">
        <f>49.1554 * CHOOSE(CONTROL!$C$9, $D$9, 100%, $F$9) + CHOOSE(CONTROL!$C$27, 0.0021, 0)</f>
        <v>49.157499999999999</v>
      </c>
      <c r="G459" s="17">
        <f>49.4268 * CHOOSE(CONTROL!$C$9, $D$9, 100%, $F$9) + CHOOSE(CONTROL!$C$27, 0.0021, 0)</f>
        <v>49.428899999999999</v>
      </c>
      <c r="H459" s="17">
        <f>49.2921 * CHOOSE(CONTROL!$C$9, $D$9, 100%, $F$9) + CHOOSE(CONTROL!$C$27, 0.0021, 0)</f>
        <v>49.294199999999996</v>
      </c>
      <c r="I459" s="17">
        <f>49.2921 * CHOOSE(CONTROL!$C$9, $D$9, 100%, $F$9) + CHOOSE(CONTROL!$C$27, 0.0021, 0)</f>
        <v>49.294199999999996</v>
      </c>
      <c r="J459" s="17">
        <f>49.2921 * CHOOSE(CONTROL!$C$9, $D$9, 100%, $F$9) + CHOOSE(CONTROL!$C$27, 0.0021, 0)</f>
        <v>49.294199999999996</v>
      </c>
      <c r="K459" s="17">
        <f>49.2921 * CHOOSE(CONTROL!$C$9, $D$9, 100%, $F$9) + CHOOSE(CONTROL!$C$27, 0.0021, 0)</f>
        <v>49.294199999999996</v>
      </c>
      <c r="L459" s="17"/>
    </row>
    <row r="460" spans="1:12" ht="15.75" x14ac:dyDescent="0.25">
      <c r="A460" s="14">
        <v>54939</v>
      </c>
      <c r="B460" s="17">
        <f>50.7204 * CHOOSE(CONTROL!$C$9, $D$9, 100%, $F$9) + CHOOSE(CONTROL!$C$27, 0.0021, 0)</f>
        <v>50.722499999999997</v>
      </c>
      <c r="C460" s="17">
        <f>50.2882 * CHOOSE(CONTROL!$C$9, $D$9, 100%, $F$9) + CHOOSE(CONTROL!$C$27, 0.0021, 0)</f>
        <v>50.290300000000002</v>
      </c>
      <c r="D460" s="17">
        <f>50.2882 * CHOOSE(CONTROL!$C$9, $D$9, 100%, $F$9) + CHOOSE(CONTROL!$C$27, 0.0021, 0)</f>
        <v>50.290300000000002</v>
      </c>
      <c r="E460" s="17">
        <f>50.1515 * CHOOSE(CONTROL!$C$9, $D$9, 100%, $F$9) + CHOOSE(CONTROL!$C$27, 0.0021, 0)</f>
        <v>50.153599999999997</v>
      </c>
      <c r="F460" s="17">
        <f>50.1515 * CHOOSE(CONTROL!$C$9, $D$9, 100%, $F$9) + CHOOSE(CONTROL!$C$27, 0.0021, 0)</f>
        <v>50.153599999999997</v>
      </c>
      <c r="G460" s="17">
        <f>50.4229 * CHOOSE(CONTROL!$C$9, $D$9, 100%, $F$9) + CHOOSE(CONTROL!$C$27, 0.0021, 0)</f>
        <v>50.424999999999997</v>
      </c>
      <c r="H460" s="17">
        <f>50.2882 * CHOOSE(CONTROL!$C$9, $D$9, 100%, $F$9) + CHOOSE(CONTROL!$C$27, 0.0021, 0)</f>
        <v>50.290300000000002</v>
      </c>
      <c r="I460" s="17">
        <f>50.2882 * CHOOSE(CONTROL!$C$9, $D$9, 100%, $F$9) + CHOOSE(CONTROL!$C$27, 0.0021, 0)</f>
        <v>50.290300000000002</v>
      </c>
      <c r="J460" s="17">
        <f>50.2882 * CHOOSE(CONTROL!$C$9, $D$9, 100%, $F$9) + CHOOSE(CONTROL!$C$27, 0.0021, 0)</f>
        <v>50.290300000000002</v>
      </c>
      <c r="K460" s="17">
        <f>50.2882 * CHOOSE(CONTROL!$C$9, $D$9, 100%, $F$9) + CHOOSE(CONTROL!$C$27, 0.0021, 0)</f>
        <v>50.290300000000002</v>
      </c>
      <c r="L460" s="17"/>
    </row>
    <row r="461" spans="1:12" ht="15.75" x14ac:dyDescent="0.25">
      <c r="A461" s="14">
        <v>54969</v>
      </c>
      <c r="B461" s="17">
        <f>51.3171 * CHOOSE(CONTROL!$C$9, $D$9, 100%, $F$9) + CHOOSE(CONTROL!$C$27, 0.0021, 0)</f>
        <v>51.319200000000002</v>
      </c>
      <c r="C461" s="17">
        <f>50.8848 * CHOOSE(CONTROL!$C$9, $D$9, 100%, $F$9) + CHOOSE(CONTROL!$C$27, 0.0021, 0)</f>
        <v>50.886899999999997</v>
      </c>
      <c r="D461" s="17">
        <f>50.8848 * CHOOSE(CONTROL!$C$9, $D$9, 100%, $F$9) + CHOOSE(CONTROL!$C$27, 0.0021, 0)</f>
        <v>50.886899999999997</v>
      </c>
      <c r="E461" s="17">
        <f>50.7482 * CHOOSE(CONTROL!$C$9, $D$9, 100%, $F$9) + CHOOSE(CONTROL!$C$27, 0.0021, 0)</f>
        <v>50.750299999999996</v>
      </c>
      <c r="F461" s="17">
        <f>50.7482 * CHOOSE(CONTROL!$C$9, $D$9, 100%, $F$9) + CHOOSE(CONTROL!$C$27, 0.0021, 0)</f>
        <v>50.750299999999996</v>
      </c>
      <c r="G461" s="17">
        <f>51.0195 * CHOOSE(CONTROL!$C$9, $D$9, 100%, $F$9) + CHOOSE(CONTROL!$C$27, 0.0021, 0)</f>
        <v>51.021599999999999</v>
      </c>
      <c r="H461" s="17">
        <f>50.8848 * CHOOSE(CONTROL!$C$9, $D$9, 100%, $F$9) + CHOOSE(CONTROL!$C$27, 0.0021, 0)</f>
        <v>50.886899999999997</v>
      </c>
      <c r="I461" s="17">
        <f>50.8848 * CHOOSE(CONTROL!$C$9, $D$9, 100%, $F$9) + CHOOSE(CONTROL!$C$27, 0.0021, 0)</f>
        <v>50.886899999999997</v>
      </c>
      <c r="J461" s="17">
        <f>50.8848 * CHOOSE(CONTROL!$C$9, $D$9, 100%, $F$9) + CHOOSE(CONTROL!$C$27, 0.0021, 0)</f>
        <v>50.886899999999997</v>
      </c>
      <c r="K461" s="17">
        <f>50.8848 * CHOOSE(CONTROL!$C$9, $D$9, 100%, $F$9) + CHOOSE(CONTROL!$C$27, 0.0021, 0)</f>
        <v>50.886899999999997</v>
      </c>
      <c r="L461" s="17"/>
    </row>
    <row r="462" spans="1:12" ht="15.75" x14ac:dyDescent="0.25">
      <c r="A462" s="14">
        <v>55000</v>
      </c>
      <c r="B462" s="17">
        <f>52.3013 * CHOOSE(CONTROL!$C$9, $D$9, 100%, $F$9) + CHOOSE(CONTROL!$C$27, 0.0021, 0)</f>
        <v>52.303399999999996</v>
      </c>
      <c r="C462" s="17">
        <f>51.869 * CHOOSE(CONTROL!$C$9, $D$9, 100%, $F$9) + CHOOSE(CONTROL!$C$27, 0.0021, 0)</f>
        <v>51.871099999999998</v>
      </c>
      <c r="D462" s="17">
        <f>51.869 * CHOOSE(CONTROL!$C$9, $D$9, 100%, $F$9) + CHOOSE(CONTROL!$C$27, 0.0021, 0)</f>
        <v>51.871099999999998</v>
      </c>
      <c r="E462" s="17">
        <f>51.7324 * CHOOSE(CONTROL!$C$9, $D$9, 100%, $F$9) + CHOOSE(CONTROL!$C$27, 0.0021, 0)</f>
        <v>51.734499999999997</v>
      </c>
      <c r="F462" s="17">
        <f>51.7324 * CHOOSE(CONTROL!$C$9, $D$9, 100%, $F$9) + CHOOSE(CONTROL!$C$27, 0.0021, 0)</f>
        <v>51.734499999999997</v>
      </c>
      <c r="G462" s="17">
        <f>52.0037 * CHOOSE(CONTROL!$C$9, $D$9, 100%, $F$9) + CHOOSE(CONTROL!$C$27, 0.0021, 0)</f>
        <v>52.005800000000001</v>
      </c>
      <c r="H462" s="17">
        <f>51.869 * CHOOSE(CONTROL!$C$9, $D$9, 100%, $F$9) + CHOOSE(CONTROL!$C$27, 0.0021, 0)</f>
        <v>51.871099999999998</v>
      </c>
      <c r="I462" s="17">
        <f>51.869 * CHOOSE(CONTROL!$C$9, $D$9, 100%, $F$9) + CHOOSE(CONTROL!$C$27, 0.0021, 0)</f>
        <v>51.871099999999998</v>
      </c>
      <c r="J462" s="17">
        <f>51.869 * CHOOSE(CONTROL!$C$9, $D$9, 100%, $F$9) + CHOOSE(CONTROL!$C$27, 0.0021, 0)</f>
        <v>51.871099999999998</v>
      </c>
      <c r="K462" s="17">
        <f>51.869 * CHOOSE(CONTROL!$C$9, $D$9, 100%, $F$9) + CHOOSE(CONTROL!$C$27, 0.0021, 0)</f>
        <v>51.871099999999998</v>
      </c>
      <c r="L462" s="17"/>
    </row>
    <row r="463" spans="1:12" ht="15.75" x14ac:dyDescent="0.25">
      <c r="A463" s="14">
        <v>55031</v>
      </c>
      <c r="B463" s="17">
        <f>52.6017 * CHOOSE(CONTROL!$C$9, $D$9, 100%, $F$9) + CHOOSE(CONTROL!$C$27, 0.0021, 0)</f>
        <v>52.6038</v>
      </c>
      <c r="C463" s="17">
        <f>52.1694 * CHOOSE(CONTROL!$C$9, $D$9, 100%, $F$9) + CHOOSE(CONTROL!$C$27, 0.0021, 0)</f>
        <v>52.171500000000002</v>
      </c>
      <c r="D463" s="17">
        <f>52.1694 * CHOOSE(CONTROL!$C$9, $D$9, 100%, $F$9) + CHOOSE(CONTROL!$C$27, 0.0021, 0)</f>
        <v>52.171500000000002</v>
      </c>
      <c r="E463" s="17">
        <f>52.0328 * CHOOSE(CONTROL!$C$9, $D$9, 100%, $F$9) + CHOOSE(CONTROL!$C$27, 0.0021, 0)</f>
        <v>52.0349</v>
      </c>
      <c r="F463" s="17">
        <f>52.0328 * CHOOSE(CONTROL!$C$9, $D$9, 100%, $F$9) + CHOOSE(CONTROL!$C$27, 0.0021, 0)</f>
        <v>52.0349</v>
      </c>
      <c r="G463" s="17">
        <f>52.3041 * CHOOSE(CONTROL!$C$9, $D$9, 100%, $F$9) + CHOOSE(CONTROL!$C$27, 0.0021, 0)</f>
        <v>52.306199999999997</v>
      </c>
      <c r="H463" s="17">
        <f>52.1694 * CHOOSE(CONTROL!$C$9, $D$9, 100%, $F$9) + CHOOSE(CONTROL!$C$27, 0.0021, 0)</f>
        <v>52.171500000000002</v>
      </c>
      <c r="I463" s="17">
        <f>52.1694 * CHOOSE(CONTROL!$C$9, $D$9, 100%, $F$9) + CHOOSE(CONTROL!$C$27, 0.0021, 0)</f>
        <v>52.171500000000002</v>
      </c>
      <c r="J463" s="17">
        <f>52.1694 * CHOOSE(CONTROL!$C$9, $D$9, 100%, $F$9) + CHOOSE(CONTROL!$C$27, 0.0021, 0)</f>
        <v>52.171500000000002</v>
      </c>
      <c r="K463" s="17">
        <f>52.1694 * CHOOSE(CONTROL!$C$9, $D$9, 100%, $F$9) + CHOOSE(CONTROL!$C$27, 0.0021, 0)</f>
        <v>52.171500000000002</v>
      </c>
      <c r="L463" s="17"/>
    </row>
    <row r="464" spans="1:12" ht="15.75" x14ac:dyDescent="0.25">
      <c r="A464" s="14">
        <v>55061</v>
      </c>
      <c r="B464" s="17">
        <f>53.6247 * CHOOSE(CONTROL!$C$9, $D$9, 100%, $F$9) + CHOOSE(CONTROL!$C$27, 0.0021, 0)</f>
        <v>53.626799999999996</v>
      </c>
      <c r="C464" s="17">
        <f>53.1925 * CHOOSE(CONTROL!$C$9, $D$9, 100%, $F$9) + CHOOSE(CONTROL!$C$27, 0.0021, 0)</f>
        <v>53.194600000000001</v>
      </c>
      <c r="D464" s="17">
        <f>53.1925 * CHOOSE(CONTROL!$C$9, $D$9, 100%, $F$9) + CHOOSE(CONTROL!$C$27, 0.0021, 0)</f>
        <v>53.194600000000001</v>
      </c>
      <c r="E464" s="17">
        <f>53.0558 * CHOOSE(CONTROL!$C$9, $D$9, 100%, $F$9) + CHOOSE(CONTROL!$C$27, 0.0021, 0)</f>
        <v>53.057899999999997</v>
      </c>
      <c r="F464" s="17">
        <f>53.0558 * CHOOSE(CONTROL!$C$9, $D$9, 100%, $F$9) + CHOOSE(CONTROL!$C$27, 0.0021, 0)</f>
        <v>53.057899999999997</v>
      </c>
      <c r="G464" s="17">
        <f>53.3272 * CHOOSE(CONTROL!$C$9, $D$9, 100%, $F$9) + CHOOSE(CONTROL!$C$27, 0.0021, 0)</f>
        <v>53.329299999999996</v>
      </c>
      <c r="H464" s="17">
        <f>53.1925 * CHOOSE(CONTROL!$C$9, $D$9, 100%, $F$9) + CHOOSE(CONTROL!$C$27, 0.0021, 0)</f>
        <v>53.194600000000001</v>
      </c>
      <c r="I464" s="17">
        <f>53.1925 * CHOOSE(CONTROL!$C$9, $D$9, 100%, $F$9) + CHOOSE(CONTROL!$C$27, 0.0021, 0)</f>
        <v>53.194600000000001</v>
      </c>
      <c r="J464" s="17">
        <f>53.1925 * CHOOSE(CONTROL!$C$9, $D$9, 100%, $F$9) + CHOOSE(CONTROL!$C$27, 0.0021, 0)</f>
        <v>53.194600000000001</v>
      </c>
      <c r="K464" s="17">
        <f>53.1925 * CHOOSE(CONTROL!$C$9, $D$9, 100%, $F$9) + CHOOSE(CONTROL!$C$27, 0.0021, 0)</f>
        <v>53.194600000000001</v>
      </c>
      <c r="L464" s="17"/>
    </row>
    <row r="465" spans="1:12" ht="15.75" x14ac:dyDescent="0.25">
      <c r="A465" s="14">
        <v>55092</v>
      </c>
      <c r="B465" s="17">
        <f>54.9197 * CHOOSE(CONTROL!$C$9, $D$9, 100%, $F$9) + CHOOSE(CONTROL!$C$27, 0.0021, 0)</f>
        <v>54.921799999999998</v>
      </c>
      <c r="C465" s="17">
        <f>54.4875 * CHOOSE(CONTROL!$C$9, $D$9, 100%, $F$9) + CHOOSE(CONTROL!$C$27, 0.0021, 0)</f>
        <v>54.489599999999996</v>
      </c>
      <c r="D465" s="17">
        <f>54.4875 * CHOOSE(CONTROL!$C$9, $D$9, 100%, $F$9) + CHOOSE(CONTROL!$C$27, 0.0021, 0)</f>
        <v>54.489599999999996</v>
      </c>
      <c r="E465" s="17">
        <f>54.3508 * CHOOSE(CONTROL!$C$9, $D$9, 100%, $F$9) + CHOOSE(CONTROL!$C$27, 0.0021, 0)</f>
        <v>54.352899999999998</v>
      </c>
      <c r="F465" s="17">
        <f>54.3508 * CHOOSE(CONTROL!$C$9, $D$9, 100%, $F$9) + CHOOSE(CONTROL!$C$27, 0.0021, 0)</f>
        <v>54.352899999999998</v>
      </c>
      <c r="G465" s="17">
        <f>54.6222 * CHOOSE(CONTROL!$C$9, $D$9, 100%, $F$9) + CHOOSE(CONTROL!$C$27, 0.0021, 0)</f>
        <v>54.624299999999998</v>
      </c>
      <c r="H465" s="17">
        <f>54.4875 * CHOOSE(CONTROL!$C$9, $D$9, 100%, $F$9) + CHOOSE(CONTROL!$C$27, 0.0021, 0)</f>
        <v>54.489599999999996</v>
      </c>
      <c r="I465" s="17">
        <f>54.4875 * CHOOSE(CONTROL!$C$9, $D$9, 100%, $F$9) + CHOOSE(CONTROL!$C$27, 0.0021, 0)</f>
        <v>54.489599999999996</v>
      </c>
      <c r="J465" s="17">
        <f>54.4875 * CHOOSE(CONTROL!$C$9, $D$9, 100%, $F$9) + CHOOSE(CONTROL!$C$27, 0.0021, 0)</f>
        <v>54.489599999999996</v>
      </c>
      <c r="K465" s="17">
        <f>54.4875 * CHOOSE(CONTROL!$C$9, $D$9, 100%, $F$9) + CHOOSE(CONTROL!$C$27, 0.0021, 0)</f>
        <v>54.489599999999996</v>
      </c>
      <c r="L465" s="17"/>
    </row>
    <row r="466" spans="1:12" ht="15.75" x14ac:dyDescent="0.25">
      <c r="A466" s="14">
        <v>55122</v>
      </c>
      <c r="B466" s="17">
        <f>55.0413 * CHOOSE(CONTROL!$C$9, $D$9, 100%, $F$9) + CHOOSE(CONTROL!$C$27, 0.0021, 0)</f>
        <v>55.043399999999998</v>
      </c>
      <c r="C466" s="17">
        <f>54.609 * CHOOSE(CONTROL!$C$9, $D$9, 100%, $F$9) + CHOOSE(CONTROL!$C$27, 0.0021, 0)</f>
        <v>54.6111</v>
      </c>
      <c r="D466" s="17">
        <f>54.609 * CHOOSE(CONTROL!$C$9, $D$9, 100%, $F$9) + CHOOSE(CONTROL!$C$27, 0.0021, 0)</f>
        <v>54.6111</v>
      </c>
      <c r="E466" s="17">
        <f>54.4724 * CHOOSE(CONTROL!$C$9, $D$9, 100%, $F$9) + CHOOSE(CONTROL!$C$27, 0.0021, 0)</f>
        <v>54.474499999999999</v>
      </c>
      <c r="F466" s="17">
        <f>54.4724 * CHOOSE(CONTROL!$C$9, $D$9, 100%, $F$9) + CHOOSE(CONTROL!$C$27, 0.0021, 0)</f>
        <v>54.474499999999999</v>
      </c>
      <c r="G466" s="17">
        <f>54.7437 * CHOOSE(CONTROL!$C$9, $D$9, 100%, $F$9) + CHOOSE(CONTROL!$C$27, 0.0021, 0)</f>
        <v>54.745799999999996</v>
      </c>
      <c r="H466" s="17">
        <f>54.609 * CHOOSE(CONTROL!$C$9, $D$9, 100%, $F$9) + CHOOSE(CONTROL!$C$27, 0.0021, 0)</f>
        <v>54.6111</v>
      </c>
      <c r="I466" s="17">
        <f>54.609 * CHOOSE(CONTROL!$C$9, $D$9, 100%, $F$9) + CHOOSE(CONTROL!$C$27, 0.0021, 0)</f>
        <v>54.6111</v>
      </c>
      <c r="J466" s="17">
        <f>54.609 * CHOOSE(CONTROL!$C$9, $D$9, 100%, $F$9) + CHOOSE(CONTROL!$C$27, 0.0021, 0)</f>
        <v>54.6111</v>
      </c>
      <c r="K466" s="17">
        <f>54.609 * CHOOSE(CONTROL!$C$9, $D$9, 100%, $F$9) + CHOOSE(CONTROL!$C$27, 0.0021, 0)</f>
        <v>54.6111</v>
      </c>
      <c r="L466" s="17"/>
    </row>
    <row r="467" spans="1:12" ht="15.75" x14ac:dyDescent="0.25">
      <c r="A467" s="14">
        <v>55153</v>
      </c>
      <c r="B467" s="17">
        <f>54.007 * CHOOSE(CONTROL!$C$9, $D$9, 100%, $F$9) + CHOOSE(CONTROL!$C$27, 0.0021, 0)</f>
        <v>54.009099999999997</v>
      </c>
      <c r="C467" s="17">
        <f>53.5747 * CHOOSE(CONTROL!$C$9, $D$9, 100%, $F$9) + CHOOSE(CONTROL!$C$27, 0.0021, 0)</f>
        <v>53.576799999999999</v>
      </c>
      <c r="D467" s="17">
        <f>53.5747 * CHOOSE(CONTROL!$C$9, $D$9, 100%, $F$9) + CHOOSE(CONTROL!$C$27, 0.0021, 0)</f>
        <v>53.576799999999999</v>
      </c>
      <c r="E467" s="17">
        <f>53.4381 * CHOOSE(CONTROL!$C$9, $D$9, 100%, $F$9) + CHOOSE(CONTROL!$C$27, 0.0021, 0)</f>
        <v>53.440199999999997</v>
      </c>
      <c r="F467" s="17">
        <f>53.4381 * CHOOSE(CONTROL!$C$9, $D$9, 100%, $F$9) + CHOOSE(CONTROL!$C$27, 0.0021, 0)</f>
        <v>53.440199999999997</v>
      </c>
      <c r="G467" s="17">
        <f>53.7095 * CHOOSE(CONTROL!$C$9, $D$9, 100%, $F$9) + CHOOSE(CONTROL!$C$27, 0.0021, 0)</f>
        <v>53.711599999999997</v>
      </c>
      <c r="H467" s="17">
        <f>53.5747 * CHOOSE(CONTROL!$C$9, $D$9, 100%, $F$9) + CHOOSE(CONTROL!$C$27, 0.0021, 0)</f>
        <v>53.576799999999999</v>
      </c>
      <c r="I467" s="17">
        <f>53.5747 * CHOOSE(CONTROL!$C$9, $D$9, 100%, $F$9) + CHOOSE(CONTROL!$C$27, 0.0021, 0)</f>
        <v>53.576799999999999</v>
      </c>
      <c r="J467" s="17">
        <f>53.5747 * CHOOSE(CONTROL!$C$9, $D$9, 100%, $F$9) + CHOOSE(CONTROL!$C$27, 0.0021, 0)</f>
        <v>53.576799999999999</v>
      </c>
      <c r="K467" s="17">
        <f>53.5747 * CHOOSE(CONTROL!$C$9, $D$9, 100%, $F$9) + CHOOSE(CONTROL!$C$27, 0.0021, 0)</f>
        <v>53.576799999999999</v>
      </c>
      <c r="L467" s="17"/>
    </row>
    <row r="468" spans="1:12" ht="15.75" x14ac:dyDescent="0.25">
      <c r="A468" s="14">
        <v>55184</v>
      </c>
      <c r="B468" s="17">
        <f>53.3533 * CHOOSE(CONTROL!$C$9, $D$9, 100%, $F$9) + CHOOSE(CONTROL!$C$27, 0.0021, 0)</f>
        <v>53.355399999999996</v>
      </c>
      <c r="C468" s="17">
        <f>52.921 * CHOOSE(CONTROL!$C$9, $D$9, 100%, $F$9) + CHOOSE(CONTROL!$C$27, 0.0021, 0)</f>
        <v>52.923099999999998</v>
      </c>
      <c r="D468" s="17">
        <f>52.921 * CHOOSE(CONTROL!$C$9, $D$9, 100%, $F$9) + CHOOSE(CONTROL!$C$27, 0.0021, 0)</f>
        <v>52.923099999999998</v>
      </c>
      <c r="E468" s="17">
        <f>52.7844 * CHOOSE(CONTROL!$C$9, $D$9, 100%, $F$9) + CHOOSE(CONTROL!$C$27, 0.0021, 0)</f>
        <v>52.786499999999997</v>
      </c>
      <c r="F468" s="17">
        <f>52.7844 * CHOOSE(CONTROL!$C$9, $D$9, 100%, $F$9) + CHOOSE(CONTROL!$C$27, 0.0021, 0)</f>
        <v>52.786499999999997</v>
      </c>
      <c r="G468" s="17">
        <f>53.0557 * CHOOSE(CONTROL!$C$9, $D$9, 100%, $F$9) + CHOOSE(CONTROL!$C$27, 0.0021, 0)</f>
        <v>53.0578</v>
      </c>
      <c r="H468" s="17">
        <f>52.921 * CHOOSE(CONTROL!$C$9, $D$9, 100%, $F$9) + CHOOSE(CONTROL!$C$27, 0.0021, 0)</f>
        <v>52.923099999999998</v>
      </c>
      <c r="I468" s="17">
        <f>52.921 * CHOOSE(CONTROL!$C$9, $D$9, 100%, $F$9) + CHOOSE(CONTROL!$C$27, 0.0021, 0)</f>
        <v>52.923099999999998</v>
      </c>
      <c r="J468" s="17">
        <f>52.921 * CHOOSE(CONTROL!$C$9, $D$9, 100%, $F$9) + CHOOSE(CONTROL!$C$27, 0.0021, 0)</f>
        <v>52.923099999999998</v>
      </c>
      <c r="K468" s="17">
        <f>52.921 * CHOOSE(CONTROL!$C$9, $D$9, 100%, $F$9) + CHOOSE(CONTROL!$C$27, 0.0021, 0)</f>
        <v>52.923099999999998</v>
      </c>
      <c r="L468" s="17"/>
    </row>
    <row r="469" spans="1:12" ht="15.75" x14ac:dyDescent="0.25">
      <c r="A469" s="14">
        <v>55212</v>
      </c>
      <c r="B469" s="17">
        <f>51.909 * CHOOSE(CONTROL!$C$9, $D$9, 100%, $F$9) + CHOOSE(CONTROL!$C$27, 0.0021, 0)</f>
        <v>51.911099999999998</v>
      </c>
      <c r="C469" s="17">
        <f>51.4768 * CHOOSE(CONTROL!$C$9, $D$9, 100%, $F$9) + CHOOSE(CONTROL!$C$27, 0.0021, 0)</f>
        <v>51.478899999999996</v>
      </c>
      <c r="D469" s="17">
        <f>51.4768 * CHOOSE(CONTROL!$C$9, $D$9, 100%, $F$9) + CHOOSE(CONTROL!$C$27, 0.0021, 0)</f>
        <v>51.478899999999996</v>
      </c>
      <c r="E469" s="17">
        <f>51.3401 * CHOOSE(CONTROL!$C$9, $D$9, 100%, $F$9) + CHOOSE(CONTROL!$C$27, 0.0021, 0)</f>
        <v>51.342199999999998</v>
      </c>
      <c r="F469" s="17">
        <f>51.3401 * CHOOSE(CONTROL!$C$9, $D$9, 100%, $F$9) + CHOOSE(CONTROL!$C$27, 0.0021, 0)</f>
        <v>51.342199999999998</v>
      </c>
      <c r="G469" s="17">
        <f>51.6115 * CHOOSE(CONTROL!$C$9, $D$9, 100%, $F$9) + CHOOSE(CONTROL!$C$27, 0.0021, 0)</f>
        <v>51.613599999999998</v>
      </c>
      <c r="H469" s="17">
        <f>51.4768 * CHOOSE(CONTROL!$C$9, $D$9, 100%, $F$9) + CHOOSE(CONTROL!$C$27, 0.0021, 0)</f>
        <v>51.478899999999996</v>
      </c>
      <c r="I469" s="17">
        <f>51.4768 * CHOOSE(CONTROL!$C$9, $D$9, 100%, $F$9) + CHOOSE(CONTROL!$C$27, 0.0021, 0)</f>
        <v>51.478899999999996</v>
      </c>
      <c r="J469" s="17">
        <f>51.4768 * CHOOSE(CONTROL!$C$9, $D$9, 100%, $F$9) + CHOOSE(CONTROL!$C$27, 0.0021, 0)</f>
        <v>51.478899999999996</v>
      </c>
      <c r="K469" s="17">
        <f>51.4768 * CHOOSE(CONTROL!$C$9, $D$9, 100%, $F$9) + CHOOSE(CONTROL!$C$27, 0.0021, 0)</f>
        <v>51.478899999999996</v>
      </c>
      <c r="L469" s="17"/>
    </row>
    <row r="470" spans="1:12" ht="15.75" x14ac:dyDescent="0.25">
      <c r="A470" s="14">
        <v>55243</v>
      </c>
      <c r="B470" s="17">
        <f>51.3128 * CHOOSE(CONTROL!$C$9, $D$9, 100%, $F$9) + CHOOSE(CONTROL!$C$27, 0.0021, 0)</f>
        <v>51.314900000000002</v>
      </c>
      <c r="C470" s="17">
        <f>50.8806 * CHOOSE(CONTROL!$C$9, $D$9, 100%, $F$9) + CHOOSE(CONTROL!$C$27, 0.0021, 0)</f>
        <v>50.8827</v>
      </c>
      <c r="D470" s="17">
        <f>50.8806 * CHOOSE(CONTROL!$C$9, $D$9, 100%, $F$9) + CHOOSE(CONTROL!$C$27, 0.0021, 0)</f>
        <v>50.8827</v>
      </c>
      <c r="E470" s="17">
        <f>50.7439 * CHOOSE(CONTROL!$C$9, $D$9, 100%, $F$9) + CHOOSE(CONTROL!$C$27, 0.0021, 0)</f>
        <v>50.745999999999995</v>
      </c>
      <c r="F470" s="17">
        <f>50.7439 * CHOOSE(CONTROL!$C$9, $D$9, 100%, $F$9) + CHOOSE(CONTROL!$C$27, 0.0021, 0)</f>
        <v>50.745999999999995</v>
      </c>
      <c r="G470" s="17">
        <f>51.0153 * CHOOSE(CONTROL!$C$9, $D$9, 100%, $F$9) + CHOOSE(CONTROL!$C$27, 0.0021, 0)</f>
        <v>51.017400000000002</v>
      </c>
      <c r="H470" s="17">
        <f>50.8806 * CHOOSE(CONTROL!$C$9, $D$9, 100%, $F$9) + CHOOSE(CONTROL!$C$27, 0.0021, 0)</f>
        <v>50.8827</v>
      </c>
      <c r="I470" s="17">
        <f>50.8806 * CHOOSE(CONTROL!$C$9, $D$9, 100%, $F$9) + CHOOSE(CONTROL!$C$27, 0.0021, 0)</f>
        <v>50.8827</v>
      </c>
      <c r="J470" s="17">
        <f>50.8806 * CHOOSE(CONTROL!$C$9, $D$9, 100%, $F$9) + CHOOSE(CONTROL!$C$27, 0.0021, 0)</f>
        <v>50.8827</v>
      </c>
      <c r="K470" s="17">
        <f>50.8806 * CHOOSE(CONTROL!$C$9, $D$9, 100%, $F$9) + CHOOSE(CONTROL!$C$27, 0.0021, 0)</f>
        <v>50.8827</v>
      </c>
      <c r="L470" s="17"/>
    </row>
    <row r="471" spans="1:12" ht="15.75" x14ac:dyDescent="0.25">
      <c r="A471" s="14">
        <v>55273</v>
      </c>
      <c r="B471" s="17">
        <f>50.6009 * CHOOSE(CONTROL!$C$9, $D$9, 100%, $F$9) + CHOOSE(CONTROL!$C$27, 0.0021, 0)</f>
        <v>50.603000000000002</v>
      </c>
      <c r="C471" s="17">
        <f>50.1687 * CHOOSE(CONTROL!$C$9, $D$9, 100%, $F$9) + CHOOSE(CONTROL!$C$27, 0.0021, 0)</f>
        <v>50.1708</v>
      </c>
      <c r="D471" s="17">
        <f>50.1687 * CHOOSE(CONTROL!$C$9, $D$9, 100%, $F$9) + CHOOSE(CONTROL!$C$27, 0.0021, 0)</f>
        <v>50.1708</v>
      </c>
      <c r="E471" s="17">
        <f>50.032 * CHOOSE(CONTROL!$C$9, $D$9, 100%, $F$9) + CHOOSE(CONTROL!$C$27, 0.0021, 0)</f>
        <v>50.034099999999995</v>
      </c>
      <c r="F471" s="17">
        <f>50.032 * CHOOSE(CONTROL!$C$9, $D$9, 100%, $F$9) + CHOOSE(CONTROL!$C$27, 0.0021, 0)</f>
        <v>50.034099999999995</v>
      </c>
      <c r="G471" s="17">
        <f>50.3034 * CHOOSE(CONTROL!$C$9, $D$9, 100%, $F$9) + CHOOSE(CONTROL!$C$27, 0.0021, 0)</f>
        <v>50.305500000000002</v>
      </c>
      <c r="H471" s="17">
        <f>50.1687 * CHOOSE(CONTROL!$C$9, $D$9, 100%, $F$9) + CHOOSE(CONTROL!$C$27, 0.0021, 0)</f>
        <v>50.1708</v>
      </c>
      <c r="I471" s="17">
        <f>50.1687 * CHOOSE(CONTROL!$C$9, $D$9, 100%, $F$9) + CHOOSE(CONTROL!$C$27, 0.0021, 0)</f>
        <v>50.1708</v>
      </c>
      <c r="J471" s="17">
        <f>50.1687 * CHOOSE(CONTROL!$C$9, $D$9, 100%, $F$9) + CHOOSE(CONTROL!$C$27, 0.0021, 0)</f>
        <v>50.1708</v>
      </c>
      <c r="K471" s="17">
        <f>50.1687 * CHOOSE(CONTROL!$C$9, $D$9, 100%, $F$9) + CHOOSE(CONTROL!$C$27, 0.0021, 0)</f>
        <v>50.1708</v>
      </c>
      <c r="L471" s="17"/>
    </row>
    <row r="472" spans="1:12" ht="15.75" x14ac:dyDescent="0.25">
      <c r="A472" s="14">
        <v>55304</v>
      </c>
      <c r="B472" s="17">
        <f>51.6154 * CHOOSE(CONTROL!$C$9, $D$9, 100%, $F$9) + CHOOSE(CONTROL!$C$27, 0.0021, 0)</f>
        <v>51.6175</v>
      </c>
      <c r="C472" s="17">
        <f>51.1832 * CHOOSE(CONTROL!$C$9, $D$9, 100%, $F$9) + CHOOSE(CONTROL!$C$27, 0.0021, 0)</f>
        <v>51.185299999999998</v>
      </c>
      <c r="D472" s="17">
        <f>51.1832 * CHOOSE(CONTROL!$C$9, $D$9, 100%, $F$9) + CHOOSE(CONTROL!$C$27, 0.0021, 0)</f>
        <v>51.185299999999998</v>
      </c>
      <c r="E472" s="17">
        <f>51.0465 * CHOOSE(CONTROL!$C$9, $D$9, 100%, $F$9) + CHOOSE(CONTROL!$C$27, 0.0021, 0)</f>
        <v>51.0486</v>
      </c>
      <c r="F472" s="17">
        <f>51.0465 * CHOOSE(CONTROL!$C$9, $D$9, 100%, $F$9) + CHOOSE(CONTROL!$C$27, 0.0021, 0)</f>
        <v>51.0486</v>
      </c>
      <c r="G472" s="17">
        <f>51.3179 * CHOOSE(CONTROL!$C$9, $D$9, 100%, $F$9) + CHOOSE(CONTROL!$C$27, 0.0021, 0)</f>
        <v>51.32</v>
      </c>
      <c r="H472" s="17">
        <f>51.1832 * CHOOSE(CONTROL!$C$9, $D$9, 100%, $F$9) + CHOOSE(CONTROL!$C$27, 0.0021, 0)</f>
        <v>51.185299999999998</v>
      </c>
      <c r="I472" s="17">
        <f>51.1832 * CHOOSE(CONTROL!$C$9, $D$9, 100%, $F$9) + CHOOSE(CONTROL!$C$27, 0.0021, 0)</f>
        <v>51.185299999999998</v>
      </c>
      <c r="J472" s="17">
        <f>51.1832 * CHOOSE(CONTROL!$C$9, $D$9, 100%, $F$9) + CHOOSE(CONTROL!$C$27, 0.0021, 0)</f>
        <v>51.185299999999998</v>
      </c>
      <c r="K472" s="17">
        <f>51.1832 * CHOOSE(CONTROL!$C$9, $D$9, 100%, $F$9) + CHOOSE(CONTROL!$C$27, 0.0021, 0)</f>
        <v>51.185299999999998</v>
      </c>
      <c r="L472" s="17"/>
    </row>
    <row r="473" spans="1:12" ht="15.75" x14ac:dyDescent="0.25">
      <c r="A473" s="14">
        <v>55334</v>
      </c>
      <c r="B473" s="17">
        <f>52.2231 * CHOOSE(CONTROL!$C$9, $D$9, 100%, $F$9) + CHOOSE(CONTROL!$C$27, 0.0021, 0)</f>
        <v>52.225200000000001</v>
      </c>
      <c r="C473" s="17">
        <f>51.7908 * CHOOSE(CONTROL!$C$9, $D$9, 100%, $F$9) + CHOOSE(CONTROL!$C$27, 0.0021, 0)</f>
        <v>51.792899999999996</v>
      </c>
      <c r="D473" s="17">
        <f>51.7908 * CHOOSE(CONTROL!$C$9, $D$9, 100%, $F$9) + CHOOSE(CONTROL!$C$27, 0.0021, 0)</f>
        <v>51.792899999999996</v>
      </c>
      <c r="E473" s="17">
        <f>51.6542 * CHOOSE(CONTROL!$C$9, $D$9, 100%, $F$9) + CHOOSE(CONTROL!$C$27, 0.0021, 0)</f>
        <v>51.656300000000002</v>
      </c>
      <c r="F473" s="17">
        <f>51.6542 * CHOOSE(CONTROL!$C$9, $D$9, 100%, $F$9) + CHOOSE(CONTROL!$C$27, 0.0021, 0)</f>
        <v>51.656300000000002</v>
      </c>
      <c r="G473" s="17">
        <f>51.9255 * CHOOSE(CONTROL!$C$9, $D$9, 100%, $F$9) + CHOOSE(CONTROL!$C$27, 0.0021, 0)</f>
        <v>51.927599999999998</v>
      </c>
      <c r="H473" s="17">
        <f>51.7908 * CHOOSE(CONTROL!$C$9, $D$9, 100%, $F$9) + CHOOSE(CONTROL!$C$27, 0.0021, 0)</f>
        <v>51.792899999999996</v>
      </c>
      <c r="I473" s="17">
        <f>51.7908 * CHOOSE(CONTROL!$C$9, $D$9, 100%, $F$9) + CHOOSE(CONTROL!$C$27, 0.0021, 0)</f>
        <v>51.792899999999996</v>
      </c>
      <c r="J473" s="17">
        <f>51.7908 * CHOOSE(CONTROL!$C$9, $D$9, 100%, $F$9) + CHOOSE(CONTROL!$C$27, 0.0021, 0)</f>
        <v>51.792899999999996</v>
      </c>
      <c r="K473" s="17">
        <f>51.7908 * CHOOSE(CONTROL!$C$9, $D$9, 100%, $F$9) + CHOOSE(CONTROL!$C$27, 0.0021, 0)</f>
        <v>51.792899999999996</v>
      </c>
      <c r="L473" s="17"/>
    </row>
    <row r="474" spans="1:12" ht="15.75" x14ac:dyDescent="0.25">
      <c r="A474" s="14">
        <v>55365</v>
      </c>
      <c r="B474" s="17">
        <f>53.2255 * CHOOSE(CONTROL!$C$9, $D$9, 100%, $F$9) + CHOOSE(CONTROL!$C$27, 0.0021, 0)</f>
        <v>53.227599999999995</v>
      </c>
      <c r="C474" s="17">
        <f>52.7932 * CHOOSE(CONTROL!$C$9, $D$9, 100%, $F$9) + CHOOSE(CONTROL!$C$27, 0.0021, 0)</f>
        <v>52.795299999999997</v>
      </c>
      <c r="D474" s="17">
        <f>52.7932 * CHOOSE(CONTROL!$C$9, $D$9, 100%, $F$9) + CHOOSE(CONTROL!$C$27, 0.0021, 0)</f>
        <v>52.795299999999997</v>
      </c>
      <c r="E474" s="17">
        <f>52.6566 * CHOOSE(CONTROL!$C$9, $D$9, 100%, $F$9) + CHOOSE(CONTROL!$C$27, 0.0021, 0)</f>
        <v>52.658699999999996</v>
      </c>
      <c r="F474" s="17">
        <f>52.6566 * CHOOSE(CONTROL!$C$9, $D$9, 100%, $F$9) + CHOOSE(CONTROL!$C$27, 0.0021, 0)</f>
        <v>52.658699999999996</v>
      </c>
      <c r="G474" s="17">
        <f>52.9279 * CHOOSE(CONTROL!$C$9, $D$9, 100%, $F$9) + CHOOSE(CONTROL!$C$27, 0.0021, 0)</f>
        <v>52.93</v>
      </c>
      <c r="H474" s="17">
        <f>52.7932 * CHOOSE(CONTROL!$C$9, $D$9, 100%, $F$9) + CHOOSE(CONTROL!$C$27, 0.0021, 0)</f>
        <v>52.795299999999997</v>
      </c>
      <c r="I474" s="17">
        <f>52.7932 * CHOOSE(CONTROL!$C$9, $D$9, 100%, $F$9) + CHOOSE(CONTROL!$C$27, 0.0021, 0)</f>
        <v>52.795299999999997</v>
      </c>
      <c r="J474" s="17">
        <f>52.7932 * CHOOSE(CONTROL!$C$9, $D$9, 100%, $F$9) + CHOOSE(CONTROL!$C$27, 0.0021, 0)</f>
        <v>52.795299999999997</v>
      </c>
      <c r="K474" s="17">
        <f>52.7932 * CHOOSE(CONTROL!$C$9, $D$9, 100%, $F$9) + CHOOSE(CONTROL!$C$27, 0.0021, 0)</f>
        <v>52.795299999999997</v>
      </c>
      <c r="L474" s="17"/>
    </row>
    <row r="475" spans="1:12" ht="15.75" x14ac:dyDescent="0.25">
      <c r="A475" s="14">
        <v>55396</v>
      </c>
      <c r="B475" s="17">
        <f>53.5314 * CHOOSE(CONTROL!$C$9, $D$9, 100%, $F$9) + CHOOSE(CONTROL!$C$27, 0.0021, 0)</f>
        <v>53.533499999999997</v>
      </c>
      <c r="C475" s="17">
        <f>53.0992 * CHOOSE(CONTROL!$C$9, $D$9, 100%, $F$9) + CHOOSE(CONTROL!$C$27, 0.0021, 0)</f>
        <v>53.101300000000002</v>
      </c>
      <c r="D475" s="17">
        <f>53.0992 * CHOOSE(CONTROL!$C$9, $D$9, 100%, $F$9) + CHOOSE(CONTROL!$C$27, 0.0021, 0)</f>
        <v>53.101300000000002</v>
      </c>
      <c r="E475" s="17">
        <f>52.9625 * CHOOSE(CONTROL!$C$9, $D$9, 100%, $F$9) + CHOOSE(CONTROL!$C$27, 0.0021, 0)</f>
        <v>52.964599999999997</v>
      </c>
      <c r="F475" s="17">
        <f>52.9625 * CHOOSE(CONTROL!$C$9, $D$9, 100%, $F$9) + CHOOSE(CONTROL!$C$27, 0.0021, 0)</f>
        <v>52.964599999999997</v>
      </c>
      <c r="G475" s="17">
        <f>53.2339 * CHOOSE(CONTROL!$C$9, $D$9, 100%, $F$9) + CHOOSE(CONTROL!$C$27, 0.0021, 0)</f>
        <v>53.235999999999997</v>
      </c>
      <c r="H475" s="17">
        <f>53.0992 * CHOOSE(CONTROL!$C$9, $D$9, 100%, $F$9) + CHOOSE(CONTROL!$C$27, 0.0021, 0)</f>
        <v>53.101300000000002</v>
      </c>
      <c r="I475" s="17">
        <f>53.0992 * CHOOSE(CONTROL!$C$9, $D$9, 100%, $F$9) + CHOOSE(CONTROL!$C$27, 0.0021, 0)</f>
        <v>53.101300000000002</v>
      </c>
      <c r="J475" s="17">
        <f>53.0992 * CHOOSE(CONTROL!$C$9, $D$9, 100%, $F$9) + CHOOSE(CONTROL!$C$27, 0.0021, 0)</f>
        <v>53.101300000000002</v>
      </c>
      <c r="K475" s="17">
        <f>53.0992 * CHOOSE(CONTROL!$C$9, $D$9, 100%, $F$9) + CHOOSE(CONTROL!$C$27, 0.0021, 0)</f>
        <v>53.101300000000002</v>
      </c>
      <c r="L475" s="17"/>
    </row>
    <row r="476" spans="1:12" ht="15.75" x14ac:dyDescent="0.25">
      <c r="A476" s="14">
        <v>55426</v>
      </c>
      <c r="B476" s="17">
        <f>54.5734 * CHOOSE(CONTROL!$C$9, $D$9, 100%, $F$9) + CHOOSE(CONTROL!$C$27, 0.0021, 0)</f>
        <v>54.575499999999998</v>
      </c>
      <c r="C476" s="17">
        <f>54.1411 * CHOOSE(CONTROL!$C$9, $D$9, 100%, $F$9) + CHOOSE(CONTROL!$C$27, 0.0021, 0)</f>
        <v>54.1432</v>
      </c>
      <c r="D476" s="17">
        <f>54.1411 * CHOOSE(CONTROL!$C$9, $D$9, 100%, $F$9) + CHOOSE(CONTROL!$C$27, 0.0021, 0)</f>
        <v>54.1432</v>
      </c>
      <c r="E476" s="17">
        <f>54.0045 * CHOOSE(CONTROL!$C$9, $D$9, 100%, $F$9) + CHOOSE(CONTROL!$C$27, 0.0021, 0)</f>
        <v>54.006599999999999</v>
      </c>
      <c r="F476" s="17">
        <f>54.0045 * CHOOSE(CONTROL!$C$9, $D$9, 100%, $F$9) + CHOOSE(CONTROL!$C$27, 0.0021, 0)</f>
        <v>54.006599999999999</v>
      </c>
      <c r="G476" s="17">
        <f>54.2758 * CHOOSE(CONTROL!$C$9, $D$9, 100%, $F$9) + CHOOSE(CONTROL!$C$27, 0.0021, 0)</f>
        <v>54.277899999999995</v>
      </c>
      <c r="H476" s="17">
        <f>54.1411 * CHOOSE(CONTROL!$C$9, $D$9, 100%, $F$9) + CHOOSE(CONTROL!$C$27, 0.0021, 0)</f>
        <v>54.1432</v>
      </c>
      <c r="I476" s="17">
        <f>54.1411 * CHOOSE(CONTROL!$C$9, $D$9, 100%, $F$9) + CHOOSE(CONTROL!$C$27, 0.0021, 0)</f>
        <v>54.1432</v>
      </c>
      <c r="J476" s="17">
        <f>54.1411 * CHOOSE(CONTROL!$C$9, $D$9, 100%, $F$9) + CHOOSE(CONTROL!$C$27, 0.0021, 0)</f>
        <v>54.1432</v>
      </c>
      <c r="K476" s="17">
        <f>54.1411 * CHOOSE(CONTROL!$C$9, $D$9, 100%, $F$9) + CHOOSE(CONTROL!$C$27, 0.0021, 0)</f>
        <v>54.1432</v>
      </c>
      <c r="L476" s="17"/>
    </row>
    <row r="477" spans="1:12" ht="15.75" x14ac:dyDescent="0.25">
      <c r="A477" s="14">
        <v>55457</v>
      </c>
      <c r="B477" s="17">
        <f>55.8923 * CHOOSE(CONTROL!$C$9, $D$9, 100%, $F$9) + CHOOSE(CONTROL!$C$27, 0.0021, 0)</f>
        <v>55.894399999999997</v>
      </c>
      <c r="C477" s="17">
        <f>55.4601 * CHOOSE(CONTROL!$C$9, $D$9, 100%, $F$9) + CHOOSE(CONTROL!$C$27, 0.0021, 0)</f>
        <v>55.462199999999996</v>
      </c>
      <c r="D477" s="17">
        <f>55.4601 * CHOOSE(CONTROL!$C$9, $D$9, 100%, $F$9) + CHOOSE(CONTROL!$C$27, 0.0021, 0)</f>
        <v>55.462199999999996</v>
      </c>
      <c r="E477" s="17">
        <f>55.3234 * CHOOSE(CONTROL!$C$9, $D$9, 100%, $F$9) + CHOOSE(CONTROL!$C$27, 0.0021, 0)</f>
        <v>55.325499999999998</v>
      </c>
      <c r="F477" s="17">
        <f>55.3234 * CHOOSE(CONTROL!$C$9, $D$9, 100%, $F$9) + CHOOSE(CONTROL!$C$27, 0.0021, 0)</f>
        <v>55.325499999999998</v>
      </c>
      <c r="G477" s="17">
        <f>55.5948 * CHOOSE(CONTROL!$C$9, $D$9, 100%, $F$9) + CHOOSE(CONTROL!$C$27, 0.0021, 0)</f>
        <v>55.596899999999998</v>
      </c>
      <c r="H477" s="17">
        <f>55.4601 * CHOOSE(CONTROL!$C$9, $D$9, 100%, $F$9) + CHOOSE(CONTROL!$C$27, 0.0021, 0)</f>
        <v>55.462199999999996</v>
      </c>
      <c r="I477" s="17">
        <f>55.4601 * CHOOSE(CONTROL!$C$9, $D$9, 100%, $F$9) + CHOOSE(CONTROL!$C$27, 0.0021, 0)</f>
        <v>55.462199999999996</v>
      </c>
      <c r="J477" s="17">
        <f>55.4601 * CHOOSE(CONTROL!$C$9, $D$9, 100%, $F$9) + CHOOSE(CONTROL!$C$27, 0.0021, 0)</f>
        <v>55.462199999999996</v>
      </c>
      <c r="K477" s="17">
        <f>55.4601 * CHOOSE(CONTROL!$C$9, $D$9, 100%, $F$9) + CHOOSE(CONTROL!$C$27, 0.0021, 0)</f>
        <v>55.462199999999996</v>
      </c>
      <c r="L477" s="17"/>
    </row>
    <row r="478" spans="1:12" ht="15.75" x14ac:dyDescent="0.25">
      <c r="A478" s="14">
        <v>55487</v>
      </c>
      <c r="B478" s="17">
        <f>56.0161 * CHOOSE(CONTROL!$C$9, $D$9, 100%, $F$9) + CHOOSE(CONTROL!$C$27, 0.0021, 0)</f>
        <v>56.0182</v>
      </c>
      <c r="C478" s="17">
        <f>55.5839 * CHOOSE(CONTROL!$C$9, $D$9, 100%, $F$9) + CHOOSE(CONTROL!$C$27, 0.0021, 0)</f>
        <v>55.585999999999999</v>
      </c>
      <c r="D478" s="17">
        <f>55.5839 * CHOOSE(CONTROL!$C$9, $D$9, 100%, $F$9) + CHOOSE(CONTROL!$C$27, 0.0021, 0)</f>
        <v>55.585999999999999</v>
      </c>
      <c r="E478" s="17">
        <f>55.4472 * CHOOSE(CONTROL!$C$9, $D$9, 100%, $F$9) + CHOOSE(CONTROL!$C$27, 0.0021, 0)</f>
        <v>55.449300000000001</v>
      </c>
      <c r="F478" s="17">
        <f>55.4472 * CHOOSE(CONTROL!$C$9, $D$9, 100%, $F$9) + CHOOSE(CONTROL!$C$27, 0.0021, 0)</f>
        <v>55.449300000000001</v>
      </c>
      <c r="G478" s="17">
        <f>55.7186 * CHOOSE(CONTROL!$C$9, $D$9, 100%, $F$9) + CHOOSE(CONTROL!$C$27, 0.0021, 0)</f>
        <v>55.720700000000001</v>
      </c>
      <c r="H478" s="17">
        <f>55.5839 * CHOOSE(CONTROL!$C$9, $D$9, 100%, $F$9) + CHOOSE(CONTROL!$C$27, 0.0021, 0)</f>
        <v>55.585999999999999</v>
      </c>
      <c r="I478" s="17">
        <f>55.5839 * CHOOSE(CONTROL!$C$9, $D$9, 100%, $F$9) + CHOOSE(CONTROL!$C$27, 0.0021, 0)</f>
        <v>55.585999999999999</v>
      </c>
      <c r="J478" s="17">
        <f>55.5839 * CHOOSE(CONTROL!$C$9, $D$9, 100%, $F$9) + CHOOSE(CONTROL!$C$27, 0.0021, 0)</f>
        <v>55.585999999999999</v>
      </c>
      <c r="K478" s="17">
        <f>55.5839 * CHOOSE(CONTROL!$C$9, $D$9, 100%, $F$9) + CHOOSE(CONTROL!$C$27, 0.0021, 0)</f>
        <v>55.585999999999999</v>
      </c>
      <c r="L478" s="17"/>
    </row>
    <row r="479" spans="1:12" ht="15.75" x14ac:dyDescent="0.25">
      <c r="A479" s="14">
        <v>55518</v>
      </c>
      <c r="B479" s="17">
        <f>54.9627 * CHOOSE(CONTROL!$C$9, $D$9, 100%, $F$9) + CHOOSE(CONTROL!$C$27, 0.0021, 0)</f>
        <v>54.964799999999997</v>
      </c>
      <c r="C479" s="17">
        <f>54.5305 * CHOOSE(CONTROL!$C$9, $D$9, 100%, $F$9) + CHOOSE(CONTROL!$C$27, 0.0021, 0)</f>
        <v>54.532600000000002</v>
      </c>
      <c r="D479" s="17">
        <f>54.5305 * CHOOSE(CONTROL!$C$9, $D$9, 100%, $F$9) + CHOOSE(CONTROL!$C$27, 0.0021, 0)</f>
        <v>54.532600000000002</v>
      </c>
      <c r="E479" s="17">
        <f>54.3938 * CHOOSE(CONTROL!$C$9, $D$9, 100%, $F$9) + CHOOSE(CONTROL!$C$27, 0.0021, 0)</f>
        <v>54.395899999999997</v>
      </c>
      <c r="F479" s="17">
        <f>54.3938 * CHOOSE(CONTROL!$C$9, $D$9, 100%, $F$9) + CHOOSE(CONTROL!$C$27, 0.0021, 0)</f>
        <v>54.395899999999997</v>
      </c>
      <c r="G479" s="17">
        <f>54.6652 * CHOOSE(CONTROL!$C$9, $D$9, 100%, $F$9) + CHOOSE(CONTROL!$C$27, 0.0021, 0)</f>
        <v>54.667299999999997</v>
      </c>
      <c r="H479" s="17">
        <f>54.5305 * CHOOSE(CONTROL!$C$9, $D$9, 100%, $F$9) + CHOOSE(CONTROL!$C$27, 0.0021, 0)</f>
        <v>54.532600000000002</v>
      </c>
      <c r="I479" s="17">
        <f>54.5305 * CHOOSE(CONTROL!$C$9, $D$9, 100%, $F$9) + CHOOSE(CONTROL!$C$27, 0.0021, 0)</f>
        <v>54.532600000000002</v>
      </c>
      <c r="J479" s="17">
        <f>54.5305 * CHOOSE(CONTROL!$C$9, $D$9, 100%, $F$9) + CHOOSE(CONTROL!$C$27, 0.0021, 0)</f>
        <v>54.532600000000002</v>
      </c>
      <c r="K479" s="17">
        <f>54.5305 * CHOOSE(CONTROL!$C$9, $D$9, 100%, $F$9) + CHOOSE(CONTROL!$C$27, 0.0021, 0)</f>
        <v>54.532600000000002</v>
      </c>
      <c r="L479" s="17"/>
    </row>
    <row r="480" spans="1:12" ht="15.75" x14ac:dyDescent="0.25">
      <c r="A480" s="14">
        <v>55549</v>
      </c>
      <c r="B480" s="17">
        <f>54.2969 * CHOOSE(CONTROL!$C$9, $D$9, 100%, $F$9) + CHOOSE(CONTROL!$C$27, 0.0021, 0)</f>
        <v>54.298999999999999</v>
      </c>
      <c r="C480" s="17">
        <f>53.8647 * CHOOSE(CONTROL!$C$9, $D$9, 100%, $F$9) + CHOOSE(CONTROL!$C$27, 0.0021, 0)</f>
        <v>53.866799999999998</v>
      </c>
      <c r="D480" s="17">
        <f>53.8647 * CHOOSE(CONTROL!$C$9, $D$9, 100%, $F$9) + CHOOSE(CONTROL!$C$27, 0.0021, 0)</f>
        <v>53.866799999999998</v>
      </c>
      <c r="E480" s="17">
        <f>53.728 * CHOOSE(CONTROL!$C$9, $D$9, 100%, $F$9) + CHOOSE(CONTROL!$C$27, 0.0021, 0)</f>
        <v>53.7301</v>
      </c>
      <c r="F480" s="17">
        <f>53.728 * CHOOSE(CONTROL!$C$9, $D$9, 100%, $F$9) + CHOOSE(CONTROL!$C$27, 0.0021, 0)</f>
        <v>53.7301</v>
      </c>
      <c r="G480" s="17">
        <f>53.9994 * CHOOSE(CONTROL!$C$9, $D$9, 100%, $F$9) + CHOOSE(CONTROL!$C$27, 0.0021, 0)</f>
        <v>54.0015</v>
      </c>
      <c r="H480" s="17">
        <f>53.8647 * CHOOSE(CONTROL!$C$9, $D$9, 100%, $F$9) + CHOOSE(CONTROL!$C$27, 0.0021, 0)</f>
        <v>53.866799999999998</v>
      </c>
      <c r="I480" s="17">
        <f>53.8647 * CHOOSE(CONTROL!$C$9, $D$9, 100%, $F$9) + CHOOSE(CONTROL!$C$27, 0.0021, 0)</f>
        <v>53.866799999999998</v>
      </c>
      <c r="J480" s="17">
        <f>53.8647 * CHOOSE(CONTROL!$C$9, $D$9, 100%, $F$9) + CHOOSE(CONTROL!$C$27, 0.0021, 0)</f>
        <v>53.866799999999998</v>
      </c>
      <c r="K480" s="17">
        <f>53.8647 * CHOOSE(CONTROL!$C$9, $D$9, 100%, $F$9) + CHOOSE(CONTROL!$C$27, 0.0021, 0)</f>
        <v>53.866799999999998</v>
      </c>
      <c r="L480" s="17"/>
    </row>
    <row r="481" spans="1:12" ht="15.75" x14ac:dyDescent="0.25">
      <c r="A481" s="14">
        <v>55577</v>
      </c>
      <c r="B481" s="17">
        <f>52.826 * CHOOSE(CONTROL!$C$9, $D$9, 100%, $F$9) + CHOOSE(CONTROL!$C$27, 0.0021, 0)</f>
        <v>52.828099999999999</v>
      </c>
      <c r="C481" s="17">
        <f>52.3937 * CHOOSE(CONTROL!$C$9, $D$9, 100%, $F$9) + CHOOSE(CONTROL!$C$27, 0.0021, 0)</f>
        <v>52.395800000000001</v>
      </c>
      <c r="D481" s="17">
        <f>52.3937 * CHOOSE(CONTROL!$C$9, $D$9, 100%, $F$9) + CHOOSE(CONTROL!$C$27, 0.0021, 0)</f>
        <v>52.395800000000001</v>
      </c>
      <c r="E481" s="17">
        <f>52.257 * CHOOSE(CONTROL!$C$9, $D$9, 100%, $F$9) + CHOOSE(CONTROL!$C$27, 0.0021, 0)</f>
        <v>52.259099999999997</v>
      </c>
      <c r="F481" s="17">
        <f>52.257 * CHOOSE(CONTROL!$C$9, $D$9, 100%, $F$9) + CHOOSE(CONTROL!$C$27, 0.0021, 0)</f>
        <v>52.259099999999997</v>
      </c>
      <c r="G481" s="17">
        <f>52.5284 * CHOOSE(CONTROL!$C$9, $D$9, 100%, $F$9) + CHOOSE(CONTROL!$C$27, 0.0021, 0)</f>
        <v>52.530499999999996</v>
      </c>
      <c r="H481" s="17">
        <f>52.3937 * CHOOSE(CONTROL!$C$9, $D$9, 100%, $F$9) + CHOOSE(CONTROL!$C$27, 0.0021, 0)</f>
        <v>52.395800000000001</v>
      </c>
      <c r="I481" s="17">
        <f>52.3937 * CHOOSE(CONTROL!$C$9, $D$9, 100%, $F$9) + CHOOSE(CONTROL!$C$27, 0.0021, 0)</f>
        <v>52.395800000000001</v>
      </c>
      <c r="J481" s="17">
        <f>52.3937 * CHOOSE(CONTROL!$C$9, $D$9, 100%, $F$9) + CHOOSE(CONTROL!$C$27, 0.0021, 0)</f>
        <v>52.395800000000001</v>
      </c>
      <c r="K481" s="17">
        <f>52.3937 * CHOOSE(CONTROL!$C$9, $D$9, 100%, $F$9) + CHOOSE(CONTROL!$C$27, 0.0021, 0)</f>
        <v>52.395800000000001</v>
      </c>
      <c r="L481" s="17"/>
    </row>
    <row r="482" spans="1:12" ht="15.75" x14ac:dyDescent="0.25">
      <c r="A482" s="14">
        <v>55609</v>
      </c>
      <c r="B482" s="17">
        <f>52.2187 * CHOOSE(CONTROL!$C$9, $D$9, 100%, $F$9) + CHOOSE(CONTROL!$C$27, 0.0021, 0)</f>
        <v>52.220799999999997</v>
      </c>
      <c r="C482" s="17">
        <f>51.7865 * CHOOSE(CONTROL!$C$9, $D$9, 100%, $F$9) + CHOOSE(CONTROL!$C$27, 0.0021, 0)</f>
        <v>51.788599999999995</v>
      </c>
      <c r="D482" s="17">
        <f>51.7865 * CHOOSE(CONTROL!$C$9, $D$9, 100%, $F$9) + CHOOSE(CONTROL!$C$27, 0.0021, 0)</f>
        <v>51.788599999999995</v>
      </c>
      <c r="E482" s="17">
        <f>51.6498 * CHOOSE(CONTROL!$C$9, $D$9, 100%, $F$9) + CHOOSE(CONTROL!$C$27, 0.0021, 0)</f>
        <v>51.651899999999998</v>
      </c>
      <c r="F482" s="17">
        <f>51.6498 * CHOOSE(CONTROL!$C$9, $D$9, 100%, $F$9) + CHOOSE(CONTROL!$C$27, 0.0021, 0)</f>
        <v>51.651899999999998</v>
      </c>
      <c r="G482" s="17">
        <f>51.9212 * CHOOSE(CONTROL!$C$9, $D$9, 100%, $F$9) + CHOOSE(CONTROL!$C$27, 0.0021, 0)</f>
        <v>51.923299999999998</v>
      </c>
      <c r="H482" s="17">
        <f>51.7865 * CHOOSE(CONTROL!$C$9, $D$9, 100%, $F$9) + CHOOSE(CONTROL!$C$27, 0.0021, 0)</f>
        <v>51.788599999999995</v>
      </c>
      <c r="I482" s="17">
        <f>51.7865 * CHOOSE(CONTROL!$C$9, $D$9, 100%, $F$9) + CHOOSE(CONTROL!$C$27, 0.0021, 0)</f>
        <v>51.788599999999995</v>
      </c>
      <c r="J482" s="17">
        <f>51.7865 * CHOOSE(CONTROL!$C$9, $D$9, 100%, $F$9) + CHOOSE(CONTROL!$C$27, 0.0021, 0)</f>
        <v>51.788599999999995</v>
      </c>
      <c r="K482" s="17">
        <f>51.7865 * CHOOSE(CONTROL!$C$9, $D$9, 100%, $F$9) + CHOOSE(CONTROL!$C$27, 0.0021, 0)</f>
        <v>51.788599999999995</v>
      </c>
      <c r="L482" s="17"/>
    </row>
    <row r="483" spans="1:12" ht="15.75" x14ac:dyDescent="0.25">
      <c r="A483" s="14">
        <v>55639</v>
      </c>
      <c r="B483" s="17">
        <f>51.4937 * CHOOSE(CONTROL!$C$9, $D$9, 100%, $F$9) + CHOOSE(CONTROL!$C$27, 0.0021, 0)</f>
        <v>51.495799999999996</v>
      </c>
      <c r="C483" s="17">
        <f>51.0615 * CHOOSE(CONTROL!$C$9, $D$9, 100%, $F$9) + CHOOSE(CONTROL!$C$27, 0.0021, 0)</f>
        <v>51.063600000000001</v>
      </c>
      <c r="D483" s="17">
        <f>51.0615 * CHOOSE(CONTROL!$C$9, $D$9, 100%, $F$9) + CHOOSE(CONTROL!$C$27, 0.0021, 0)</f>
        <v>51.063600000000001</v>
      </c>
      <c r="E483" s="17">
        <f>50.9248 * CHOOSE(CONTROL!$C$9, $D$9, 100%, $F$9) + CHOOSE(CONTROL!$C$27, 0.0021, 0)</f>
        <v>50.926899999999996</v>
      </c>
      <c r="F483" s="17">
        <f>50.9248 * CHOOSE(CONTROL!$C$9, $D$9, 100%, $F$9) + CHOOSE(CONTROL!$C$27, 0.0021, 0)</f>
        <v>50.926899999999996</v>
      </c>
      <c r="G483" s="17">
        <f>51.1962 * CHOOSE(CONTROL!$C$9, $D$9, 100%, $F$9) + CHOOSE(CONTROL!$C$27, 0.0021, 0)</f>
        <v>51.198299999999996</v>
      </c>
      <c r="H483" s="17">
        <f>51.0615 * CHOOSE(CONTROL!$C$9, $D$9, 100%, $F$9) + CHOOSE(CONTROL!$C$27, 0.0021, 0)</f>
        <v>51.063600000000001</v>
      </c>
      <c r="I483" s="17">
        <f>51.0615 * CHOOSE(CONTROL!$C$9, $D$9, 100%, $F$9) + CHOOSE(CONTROL!$C$27, 0.0021, 0)</f>
        <v>51.063600000000001</v>
      </c>
      <c r="J483" s="17">
        <f>51.0615 * CHOOSE(CONTROL!$C$9, $D$9, 100%, $F$9) + CHOOSE(CONTROL!$C$27, 0.0021, 0)</f>
        <v>51.063600000000001</v>
      </c>
      <c r="K483" s="17">
        <f>51.0615 * CHOOSE(CONTROL!$C$9, $D$9, 100%, $F$9) + CHOOSE(CONTROL!$C$27, 0.0021, 0)</f>
        <v>51.063600000000001</v>
      </c>
      <c r="L483" s="17"/>
    </row>
    <row r="484" spans="1:12" ht="15.75" x14ac:dyDescent="0.25">
      <c r="A484" s="14">
        <v>55670</v>
      </c>
      <c r="B484" s="17">
        <f>52.527 * CHOOSE(CONTROL!$C$9, $D$9, 100%, $F$9) + CHOOSE(CONTROL!$C$27, 0.0021, 0)</f>
        <v>52.5291</v>
      </c>
      <c r="C484" s="17">
        <f>52.0947 * CHOOSE(CONTROL!$C$9, $D$9, 100%, $F$9) + CHOOSE(CONTROL!$C$27, 0.0021, 0)</f>
        <v>52.096800000000002</v>
      </c>
      <c r="D484" s="17">
        <f>52.0947 * CHOOSE(CONTROL!$C$9, $D$9, 100%, $F$9) + CHOOSE(CONTROL!$C$27, 0.0021, 0)</f>
        <v>52.096800000000002</v>
      </c>
      <c r="E484" s="17">
        <f>51.9581 * CHOOSE(CONTROL!$C$9, $D$9, 100%, $F$9) + CHOOSE(CONTROL!$C$27, 0.0021, 0)</f>
        <v>51.9602</v>
      </c>
      <c r="F484" s="17">
        <f>51.9581 * CHOOSE(CONTROL!$C$9, $D$9, 100%, $F$9) + CHOOSE(CONTROL!$C$27, 0.0021, 0)</f>
        <v>51.9602</v>
      </c>
      <c r="G484" s="17">
        <f>52.2294 * CHOOSE(CONTROL!$C$9, $D$9, 100%, $F$9) + CHOOSE(CONTROL!$C$27, 0.0021, 0)</f>
        <v>52.231499999999997</v>
      </c>
      <c r="H484" s="17">
        <f>52.0947 * CHOOSE(CONTROL!$C$9, $D$9, 100%, $F$9) + CHOOSE(CONTROL!$C$27, 0.0021, 0)</f>
        <v>52.096800000000002</v>
      </c>
      <c r="I484" s="17">
        <f>52.0947 * CHOOSE(CONTROL!$C$9, $D$9, 100%, $F$9) + CHOOSE(CONTROL!$C$27, 0.0021, 0)</f>
        <v>52.096800000000002</v>
      </c>
      <c r="J484" s="17">
        <f>52.0947 * CHOOSE(CONTROL!$C$9, $D$9, 100%, $F$9) + CHOOSE(CONTROL!$C$27, 0.0021, 0)</f>
        <v>52.096800000000002</v>
      </c>
      <c r="K484" s="17">
        <f>52.0947 * CHOOSE(CONTROL!$C$9, $D$9, 100%, $F$9) + CHOOSE(CONTROL!$C$27, 0.0021, 0)</f>
        <v>52.096800000000002</v>
      </c>
      <c r="L484" s="17"/>
    </row>
    <row r="485" spans="1:12" ht="15.75" x14ac:dyDescent="0.25">
      <c r="A485" s="14">
        <v>55700</v>
      </c>
      <c r="B485" s="17">
        <f>53.1458 * CHOOSE(CONTROL!$C$9, $D$9, 100%, $F$9) + CHOOSE(CONTROL!$C$27, 0.0021, 0)</f>
        <v>53.1479</v>
      </c>
      <c r="C485" s="17">
        <f>52.7136 * CHOOSE(CONTROL!$C$9, $D$9, 100%, $F$9) + CHOOSE(CONTROL!$C$27, 0.0021, 0)</f>
        <v>52.715699999999998</v>
      </c>
      <c r="D485" s="17">
        <f>52.7136 * CHOOSE(CONTROL!$C$9, $D$9, 100%, $F$9) + CHOOSE(CONTROL!$C$27, 0.0021, 0)</f>
        <v>52.715699999999998</v>
      </c>
      <c r="E485" s="17">
        <f>52.5769 * CHOOSE(CONTROL!$C$9, $D$9, 100%, $F$9) + CHOOSE(CONTROL!$C$27, 0.0021, 0)</f>
        <v>52.579000000000001</v>
      </c>
      <c r="F485" s="17">
        <f>52.5769 * CHOOSE(CONTROL!$C$9, $D$9, 100%, $F$9) + CHOOSE(CONTROL!$C$27, 0.0021, 0)</f>
        <v>52.579000000000001</v>
      </c>
      <c r="G485" s="17">
        <f>52.8483 * CHOOSE(CONTROL!$C$9, $D$9, 100%, $F$9) + CHOOSE(CONTROL!$C$27, 0.0021, 0)</f>
        <v>52.8504</v>
      </c>
      <c r="H485" s="17">
        <f>52.7136 * CHOOSE(CONTROL!$C$9, $D$9, 100%, $F$9) + CHOOSE(CONTROL!$C$27, 0.0021, 0)</f>
        <v>52.715699999999998</v>
      </c>
      <c r="I485" s="17">
        <f>52.7136 * CHOOSE(CONTROL!$C$9, $D$9, 100%, $F$9) + CHOOSE(CONTROL!$C$27, 0.0021, 0)</f>
        <v>52.715699999999998</v>
      </c>
      <c r="J485" s="17">
        <f>52.7136 * CHOOSE(CONTROL!$C$9, $D$9, 100%, $F$9) + CHOOSE(CONTROL!$C$27, 0.0021, 0)</f>
        <v>52.715699999999998</v>
      </c>
      <c r="K485" s="17">
        <f>52.7136 * CHOOSE(CONTROL!$C$9, $D$9, 100%, $F$9) + CHOOSE(CONTROL!$C$27, 0.0021, 0)</f>
        <v>52.715699999999998</v>
      </c>
      <c r="L485" s="17"/>
    </row>
    <row r="486" spans="1:12" ht="15.75" x14ac:dyDescent="0.25">
      <c r="A486" s="14">
        <v>55731</v>
      </c>
      <c r="B486" s="17">
        <f>54.1668 * CHOOSE(CONTROL!$C$9, $D$9, 100%, $F$9) + CHOOSE(CONTROL!$C$27, 0.0021, 0)</f>
        <v>54.168900000000001</v>
      </c>
      <c r="C486" s="17">
        <f>53.7345 * CHOOSE(CONTROL!$C$9, $D$9, 100%, $F$9) + CHOOSE(CONTROL!$C$27, 0.0021, 0)</f>
        <v>53.736599999999996</v>
      </c>
      <c r="D486" s="17">
        <f>53.7345 * CHOOSE(CONTROL!$C$9, $D$9, 100%, $F$9) + CHOOSE(CONTROL!$C$27, 0.0021, 0)</f>
        <v>53.736599999999996</v>
      </c>
      <c r="E486" s="17">
        <f>53.5978 * CHOOSE(CONTROL!$C$9, $D$9, 100%, $F$9) + CHOOSE(CONTROL!$C$27, 0.0021, 0)</f>
        <v>53.599899999999998</v>
      </c>
      <c r="F486" s="17">
        <f>53.5978 * CHOOSE(CONTROL!$C$9, $D$9, 100%, $F$9) + CHOOSE(CONTROL!$C$27, 0.0021, 0)</f>
        <v>53.599899999999998</v>
      </c>
      <c r="G486" s="17">
        <f>53.8692 * CHOOSE(CONTROL!$C$9, $D$9, 100%, $F$9) + CHOOSE(CONTROL!$C$27, 0.0021, 0)</f>
        <v>53.871299999999998</v>
      </c>
      <c r="H486" s="17">
        <f>53.7345 * CHOOSE(CONTROL!$C$9, $D$9, 100%, $F$9) + CHOOSE(CONTROL!$C$27, 0.0021, 0)</f>
        <v>53.736599999999996</v>
      </c>
      <c r="I486" s="17">
        <f>53.7345 * CHOOSE(CONTROL!$C$9, $D$9, 100%, $F$9) + CHOOSE(CONTROL!$C$27, 0.0021, 0)</f>
        <v>53.736599999999996</v>
      </c>
      <c r="J486" s="17">
        <f>53.7345 * CHOOSE(CONTROL!$C$9, $D$9, 100%, $F$9) + CHOOSE(CONTROL!$C$27, 0.0021, 0)</f>
        <v>53.736599999999996</v>
      </c>
      <c r="K486" s="17">
        <f>53.7345 * CHOOSE(CONTROL!$C$9, $D$9, 100%, $F$9) + CHOOSE(CONTROL!$C$27, 0.0021, 0)</f>
        <v>53.736599999999996</v>
      </c>
      <c r="L486" s="17"/>
    </row>
    <row r="487" spans="1:12" ht="15.75" x14ac:dyDescent="0.25">
      <c r="A487" s="14">
        <v>55762</v>
      </c>
      <c r="B487" s="17">
        <f>54.4784 * CHOOSE(CONTROL!$C$9, $D$9, 100%, $F$9) + CHOOSE(CONTROL!$C$27, 0.0021, 0)</f>
        <v>54.480499999999999</v>
      </c>
      <c r="C487" s="17">
        <f>54.0461 * CHOOSE(CONTROL!$C$9, $D$9, 100%, $F$9) + CHOOSE(CONTROL!$C$27, 0.0021, 0)</f>
        <v>54.048200000000001</v>
      </c>
      <c r="D487" s="17">
        <f>54.0461 * CHOOSE(CONTROL!$C$9, $D$9, 100%, $F$9) + CHOOSE(CONTROL!$C$27, 0.0021, 0)</f>
        <v>54.048200000000001</v>
      </c>
      <c r="E487" s="17">
        <f>53.9095 * CHOOSE(CONTROL!$C$9, $D$9, 100%, $F$9) + CHOOSE(CONTROL!$C$27, 0.0021, 0)</f>
        <v>53.9116</v>
      </c>
      <c r="F487" s="17">
        <f>53.9095 * CHOOSE(CONTROL!$C$9, $D$9, 100%, $F$9) + CHOOSE(CONTROL!$C$27, 0.0021, 0)</f>
        <v>53.9116</v>
      </c>
      <c r="G487" s="17">
        <f>54.1808 * CHOOSE(CONTROL!$C$9, $D$9, 100%, $F$9) + CHOOSE(CONTROL!$C$27, 0.0021, 0)</f>
        <v>54.182899999999997</v>
      </c>
      <c r="H487" s="17">
        <f>54.0461 * CHOOSE(CONTROL!$C$9, $D$9, 100%, $F$9) + CHOOSE(CONTROL!$C$27, 0.0021, 0)</f>
        <v>54.048200000000001</v>
      </c>
      <c r="I487" s="17">
        <f>54.0461 * CHOOSE(CONTROL!$C$9, $D$9, 100%, $F$9) + CHOOSE(CONTROL!$C$27, 0.0021, 0)</f>
        <v>54.048200000000001</v>
      </c>
      <c r="J487" s="17">
        <f>54.0461 * CHOOSE(CONTROL!$C$9, $D$9, 100%, $F$9) + CHOOSE(CONTROL!$C$27, 0.0021, 0)</f>
        <v>54.048200000000001</v>
      </c>
      <c r="K487" s="17">
        <f>54.0461 * CHOOSE(CONTROL!$C$9, $D$9, 100%, $F$9) + CHOOSE(CONTROL!$C$27, 0.0021, 0)</f>
        <v>54.048200000000001</v>
      </c>
      <c r="L487" s="17"/>
    </row>
    <row r="488" spans="1:12" ht="15.75" x14ac:dyDescent="0.25">
      <c r="A488" s="14">
        <v>55792</v>
      </c>
      <c r="B488" s="17">
        <f>55.5396 * CHOOSE(CONTROL!$C$9, $D$9, 100%, $F$9) + CHOOSE(CONTROL!$C$27, 0.0021, 0)</f>
        <v>55.541699999999999</v>
      </c>
      <c r="C488" s="17">
        <f>55.1073 * CHOOSE(CONTROL!$C$9, $D$9, 100%, $F$9) + CHOOSE(CONTROL!$C$27, 0.0021, 0)</f>
        <v>55.109400000000001</v>
      </c>
      <c r="D488" s="17">
        <f>55.1073 * CHOOSE(CONTROL!$C$9, $D$9, 100%, $F$9) + CHOOSE(CONTROL!$C$27, 0.0021, 0)</f>
        <v>55.109400000000001</v>
      </c>
      <c r="E488" s="17">
        <f>54.9707 * CHOOSE(CONTROL!$C$9, $D$9, 100%, $F$9) + CHOOSE(CONTROL!$C$27, 0.0021, 0)</f>
        <v>54.972799999999999</v>
      </c>
      <c r="F488" s="17">
        <f>54.9707 * CHOOSE(CONTROL!$C$9, $D$9, 100%, $F$9) + CHOOSE(CONTROL!$C$27, 0.0021, 0)</f>
        <v>54.972799999999999</v>
      </c>
      <c r="G488" s="17">
        <f>55.242 * CHOOSE(CONTROL!$C$9, $D$9, 100%, $F$9) + CHOOSE(CONTROL!$C$27, 0.0021, 0)</f>
        <v>55.244099999999996</v>
      </c>
      <c r="H488" s="17">
        <f>55.1073 * CHOOSE(CONTROL!$C$9, $D$9, 100%, $F$9) + CHOOSE(CONTROL!$C$27, 0.0021, 0)</f>
        <v>55.109400000000001</v>
      </c>
      <c r="I488" s="17">
        <f>55.1073 * CHOOSE(CONTROL!$C$9, $D$9, 100%, $F$9) + CHOOSE(CONTROL!$C$27, 0.0021, 0)</f>
        <v>55.109400000000001</v>
      </c>
      <c r="J488" s="17">
        <f>55.1073 * CHOOSE(CONTROL!$C$9, $D$9, 100%, $F$9) + CHOOSE(CONTROL!$C$27, 0.0021, 0)</f>
        <v>55.109400000000001</v>
      </c>
      <c r="K488" s="17">
        <f>55.1073 * CHOOSE(CONTROL!$C$9, $D$9, 100%, $F$9) + CHOOSE(CONTROL!$C$27, 0.0021, 0)</f>
        <v>55.109400000000001</v>
      </c>
      <c r="L488" s="17"/>
    </row>
    <row r="489" spans="1:12" ht="15.75" x14ac:dyDescent="0.25">
      <c r="A489" s="14">
        <v>55823</v>
      </c>
      <c r="B489" s="17">
        <f>56.8829 * CHOOSE(CONTROL!$C$9, $D$9, 100%, $F$9) + CHOOSE(CONTROL!$C$27, 0.0021, 0)</f>
        <v>56.884999999999998</v>
      </c>
      <c r="C489" s="17">
        <f>56.4506 * CHOOSE(CONTROL!$C$9, $D$9, 100%, $F$9) + CHOOSE(CONTROL!$C$27, 0.0021, 0)</f>
        <v>56.4527</v>
      </c>
      <c r="D489" s="17">
        <f>56.4506 * CHOOSE(CONTROL!$C$9, $D$9, 100%, $F$9) + CHOOSE(CONTROL!$C$27, 0.0021, 0)</f>
        <v>56.4527</v>
      </c>
      <c r="E489" s="17">
        <f>56.314 * CHOOSE(CONTROL!$C$9, $D$9, 100%, $F$9) + CHOOSE(CONTROL!$C$27, 0.0021, 0)</f>
        <v>56.316099999999999</v>
      </c>
      <c r="F489" s="17">
        <f>56.314 * CHOOSE(CONTROL!$C$9, $D$9, 100%, $F$9) + CHOOSE(CONTROL!$C$27, 0.0021, 0)</f>
        <v>56.316099999999999</v>
      </c>
      <c r="G489" s="17">
        <f>56.5853 * CHOOSE(CONTROL!$C$9, $D$9, 100%, $F$9) + CHOOSE(CONTROL!$C$27, 0.0021, 0)</f>
        <v>56.587399999999995</v>
      </c>
      <c r="H489" s="17">
        <f>56.4506 * CHOOSE(CONTROL!$C$9, $D$9, 100%, $F$9) + CHOOSE(CONTROL!$C$27, 0.0021, 0)</f>
        <v>56.4527</v>
      </c>
      <c r="I489" s="17">
        <f>56.4506 * CHOOSE(CONTROL!$C$9, $D$9, 100%, $F$9) + CHOOSE(CONTROL!$C$27, 0.0021, 0)</f>
        <v>56.4527</v>
      </c>
      <c r="J489" s="17">
        <f>56.4506 * CHOOSE(CONTROL!$C$9, $D$9, 100%, $F$9) + CHOOSE(CONTROL!$C$27, 0.0021, 0)</f>
        <v>56.4527</v>
      </c>
      <c r="K489" s="17">
        <f>56.4506 * CHOOSE(CONTROL!$C$9, $D$9, 100%, $F$9) + CHOOSE(CONTROL!$C$27, 0.0021, 0)</f>
        <v>56.4527</v>
      </c>
      <c r="L489" s="17"/>
    </row>
    <row r="490" spans="1:12" ht="15.75" x14ac:dyDescent="0.25">
      <c r="A490" s="14">
        <v>55853</v>
      </c>
      <c r="B490" s="17">
        <f>57.009 * CHOOSE(CONTROL!$C$9, $D$9, 100%, $F$9) + CHOOSE(CONTROL!$C$27, 0.0021, 0)</f>
        <v>57.011099999999999</v>
      </c>
      <c r="C490" s="17">
        <f>56.5767 * CHOOSE(CONTROL!$C$9, $D$9, 100%, $F$9) + CHOOSE(CONTROL!$C$27, 0.0021, 0)</f>
        <v>56.578800000000001</v>
      </c>
      <c r="D490" s="17">
        <f>56.5767 * CHOOSE(CONTROL!$C$9, $D$9, 100%, $F$9) + CHOOSE(CONTROL!$C$27, 0.0021, 0)</f>
        <v>56.578800000000001</v>
      </c>
      <c r="E490" s="17">
        <f>56.4401 * CHOOSE(CONTROL!$C$9, $D$9, 100%, $F$9) + CHOOSE(CONTROL!$C$27, 0.0021, 0)</f>
        <v>56.4422</v>
      </c>
      <c r="F490" s="17">
        <f>56.4401 * CHOOSE(CONTROL!$C$9, $D$9, 100%, $F$9) + CHOOSE(CONTROL!$C$27, 0.0021, 0)</f>
        <v>56.4422</v>
      </c>
      <c r="G490" s="17">
        <f>56.7114 * CHOOSE(CONTROL!$C$9, $D$9, 100%, $F$9) + CHOOSE(CONTROL!$C$27, 0.0021, 0)</f>
        <v>56.713499999999996</v>
      </c>
      <c r="H490" s="17">
        <f>56.5767 * CHOOSE(CONTROL!$C$9, $D$9, 100%, $F$9) + CHOOSE(CONTROL!$C$27, 0.0021, 0)</f>
        <v>56.578800000000001</v>
      </c>
      <c r="I490" s="17">
        <f>56.5767 * CHOOSE(CONTROL!$C$9, $D$9, 100%, $F$9) + CHOOSE(CONTROL!$C$27, 0.0021, 0)</f>
        <v>56.578800000000001</v>
      </c>
      <c r="J490" s="17">
        <f>56.5767 * CHOOSE(CONTROL!$C$9, $D$9, 100%, $F$9) + CHOOSE(CONTROL!$C$27, 0.0021, 0)</f>
        <v>56.578800000000001</v>
      </c>
      <c r="K490" s="17">
        <f>56.5767 * CHOOSE(CONTROL!$C$9, $D$9, 100%, $F$9) + CHOOSE(CONTROL!$C$27, 0.0021, 0)</f>
        <v>56.578800000000001</v>
      </c>
      <c r="L490" s="17"/>
    </row>
    <row r="491" spans="1:12" ht="15.75" x14ac:dyDescent="0.25">
      <c r="A491" s="14">
        <v>55884</v>
      </c>
      <c r="B491" s="17">
        <f>55.9361 * CHOOSE(CONTROL!$C$9, $D$9, 100%, $F$9) + CHOOSE(CONTROL!$C$27, 0.0021, 0)</f>
        <v>55.938200000000002</v>
      </c>
      <c r="C491" s="17">
        <f>55.5039 * CHOOSE(CONTROL!$C$9, $D$9, 100%, $F$9) + CHOOSE(CONTROL!$C$27, 0.0021, 0)</f>
        <v>55.506</v>
      </c>
      <c r="D491" s="17">
        <f>55.5039 * CHOOSE(CONTROL!$C$9, $D$9, 100%, $F$9) + CHOOSE(CONTROL!$C$27, 0.0021, 0)</f>
        <v>55.506</v>
      </c>
      <c r="E491" s="17">
        <f>55.3672 * CHOOSE(CONTROL!$C$9, $D$9, 100%, $F$9) + CHOOSE(CONTROL!$C$27, 0.0021, 0)</f>
        <v>55.369299999999996</v>
      </c>
      <c r="F491" s="17">
        <f>55.3672 * CHOOSE(CONTROL!$C$9, $D$9, 100%, $F$9) + CHOOSE(CONTROL!$C$27, 0.0021, 0)</f>
        <v>55.369299999999996</v>
      </c>
      <c r="G491" s="17">
        <f>55.6386 * CHOOSE(CONTROL!$C$9, $D$9, 100%, $F$9) + CHOOSE(CONTROL!$C$27, 0.0021, 0)</f>
        <v>55.640699999999995</v>
      </c>
      <c r="H491" s="17">
        <f>55.5039 * CHOOSE(CONTROL!$C$9, $D$9, 100%, $F$9) + CHOOSE(CONTROL!$C$27, 0.0021, 0)</f>
        <v>55.506</v>
      </c>
      <c r="I491" s="17">
        <f>55.5039 * CHOOSE(CONTROL!$C$9, $D$9, 100%, $F$9) + CHOOSE(CONTROL!$C$27, 0.0021, 0)</f>
        <v>55.506</v>
      </c>
      <c r="J491" s="17">
        <f>55.5039 * CHOOSE(CONTROL!$C$9, $D$9, 100%, $F$9) + CHOOSE(CONTROL!$C$27, 0.0021, 0)</f>
        <v>55.506</v>
      </c>
      <c r="K491" s="17">
        <f>55.5039 * CHOOSE(CONTROL!$C$9, $D$9, 100%, $F$9) + CHOOSE(CONTROL!$C$27, 0.0021, 0)</f>
        <v>55.506</v>
      </c>
      <c r="L491" s="17"/>
    </row>
    <row r="492" spans="1:12" ht="15.75" x14ac:dyDescent="0.25">
      <c r="A492" s="14">
        <v>55915</v>
      </c>
      <c r="B492" s="17">
        <f>55.258 * CHOOSE(CONTROL!$C$9, $D$9, 100%, $F$9) + CHOOSE(CONTROL!$C$27, 0.0021, 0)</f>
        <v>55.260100000000001</v>
      </c>
      <c r="C492" s="17">
        <f>54.8258 * CHOOSE(CONTROL!$C$9, $D$9, 100%, $F$9) + CHOOSE(CONTROL!$C$27, 0.0021, 0)</f>
        <v>54.8279</v>
      </c>
      <c r="D492" s="17">
        <f>54.8258 * CHOOSE(CONTROL!$C$9, $D$9, 100%, $F$9) + CHOOSE(CONTROL!$C$27, 0.0021, 0)</f>
        <v>54.8279</v>
      </c>
      <c r="E492" s="17">
        <f>54.6891 * CHOOSE(CONTROL!$C$9, $D$9, 100%, $F$9) + CHOOSE(CONTROL!$C$27, 0.0021, 0)</f>
        <v>54.691200000000002</v>
      </c>
      <c r="F492" s="17">
        <f>54.6891 * CHOOSE(CONTROL!$C$9, $D$9, 100%, $F$9) + CHOOSE(CONTROL!$C$27, 0.0021, 0)</f>
        <v>54.691200000000002</v>
      </c>
      <c r="G492" s="17">
        <f>54.9605 * CHOOSE(CONTROL!$C$9, $D$9, 100%, $F$9) + CHOOSE(CONTROL!$C$27, 0.0021, 0)</f>
        <v>54.962600000000002</v>
      </c>
      <c r="H492" s="17">
        <f>54.8258 * CHOOSE(CONTROL!$C$9, $D$9, 100%, $F$9) + CHOOSE(CONTROL!$C$27, 0.0021, 0)</f>
        <v>54.8279</v>
      </c>
      <c r="I492" s="17">
        <f>54.8258 * CHOOSE(CONTROL!$C$9, $D$9, 100%, $F$9) + CHOOSE(CONTROL!$C$27, 0.0021, 0)</f>
        <v>54.8279</v>
      </c>
      <c r="J492" s="17">
        <f>54.8258 * CHOOSE(CONTROL!$C$9, $D$9, 100%, $F$9) + CHOOSE(CONTROL!$C$27, 0.0021, 0)</f>
        <v>54.8279</v>
      </c>
      <c r="K492" s="17">
        <f>54.8258 * CHOOSE(CONTROL!$C$9, $D$9, 100%, $F$9) + CHOOSE(CONTROL!$C$27, 0.0021, 0)</f>
        <v>54.8279</v>
      </c>
      <c r="L492" s="17"/>
    </row>
    <row r="493" spans="1:12" ht="15.75" x14ac:dyDescent="0.25">
      <c r="A493" s="14">
        <v>55943</v>
      </c>
      <c r="B493" s="17">
        <f>53.7598 * CHOOSE(CONTROL!$C$9, $D$9, 100%, $F$9) + CHOOSE(CONTROL!$C$27, 0.0021, 0)</f>
        <v>53.761899999999997</v>
      </c>
      <c r="C493" s="17">
        <f>53.3276 * CHOOSE(CONTROL!$C$9, $D$9, 100%, $F$9) + CHOOSE(CONTROL!$C$27, 0.0021, 0)</f>
        <v>53.329699999999995</v>
      </c>
      <c r="D493" s="17">
        <f>53.3276 * CHOOSE(CONTROL!$C$9, $D$9, 100%, $F$9) + CHOOSE(CONTROL!$C$27, 0.0021, 0)</f>
        <v>53.329699999999995</v>
      </c>
      <c r="E493" s="17">
        <f>53.1909 * CHOOSE(CONTROL!$C$9, $D$9, 100%, $F$9) + CHOOSE(CONTROL!$C$27, 0.0021, 0)</f>
        <v>53.192999999999998</v>
      </c>
      <c r="F493" s="17">
        <f>53.1909 * CHOOSE(CONTROL!$C$9, $D$9, 100%, $F$9) + CHOOSE(CONTROL!$C$27, 0.0021, 0)</f>
        <v>53.192999999999998</v>
      </c>
      <c r="G493" s="17">
        <f>53.4623 * CHOOSE(CONTROL!$C$9, $D$9, 100%, $F$9) + CHOOSE(CONTROL!$C$27, 0.0021, 0)</f>
        <v>53.464399999999998</v>
      </c>
      <c r="H493" s="17">
        <f>53.3276 * CHOOSE(CONTROL!$C$9, $D$9, 100%, $F$9) + CHOOSE(CONTROL!$C$27, 0.0021, 0)</f>
        <v>53.329699999999995</v>
      </c>
      <c r="I493" s="17">
        <f>53.3276 * CHOOSE(CONTROL!$C$9, $D$9, 100%, $F$9) + CHOOSE(CONTROL!$C$27, 0.0021, 0)</f>
        <v>53.329699999999995</v>
      </c>
      <c r="J493" s="17">
        <f>53.3276 * CHOOSE(CONTROL!$C$9, $D$9, 100%, $F$9) + CHOOSE(CONTROL!$C$27, 0.0021, 0)</f>
        <v>53.329699999999995</v>
      </c>
      <c r="K493" s="17">
        <f>53.3276 * CHOOSE(CONTROL!$C$9, $D$9, 100%, $F$9) + CHOOSE(CONTROL!$C$27, 0.0021, 0)</f>
        <v>53.329699999999995</v>
      </c>
      <c r="L493" s="17"/>
    </row>
    <row r="494" spans="1:12" ht="15.75" x14ac:dyDescent="0.25">
      <c r="A494" s="14">
        <v>55974</v>
      </c>
      <c r="B494" s="17">
        <f>53.1414 * CHOOSE(CONTROL!$C$9, $D$9, 100%, $F$9) + CHOOSE(CONTROL!$C$27, 0.0021, 0)</f>
        <v>53.143499999999996</v>
      </c>
      <c r="C494" s="17">
        <f>52.7092 * CHOOSE(CONTROL!$C$9, $D$9, 100%, $F$9) + CHOOSE(CONTROL!$C$27, 0.0021, 0)</f>
        <v>52.711300000000001</v>
      </c>
      <c r="D494" s="17">
        <f>52.7092 * CHOOSE(CONTROL!$C$9, $D$9, 100%, $F$9) + CHOOSE(CONTROL!$C$27, 0.0021, 0)</f>
        <v>52.711300000000001</v>
      </c>
      <c r="E494" s="17">
        <f>52.5725 * CHOOSE(CONTROL!$C$9, $D$9, 100%, $F$9) + CHOOSE(CONTROL!$C$27, 0.0021, 0)</f>
        <v>52.574599999999997</v>
      </c>
      <c r="F494" s="17">
        <f>52.5725 * CHOOSE(CONTROL!$C$9, $D$9, 100%, $F$9) + CHOOSE(CONTROL!$C$27, 0.0021, 0)</f>
        <v>52.574599999999997</v>
      </c>
      <c r="G494" s="17">
        <f>52.8439 * CHOOSE(CONTROL!$C$9, $D$9, 100%, $F$9) + CHOOSE(CONTROL!$C$27, 0.0021, 0)</f>
        <v>52.845999999999997</v>
      </c>
      <c r="H494" s="17">
        <f>52.7092 * CHOOSE(CONTROL!$C$9, $D$9, 100%, $F$9) + CHOOSE(CONTROL!$C$27, 0.0021, 0)</f>
        <v>52.711300000000001</v>
      </c>
      <c r="I494" s="17">
        <f>52.7092 * CHOOSE(CONTROL!$C$9, $D$9, 100%, $F$9) + CHOOSE(CONTROL!$C$27, 0.0021, 0)</f>
        <v>52.711300000000001</v>
      </c>
      <c r="J494" s="17">
        <f>52.7092 * CHOOSE(CONTROL!$C$9, $D$9, 100%, $F$9) + CHOOSE(CONTROL!$C$27, 0.0021, 0)</f>
        <v>52.711300000000001</v>
      </c>
      <c r="K494" s="17">
        <f>52.7092 * CHOOSE(CONTROL!$C$9, $D$9, 100%, $F$9) + CHOOSE(CONTROL!$C$27, 0.0021, 0)</f>
        <v>52.711300000000001</v>
      </c>
      <c r="L494" s="17"/>
    </row>
    <row r="495" spans="1:12" ht="15.75" x14ac:dyDescent="0.25">
      <c r="A495" s="14">
        <v>56004</v>
      </c>
      <c r="B495" s="17">
        <f>52.403 * CHOOSE(CONTROL!$C$9, $D$9, 100%, $F$9) + CHOOSE(CONTROL!$C$27, 0.0021, 0)</f>
        <v>52.405099999999997</v>
      </c>
      <c r="C495" s="17">
        <f>51.9707 * CHOOSE(CONTROL!$C$9, $D$9, 100%, $F$9) + CHOOSE(CONTROL!$C$27, 0.0021, 0)</f>
        <v>51.972799999999999</v>
      </c>
      <c r="D495" s="17">
        <f>51.9707 * CHOOSE(CONTROL!$C$9, $D$9, 100%, $F$9) + CHOOSE(CONTROL!$C$27, 0.0021, 0)</f>
        <v>51.972799999999999</v>
      </c>
      <c r="E495" s="17">
        <f>51.8341 * CHOOSE(CONTROL!$C$9, $D$9, 100%, $F$9) + CHOOSE(CONTROL!$C$27, 0.0021, 0)</f>
        <v>51.836199999999998</v>
      </c>
      <c r="F495" s="17">
        <f>51.8341 * CHOOSE(CONTROL!$C$9, $D$9, 100%, $F$9) + CHOOSE(CONTROL!$C$27, 0.0021, 0)</f>
        <v>51.836199999999998</v>
      </c>
      <c r="G495" s="17">
        <f>52.1055 * CHOOSE(CONTROL!$C$9, $D$9, 100%, $F$9) + CHOOSE(CONTROL!$C$27, 0.0021, 0)</f>
        <v>52.107599999999998</v>
      </c>
      <c r="H495" s="17">
        <f>51.9707 * CHOOSE(CONTROL!$C$9, $D$9, 100%, $F$9) + CHOOSE(CONTROL!$C$27, 0.0021, 0)</f>
        <v>51.972799999999999</v>
      </c>
      <c r="I495" s="17">
        <f>51.9707 * CHOOSE(CONTROL!$C$9, $D$9, 100%, $F$9) + CHOOSE(CONTROL!$C$27, 0.0021, 0)</f>
        <v>51.972799999999999</v>
      </c>
      <c r="J495" s="17">
        <f>51.9707 * CHOOSE(CONTROL!$C$9, $D$9, 100%, $F$9) + CHOOSE(CONTROL!$C$27, 0.0021, 0)</f>
        <v>51.972799999999999</v>
      </c>
      <c r="K495" s="17">
        <f>51.9707 * CHOOSE(CONTROL!$C$9, $D$9, 100%, $F$9) + CHOOSE(CONTROL!$C$27, 0.0021, 0)</f>
        <v>51.972799999999999</v>
      </c>
      <c r="L495" s="17"/>
    </row>
    <row r="496" spans="1:12" ht="15.75" x14ac:dyDescent="0.25">
      <c r="A496" s="14">
        <v>56035</v>
      </c>
      <c r="B496" s="17">
        <f>53.4553 * CHOOSE(CONTROL!$C$9, $D$9, 100%, $F$9) + CHOOSE(CONTROL!$C$27, 0.0021, 0)</f>
        <v>53.4574</v>
      </c>
      <c r="C496" s="17">
        <f>53.0231 * CHOOSE(CONTROL!$C$9, $D$9, 100%, $F$9) + CHOOSE(CONTROL!$C$27, 0.0021, 0)</f>
        <v>53.025199999999998</v>
      </c>
      <c r="D496" s="17">
        <f>53.0231 * CHOOSE(CONTROL!$C$9, $D$9, 100%, $F$9) + CHOOSE(CONTROL!$C$27, 0.0021, 0)</f>
        <v>53.025199999999998</v>
      </c>
      <c r="E496" s="17">
        <f>52.8864 * CHOOSE(CONTROL!$C$9, $D$9, 100%, $F$9) + CHOOSE(CONTROL!$C$27, 0.0021, 0)</f>
        <v>52.888500000000001</v>
      </c>
      <c r="F496" s="17">
        <f>52.8864 * CHOOSE(CONTROL!$C$9, $D$9, 100%, $F$9) + CHOOSE(CONTROL!$C$27, 0.0021, 0)</f>
        <v>52.888500000000001</v>
      </c>
      <c r="G496" s="17">
        <f>53.1578 * CHOOSE(CONTROL!$C$9, $D$9, 100%, $F$9) + CHOOSE(CONTROL!$C$27, 0.0021, 0)</f>
        <v>53.1599</v>
      </c>
      <c r="H496" s="17">
        <f>53.0231 * CHOOSE(CONTROL!$C$9, $D$9, 100%, $F$9) + CHOOSE(CONTROL!$C$27, 0.0021, 0)</f>
        <v>53.025199999999998</v>
      </c>
      <c r="I496" s="17">
        <f>53.0231 * CHOOSE(CONTROL!$C$9, $D$9, 100%, $F$9) + CHOOSE(CONTROL!$C$27, 0.0021, 0)</f>
        <v>53.025199999999998</v>
      </c>
      <c r="J496" s="17">
        <f>53.0231 * CHOOSE(CONTROL!$C$9, $D$9, 100%, $F$9) + CHOOSE(CONTROL!$C$27, 0.0021, 0)</f>
        <v>53.025199999999998</v>
      </c>
      <c r="K496" s="17">
        <f>53.0231 * CHOOSE(CONTROL!$C$9, $D$9, 100%, $F$9) + CHOOSE(CONTROL!$C$27, 0.0021, 0)</f>
        <v>53.025199999999998</v>
      </c>
      <c r="L496" s="17"/>
    </row>
    <row r="497" spans="1:12" ht="15.75" x14ac:dyDescent="0.25">
      <c r="A497" s="14">
        <v>56065</v>
      </c>
      <c r="B497" s="17">
        <f>54.0856 * CHOOSE(CONTROL!$C$9, $D$9, 100%, $F$9) + CHOOSE(CONTROL!$C$27, 0.0021, 0)</f>
        <v>54.087699999999998</v>
      </c>
      <c r="C497" s="17">
        <f>53.6534 * CHOOSE(CONTROL!$C$9, $D$9, 100%, $F$9) + CHOOSE(CONTROL!$C$27, 0.0021, 0)</f>
        <v>53.655499999999996</v>
      </c>
      <c r="D497" s="17">
        <f>53.6534 * CHOOSE(CONTROL!$C$9, $D$9, 100%, $F$9) + CHOOSE(CONTROL!$C$27, 0.0021, 0)</f>
        <v>53.655499999999996</v>
      </c>
      <c r="E497" s="17">
        <f>53.5167 * CHOOSE(CONTROL!$C$9, $D$9, 100%, $F$9) + CHOOSE(CONTROL!$C$27, 0.0021, 0)</f>
        <v>53.518799999999999</v>
      </c>
      <c r="F497" s="17">
        <f>53.5167 * CHOOSE(CONTROL!$C$9, $D$9, 100%, $F$9) + CHOOSE(CONTROL!$C$27, 0.0021, 0)</f>
        <v>53.518799999999999</v>
      </c>
      <c r="G497" s="17">
        <f>53.7881 * CHOOSE(CONTROL!$C$9, $D$9, 100%, $F$9) + CHOOSE(CONTROL!$C$27, 0.0021, 0)</f>
        <v>53.790199999999999</v>
      </c>
      <c r="H497" s="17">
        <f>53.6534 * CHOOSE(CONTROL!$C$9, $D$9, 100%, $F$9) + CHOOSE(CONTROL!$C$27, 0.0021, 0)</f>
        <v>53.655499999999996</v>
      </c>
      <c r="I497" s="17">
        <f>53.6534 * CHOOSE(CONTROL!$C$9, $D$9, 100%, $F$9) + CHOOSE(CONTROL!$C$27, 0.0021, 0)</f>
        <v>53.655499999999996</v>
      </c>
      <c r="J497" s="17">
        <f>53.6534 * CHOOSE(CONTROL!$C$9, $D$9, 100%, $F$9) + CHOOSE(CONTROL!$C$27, 0.0021, 0)</f>
        <v>53.655499999999996</v>
      </c>
      <c r="K497" s="17">
        <f>53.6534 * CHOOSE(CONTROL!$C$9, $D$9, 100%, $F$9) + CHOOSE(CONTROL!$C$27, 0.0021, 0)</f>
        <v>53.655499999999996</v>
      </c>
      <c r="L497" s="17"/>
    </row>
    <row r="498" spans="1:12" ht="15.75" x14ac:dyDescent="0.25">
      <c r="A498" s="14">
        <v>56096</v>
      </c>
      <c r="B498" s="17">
        <f>55.1254 * CHOOSE(CONTROL!$C$9, $D$9, 100%, $F$9) + CHOOSE(CONTROL!$C$27, 0.0021, 0)</f>
        <v>55.127499999999998</v>
      </c>
      <c r="C498" s="17">
        <f>54.6932 * CHOOSE(CONTROL!$C$9, $D$9, 100%, $F$9) + CHOOSE(CONTROL!$C$27, 0.0021, 0)</f>
        <v>54.695299999999996</v>
      </c>
      <c r="D498" s="17">
        <f>54.6932 * CHOOSE(CONTROL!$C$9, $D$9, 100%, $F$9) + CHOOSE(CONTROL!$C$27, 0.0021, 0)</f>
        <v>54.695299999999996</v>
      </c>
      <c r="E498" s="17">
        <f>54.5565 * CHOOSE(CONTROL!$C$9, $D$9, 100%, $F$9) + CHOOSE(CONTROL!$C$27, 0.0021, 0)</f>
        <v>54.558599999999998</v>
      </c>
      <c r="F498" s="17">
        <f>54.5565 * CHOOSE(CONTROL!$C$9, $D$9, 100%, $F$9) + CHOOSE(CONTROL!$C$27, 0.0021, 0)</f>
        <v>54.558599999999998</v>
      </c>
      <c r="G498" s="17">
        <f>54.8279 * CHOOSE(CONTROL!$C$9, $D$9, 100%, $F$9) + CHOOSE(CONTROL!$C$27, 0.0021, 0)</f>
        <v>54.83</v>
      </c>
      <c r="H498" s="17">
        <f>54.6932 * CHOOSE(CONTROL!$C$9, $D$9, 100%, $F$9) + CHOOSE(CONTROL!$C$27, 0.0021, 0)</f>
        <v>54.695299999999996</v>
      </c>
      <c r="I498" s="17">
        <f>54.6932 * CHOOSE(CONTROL!$C$9, $D$9, 100%, $F$9) + CHOOSE(CONTROL!$C$27, 0.0021, 0)</f>
        <v>54.695299999999996</v>
      </c>
      <c r="J498" s="17">
        <f>54.6932 * CHOOSE(CONTROL!$C$9, $D$9, 100%, $F$9) + CHOOSE(CONTROL!$C$27, 0.0021, 0)</f>
        <v>54.695299999999996</v>
      </c>
      <c r="K498" s="17">
        <f>54.6932 * CHOOSE(CONTROL!$C$9, $D$9, 100%, $F$9) + CHOOSE(CONTROL!$C$27, 0.0021, 0)</f>
        <v>54.695299999999996</v>
      </c>
      <c r="L498" s="17"/>
    </row>
    <row r="499" spans="1:12" ht="15.75" x14ac:dyDescent="0.25">
      <c r="A499" s="14">
        <v>56127</v>
      </c>
      <c r="B499" s="17">
        <f>55.4428 * CHOOSE(CONTROL!$C$9, $D$9, 100%, $F$9) + CHOOSE(CONTROL!$C$27, 0.0021, 0)</f>
        <v>55.444899999999997</v>
      </c>
      <c r="C499" s="17">
        <f>55.0106 * CHOOSE(CONTROL!$C$9, $D$9, 100%, $F$9) + CHOOSE(CONTROL!$C$27, 0.0021, 0)</f>
        <v>55.012699999999995</v>
      </c>
      <c r="D499" s="17">
        <f>55.0106 * CHOOSE(CONTROL!$C$9, $D$9, 100%, $F$9) + CHOOSE(CONTROL!$C$27, 0.0021, 0)</f>
        <v>55.012699999999995</v>
      </c>
      <c r="E499" s="17">
        <f>54.8739 * CHOOSE(CONTROL!$C$9, $D$9, 100%, $F$9) + CHOOSE(CONTROL!$C$27, 0.0021, 0)</f>
        <v>54.875999999999998</v>
      </c>
      <c r="F499" s="17">
        <f>54.8739 * CHOOSE(CONTROL!$C$9, $D$9, 100%, $F$9) + CHOOSE(CONTROL!$C$27, 0.0021, 0)</f>
        <v>54.875999999999998</v>
      </c>
      <c r="G499" s="17">
        <f>55.1453 * CHOOSE(CONTROL!$C$9, $D$9, 100%, $F$9) + CHOOSE(CONTROL!$C$27, 0.0021, 0)</f>
        <v>55.147399999999998</v>
      </c>
      <c r="H499" s="17">
        <f>55.0106 * CHOOSE(CONTROL!$C$9, $D$9, 100%, $F$9) + CHOOSE(CONTROL!$C$27, 0.0021, 0)</f>
        <v>55.012699999999995</v>
      </c>
      <c r="I499" s="17">
        <f>55.0106 * CHOOSE(CONTROL!$C$9, $D$9, 100%, $F$9) + CHOOSE(CONTROL!$C$27, 0.0021, 0)</f>
        <v>55.012699999999995</v>
      </c>
      <c r="J499" s="17">
        <f>55.0106 * CHOOSE(CONTROL!$C$9, $D$9, 100%, $F$9) + CHOOSE(CONTROL!$C$27, 0.0021, 0)</f>
        <v>55.012699999999995</v>
      </c>
      <c r="K499" s="17">
        <f>55.0106 * CHOOSE(CONTROL!$C$9, $D$9, 100%, $F$9) + CHOOSE(CONTROL!$C$27, 0.0021, 0)</f>
        <v>55.012699999999995</v>
      </c>
      <c r="L499" s="17"/>
    </row>
    <row r="500" spans="1:12" ht="15.75" x14ac:dyDescent="0.25">
      <c r="A500" s="14">
        <v>56157</v>
      </c>
      <c r="B500" s="17">
        <f>56.5236 * CHOOSE(CONTROL!$C$9, $D$9, 100%, $F$9) + CHOOSE(CONTROL!$C$27, 0.0021, 0)</f>
        <v>56.525700000000001</v>
      </c>
      <c r="C500" s="17">
        <f>56.0914 * CHOOSE(CONTROL!$C$9, $D$9, 100%, $F$9) + CHOOSE(CONTROL!$C$27, 0.0021, 0)</f>
        <v>56.093499999999999</v>
      </c>
      <c r="D500" s="17">
        <f>56.0914 * CHOOSE(CONTROL!$C$9, $D$9, 100%, $F$9) + CHOOSE(CONTROL!$C$27, 0.0021, 0)</f>
        <v>56.093499999999999</v>
      </c>
      <c r="E500" s="17">
        <f>55.9547 * CHOOSE(CONTROL!$C$9, $D$9, 100%, $F$9) + CHOOSE(CONTROL!$C$27, 0.0021, 0)</f>
        <v>55.956800000000001</v>
      </c>
      <c r="F500" s="17">
        <f>55.9547 * CHOOSE(CONTROL!$C$9, $D$9, 100%, $F$9) + CHOOSE(CONTROL!$C$27, 0.0021, 0)</f>
        <v>55.956800000000001</v>
      </c>
      <c r="G500" s="17">
        <f>56.2261 * CHOOSE(CONTROL!$C$9, $D$9, 100%, $F$9) + CHOOSE(CONTROL!$C$27, 0.0021, 0)</f>
        <v>56.228200000000001</v>
      </c>
      <c r="H500" s="17">
        <f>56.0914 * CHOOSE(CONTROL!$C$9, $D$9, 100%, $F$9) + CHOOSE(CONTROL!$C$27, 0.0021, 0)</f>
        <v>56.093499999999999</v>
      </c>
      <c r="I500" s="17">
        <f>56.0914 * CHOOSE(CONTROL!$C$9, $D$9, 100%, $F$9) + CHOOSE(CONTROL!$C$27, 0.0021, 0)</f>
        <v>56.093499999999999</v>
      </c>
      <c r="J500" s="17">
        <f>56.0914 * CHOOSE(CONTROL!$C$9, $D$9, 100%, $F$9) + CHOOSE(CONTROL!$C$27, 0.0021, 0)</f>
        <v>56.093499999999999</v>
      </c>
      <c r="K500" s="17">
        <f>56.0914 * CHOOSE(CONTROL!$C$9, $D$9, 100%, $F$9) + CHOOSE(CONTROL!$C$27, 0.0021, 0)</f>
        <v>56.093499999999999</v>
      </c>
      <c r="L500" s="17"/>
    </row>
    <row r="501" spans="1:12" ht="15.75" x14ac:dyDescent="0.25">
      <c r="A501" s="14">
        <v>56188</v>
      </c>
      <c r="B501" s="17">
        <f>57.8917 * CHOOSE(CONTROL!$C$9, $D$9, 100%, $F$9) + CHOOSE(CONTROL!$C$27, 0.0021, 0)</f>
        <v>57.893799999999999</v>
      </c>
      <c r="C501" s="17">
        <f>57.4595 * CHOOSE(CONTROL!$C$9, $D$9, 100%, $F$9) + CHOOSE(CONTROL!$C$27, 0.0021, 0)</f>
        <v>57.461599999999997</v>
      </c>
      <c r="D501" s="17">
        <f>57.4595 * CHOOSE(CONTROL!$C$9, $D$9, 100%, $F$9) + CHOOSE(CONTROL!$C$27, 0.0021, 0)</f>
        <v>57.461599999999997</v>
      </c>
      <c r="E501" s="17">
        <f>57.3228 * CHOOSE(CONTROL!$C$9, $D$9, 100%, $F$9) + CHOOSE(CONTROL!$C$27, 0.0021, 0)</f>
        <v>57.3249</v>
      </c>
      <c r="F501" s="17">
        <f>57.3228 * CHOOSE(CONTROL!$C$9, $D$9, 100%, $F$9) + CHOOSE(CONTROL!$C$27, 0.0021, 0)</f>
        <v>57.3249</v>
      </c>
      <c r="G501" s="17">
        <f>57.5942 * CHOOSE(CONTROL!$C$9, $D$9, 100%, $F$9) + CHOOSE(CONTROL!$C$27, 0.0021, 0)</f>
        <v>57.596299999999999</v>
      </c>
      <c r="H501" s="17">
        <f>57.4595 * CHOOSE(CONTROL!$C$9, $D$9, 100%, $F$9) + CHOOSE(CONTROL!$C$27, 0.0021, 0)</f>
        <v>57.461599999999997</v>
      </c>
      <c r="I501" s="17">
        <f>57.4595 * CHOOSE(CONTROL!$C$9, $D$9, 100%, $F$9) + CHOOSE(CONTROL!$C$27, 0.0021, 0)</f>
        <v>57.461599999999997</v>
      </c>
      <c r="J501" s="17">
        <f>57.4595 * CHOOSE(CONTROL!$C$9, $D$9, 100%, $F$9) + CHOOSE(CONTROL!$C$27, 0.0021, 0)</f>
        <v>57.461599999999997</v>
      </c>
      <c r="K501" s="17">
        <f>57.4595 * CHOOSE(CONTROL!$C$9, $D$9, 100%, $F$9) + CHOOSE(CONTROL!$C$27, 0.0021, 0)</f>
        <v>57.461599999999997</v>
      </c>
      <c r="L501" s="17"/>
    </row>
    <row r="502" spans="1:12" ht="15.75" x14ac:dyDescent="0.25">
      <c r="A502" s="14">
        <v>56218</v>
      </c>
      <c r="B502" s="17">
        <f>58.0202 * CHOOSE(CONTROL!$C$9, $D$9, 100%, $F$9) + CHOOSE(CONTROL!$C$27, 0.0021, 0)</f>
        <v>58.022300000000001</v>
      </c>
      <c r="C502" s="17">
        <f>57.5879 * CHOOSE(CONTROL!$C$9, $D$9, 100%, $F$9) + CHOOSE(CONTROL!$C$27, 0.0021, 0)</f>
        <v>57.589999999999996</v>
      </c>
      <c r="D502" s="17">
        <f>57.5879 * CHOOSE(CONTROL!$C$9, $D$9, 100%, $F$9) + CHOOSE(CONTROL!$C$27, 0.0021, 0)</f>
        <v>57.589999999999996</v>
      </c>
      <c r="E502" s="17">
        <f>57.4513 * CHOOSE(CONTROL!$C$9, $D$9, 100%, $F$9) + CHOOSE(CONTROL!$C$27, 0.0021, 0)</f>
        <v>57.453400000000002</v>
      </c>
      <c r="F502" s="17">
        <f>57.4513 * CHOOSE(CONTROL!$C$9, $D$9, 100%, $F$9) + CHOOSE(CONTROL!$C$27, 0.0021, 0)</f>
        <v>57.453400000000002</v>
      </c>
      <c r="G502" s="17">
        <f>57.7226 * CHOOSE(CONTROL!$C$9, $D$9, 100%, $F$9) + CHOOSE(CONTROL!$C$27, 0.0021, 0)</f>
        <v>57.724699999999999</v>
      </c>
      <c r="H502" s="17">
        <f>57.5879 * CHOOSE(CONTROL!$C$9, $D$9, 100%, $F$9) + CHOOSE(CONTROL!$C$27, 0.0021, 0)</f>
        <v>57.589999999999996</v>
      </c>
      <c r="I502" s="17">
        <f>57.5879 * CHOOSE(CONTROL!$C$9, $D$9, 100%, $F$9) + CHOOSE(CONTROL!$C$27, 0.0021, 0)</f>
        <v>57.589999999999996</v>
      </c>
      <c r="J502" s="17">
        <f>57.5879 * CHOOSE(CONTROL!$C$9, $D$9, 100%, $F$9) + CHOOSE(CONTROL!$C$27, 0.0021, 0)</f>
        <v>57.589999999999996</v>
      </c>
      <c r="K502" s="17">
        <f>57.5879 * CHOOSE(CONTROL!$C$9, $D$9, 100%, $F$9) + CHOOSE(CONTROL!$C$27, 0.0021, 0)</f>
        <v>57.589999999999996</v>
      </c>
      <c r="L502" s="17"/>
    </row>
    <row r="503" spans="1:12" ht="15.75" x14ac:dyDescent="0.25">
      <c r="A503" s="14">
        <v>56249</v>
      </c>
      <c r="B503" s="17">
        <f>56.9275 * CHOOSE(CONTROL!$C$9, $D$9, 100%, $F$9) + CHOOSE(CONTROL!$C$27, 0.0021, 0)</f>
        <v>56.929600000000001</v>
      </c>
      <c r="C503" s="17">
        <f>56.4952 * CHOOSE(CONTROL!$C$9, $D$9, 100%, $F$9) + CHOOSE(CONTROL!$C$27, 0.0021, 0)</f>
        <v>56.497299999999996</v>
      </c>
      <c r="D503" s="17">
        <f>56.4952 * CHOOSE(CONTROL!$C$9, $D$9, 100%, $F$9) + CHOOSE(CONTROL!$C$27, 0.0021, 0)</f>
        <v>56.497299999999996</v>
      </c>
      <c r="E503" s="17">
        <f>56.3586 * CHOOSE(CONTROL!$C$9, $D$9, 100%, $F$9) + CHOOSE(CONTROL!$C$27, 0.0021, 0)</f>
        <v>56.360700000000001</v>
      </c>
      <c r="F503" s="17">
        <f>56.3586 * CHOOSE(CONTROL!$C$9, $D$9, 100%, $F$9) + CHOOSE(CONTROL!$C$27, 0.0021, 0)</f>
        <v>56.360700000000001</v>
      </c>
      <c r="G503" s="17">
        <f>56.63 * CHOOSE(CONTROL!$C$9, $D$9, 100%, $F$9) + CHOOSE(CONTROL!$C$27, 0.0021, 0)</f>
        <v>56.632100000000001</v>
      </c>
      <c r="H503" s="17">
        <f>56.4952 * CHOOSE(CONTROL!$C$9, $D$9, 100%, $F$9) + CHOOSE(CONTROL!$C$27, 0.0021, 0)</f>
        <v>56.497299999999996</v>
      </c>
      <c r="I503" s="17">
        <f>56.4952 * CHOOSE(CONTROL!$C$9, $D$9, 100%, $F$9) + CHOOSE(CONTROL!$C$27, 0.0021, 0)</f>
        <v>56.497299999999996</v>
      </c>
      <c r="J503" s="17">
        <f>56.4952 * CHOOSE(CONTROL!$C$9, $D$9, 100%, $F$9) + CHOOSE(CONTROL!$C$27, 0.0021, 0)</f>
        <v>56.497299999999996</v>
      </c>
      <c r="K503" s="17">
        <f>56.4952 * CHOOSE(CONTROL!$C$9, $D$9, 100%, $F$9) + CHOOSE(CONTROL!$C$27, 0.0021, 0)</f>
        <v>56.497299999999996</v>
      </c>
      <c r="L503" s="17"/>
    </row>
    <row r="504" spans="1:12" ht="15.75" x14ac:dyDescent="0.25">
      <c r="A504" s="14">
        <v>56280</v>
      </c>
      <c r="B504" s="17">
        <f>56.2369 * CHOOSE(CONTROL!$C$9, $D$9, 100%, $F$9) + CHOOSE(CONTROL!$C$27, 0.0021, 0)</f>
        <v>56.238999999999997</v>
      </c>
      <c r="C504" s="17">
        <f>55.8046 * CHOOSE(CONTROL!$C$9, $D$9, 100%, $F$9) + CHOOSE(CONTROL!$C$27, 0.0021, 0)</f>
        <v>55.806699999999999</v>
      </c>
      <c r="D504" s="17">
        <f>55.8046 * CHOOSE(CONTROL!$C$9, $D$9, 100%, $F$9) + CHOOSE(CONTROL!$C$27, 0.0021, 0)</f>
        <v>55.806699999999999</v>
      </c>
      <c r="E504" s="17">
        <f>55.6679 * CHOOSE(CONTROL!$C$9, $D$9, 100%, $F$9) + CHOOSE(CONTROL!$C$27, 0.0021, 0)</f>
        <v>55.67</v>
      </c>
      <c r="F504" s="17">
        <f>55.6679 * CHOOSE(CONTROL!$C$9, $D$9, 100%, $F$9) + CHOOSE(CONTROL!$C$27, 0.0021, 0)</f>
        <v>55.67</v>
      </c>
      <c r="G504" s="17">
        <f>55.9393 * CHOOSE(CONTROL!$C$9, $D$9, 100%, $F$9) + CHOOSE(CONTROL!$C$27, 0.0021, 0)</f>
        <v>55.941400000000002</v>
      </c>
      <c r="H504" s="17">
        <f>55.8046 * CHOOSE(CONTROL!$C$9, $D$9, 100%, $F$9) + CHOOSE(CONTROL!$C$27, 0.0021, 0)</f>
        <v>55.806699999999999</v>
      </c>
      <c r="I504" s="17">
        <f>55.8046 * CHOOSE(CONTROL!$C$9, $D$9, 100%, $F$9) + CHOOSE(CONTROL!$C$27, 0.0021, 0)</f>
        <v>55.806699999999999</v>
      </c>
      <c r="J504" s="17">
        <f>55.8046 * CHOOSE(CONTROL!$C$9, $D$9, 100%, $F$9) + CHOOSE(CONTROL!$C$27, 0.0021, 0)</f>
        <v>55.806699999999999</v>
      </c>
      <c r="K504" s="17">
        <f>55.8046 * CHOOSE(CONTROL!$C$9, $D$9, 100%, $F$9) + CHOOSE(CONTROL!$C$27, 0.0021, 0)</f>
        <v>55.806699999999999</v>
      </c>
      <c r="L504" s="17"/>
    </row>
    <row r="505" spans="1:12" ht="15.75" x14ac:dyDescent="0.25">
      <c r="A505" s="14">
        <v>56308</v>
      </c>
      <c r="B505" s="17">
        <f>54.711 * CHOOSE(CONTROL!$C$9, $D$9, 100%, $F$9) + CHOOSE(CONTROL!$C$27, 0.0021, 0)</f>
        <v>54.713099999999997</v>
      </c>
      <c r="C505" s="17">
        <f>54.2788 * CHOOSE(CONTROL!$C$9, $D$9, 100%, $F$9) + CHOOSE(CONTROL!$C$27, 0.0021, 0)</f>
        <v>54.280899999999995</v>
      </c>
      <c r="D505" s="17">
        <f>54.2788 * CHOOSE(CONTROL!$C$9, $D$9, 100%, $F$9) + CHOOSE(CONTROL!$C$27, 0.0021, 0)</f>
        <v>54.280899999999995</v>
      </c>
      <c r="E505" s="17">
        <f>54.1421 * CHOOSE(CONTROL!$C$9, $D$9, 100%, $F$9) + CHOOSE(CONTROL!$C$27, 0.0021, 0)</f>
        <v>54.144199999999998</v>
      </c>
      <c r="F505" s="17">
        <f>54.1421 * CHOOSE(CONTROL!$C$9, $D$9, 100%, $F$9) + CHOOSE(CONTROL!$C$27, 0.0021, 0)</f>
        <v>54.144199999999998</v>
      </c>
      <c r="G505" s="17">
        <f>54.4135 * CHOOSE(CONTROL!$C$9, $D$9, 100%, $F$9) + CHOOSE(CONTROL!$C$27, 0.0021, 0)</f>
        <v>54.415599999999998</v>
      </c>
      <c r="H505" s="17">
        <f>54.2788 * CHOOSE(CONTROL!$C$9, $D$9, 100%, $F$9) + CHOOSE(CONTROL!$C$27, 0.0021, 0)</f>
        <v>54.280899999999995</v>
      </c>
      <c r="I505" s="17">
        <f>54.2788 * CHOOSE(CONTROL!$C$9, $D$9, 100%, $F$9) + CHOOSE(CONTROL!$C$27, 0.0021, 0)</f>
        <v>54.280899999999995</v>
      </c>
      <c r="J505" s="17">
        <f>54.2788 * CHOOSE(CONTROL!$C$9, $D$9, 100%, $F$9) + CHOOSE(CONTROL!$C$27, 0.0021, 0)</f>
        <v>54.280899999999995</v>
      </c>
      <c r="K505" s="17">
        <f>54.2788 * CHOOSE(CONTROL!$C$9, $D$9, 100%, $F$9) + CHOOSE(CONTROL!$C$27, 0.0021, 0)</f>
        <v>54.280899999999995</v>
      </c>
      <c r="L505" s="17"/>
    </row>
    <row r="506" spans="1:12" ht="15.75" x14ac:dyDescent="0.25">
      <c r="A506" s="14">
        <v>56339</v>
      </c>
      <c r="B506" s="17">
        <f>54.0811 * CHOOSE(CONTROL!$C$9, $D$9, 100%, $F$9) + CHOOSE(CONTROL!$C$27, 0.0021, 0)</f>
        <v>54.083199999999998</v>
      </c>
      <c r="C506" s="17">
        <f>53.6489 * CHOOSE(CONTROL!$C$9, $D$9, 100%, $F$9) + CHOOSE(CONTROL!$C$27, 0.0021, 0)</f>
        <v>53.650999999999996</v>
      </c>
      <c r="D506" s="17">
        <f>53.6489 * CHOOSE(CONTROL!$C$9, $D$9, 100%, $F$9) + CHOOSE(CONTROL!$C$27, 0.0021, 0)</f>
        <v>53.650999999999996</v>
      </c>
      <c r="E506" s="17">
        <f>53.5122 * CHOOSE(CONTROL!$C$9, $D$9, 100%, $F$9) + CHOOSE(CONTROL!$C$27, 0.0021, 0)</f>
        <v>53.514299999999999</v>
      </c>
      <c r="F506" s="17">
        <f>53.5122 * CHOOSE(CONTROL!$C$9, $D$9, 100%, $F$9) + CHOOSE(CONTROL!$C$27, 0.0021, 0)</f>
        <v>53.514299999999999</v>
      </c>
      <c r="G506" s="17">
        <f>53.7836 * CHOOSE(CONTROL!$C$9, $D$9, 100%, $F$9) + CHOOSE(CONTROL!$C$27, 0.0021, 0)</f>
        <v>53.785699999999999</v>
      </c>
      <c r="H506" s="17">
        <f>53.6489 * CHOOSE(CONTROL!$C$9, $D$9, 100%, $F$9) + CHOOSE(CONTROL!$C$27, 0.0021, 0)</f>
        <v>53.650999999999996</v>
      </c>
      <c r="I506" s="17">
        <f>53.6489 * CHOOSE(CONTROL!$C$9, $D$9, 100%, $F$9) + CHOOSE(CONTROL!$C$27, 0.0021, 0)</f>
        <v>53.650999999999996</v>
      </c>
      <c r="J506" s="17">
        <f>53.6489 * CHOOSE(CONTROL!$C$9, $D$9, 100%, $F$9) + CHOOSE(CONTROL!$C$27, 0.0021, 0)</f>
        <v>53.650999999999996</v>
      </c>
      <c r="K506" s="17">
        <f>53.6489 * CHOOSE(CONTROL!$C$9, $D$9, 100%, $F$9) + CHOOSE(CONTROL!$C$27, 0.0021, 0)</f>
        <v>53.650999999999996</v>
      </c>
      <c r="L506" s="17"/>
    </row>
    <row r="507" spans="1:12" ht="15.75" x14ac:dyDescent="0.25">
      <c r="A507" s="14">
        <v>56369</v>
      </c>
      <c r="B507" s="17">
        <f>53.3291 * CHOOSE(CONTROL!$C$9, $D$9, 100%, $F$9) + CHOOSE(CONTROL!$C$27, 0.0021, 0)</f>
        <v>53.331199999999995</v>
      </c>
      <c r="C507" s="17">
        <f>52.8968 * CHOOSE(CONTROL!$C$9, $D$9, 100%, $F$9) + CHOOSE(CONTROL!$C$27, 0.0021, 0)</f>
        <v>52.898899999999998</v>
      </c>
      <c r="D507" s="17">
        <f>52.8968 * CHOOSE(CONTROL!$C$9, $D$9, 100%, $F$9) + CHOOSE(CONTROL!$C$27, 0.0021, 0)</f>
        <v>52.898899999999998</v>
      </c>
      <c r="E507" s="17">
        <f>52.7602 * CHOOSE(CONTROL!$C$9, $D$9, 100%, $F$9) + CHOOSE(CONTROL!$C$27, 0.0021, 0)</f>
        <v>52.762299999999996</v>
      </c>
      <c r="F507" s="17">
        <f>52.7602 * CHOOSE(CONTROL!$C$9, $D$9, 100%, $F$9) + CHOOSE(CONTROL!$C$27, 0.0021, 0)</f>
        <v>52.762299999999996</v>
      </c>
      <c r="G507" s="17">
        <f>53.0315 * CHOOSE(CONTROL!$C$9, $D$9, 100%, $F$9) + CHOOSE(CONTROL!$C$27, 0.0021, 0)</f>
        <v>53.0336</v>
      </c>
      <c r="H507" s="17">
        <f>52.8968 * CHOOSE(CONTROL!$C$9, $D$9, 100%, $F$9) + CHOOSE(CONTROL!$C$27, 0.0021, 0)</f>
        <v>52.898899999999998</v>
      </c>
      <c r="I507" s="17">
        <f>52.8968 * CHOOSE(CONTROL!$C$9, $D$9, 100%, $F$9) + CHOOSE(CONTROL!$C$27, 0.0021, 0)</f>
        <v>52.898899999999998</v>
      </c>
      <c r="J507" s="17">
        <f>52.8968 * CHOOSE(CONTROL!$C$9, $D$9, 100%, $F$9) + CHOOSE(CONTROL!$C$27, 0.0021, 0)</f>
        <v>52.898899999999998</v>
      </c>
      <c r="K507" s="17">
        <f>52.8968 * CHOOSE(CONTROL!$C$9, $D$9, 100%, $F$9) + CHOOSE(CONTROL!$C$27, 0.0021, 0)</f>
        <v>52.898899999999998</v>
      </c>
      <c r="L507" s="17"/>
    </row>
    <row r="508" spans="1:12" ht="15.75" x14ac:dyDescent="0.25">
      <c r="A508" s="14">
        <v>56400</v>
      </c>
      <c r="B508" s="17">
        <f>54.4009 * CHOOSE(CONTROL!$C$9, $D$9, 100%, $F$9) + CHOOSE(CONTROL!$C$27, 0.0021, 0)</f>
        <v>54.402999999999999</v>
      </c>
      <c r="C508" s="17">
        <f>53.9686 * CHOOSE(CONTROL!$C$9, $D$9, 100%, $F$9) + CHOOSE(CONTROL!$C$27, 0.0021, 0)</f>
        <v>53.970700000000001</v>
      </c>
      <c r="D508" s="17">
        <f>53.9686 * CHOOSE(CONTROL!$C$9, $D$9, 100%, $F$9) + CHOOSE(CONTROL!$C$27, 0.0021, 0)</f>
        <v>53.970700000000001</v>
      </c>
      <c r="E508" s="17">
        <f>53.832 * CHOOSE(CONTROL!$C$9, $D$9, 100%, $F$9) + CHOOSE(CONTROL!$C$27, 0.0021, 0)</f>
        <v>53.834099999999999</v>
      </c>
      <c r="F508" s="17">
        <f>53.832 * CHOOSE(CONTROL!$C$9, $D$9, 100%, $F$9) + CHOOSE(CONTROL!$C$27, 0.0021, 0)</f>
        <v>53.834099999999999</v>
      </c>
      <c r="G508" s="17">
        <f>54.1033 * CHOOSE(CONTROL!$C$9, $D$9, 100%, $F$9) + CHOOSE(CONTROL!$C$27, 0.0021, 0)</f>
        <v>54.105399999999996</v>
      </c>
      <c r="H508" s="17">
        <f>53.9686 * CHOOSE(CONTROL!$C$9, $D$9, 100%, $F$9) + CHOOSE(CONTROL!$C$27, 0.0021, 0)</f>
        <v>53.970700000000001</v>
      </c>
      <c r="I508" s="17">
        <f>53.9686 * CHOOSE(CONTROL!$C$9, $D$9, 100%, $F$9) + CHOOSE(CONTROL!$C$27, 0.0021, 0)</f>
        <v>53.970700000000001</v>
      </c>
      <c r="J508" s="17">
        <f>53.9686 * CHOOSE(CONTROL!$C$9, $D$9, 100%, $F$9) + CHOOSE(CONTROL!$C$27, 0.0021, 0)</f>
        <v>53.970700000000001</v>
      </c>
      <c r="K508" s="17">
        <f>53.9686 * CHOOSE(CONTROL!$C$9, $D$9, 100%, $F$9) + CHOOSE(CONTROL!$C$27, 0.0021, 0)</f>
        <v>53.970700000000001</v>
      </c>
      <c r="L508" s="17"/>
    </row>
    <row r="509" spans="1:12" ht="15.75" x14ac:dyDescent="0.25">
      <c r="A509" s="14">
        <v>56430</v>
      </c>
      <c r="B509" s="17">
        <f>55.0428 * CHOOSE(CONTROL!$C$9, $D$9, 100%, $F$9) + CHOOSE(CONTROL!$C$27, 0.0021, 0)</f>
        <v>55.044899999999998</v>
      </c>
      <c r="C509" s="17">
        <f>54.6106 * CHOOSE(CONTROL!$C$9, $D$9, 100%, $F$9) + CHOOSE(CONTROL!$C$27, 0.0021, 0)</f>
        <v>54.612699999999997</v>
      </c>
      <c r="D509" s="17">
        <f>54.6106 * CHOOSE(CONTROL!$C$9, $D$9, 100%, $F$9) + CHOOSE(CONTROL!$C$27, 0.0021, 0)</f>
        <v>54.612699999999997</v>
      </c>
      <c r="E509" s="17">
        <f>54.4739 * CHOOSE(CONTROL!$C$9, $D$9, 100%, $F$9) + CHOOSE(CONTROL!$C$27, 0.0021, 0)</f>
        <v>54.475999999999999</v>
      </c>
      <c r="F509" s="17">
        <f>54.4739 * CHOOSE(CONTROL!$C$9, $D$9, 100%, $F$9) + CHOOSE(CONTROL!$C$27, 0.0021, 0)</f>
        <v>54.475999999999999</v>
      </c>
      <c r="G509" s="17">
        <f>54.7453 * CHOOSE(CONTROL!$C$9, $D$9, 100%, $F$9) + CHOOSE(CONTROL!$C$27, 0.0021, 0)</f>
        <v>54.747399999999999</v>
      </c>
      <c r="H509" s="17">
        <f>54.6106 * CHOOSE(CONTROL!$C$9, $D$9, 100%, $F$9) + CHOOSE(CONTROL!$C$27, 0.0021, 0)</f>
        <v>54.612699999999997</v>
      </c>
      <c r="I509" s="17">
        <f>54.6106 * CHOOSE(CONTROL!$C$9, $D$9, 100%, $F$9) + CHOOSE(CONTROL!$C$27, 0.0021, 0)</f>
        <v>54.612699999999997</v>
      </c>
      <c r="J509" s="17">
        <f>54.6106 * CHOOSE(CONTROL!$C$9, $D$9, 100%, $F$9) + CHOOSE(CONTROL!$C$27, 0.0021, 0)</f>
        <v>54.612699999999997</v>
      </c>
      <c r="K509" s="17">
        <f>54.6106 * CHOOSE(CONTROL!$C$9, $D$9, 100%, $F$9) + CHOOSE(CONTROL!$C$27, 0.0021, 0)</f>
        <v>54.612699999999997</v>
      </c>
      <c r="L509" s="17"/>
    </row>
    <row r="510" spans="1:12" ht="15.75" x14ac:dyDescent="0.25">
      <c r="A510" s="14">
        <v>56461</v>
      </c>
      <c r="B510" s="17">
        <f>56.1018 * CHOOSE(CONTROL!$C$9, $D$9, 100%, $F$9) + CHOOSE(CONTROL!$C$27, 0.0021, 0)</f>
        <v>56.103899999999996</v>
      </c>
      <c r="C510" s="17">
        <f>55.6696 * CHOOSE(CONTROL!$C$9, $D$9, 100%, $F$9) + CHOOSE(CONTROL!$C$27, 0.0021, 0)</f>
        <v>55.671700000000001</v>
      </c>
      <c r="D510" s="17">
        <f>55.6696 * CHOOSE(CONTROL!$C$9, $D$9, 100%, $F$9) + CHOOSE(CONTROL!$C$27, 0.0021, 0)</f>
        <v>55.671700000000001</v>
      </c>
      <c r="E510" s="17">
        <f>55.5329 * CHOOSE(CONTROL!$C$9, $D$9, 100%, $F$9) + CHOOSE(CONTROL!$C$27, 0.0021, 0)</f>
        <v>55.534999999999997</v>
      </c>
      <c r="F510" s="17">
        <f>55.5329 * CHOOSE(CONTROL!$C$9, $D$9, 100%, $F$9) + CHOOSE(CONTROL!$C$27, 0.0021, 0)</f>
        <v>55.534999999999997</v>
      </c>
      <c r="G510" s="17">
        <f>55.8043 * CHOOSE(CONTROL!$C$9, $D$9, 100%, $F$9) + CHOOSE(CONTROL!$C$27, 0.0021, 0)</f>
        <v>55.806399999999996</v>
      </c>
      <c r="H510" s="17">
        <f>55.6696 * CHOOSE(CONTROL!$C$9, $D$9, 100%, $F$9) + CHOOSE(CONTROL!$C$27, 0.0021, 0)</f>
        <v>55.671700000000001</v>
      </c>
      <c r="I510" s="17">
        <f>55.6696 * CHOOSE(CONTROL!$C$9, $D$9, 100%, $F$9) + CHOOSE(CONTROL!$C$27, 0.0021, 0)</f>
        <v>55.671700000000001</v>
      </c>
      <c r="J510" s="17">
        <f>55.6696 * CHOOSE(CONTROL!$C$9, $D$9, 100%, $F$9) + CHOOSE(CONTROL!$C$27, 0.0021, 0)</f>
        <v>55.671700000000001</v>
      </c>
      <c r="K510" s="17">
        <f>55.6696 * CHOOSE(CONTROL!$C$9, $D$9, 100%, $F$9) + CHOOSE(CONTROL!$C$27, 0.0021, 0)</f>
        <v>55.671700000000001</v>
      </c>
      <c r="L510" s="17"/>
    </row>
    <row r="511" spans="1:12" ht="15.75" x14ac:dyDescent="0.25">
      <c r="A511" s="14">
        <v>56492</v>
      </c>
      <c r="B511" s="17">
        <f>56.4251 * CHOOSE(CONTROL!$C$9, $D$9, 100%, $F$9) + CHOOSE(CONTROL!$C$27, 0.0021, 0)</f>
        <v>56.427199999999999</v>
      </c>
      <c r="C511" s="17">
        <f>55.9928 * CHOOSE(CONTROL!$C$9, $D$9, 100%, $F$9) + CHOOSE(CONTROL!$C$27, 0.0021, 0)</f>
        <v>55.994900000000001</v>
      </c>
      <c r="D511" s="17">
        <f>55.9928 * CHOOSE(CONTROL!$C$9, $D$9, 100%, $F$9) + CHOOSE(CONTROL!$C$27, 0.0021, 0)</f>
        <v>55.994900000000001</v>
      </c>
      <c r="E511" s="17">
        <f>55.8562 * CHOOSE(CONTROL!$C$9, $D$9, 100%, $F$9) + CHOOSE(CONTROL!$C$27, 0.0021, 0)</f>
        <v>55.8583</v>
      </c>
      <c r="F511" s="17">
        <f>55.8562 * CHOOSE(CONTROL!$C$9, $D$9, 100%, $F$9) + CHOOSE(CONTROL!$C$27, 0.0021, 0)</f>
        <v>55.8583</v>
      </c>
      <c r="G511" s="17">
        <f>56.1275 * CHOOSE(CONTROL!$C$9, $D$9, 100%, $F$9) + CHOOSE(CONTROL!$C$27, 0.0021, 0)</f>
        <v>56.129599999999996</v>
      </c>
      <c r="H511" s="17">
        <f>55.9928 * CHOOSE(CONTROL!$C$9, $D$9, 100%, $F$9) + CHOOSE(CONTROL!$C$27, 0.0021, 0)</f>
        <v>55.994900000000001</v>
      </c>
      <c r="I511" s="17">
        <f>55.9928 * CHOOSE(CONTROL!$C$9, $D$9, 100%, $F$9) + CHOOSE(CONTROL!$C$27, 0.0021, 0)</f>
        <v>55.994900000000001</v>
      </c>
      <c r="J511" s="17">
        <f>55.9928 * CHOOSE(CONTROL!$C$9, $D$9, 100%, $F$9) + CHOOSE(CONTROL!$C$27, 0.0021, 0)</f>
        <v>55.994900000000001</v>
      </c>
      <c r="K511" s="17">
        <f>55.9928 * CHOOSE(CONTROL!$C$9, $D$9, 100%, $F$9) + CHOOSE(CONTROL!$C$27, 0.0021, 0)</f>
        <v>55.994900000000001</v>
      </c>
      <c r="L511" s="17"/>
    </row>
    <row r="512" spans="1:12" ht="15.75" x14ac:dyDescent="0.25">
      <c r="A512" s="14">
        <v>56522</v>
      </c>
      <c r="B512" s="17">
        <f>57.5259 * CHOOSE(CONTROL!$C$9, $D$9, 100%, $F$9) + CHOOSE(CONTROL!$C$27, 0.0021, 0)</f>
        <v>57.527999999999999</v>
      </c>
      <c r="C512" s="17">
        <f>57.0936 * CHOOSE(CONTROL!$C$9, $D$9, 100%, $F$9) + CHOOSE(CONTROL!$C$27, 0.0021, 0)</f>
        <v>57.095700000000001</v>
      </c>
      <c r="D512" s="17">
        <f>57.0936 * CHOOSE(CONTROL!$C$9, $D$9, 100%, $F$9) + CHOOSE(CONTROL!$C$27, 0.0021, 0)</f>
        <v>57.095700000000001</v>
      </c>
      <c r="E512" s="17">
        <f>56.9569 * CHOOSE(CONTROL!$C$9, $D$9, 100%, $F$9) + CHOOSE(CONTROL!$C$27, 0.0021, 0)</f>
        <v>56.958999999999996</v>
      </c>
      <c r="F512" s="17">
        <f>56.9569 * CHOOSE(CONTROL!$C$9, $D$9, 100%, $F$9) + CHOOSE(CONTROL!$C$27, 0.0021, 0)</f>
        <v>56.958999999999996</v>
      </c>
      <c r="G512" s="17">
        <f>57.2283 * CHOOSE(CONTROL!$C$9, $D$9, 100%, $F$9) + CHOOSE(CONTROL!$C$27, 0.0021, 0)</f>
        <v>57.230399999999996</v>
      </c>
      <c r="H512" s="17">
        <f>57.0936 * CHOOSE(CONTROL!$C$9, $D$9, 100%, $F$9) + CHOOSE(CONTROL!$C$27, 0.0021, 0)</f>
        <v>57.095700000000001</v>
      </c>
      <c r="I512" s="17">
        <f>57.0936 * CHOOSE(CONTROL!$C$9, $D$9, 100%, $F$9) + CHOOSE(CONTROL!$C$27, 0.0021, 0)</f>
        <v>57.095700000000001</v>
      </c>
      <c r="J512" s="17">
        <f>57.0936 * CHOOSE(CONTROL!$C$9, $D$9, 100%, $F$9) + CHOOSE(CONTROL!$C$27, 0.0021, 0)</f>
        <v>57.095700000000001</v>
      </c>
      <c r="K512" s="17">
        <f>57.0936 * CHOOSE(CONTROL!$C$9, $D$9, 100%, $F$9) + CHOOSE(CONTROL!$C$27, 0.0021, 0)</f>
        <v>57.095700000000001</v>
      </c>
      <c r="L512" s="17"/>
    </row>
    <row r="513" spans="1:12" ht="15.75" x14ac:dyDescent="0.25">
      <c r="A513" s="14">
        <v>56553</v>
      </c>
      <c r="B513" s="17">
        <f>58.9193 * CHOOSE(CONTROL!$C$9, $D$9, 100%, $F$9) + CHOOSE(CONTROL!$C$27, 0.0021, 0)</f>
        <v>58.921399999999998</v>
      </c>
      <c r="C513" s="17">
        <f>58.487 * CHOOSE(CONTROL!$C$9, $D$9, 100%, $F$9) + CHOOSE(CONTROL!$C$27, 0.0021, 0)</f>
        <v>58.489100000000001</v>
      </c>
      <c r="D513" s="17">
        <f>58.487 * CHOOSE(CONTROL!$C$9, $D$9, 100%, $F$9) + CHOOSE(CONTROL!$C$27, 0.0021, 0)</f>
        <v>58.489100000000001</v>
      </c>
      <c r="E513" s="17">
        <f>58.3504 * CHOOSE(CONTROL!$C$9, $D$9, 100%, $F$9) + CHOOSE(CONTROL!$C$27, 0.0021, 0)</f>
        <v>58.352499999999999</v>
      </c>
      <c r="F513" s="17">
        <f>58.3504 * CHOOSE(CONTROL!$C$9, $D$9, 100%, $F$9) + CHOOSE(CONTROL!$C$27, 0.0021, 0)</f>
        <v>58.352499999999999</v>
      </c>
      <c r="G513" s="17">
        <f>58.6217 * CHOOSE(CONTROL!$C$9, $D$9, 100%, $F$9) + CHOOSE(CONTROL!$C$27, 0.0021, 0)</f>
        <v>58.623799999999996</v>
      </c>
      <c r="H513" s="17">
        <f>58.487 * CHOOSE(CONTROL!$C$9, $D$9, 100%, $F$9) + CHOOSE(CONTROL!$C$27, 0.0021, 0)</f>
        <v>58.489100000000001</v>
      </c>
      <c r="I513" s="17">
        <f>58.487 * CHOOSE(CONTROL!$C$9, $D$9, 100%, $F$9) + CHOOSE(CONTROL!$C$27, 0.0021, 0)</f>
        <v>58.489100000000001</v>
      </c>
      <c r="J513" s="17">
        <f>58.487 * CHOOSE(CONTROL!$C$9, $D$9, 100%, $F$9) + CHOOSE(CONTROL!$C$27, 0.0021, 0)</f>
        <v>58.489100000000001</v>
      </c>
      <c r="K513" s="17">
        <f>58.487 * CHOOSE(CONTROL!$C$9, $D$9, 100%, $F$9) + CHOOSE(CONTROL!$C$27, 0.0021, 0)</f>
        <v>58.489100000000001</v>
      </c>
      <c r="L513" s="17"/>
    </row>
    <row r="514" spans="1:12" ht="15.75" x14ac:dyDescent="0.25">
      <c r="A514" s="14">
        <v>56583</v>
      </c>
      <c r="B514" s="17">
        <f>59.0501 * CHOOSE(CONTROL!$C$9, $D$9, 100%, $F$9) + CHOOSE(CONTROL!$C$27, 0.0021, 0)</f>
        <v>59.052199999999999</v>
      </c>
      <c r="C514" s="17">
        <f>58.6178 * CHOOSE(CONTROL!$C$9, $D$9, 100%, $F$9) + CHOOSE(CONTROL!$C$27, 0.0021, 0)</f>
        <v>58.619900000000001</v>
      </c>
      <c r="D514" s="17">
        <f>58.6178 * CHOOSE(CONTROL!$C$9, $D$9, 100%, $F$9) + CHOOSE(CONTROL!$C$27, 0.0021, 0)</f>
        <v>58.619900000000001</v>
      </c>
      <c r="E514" s="17">
        <f>58.4812 * CHOOSE(CONTROL!$C$9, $D$9, 100%, $F$9) + CHOOSE(CONTROL!$C$27, 0.0021, 0)</f>
        <v>58.4833</v>
      </c>
      <c r="F514" s="17">
        <f>58.4812 * CHOOSE(CONTROL!$C$9, $D$9, 100%, $F$9) + CHOOSE(CONTROL!$C$27, 0.0021, 0)</f>
        <v>58.4833</v>
      </c>
      <c r="G514" s="17">
        <f>58.7525 * CHOOSE(CONTROL!$C$9, $D$9, 100%, $F$9) + CHOOSE(CONTROL!$C$27, 0.0021, 0)</f>
        <v>58.754599999999996</v>
      </c>
      <c r="H514" s="17">
        <f>58.6178 * CHOOSE(CONTROL!$C$9, $D$9, 100%, $F$9) + CHOOSE(CONTROL!$C$27, 0.0021, 0)</f>
        <v>58.619900000000001</v>
      </c>
      <c r="I514" s="17">
        <f>58.6178 * CHOOSE(CONTROL!$C$9, $D$9, 100%, $F$9) + CHOOSE(CONTROL!$C$27, 0.0021, 0)</f>
        <v>58.619900000000001</v>
      </c>
      <c r="J514" s="17">
        <f>58.6178 * CHOOSE(CONTROL!$C$9, $D$9, 100%, $F$9) + CHOOSE(CONTROL!$C$27, 0.0021, 0)</f>
        <v>58.619900000000001</v>
      </c>
      <c r="K514" s="17">
        <f>58.6178 * CHOOSE(CONTROL!$C$9, $D$9, 100%, $F$9) + CHOOSE(CONTROL!$C$27, 0.0021, 0)</f>
        <v>58.619900000000001</v>
      </c>
      <c r="L514" s="17"/>
    </row>
    <row r="515" spans="1:12" ht="15.75" x14ac:dyDescent="0.25">
      <c r="A515" s="14">
        <v>56614</v>
      </c>
      <c r="B515" s="17">
        <f>57.9372 * CHOOSE(CONTROL!$C$9, $D$9, 100%, $F$9) + CHOOSE(CONTROL!$C$27, 0.0021, 0)</f>
        <v>57.939299999999996</v>
      </c>
      <c r="C515" s="17">
        <f>57.5049 * CHOOSE(CONTROL!$C$9, $D$9, 100%, $F$9) + CHOOSE(CONTROL!$C$27, 0.0021, 0)</f>
        <v>57.506999999999998</v>
      </c>
      <c r="D515" s="17">
        <f>57.5049 * CHOOSE(CONTROL!$C$9, $D$9, 100%, $F$9) + CHOOSE(CONTROL!$C$27, 0.0021, 0)</f>
        <v>57.506999999999998</v>
      </c>
      <c r="E515" s="17">
        <f>57.3683 * CHOOSE(CONTROL!$C$9, $D$9, 100%, $F$9) + CHOOSE(CONTROL!$C$27, 0.0021, 0)</f>
        <v>57.370399999999997</v>
      </c>
      <c r="F515" s="17">
        <f>57.3683 * CHOOSE(CONTROL!$C$9, $D$9, 100%, $F$9) + CHOOSE(CONTROL!$C$27, 0.0021, 0)</f>
        <v>57.370399999999997</v>
      </c>
      <c r="G515" s="17">
        <f>57.6397 * CHOOSE(CONTROL!$C$9, $D$9, 100%, $F$9) + CHOOSE(CONTROL!$C$27, 0.0021, 0)</f>
        <v>57.641799999999996</v>
      </c>
      <c r="H515" s="17">
        <f>57.5049 * CHOOSE(CONTROL!$C$9, $D$9, 100%, $F$9) + CHOOSE(CONTROL!$C$27, 0.0021, 0)</f>
        <v>57.506999999999998</v>
      </c>
      <c r="I515" s="17">
        <f>57.5049 * CHOOSE(CONTROL!$C$9, $D$9, 100%, $F$9) + CHOOSE(CONTROL!$C$27, 0.0021, 0)</f>
        <v>57.506999999999998</v>
      </c>
      <c r="J515" s="17">
        <f>57.5049 * CHOOSE(CONTROL!$C$9, $D$9, 100%, $F$9) + CHOOSE(CONTROL!$C$27, 0.0021, 0)</f>
        <v>57.506999999999998</v>
      </c>
      <c r="K515" s="17">
        <f>57.5049 * CHOOSE(CONTROL!$C$9, $D$9, 100%, $F$9) + CHOOSE(CONTROL!$C$27, 0.0021, 0)</f>
        <v>57.506999999999998</v>
      </c>
      <c r="L515" s="17"/>
    </row>
    <row r="516" spans="1:12" ht="15.75" x14ac:dyDescent="0.25">
      <c r="A516" s="13">
        <v>56645</v>
      </c>
      <c r="B516" s="17">
        <f>57.2338 * CHOOSE(CONTROL!$C$9, $D$9, 100%, $F$9) + CHOOSE(CONTROL!$C$27, 0.0021, 0)</f>
        <v>57.235900000000001</v>
      </c>
      <c r="C516" s="17">
        <f>56.8015 * CHOOSE(CONTROL!$C$9, $D$9, 100%, $F$9) + CHOOSE(CONTROL!$C$27, 0.0021, 0)</f>
        <v>56.803599999999996</v>
      </c>
      <c r="D516" s="17">
        <f>56.8015 * CHOOSE(CONTROL!$C$9, $D$9, 100%, $F$9) + CHOOSE(CONTROL!$C$27, 0.0021, 0)</f>
        <v>56.803599999999996</v>
      </c>
      <c r="E516" s="17">
        <f>56.6649 * CHOOSE(CONTROL!$C$9, $D$9, 100%, $F$9) + CHOOSE(CONTROL!$C$27, 0.0021, 0)</f>
        <v>56.667000000000002</v>
      </c>
      <c r="F516" s="17">
        <f>56.6649 * CHOOSE(CONTROL!$C$9, $D$9, 100%, $F$9) + CHOOSE(CONTROL!$C$27, 0.0021, 0)</f>
        <v>56.667000000000002</v>
      </c>
      <c r="G516" s="17">
        <f>56.9363 * CHOOSE(CONTROL!$C$9, $D$9, 100%, $F$9) + CHOOSE(CONTROL!$C$27, 0.0021, 0)</f>
        <v>56.938400000000001</v>
      </c>
      <c r="H516" s="17">
        <f>56.8015 * CHOOSE(CONTROL!$C$9, $D$9, 100%, $F$9) + CHOOSE(CONTROL!$C$27, 0.0021, 0)</f>
        <v>56.803599999999996</v>
      </c>
      <c r="I516" s="17">
        <f>56.8015 * CHOOSE(CONTROL!$C$9, $D$9, 100%, $F$9) + CHOOSE(CONTROL!$C$27, 0.0021, 0)</f>
        <v>56.803599999999996</v>
      </c>
      <c r="J516" s="17">
        <f>56.8015 * CHOOSE(CONTROL!$C$9, $D$9, 100%, $F$9) + CHOOSE(CONTROL!$C$27, 0.0021, 0)</f>
        <v>56.803599999999996</v>
      </c>
      <c r="K516" s="17">
        <f>56.8015 * CHOOSE(CONTROL!$C$9, $D$9, 100%, $F$9) + CHOOSE(CONTROL!$C$27, 0.0021, 0)</f>
        <v>56.803599999999996</v>
      </c>
      <c r="L516" s="17"/>
    </row>
    <row r="517" spans="1:12" ht="15.75" x14ac:dyDescent="0.25">
      <c r="A517" s="13">
        <v>56673</v>
      </c>
      <c r="B517" s="17">
        <f>55.6797 * CHOOSE(CONTROL!$C$9, $D$9, 100%, $F$9) + CHOOSE(CONTROL!$C$27, 0.0021, 0)</f>
        <v>55.681799999999996</v>
      </c>
      <c r="C517" s="17">
        <f>55.2475 * CHOOSE(CONTROL!$C$9, $D$9, 100%, $F$9) + CHOOSE(CONTROL!$C$27, 0.0021, 0)</f>
        <v>55.249600000000001</v>
      </c>
      <c r="D517" s="17">
        <f>55.2475 * CHOOSE(CONTROL!$C$9, $D$9, 100%, $F$9) + CHOOSE(CONTROL!$C$27, 0.0021, 0)</f>
        <v>55.249600000000001</v>
      </c>
      <c r="E517" s="17">
        <f>55.1108 * CHOOSE(CONTROL!$C$9, $D$9, 100%, $F$9) + CHOOSE(CONTROL!$C$27, 0.0021, 0)</f>
        <v>55.112899999999996</v>
      </c>
      <c r="F517" s="17">
        <f>55.1108 * CHOOSE(CONTROL!$C$9, $D$9, 100%, $F$9) + CHOOSE(CONTROL!$C$27, 0.0021, 0)</f>
        <v>55.112899999999996</v>
      </c>
      <c r="G517" s="17">
        <f>55.3822 * CHOOSE(CONTROL!$C$9, $D$9, 100%, $F$9) + CHOOSE(CONTROL!$C$27, 0.0021, 0)</f>
        <v>55.384299999999996</v>
      </c>
      <c r="H517" s="17">
        <f>55.2475 * CHOOSE(CONTROL!$C$9, $D$9, 100%, $F$9) + CHOOSE(CONTROL!$C$27, 0.0021, 0)</f>
        <v>55.249600000000001</v>
      </c>
      <c r="I517" s="17">
        <f>55.2475 * CHOOSE(CONTROL!$C$9, $D$9, 100%, $F$9) + CHOOSE(CONTROL!$C$27, 0.0021, 0)</f>
        <v>55.249600000000001</v>
      </c>
      <c r="J517" s="17">
        <f>55.2475 * CHOOSE(CONTROL!$C$9, $D$9, 100%, $F$9) + CHOOSE(CONTROL!$C$27, 0.0021, 0)</f>
        <v>55.249600000000001</v>
      </c>
      <c r="K517" s="17">
        <f>55.2475 * CHOOSE(CONTROL!$C$9, $D$9, 100%, $F$9) + CHOOSE(CONTROL!$C$27, 0.0021, 0)</f>
        <v>55.249600000000001</v>
      </c>
      <c r="L517" s="17"/>
    </row>
    <row r="518" spans="1:12" ht="15.75" x14ac:dyDescent="0.25">
      <c r="A518" s="13">
        <v>56704</v>
      </c>
      <c r="B518" s="17">
        <f>55.0382 * CHOOSE(CONTROL!$C$9, $D$9, 100%, $F$9) + CHOOSE(CONTROL!$C$27, 0.0021, 0)</f>
        <v>55.040300000000002</v>
      </c>
      <c r="C518" s="17">
        <f>54.606 * CHOOSE(CONTROL!$C$9, $D$9, 100%, $F$9) + CHOOSE(CONTROL!$C$27, 0.0021, 0)</f>
        <v>54.6081</v>
      </c>
      <c r="D518" s="17">
        <f>54.606 * CHOOSE(CONTROL!$C$9, $D$9, 100%, $F$9) + CHOOSE(CONTROL!$C$27, 0.0021, 0)</f>
        <v>54.6081</v>
      </c>
      <c r="E518" s="17">
        <f>54.4693 * CHOOSE(CONTROL!$C$9, $D$9, 100%, $F$9) + CHOOSE(CONTROL!$C$27, 0.0021, 0)</f>
        <v>54.471399999999996</v>
      </c>
      <c r="F518" s="17">
        <f>54.4693 * CHOOSE(CONTROL!$C$9, $D$9, 100%, $F$9) + CHOOSE(CONTROL!$C$27, 0.0021, 0)</f>
        <v>54.471399999999996</v>
      </c>
      <c r="G518" s="17">
        <f>54.7407 * CHOOSE(CONTROL!$C$9, $D$9, 100%, $F$9) + CHOOSE(CONTROL!$C$27, 0.0021, 0)</f>
        <v>54.742799999999995</v>
      </c>
      <c r="H518" s="17">
        <f>54.606 * CHOOSE(CONTROL!$C$9, $D$9, 100%, $F$9) + CHOOSE(CONTROL!$C$27, 0.0021, 0)</f>
        <v>54.6081</v>
      </c>
      <c r="I518" s="17">
        <f>54.606 * CHOOSE(CONTROL!$C$9, $D$9, 100%, $F$9) + CHOOSE(CONTROL!$C$27, 0.0021, 0)</f>
        <v>54.6081</v>
      </c>
      <c r="J518" s="17">
        <f>54.606 * CHOOSE(CONTROL!$C$9, $D$9, 100%, $F$9) + CHOOSE(CONTROL!$C$27, 0.0021, 0)</f>
        <v>54.6081</v>
      </c>
      <c r="K518" s="17">
        <f>54.606 * CHOOSE(CONTROL!$C$9, $D$9, 100%, $F$9) + CHOOSE(CONTROL!$C$27, 0.0021, 0)</f>
        <v>54.6081</v>
      </c>
      <c r="L518" s="17"/>
    </row>
    <row r="519" spans="1:12" ht="15.75" x14ac:dyDescent="0.25">
      <c r="A519" s="13">
        <v>56734</v>
      </c>
      <c r="B519" s="17">
        <f>54.2723 * CHOOSE(CONTROL!$C$9, $D$9, 100%, $F$9) + CHOOSE(CONTROL!$C$27, 0.0021, 0)</f>
        <v>54.2744</v>
      </c>
      <c r="C519" s="17">
        <f>53.84 * CHOOSE(CONTROL!$C$9, $D$9, 100%, $F$9) + CHOOSE(CONTROL!$C$27, 0.0021, 0)</f>
        <v>53.842100000000002</v>
      </c>
      <c r="D519" s="17">
        <f>53.84 * CHOOSE(CONTROL!$C$9, $D$9, 100%, $F$9) + CHOOSE(CONTROL!$C$27, 0.0021, 0)</f>
        <v>53.842100000000002</v>
      </c>
      <c r="E519" s="17">
        <f>53.7034 * CHOOSE(CONTROL!$C$9, $D$9, 100%, $F$9) + CHOOSE(CONTROL!$C$27, 0.0021, 0)</f>
        <v>53.705500000000001</v>
      </c>
      <c r="F519" s="17">
        <f>53.7034 * CHOOSE(CONTROL!$C$9, $D$9, 100%, $F$9) + CHOOSE(CONTROL!$C$27, 0.0021, 0)</f>
        <v>53.705500000000001</v>
      </c>
      <c r="G519" s="17">
        <f>53.9747 * CHOOSE(CONTROL!$C$9, $D$9, 100%, $F$9) + CHOOSE(CONTROL!$C$27, 0.0021, 0)</f>
        <v>53.976799999999997</v>
      </c>
      <c r="H519" s="17">
        <f>53.84 * CHOOSE(CONTROL!$C$9, $D$9, 100%, $F$9) + CHOOSE(CONTROL!$C$27, 0.0021, 0)</f>
        <v>53.842100000000002</v>
      </c>
      <c r="I519" s="17">
        <f>53.84 * CHOOSE(CONTROL!$C$9, $D$9, 100%, $F$9) + CHOOSE(CONTROL!$C$27, 0.0021, 0)</f>
        <v>53.842100000000002</v>
      </c>
      <c r="J519" s="17">
        <f>53.84 * CHOOSE(CONTROL!$C$9, $D$9, 100%, $F$9) + CHOOSE(CONTROL!$C$27, 0.0021, 0)</f>
        <v>53.842100000000002</v>
      </c>
      <c r="K519" s="17">
        <f>53.84 * CHOOSE(CONTROL!$C$9, $D$9, 100%, $F$9) + CHOOSE(CONTROL!$C$27, 0.0021, 0)</f>
        <v>53.842100000000002</v>
      </c>
      <c r="L519" s="17"/>
    </row>
    <row r="520" spans="1:12" ht="15.75" x14ac:dyDescent="0.25">
      <c r="A520" s="13">
        <v>56765</v>
      </c>
      <c r="B520" s="17">
        <f>55.3639 * CHOOSE(CONTROL!$C$9, $D$9, 100%, $F$9) + CHOOSE(CONTROL!$C$27, 0.0021, 0)</f>
        <v>55.366</v>
      </c>
      <c r="C520" s="17">
        <f>54.9316 * CHOOSE(CONTROL!$C$9, $D$9, 100%, $F$9) + CHOOSE(CONTROL!$C$27, 0.0021, 0)</f>
        <v>54.933700000000002</v>
      </c>
      <c r="D520" s="17">
        <f>54.9316 * CHOOSE(CONTROL!$C$9, $D$9, 100%, $F$9) + CHOOSE(CONTROL!$C$27, 0.0021, 0)</f>
        <v>54.933700000000002</v>
      </c>
      <c r="E520" s="17">
        <f>54.795 * CHOOSE(CONTROL!$C$9, $D$9, 100%, $F$9) + CHOOSE(CONTROL!$C$27, 0.0021, 0)</f>
        <v>54.7971</v>
      </c>
      <c r="F520" s="17">
        <f>54.795 * CHOOSE(CONTROL!$C$9, $D$9, 100%, $F$9) + CHOOSE(CONTROL!$C$27, 0.0021, 0)</f>
        <v>54.7971</v>
      </c>
      <c r="G520" s="17">
        <f>55.0663 * CHOOSE(CONTROL!$C$9, $D$9, 100%, $F$9) + CHOOSE(CONTROL!$C$27, 0.0021, 0)</f>
        <v>55.068399999999997</v>
      </c>
      <c r="H520" s="17">
        <f>54.9316 * CHOOSE(CONTROL!$C$9, $D$9, 100%, $F$9) + CHOOSE(CONTROL!$C$27, 0.0021, 0)</f>
        <v>54.933700000000002</v>
      </c>
      <c r="I520" s="17">
        <f>54.9316 * CHOOSE(CONTROL!$C$9, $D$9, 100%, $F$9) + CHOOSE(CONTROL!$C$27, 0.0021, 0)</f>
        <v>54.933700000000002</v>
      </c>
      <c r="J520" s="17">
        <f>54.9316 * CHOOSE(CONTROL!$C$9, $D$9, 100%, $F$9) + CHOOSE(CONTROL!$C$27, 0.0021, 0)</f>
        <v>54.933700000000002</v>
      </c>
      <c r="K520" s="17">
        <f>54.9316 * CHOOSE(CONTROL!$C$9, $D$9, 100%, $F$9) + CHOOSE(CONTROL!$C$27, 0.0021, 0)</f>
        <v>54.933700000000002</v>
      </c>
      <c r="L520" s="17"/>
    </row>
    <row r="521" spans="1:12" ht="15.75" x14ac:dyDescent="0.25">
      <c r="A521" s="13">
        <v>56795</v>
      </c>
      <c r="B521" s="17">
        <f>56.0177 * CHOOSE(CONTROL!$C$9, $D$9, 100%, $F$9) + CHOOSE(CONTROL!$C$27, 0.0021, 0)</f>
        <v>56.019799999999996</v>
      </c>
      <c r="C521" s="17">
        <f>55.5854 * CHOOSE(CONTROL!$C$9, $D$9, 100%, $F$9) + CHOOSE(CONTROL!$C$27, 0.0021, 0)</f>
        <v>55.587499999999999</v>
      </c>
      <c r="D521" s="17">
        <f>55.5854 * CHOOSE(CONTROL!$C$9, $D$9, 100%, $F$9) + CHOOSE(CONTROL!$C$27, 0.0021, 0)</f>
        <v>55.587499999999999</v>
      </c>
      <c r="E521" s="17">
        <f>55.4488 * CHOOSE(CONTROL!$C$9, $D$9, 100%, $F$9) + CHOOSE(CONTROL!$C$27, 0.0021, 0)</f>
        <v>55.450899999999997</v>
      </c>
      <c r="F521" s="17">
        <f>55.4488 * CHOOSE(CONTROL!$C$9, $D$9, 100%, $F$9) + CHOOSE(CONTROL!$C$27, 0.0021, 0)</f>
        <v>55.450899999999997</v>
      </c>
      <c r="G521" s="17">
        <f>55.7202 * CHOOSE(CONTROL!$C$9, $D$9, 100%, $F$9) + CHOOSE(CONTROL!$C$27, 0.0021, 0)</f>
        <v>55.722299999999997</v>
      </c>
      <c r="H521" s="17">
        <f>55.5854 * CHOOSE(CONTROL!$C$9, $D$9, 100%, $F$9) + CHOOSE(CONTROL!$C$27, 0.0021, 0)</f>
        <v>55.587499999999999</v>
      </c>
      <c r="I521" s="17">
        <f>55.5854 * CHOOSE(CONTROL!$C$9, $D$9, 100%, $F$9) + CHOOSE(CONTROL!$C$27, 0.0021, 0)</f>
        <v>55.587499999999999</v>
      </c>
      <c r="J521" s="17">
        <f>55.5854 * CHOOSE(CONTROL!$C$9, $D$9, 100%, $F$9) + CHOOSE(CONTROL!$C$27, 0.0021, 0)</f>
        <v>55.587499999999999</v>
      </c>
      <c r="K521" s="17">
        <f>55.5854 * CHOOSE(CONTROL!$C$9, $D$9, 100%, $F$9) + CHOOSE(CONTROL!$C$27, 0.0021, 0)</f>
        <v>55.587499999999999</v>
      </c>
      <c r="L521" s="17"/>
    </row>
    <row r="522" spans="1:12" ht="15.75" x14ac:dyDescent="0.25">
      <c r="A522" s="13">
        <v>56826</v>
      </c>
      <c r="B522" s="17">
        <f>57.0963 * CHOOSE(CONTROL!$C$9, $D$9, 100%, $F$9) + CHOOSE(CONTROL!$C$27, 0.0021, 0)</f>
        <v>57.098399999999998</v>
      </c>
      <c r="C522" s="17">
        <f>56.664 * CHOOSE(CONTROL!$C$9, $D$9, 100%, $F$9) + CHOOSE(CONTROL!$C$27, 0.0021, 0)</f>
        <v>56.6661</v>
      </c>
      <c r="D522" s="17">
        <f>56.664 * CHOOSE(CONTROL!$C$9, $D$9, 100%, $F$9) + CHOOSE(CONTROL!$C$27, 0.0021, 0)</f>
        <v>56.6661</v>
      </c>
      <c r="E522" s="17">
        <f>56.5274 * CHOOSE(CONTROL!$C$9, $D$9, 100%, $F$9) + CHOOSE(CONTROL!$C$27, 0.0021, 0)</f>
        <v>56.529499999999999</v>
      </c>
      <c r="F522" s="17">
        <f>56.5274 * CHOOSE(CONTROL!$C$9, $D$9, 100%, $F$9) + CHOOSE(CONTROL!$C$27, 0.0021, 0)</f>
        <v>56.529499999999999</v>
      </c>
      <c r="G522" s="17">
        <f>56.7987 * CHOOSE(CONTROL!$C$9, $D$9, 100%, $F$9) + CHOOSE(CONTROL!$C$27, 0.0021, 0)</f>
        <v>56.800799999999995</v>
      </c>
      <c r="H522" s="17">
        <f>56.664 * CHOOSE(CONTROL!$C$9, $D$9, 100%, $F$9) + CHOOSE(CONTROL!$C$27, 0.0021, 0)</f>
        <v>56.6661</v>
      </c>
      <c r="I522" s="17">
        <f>56.664 * CHOOSE(CONTROL!$C$9, $D$9, 100%, $F$9) + CHOOSE(CONTROL!$C$27, 0.0021, 0)</f>
        <v>56.6661</v>
      </c>
      <c r="J522" s="17">
        <f>56.664 * CHOOSE(CONTROL!$C$9, $D$9, 100%, $F$9) + CHOOSE(CONTROL!$C$27, 0.0021, 0)</f>
        <v>56.6661</v>
      </c>
      <c r="K522" s="17">
        <f>56.664 * CHOOSE(CONTROL!$C$9, $D$9, 100%, $F$9) + CHOOSE(CONTROL!$C$27, 0.0021, 0)</f>
        <v>56.6661</v>
      </c>
      <c r="L522" s="17"/>
    </row>
    <row r="523" spans="1:12" ht="15.75" x14ac:dyDescent="0.25">
      <c r="A523" s="13">
        <v>56857</v>
      </c>
      <c r="B523" s="17">
        <f>57.4255 * CHOOSE(CONTROL!$C$9, $D$9, 100%, $F$9) + CHOOSE(CONTROL!$C$27, 0.0021, 0)</f>
        <v>57.427599999999998</v>
      </c>
      <c r="C523" s="17">
        <f>56.9932 * CHOOSE(CONTROL!$C$9, $D$9, 100%, $F$9) + CHOOSE(CONTROL!$C$27, 0.0021, 0)</f>
        <v>56.9953</v>
      </c>
      <c r="D523" s="17">
        <f>56.9932 * CHOOSE(CONTROL!$C$9, $D$9, 100%, $F$9) + CHOOSE(CONTROL!$C$27, 0.0021, 0)</f>
        <v>56.9953</v>
      </c>
      <c r="E523" s="17">
        <f>56.8566 * CHOOSE(CONTROL!$C$9, $D$9, 100%, $F$9) + CHOOSE(CONTROL!$C$27, 0.0021, 0)</f>
        <v>56.858699999999999</v>
      </c>
      <c r="F523" s="17">
        <f>56.8566 * CHOOSE(CONTROL!$C$9, $D$9, 100%, $F$9) + CHOOSE(CONTROL!$C$27, 0.0021, 0)</f>
        <v>56.858699999999999</v>
      </c>
      <c r="G523" s="17">
        <f>57.1279 * CHOOSE(CONTROL!$C$9, $D$9, 100%, $F$9) + CHOOSE(CONTROL!$C$27, 0.0021, 0)</f>
        <v>57.129999999999995</v>
      </c>
      <c r="H523" s="17">
        <f>56.9932 * CHOOSE(CONTROL!$C$9, $D$9, 100%, $F$9) + CHOOSE(CONTROL!$C$27, 0.0021, 0)</f>
        <v>56.9953</v>
      </c>
      <c r="I523" s="17">
        <f>56.9932 * CHOOSE(CONTROL!$C$9, $D$9, 100%, $F$9) + CHOOSE(CONTROL!$C$27, 0.0021, 0)</f>
        <v>56.9953</v>
      </c>
      <c r="J523" s="17">
        <f>56.9932 * CHOOSE(CONTROL!$C$9, $D$9, 100%, $F$9) + CHOOSE(CONTROL!$C$27, 0.0021, 0)</f>
        <v>56.9953</v>
      </c>
      <c r="K523" s="17">
        <f>56.9932 * CHOOSE(CONTROL!$C$9, $D$9, 100%, $F$9) + CHOOSE(CONTROL!$C$27, 0.0021, 0)</f>
        <v>56.9953</v>
      </c>
      <c r="L523" s="17"/>
    </row>
    <row r="524" spans="1:12" ht="15.75" x14ac:dyDescent="0.25">
      <c r="A524" s="13">
        <v>56887</v>
      </c>
      <c r="B524" s="17">
        <f>58.5466 * CHOOSE(CONTROL!$C$9, $D$9, 100%, $F$9) + CHOOSE(CONTROL!$C$27, 0.0021, 0)</f>
        <v>58.548699999999997</v>
      </c>
      <c r="C524" s="17">
        <f>58.1144 * CHOOSE(CONTROL!$C$9, $D$9, 100%, $F$9) + CHOOSE(CONTROL!$C$27, 0.0021, 0)</f>
        <v>58.116500000000002</v>
      </c>
      <c r="D524" s="17">
        <f>58.1144 * CHOOSE(CONTROL!$C$9, $D$9, 100%, $F$9) + CHOOSE(CONTROL!$C$27, 0.0021, 0)</f>
        <v>58.116500000000002</v>
      </c>
      <c r="E524" s="17">
        <f>57.9777 * CHOOSE(CONTROL!$C$9, $D$9, 100%, $F$9) + CHOOSE(CONTROL!$C$27, 0.0021, 0)</f>
        <v>57.979799999999997</v>
      </c>
      <c r="F524" s="17">
        <f>57.9777 * CHOOSE(CONTROL!$C$9, $D$9, 100%, $F$9) + CHOOSE(CONTROL!$C$27, 0.0021, 0)</f>
        <v>57.979799999999997</v>
      </c>
      <c r="G524" s="17">
        <f>58.2491 * CHOOSE(CONTROL!$C$9, $D$9, 100%, $F$9) + CHOOSE(CONTROL!$C$27, 0.0021, 0)</f>
        <v>58.251199999999997</v>
      </c>
      <c r="H524" s="17">
        <f>58.1144 * CHOOSE(CONTROL!$C$9, $D$9, 100%, $F$9) + CHOOSE(CONTROL!$C$27, 0.0021, 0)</f>
        <v>58.116500000000002</v>
      </c>
      <c r="I524" s="17">
        <f>58.1144 * CHOOSE(CONTROL!$C$9, $D$9, 100%, $F$9) + CHOOSE(CONTROL!$C$27, 0.0021, 0)</f>
        <v>58.116500000000002</v>
      </c>
      <c r="J524" s="17">
        <f>58.1144 * CHOOSE(CONTROL!$C$9, $D$9, 100%, $F$9) + CHOOSE(CONTROL!$C$27, 0.0021, 0)</f>
        <v>58.116500000000002</v>
      </c>
      <c r="K524" s="17">
        <f>58.1144 * CHOOSE(CONTROL!$C$9, $D$9, 100%, $F$9) + CHOOSE(CONTROL!$C$27, 0.0021, 0)</f>
        <v>58.116500000000002</v>
      </c>
      <c r="L524" s="17"/>
    </row>
    <row r="525" spans="1:12" ht="15.75" x14ac:dyDescent="0.25">
      <c r="A525" s="13">
        <v>56918</v>
      </c>
      <c r="B525" s="17">
        <f>59.9658 * CHOOSE(CONTROL!$C$9, $D$9, 100%, $F$9) + CHOOSE(CONTROL!$C$27, 0.0021, 0)</f>
        <v>59.9679</v>
      </c>
      <c r="C525" s="17">
        <f>59.5335 * CHOOSE(CONTROL!$C$9, $D$9, 100%, $F$9) + CHOOSE(CONTROL!$C$27, 0.0021, 0)</f>
        <v>59.535599999999995</v>
      </c>
      <c r="D525" s="17">
        <f>59.5335 * CHOOSE(CONTROL!$C$9, $D$9, 100%, $F$9) + CHOOSE(CONTROL!$C$27, 0.0021, 0)</f>
        <v>59.535599999999995</v>
      </c>
      <c r="E525" s="17">
        <f>59.3969 * CHOOSE(CONTROL!$C$9, $D$9, 100%, $F$9) + CHOOSE(CONTROL!$C$27, 0.0021, 0)</f>
        <v>59.399000000000001</v>
      </c>
      <c r="F525" s="17">
        <f>59.3969 * CHOOSE(CONTROL!$C$9, $D$9, 100%, $F$9) + CHOOSE(CONTROL!$C$27, 0.0021, 0)</f>
        <v>59.399000000000001</v>
      </c>
      <c r="G525" s="17">
        <f>59.6682 * CHOOSE(CONTROL!$C$9, $D$9, 100%, $F$9) + CHOOSE(CONTROL!$C$27, 0.0021, 0)</f>
        <v>59.670299999999997</v>
      </c>
      <c r="H525" s="17">
        <f>59.5335 * CHOOSE(CONTROL!$C$9, $D$9, 100%, $F$9) + CHOOSE(CONTROL!$C$27, 0.0021, 0)</f>
        <v>59.535599999999995</v>
      </c>
      <c r="I525" s="17">
        <f>59.5335 * CHOOSE(CONTROL!$C$9, $D$9, 100%, $F$9) + CHOOSE(CONTROL!$C$27, 0.0021, 0)</f>
        <v>59.535599999999995</v>
      </c>
      <c r="J525" s="17">
        <f>59.5335 * CHOOSE(CONTROL!$C$9, $D$9, 100%, $F$9) + CHOOSE(CONTROL!$C$27, 0.0021, 0)</f>
        <v>59.535599999999995</v>
      </c>
      <c r="K525" s="17">
        <f>59.5335 * CHOOSE(CONTROL!$C$9, $D$9, 100%, $F$9) + CHOOSE(CONTROL!$C$27, 0.0021, 0)</f>
        <v>59.535599999999995</v>
      </c>
      <c r="L525" s="17"/>
    </row>
    <row r="526" spans="1:12" ht="15.75" x14ac:dyDescent="0.25">
      <c r="A526" s="13">
        <v>56948</v>
      </c>
      <c r="B526" s="17">
        <f>60.099 * CHOOSE(CONTROL!$C$9, $D$9, 100%, $F$9) + CHOOSE(CONTROL!$C$27, 0.0021, 0)</f>
        <v>60.101099999999995</v>
      </c>
      <c r="C526" s="17">
        <f>59.6667 * CHOOSE(CONTROL!$C$9, $D$9, 100%, $F$9) + CHOOSE(CONTROL!$C$27, 0.0021, 0)</f>
        <v>59.668799999999997</v>
      </c>
      <c r="D526" s="17">
        <f>59.6667 * CHOOSE(CONTROL!$C$9, $D$9, 100%, $F$9) + CHOOSE(CONTROL!$C$27, 0.0021, 0)</f>
        <v>59.668799999999997</v>
      </c>
      <c r="E526" s="17">
        <f>59.5301 * CHOOSE(CONTROL!$C$9, $D$9, 100%, $F$9) + CHOOSE(CONTROL!$C$27, 0.0021, 0)</f>
        <v>59.532199999999996</v>
      </c>
      <c r="F526" s="17">
        <f>59.5301 * CHOOSE(CONTROL!$C$9, $D$9, 100%, $F$9) + CHOOSE(CONTROL!$C$27, 0.0021, 0)</f>
        <v>59.532199999999996</v>
      </c>
      <c r="G526" s="17">
        <f>59.8015 * CHOOSE(CONTROL!$C$9, $D$9, 100%, $F$9) + CHOOSE(CONTROL!$C$27, 0.0021, 0)</f>
        <v>59.803599999999996</v>
      </c>
      <c r="H526" s="17">
        <f>59.6667 * CHOOSE(CONTROL!$C$9, $D$9, 100%, $F$9) + CHOOSE(CONTROL!$C$27, 0.0021, 0)</f>
        <v>59.668799999999997</v>
      </c>
      <c r="I526" s="17">
        <f>59.6667 * CHOOSE(CONTROL!$C$9, $D$9, 100%, $F$9) + CHOOSE(CONTROL!$C$27, 0.0021, 0)</f>
        <v>59.668799999999997</v>
      </c>
      <c r="J526" s="17">
        <f>59.6667 * CHOOSE(CONTROL!$C$9, $D$9, 100%, $F$9) + CHOOSE(CONTROL!$C$27, 0.0021, 0)</f>
        <v>59.668799999999997</v>
      </c>
      <c r="K526" s="17">
        <f>59.6667 * CHOOSE(CONTROL!$C$9, $D$9, 100%, $F$9) + CHOOSE(CONTROL!$C$27, 0.0021, 0)</f>
        <v>59.668799999999997</v>
      </c>
      <c r="L526" s="17"/>
    </row>
    <row r="527" spans="1:12" ht="15.75" x14ac:dyDescent="0.25">
      <c r="A527" s="13">
        <v>56979</v>
      </c>
      <c r="B527" s="17">
        <f>58.9655 * CHOOSE(CONTROL!$C$9, $D$9, 100%, $F$9) + CHOOSE(CONTROL!$C$27, 0.0021, 0)</f>
        <v>58.967599999999997</v>
      </c>
      <c r="C527" s="17">
        <f>58.5333 * CHOOSE(CONTROL!$C$9, $D$9, 100%, $F$9) + CHOOSE(CONTROL!$C$27, 0.0021, 0)</f>
        <v>58.535399999999996</v>
      </c>
      <c r="D527" s="17">
        <f>58.5333 * CHOOSE(CONTROL!$C$9, $D$9, 100%, $F$9) + CHOOSE(CONTROL!$C$27, 0.0021, 0)</f>
        <v>58.535399999999996</v>
      </c>
      <c r="E527" s="17">
        <f>58.3966 * CHOOSE(CONTROL!$C$9, $D$9, 100%, $F$9) + CHOOSE(CONTROL!$C$27, 0.0021, 0)</f>
        <v>58.398699999999998</v>
      </c>
      <c r="F527" s="17">
        <f>58.3966 * CHOOSE(CONTROL!$C$9, $D$9, 100%, $F$9) + CHOOSE(CONTROL!$C$27, 0.0021, 0)</f>
        <v>58.398699999999998</v>
      </c>
      <c r="G527" s="17">
        <f>58.668 * CHOOSE(CONTROL!$C$9, $D$9, 100%, $F$9) + CHOOSE(CONTROL!$C$27, 0.0021, 0)</f>
        <v>58.670099999999998</v>
      </c>
      <c r="H527" s="17">
        <f>58.5333 * CHOOSE(CONTROL!$C$9, $D$9, 100%, $F$9) + CHOOSE(CONTROL!$C$27, 0.0021, 0)</f>
        <v>58.535399999999996</v>
      </c>
      <c r="I527" s="17">
        <f>58.5333 * CHOOSE(CONTROL!$C$9, $D$9, 100%, $F$9) + CHOOSE(CONTROL!$C$27, 0.0021, 0)</f>
        <v>58.535399999999996</v>
      </c>
      <c r="J527" s="17">
        <f>58.5333 * CHOOSE(CONTROL!$C$9, $D$9, 100%, $F$9) + CHOOSE(CONTROL!$C$27, 0.0021, 0)</f>
        <v>58.535399999999996</v>
      </c>
      <c r="K527" s="17">
        <f>58.5333 * CHOOSE(CONTROL!$C$9, $D$9, 100%, $F$9) + CHOOSE(CONTROL!$C$27, 0.0021, 0)</f>
        <v>58.535399999999996</v>
      </c>
      <c r="L527" s="17"/>
    </row>
    <row r="528" spans="1:12" ht="15.75" x14ac:dyDescent="0.25">
      <c r="A528" s="13">
        <v>57010</v>
      </c>
      <c r="B528" s="17">
        <f>58.2491 * CHOOSE(CONTROL!$C$9, $D$9, 100%, $F$9) + CHOOSE(CONTROL!$C$27, 0.0021, 0)</f>
        <v>58.251199999999997</v>
      </c>
      <c r="C528" s="17">
        <f>57.8169 * CHOOSE(CONTROL!$C$9, $D$9, 100%, $F$9) + CHOOSE(CONTROL!$C$27, 0.0021, 0)</f>
        <v>57.818999999999996</v>
      </c>
      <c r="D528" s="17">
        <f>57.8169 * CHOOSE(CONTROL!$C$9, $D$9, 100%, $F$9) + CHOOSE(CONTROL!$C$27, 0.0021, 0)</f>
        <v>57.818999999999996</v>
      </c>
      <c r="E528" s="17">
        <f>57.6802 * CHOOSE(CONTROL!$C$9, $D$9, 100%, $F$9) + CHOOSE(CONTROL!$C$27, 0.0021, 0)</f>
        <v>57.682299999999998</v>
      </c>
      <c r="F528" s="17">
        <f>57.6802 * CHOOSE(CONTROL!$C$9, $D$9, 100%, $F$9) + CHOOSE(CONTROL!$C$27, 0.0021, 0)</f>
        <v>57.682299999999998</v>
      </c>
      <c r="G528" s="17">
        <f>57.9516 * CHOOSE(CONTROL!$C$9, $D$9, 100%, $F$9) + CHOOSE(CONTROL!$C$27, 0.0021, 0)</f>
        <v>57.953699999999998</v>
      </c>
      <c r="H528" s="17">
        <f>57.8169 * CHOOSE(CONTROL!$C$9, $D$9, 100%, $F$9) + CHOOSE(CONTROL!$C$27, 0.0021, 0)</f>
        <v>57.818999999999996</v>
      </c>
      <c r="I528" s="17">
        <f>57.8169 * CHOOSE(CONTROL!$C$9, $D$9, 100%, $F$9) + CHOOSE(CONTROL!$C$27, 0.0021, 0)</f>
        <v>57.818999999999996</v>
      </c>
      <c r="J528" s="17">
        <f>57.8169 * CHOOSE(CONTROL!$C$9, $D$9, 100%, $F$9) + CHOOSE(CONTROL!$C$27, 0.0021, 0)</f>
        <v>57.818999999999996</v>
      </c>
      <c r="K528" s="17">
        <f>57.8169 * CHOOSE(CONTROL!$C$9, $D$9, 100%, $F$9) + CHOOSE(CONTROL!$C$27, 0.0021, 0)</f>
        <v>57.818999999999996</v>
      </c>
      <c r="L528" s="17"/>
    </row>
    <row r="529" spans="1:12" ht="15.75" x14ac:dyDescent="0.25">
      <c r="A529" s="13">
        <v>57038</v>
      </c>
      <c r="B529" s="17">
        <f>56.6664 * CHOOSE(CONTROL!$C$9, $D$9, 100%, $F$9) + CHOOSE(CONTROL!$C$27, 0.0021, 0)</f>
        <v>56.668500000000002</v>
      </c>
      <c r="C529" s="17">
        <f>56.2341 * CHOOSE(CONTROL!$C$9, $D$9, 100%, $F$9) + CHOOSE(CONTROL!$C$27, 0.0021, 0)</f>
        <v>56.236199999999997</v>
      </c>
      <c r="D529" s="17">
        <f>56.2341 * CHOOSE(CONTROL!$C$9, $D$9, 100%, $F$9) + CHOOSE(CONTROL!$C$27, 0.0021, 0)</f>
        <v>56.236199999999997</v>
      </c>
      <c r="E529" s="17">
        <f>56.0975 * CHOOSE(CONTROL!$C$9, $D$9, 100%, $F$9) + CHOOSE(CONTROL!$C$27, 0.0021, 0)</f>
        <v>56.099599999999995</v>
      </c>
      <c r="F529" s="17">
        <f>56.0975 * CHOOSE(CONTROL!$C$9, $D$9, 100%, $F$9) + CHOOSE(CONTROL!$C$27, 0.0021, 0)</f>
        <v>56.099599999999995</v>
      </c>
      <c r="G529" s="17">
        <f>56.3689 * CHOOSE(CONTROL!$C$9, $D$9, 100%, $F$9) + CHOOSE(CONTROL!$C$27, 0.0021, 0)</f>
        <v>56.370999999999995</v>
      </c>
      <c r="H529" s="17">
        <f>56.2341 * CHOOSE(CONTROL!$C$9, $D$9, 100%, $F$9) + CHOOSE(CONTROL!$C$27, 0.0021, 0)</f>
        <v>56.236199999999997</v>
      </c>
      <c r="I529" s="17">
        <f>56.2341 * CHOOSE(CONTROL!$C$9, $D$9, 100%, $F$9) + CHOOSE(CONTROL!$C$27, 0.0021, 0)</f>
        <v>56.236199999999997</v>
      </c>
      <c r="J529" s="17">
        <f>56.2341 * CHOOSE(CONTROL!$C$9, $D$9, 100%, $F$9) + CHOOSE(CONTROL!$C$27, 0.0021, 0)</f>
        <v>56.236199999999997</v>
      </c>
      <c r="K529" s="17">
        <f>56.2341 * CHOOSE(CONTROL!$C$9, $D$9, 100%, $F$9) + CHOOSE(CONTROL!$C$27, 0.0021, 0)</f>
        <v>56.236199999999997</v>
      </c>
      <c r="L529" s="17"/>
    </row>
    <row r="530" spans="1:12" ht="15.75" x14ac:dyDescent="0.25">
      <c r="A530" s="13">
        <v>57070</v>
      </c>
      <c r="B530" s="17">
        <f>56.013 * CHOOSE(CONTROL!$C$9, $D$9, 100%, $F$9) + CHOOSE(CONTROL!$C$27, 0.0021, 0)</f>
        <v>56.015099999999997</v>
      </c>
      <c r="C530" s="17">
        <f>55.5808 * CHOOSE(CONTROL!$C$9, $D$9, 100%, $F$9) + CHOOSE(CONTROL!$C$27, 0.0021, 0)</f>
        <v>55.582900000000002</v>
      </c>
      <c r="D530" s="17">
        <f>55.5808 * CHOOSE(CONTROL!$C$9, $D$9, 100%, $F$9) + CHOOSE(CONTROL!$C$27, 0.0021, 0)</f>
        <v>55.582900000000002</v>
      </c>
      <c r="E530" s="17">
        <f>55.4441 * CHOOSE(CONTROL!$C$9, $D$9, 100%, $F$9) + CHOOSE(CONTROL!$C$27, 0.0021, 0)</f>
        <v>55.446199999999997</v>
      </c>
      <c r="F530" s="17">
        <f>55.4441 * CHOOSE(CONTROL!$C$9, $D$9, 100%, $F$9) + CHOOSE(CONTROL!$C$27, 0.0021, 0)</f>
        <v>55.446199999999997</v>
      </c>
      <c r="G530" s="17">
        <f>55.7155 * CHOOSE(CONTROL!$C$9, $D$9, 100%, $F$9) + CHOOSE(CONTROL!$C$27, 0.0021, 0)</f>
        <v>55.717599999999997</v>
      </c>
      <c r="H530" s="17">
        <f>55.5808 * CHOOSE(CONTROL!$C$9, $D$9, 100%, $F$9) + CHOOSE(CONTROL!$C$27, 0.0021, 0)</f>
        <v>55.582900000000002</v>
      </c>
      <c r="I530" s="17">
        <f>55.5808 * CHOOSE(CONTROL!$C$9, $D$9, 100%, $F$9) + CHOOSE(CONTROL!$C$27, 0.0021, 0)</f>
        <v>55.582900000000002</v>
      </c>
      <c r="J530" s="17">
        <f>55.5808 * CHOOSE(CONTROL!$C$9, $D$9, 100%, $F$9) + CHOOSE(CONTROL!$C$27, 0.0021, 0)</f>
        <v>55.582900000000002</v>
      </c>
      <c r="K530" s="17">
        <f>55.5808 * CHOOSE(CONTROL!$C$9, $D$9, 100%, $F$9) + CHOOSE(CONTROL!$C$27, 0.0021, 0)</f>
        <v>55.582900000000002</v>
      </c>
      <c r="L530" s="17"/>
    </row>
    <row r="531" spans="1:12" ht="15.75" x14ac:dyDescent="0.25">
      <c r="A531" s="13">
        <v>57100</v>
      </c>
      <c r="B531" s="17">
        <f>55.2329 * CHOOSE(CONTROL!$C$9, $D$9, 100%, $F$9) + CHOOSE(CONTROL!$C$27, 0.0021, 0)</f>
        <v>55.234999999999999</v>
      </c>
      <c r="C531" s="17">
        <f>54.8006 * CHOOSE(CONTROL!$C$9, $D$9, 100%, $F$9) + CHOOSE(CONTROL!$C$27, 0.0021, 0)</f>
        <v>54.802700000000002</v>
      </c>
      <c r="D531" s="17">
        <f>54.8006 * CHOOSE(CONTROL!$C$9, $D$9, 100%, $F$9) + CHOOSE(CONTROL!$C$27, 0.0021, 0)</f>
        <v>54.802700000000002</v>
      </c>
      <c r="E531" s="17">
        <f>54.664 * CHOOSE(CONTROL!$C$9, $D$9, 100%, $F$9) + CHOOSE(CONTROL!$C$27, 0.0021, 0)</f>
        <v>54.6661</v>
      </c>
      <c r="F531" s="17">
        <f>54.664 * CHOOSE(CONTROL!$C$9, $D$9, 100%, $F$9) + CHOOSE(CONTROL!$C$27, 0.0021, 0)</f>
        <v>54.6661</v>
      </c>
      <c r="G531" s="17">
        <f>54.9354 * CHOOSE(CONTROL!$C$9, $D$9, 100%, $F$9) + CHOOSE(CONTROL!$C$27, 0.0021, 0)</f>
        <v>54.9375</v>
      </c>
      <c r="H531" s="17">
        <f>54.8006 * CHOOSE(CONTROL!$C$9, $D$9, 100%, $F$9) + CHOOSE(CONTROL!$C$27, 0.0021, 0)</f>
        <v>54.802700000000002</v>
      </c>
      <c r="I531" s="17">
        <f>54.8006 * CHOOSE(CONTROL!$C$9, $D$9, 100%, $F$9) + CHOOSE(CONTROL!$C$27, 0.0021, 0)</f>
        <v>54.802700000000002</v>
      </c>
      <c r="J531" s="17">
        <f>54.8006 * CHOOSE(CONTROL!$C$9, $D$9, 100%, $F$9) + CHOOSE(CONTROL!$C$27, 0.0021, 0)</f>
        <v>54.802700000000002</v>
      </c>
      <c r="K531" s="17">
        <f>54.8006 * CHOOSE(CONTROL!$C$9, $D$9, 100%, $F$9) + CHOOSE(CONTROL!$C$27, 0.0021, 0)</f>
        <v>54.802700000000002</v>
      </c>
      <c r="L531" s="17"/>
    </row>
    <row r="532" spans="1:12" ht="15.75" x14ac:dyDescent="0.25">
      <c r="A532" s="13">
        <v>57131</v>
      </c>
      <c r="B532" s="17">
        <f>56.3447 * CHOOSE(CONTROL!$C$9, $D$9, 100%, $F$9) + CHOOSE(CONTROL!$C$27, 0.0021, 0)</f>
        <v>56.346800000000002</v>
      </c>
      <c r="C532" s="17">
        <f>55.9124 * CHOOSE(CONTROL!$C$9, $D$9, 100%, $F$9) + CHOOSE(CONTROL!$C$27, 0.0021, 0)</f>
        <v>55.914499999999997</v>
      </c>
      <c r="D532" s="17">
        <f>55.9124 * CHOOSE(CONTROL!$C$9, $D$9, 100%, $F$9) + CHOOSE(CONTROL!$C$27, 0.0021, 0)</f>
        <v>55.914499999999997</v>
      </c>
      <c r="E532" s="17">
        <f>55.7758 * CHOOSE(CONTROL!$C$9, $D$9, 100%, $F$9) + CHOOSE(CONTROL!$C$27, 0.0021, 0)</f>
        <v>55.777899999999995</v>
      </c>
      <c r="F532" s="17">
        <f>55.7758 * CHOOSE(CONTROL!$C$9, $D$9, 100%, $F$9) + CHOOSE(CONTROL!$C$27, 0.0021, 0)</f>
        <v>55.777899999999995</v>
      </c>
      <c r="G532" s="17">
        <f>56.0471 * CHOOSE(CONTROL!$C$9, $D$9, 100%, $F$9) + CHOOSE(CONTROL!$C$27, 0.0021, 0)</f>
        <v>56.049199999999999</v>
      </c>
      <c r="H532" s="17">
        <f>55.9124 * CHOOSE(CONTROL!$C$9, $D$9, 100%, $F$9) + CHOOSE(CONTROL!$C$27, 0.0021, 0)</f>
        <v>55.914499999999997</v>
      </c>
      <c r="I532" s="17">
        <f>55.9124 * CHOOSE(CONTROL!$C$9, $D$9, 100%, $F$9) + CHOOSE(CONTROL!$C$27, 0.0021, 0)</f>
        <v>55.914499999999997</v>
      </c>
      <c r="J532" s="17">
        <f>55.9124 * CHOOSE(CONTROL!$C$9, $D$9, 100%, $F$9) + CHOOSE(CONTROL!$C$27, 0.0021, 0)</f>
        <v>55.914499999999997</v>
      </c>
      <c r="K532" s="17">
        <f>55.9124 * CHOOSE(CONTROL!$C$9, $D$9, 100%, $F$9) + CHOOSE(CONTROL!$C$27, 0.0021, 0)</f>
        <v>55.914499999999997</v>
      </c>
      <c r="L532" s="17"/>
    </row>
    <row r="533" spans="1:12" ht="15.75" x14ac:dyDescent="0.25">
      <c r="A533" s="13">
        <v>57161</v>
      </c>
      <c r="B533" s="17">
        <f>57.0106 * CHOOSE(CONTROL!$C$9, $D$9, 100%, $F$9) + CHOOSE(CONTROL!$C$27, 0.0021, 0)</f>
        <v>57.012699999999995</v>
      </c>
      <c r="C533" s="17">
        <f>56.5783 * CHOOSE(CONTROL!$C$9, $D$9, 100%, $F$9) + CHOOSE(CONTROL!$C$27, 0.0021, 0)</f>
        <v>56.580399999999997</v>
      </c>
      <c r="D533" s="17">
        <f>56.5783 * CHOOSE(CONTROL!$C$9, $D$9, 100%, $F$9) + CHOOSE(CONTROL!$C$27, 0.0021, 0)</f>
        <v>56.580399999999997</v>
      </c>
      <c r="E533" s="17">
        <f>56.4417 * CHOOSE(CONTROL!$C$9, $D$9, 100%, $F$9) + CHOOSE(CONTROL!$C$27, 0.0021, 0)</f>
        <v>56.443799999999996</v>
      </c>
      <c r="F533" s="17">
        <f>56.4417 * CHOOSE(CONTROL!$C$9, $D$9, 100%, $F$9) + CHOOSE(CONTROL!$C$27, 0.0021, 0)</f>
        <v>56.443799999999996</v>
      </c>
      <c r="G533" s="17">
        <f>56.713 * CHOOSE(CONTROL!$C$9, $D$9, 100%, $F$9) + CHOOSE(CONTROL!$C$27, 0.0021, 0)</f>
        <v>56.7151</v>
      </c>
      <c r="H533" s="17">
        <f>56.5783 * CHOOSE(CONTROL!$C$9, $D$9, 100%, $F$9) + CHOOSE(CONTROL!$C$27, 0.0021, 0)</f>
        <v>56.580399999999997</v>
      </c>
      <c r="I533" s="17">
        <f>56.5783 * CHOOSE(CONTROL!$C$9, $D$9, 100%, $F$9) + CHOOSE(CONTROL!$C$27, 0.0021, 0)</f>
        <v>56.580399999999997</v>
      </c>
      <c r="J533" s="17">
        <f>56.5783 * CHOOSE(CONTROL!$C$9, $D$9, 100%, $F$9) + CHOOSE(CONTROL!$C$27, 0.0021, 0)</f>
        <v>56.580399999999997</v>
      </c>
      <c r="K533" s="17">
        <f>56.5783 * CHOOSE(CONTROL!$C$9, $D$9, 100%, $F$9) + CHOOSE(CONTROL!$C$27, 0.0021, 0)</f>
        <v>56.580399999999997</v>
      </c>
      <c r="L533" s="17"/>
    </row>
    <row r="534" spans="1:12" ht="15.75" x14ac:dyDescent="0.25">
      <c r="A534" s="13">
        <v>57192</v>
      </c>
      <c r="B534" s="17">
        <f>58.1091 * CHOOSE(CONTROL!$C$9, $D$9, 100%, $F$9) + CHOOSE(CONTROL!$C$27, 0.0021, 0)</f>
        <v>58.111199999999997</v>
      </c>
      <c r="C534" s="17">
        <f>57.6768 * CHOOSE(CONTROL!$C$9, $D$9, 100%, $F$9) + CHOOSE(CONTROL!$C$27, 0.0021, 0)</f>
        <v>57.678899999999999</v>
      </c>
      <c r="D534" s="17">
        <f>57.6768 * CHOOSE(CONTROL!$C$9, $D$9, 100%, $F$9) + CHOOSE(CONTROL!$C$27, 0.0021, 0)</f>
        <v>57.678899999999999</v>
      </c>
      <c r="E534" s="17">
        <f>57.5402 * CHOOSE(CONTROL!$C$9, $D$9, 100%, $F$9) + CHOOSE(CONTROL!$C$27, 0.0021, 0)</f>
        <v>57.542299999999997</v>
      </c>
      <c r="F534" s="17">
        <f>57.5402 * CHOOSE(CONTROL!$C$9, $D$9, 100%, $F$9) + CHOOSE(CONTROL!$C$27, 0.0021, 0)</f>
        <v>57.542299999999997</v>
      </c>
      <c r="G534" s="17">
        <f>57.8116 * CHOOSE(CONTROL!$C$9, $D$9, 100%, $F$9) + CHOOSE(CONTROL!$C$27, 0.0021, 0)</f>
        <v>57.813699999999997</v>
      </c>
      <c r="H534" s="17">
        <f>57.6768 * CHOOSE(CONTROL!$C$9, $D$9, 100%, $F$9) + CHOOSE(CONTROL!$C$27, 0.0021, 0)</f>
        <v>57.678899999999999</v>
      </c>
      <c r="I534" s="17">
        <f>57.6768 * CHOOSE(CONTROL!$C$9, $D$9, 100%, $F$9) + CHOOSE(CONTROL!$C$27, 0.0021, 0)</f>
        <v>57.678899999999999</v>
      </c>
      <c r="J534" s="17">
        <f>57.6768 * CHOOSE(CONTROL!$C$9, $D$9, 100%, $F$9) + CHOOSE(CONTROL!$C$27, 0.0021, 0)</f>
        <v>57.678899999999999</v>
      </c>
      <c r="K534" s="17">
        <f>57.6768 * CHOOSE(CONTROL!$C$9, $D$9, 100%, $F$9) + CHOOSE(CONTROL!$C$27, 0.0021, 0)</f>
        <v>57.678899999999999</v>
      </c>
      <c r="L534" s="17"/>
    </row>
    <row r="535" spans="1:12" ht="15.75" x14ac:dyDescent="0.25">
      <c r="A535" s="13">
        <v>57223</v>
      </c>
      <c r="B535" s="17">
        <f>58.4444 * CHOOSE(CONTROL!$C$9, $D$9, 100%, $F$9) + CHOOSE(CONTROL!$C$27, 0.0021, 0)</f>
        <v>58.4465</v>
      </c>
      <c r="C535" s="17">
        <f>58.0121 * CHOOSE(CONTROL!$C$9, $D$9, 100%, $F$9) + CHOOSE(CONTROL!$C$27, 0.0021, 0)</f>
        <v>58.014199999999995</v>
      </c>
      <c r="D535" s="17">
        <f>58.0121 * CHOOSE(CONTROL!$C$9, $D$9, 100%, $F$9) + CHOOSE(CONTROL!$C$27, 0.0021, 0)</f>
        <v>58.014199999999995</v>
      </c>
      <c r="E535" s="17">
        <f>57.8755 * CHOOSE(CONTROL!$C$9, $D$9, 100%, $F$9) + CHOOSE(CONTROL!$C$27, 0.0021, 0)</f>
        <v>57.877600000000001</v>
      </c>
      <c r="F535" s="17">
        <f>57.8755 * CHOOSE(CONTROL!$C$9, $D$9, 100%, $F$9) + CHOOSE(CONTROL!$C$27, 0.0021, 0)</f>
        <v>57.877600000000001</v>
      </c>
      <c r="G535" s="17">
        <f>58.1469 * CHOOSE(CONTROL!$C$9, $D$9, 100%, $F$9) + CHOOSE(CONTROL!$C$27, 0.0021, 0)</f>
        <v>58.149000000000001</v>
      </c>
      <c r="H535" s="17">
        <f>58.0121 * CHOOSE(CONTROL!$C$9, $D$9, 100%, $F$9) + CHOOSE(CONTROL!$C$27, 0.0021, 0)</f>
        <v>58.014199999999995</v>
      </c>
      <c r="I535" s="17">
        <f>58.0121 * CHOOSE(CONTROL!$C$9, $D$9, 100%, $F$9) + CHOOSE(CONTROL!$C$27, 0.0021, 0)</f>
        <v>58.014199999999995</v>
      </c>
      <c r="J535" s="17">
        <f>58.0121 * CHOOSE(CONTROL!$C$9, $D$9, 100%, $F$9) + CHOOSE(CONTROL!$C$27, 0.0021, 0)</f>
        <v>58.014199999999995</v>
      </c>
      <c r="K535" s="17">
        <f>58.0121 * CHOOSE(CONTROL!$C$9, $D$9, 100%, $F$9) + CHOOSE(CONTROL!$C$27, 0.0021, 0)</f>
        <v>58.014199999999995</v>
      </c>
      <c r="L535" s="17"/>
    </row>
    <row r="536" spans="1:12" ht="15.75" x14ac:dyDescent="0.25">
      <c r="A536" s="13">
        <v>57253</v>
      </c>
      <c r="B536" s="17">
        <f>59.5862 * CHOOSE(CONTROL!$C$9, $D$9, 100%, $F$9) + CHOOSE(CONTROL!$C$27, 0.0021, 0)</f>
        <v>59.588299999999997</v>
      </c>
      <c r="C536" s="17">
        <f>59.154 * CHOOSE(CONTROL!$C$9, $D$9, 100%, $F$9) + CHOOSE(CONTROL!$C$27, 0.0021, 0)</f>
        <v>59.156100000000002</v>
      </c>
      <c r="D536" s="17">
        <f>59.154 * CHOOSE(CONTROL!$C$9, $D$9, 100%, $F$9) + CHOOSE(CONTROL!$C$27, 0.0021, 0)</f>
        <v>59.156100000000002</v>
      </c>
      <c r="E536" s="17">
        <f>59.0173 * CHOOSE(CONTROL!$C$9, $D$9, 100%, $F$9) + CHOOSE(CONTROL!$C$27, 0.0021, 0)</f>
        <v>59.019399999999997</v>
      </c>
      <c r="F536" s="17">
        <f>59.0173 * CHOOSE(CONTROL!$C$9, $D$9, 100%, $F$9) + CHOOSE(CONTROL!$C$27, 0.0021, 0)</f>
        <v>59.019399999999997</v>
      </c>
      <c r="G536" s="17">
        <f>59.2887 * CHOOSE(CONTROL!$C$9, $D$9, 100%, $F$9) + CHOOSE(CONTROL!$C$27, 0.0021, 0)</f>
        <v>59.290799999999997</v>
      </c>
      <c r="H536" s="17">
        <f>59.154 * CHOOSE(CONTROL!$C$9, $D$9, 100%, $F$9) + CHOOSE(CONTROL!$C$27, 0.0021, 0)</f>
        <v>59.156100000000002</v>
      </c>
      <c r="I536" s="17">
        <f>59.154 * CHOOSE(CONTROL!$C$9, $D$9, 100%, $F$9) + CHOOSE(CONTROL!$C$27, 0.0021, 0)</f>
        <v>59.156100000000002</v>
      </c>
      <c r="J536" s="17">
        <f>59.154 * CHOOSE(CONTROL!$C$9, $D$9, 100%, $F$9) + CHOOSE(CONTROL!$C$27, 0.0021, 0)</f>
        <v>59.156100000000002</v>
      </c>
      <c r="K536" s="17">
        <f>59.154 * CHOOSE(CONTROL!$C$9, $D$9, 100%, $F$9) + CHOOSE(CONTROL!$C$27, 0.0021, 0)</f>
        <v>59.156100000000002</v>
      </c>
      <c r="L536" s="17"/>
    </row>
    <row r="537" spans="1:12" ht="15.75" x14ac:dyDescent="0.25">
      <c r="A537" s="13">
        <v>57284</v>
      </c>
      <c r="B537" s="17">
        <f>61.0316 * CHOOSE(CONTROL!$C$9, $D$9, 100%, $F$9) + CHOOSE(CONTROL!$C$27, 0.0021, 0)</f>
        <v>61.033699999999996</v>
      </c>
      <c r="C537" s="17">
        <f>60.5994 * CHOOSE(CONTROL!$C$9, $D$9, 100%, $F$9) + CHOOSE(CONTROL!$C$27, 0.0021, 0)</f>
        <v>60.601500000000001</v>
      </c>
      <c r="D537" s="17">
        <f>60.5994 * CHOOSE(CONTROL!$C$9, $D$9, 100%, $F$9) + CHOOSE(CONTROL!$C$27, 0.0021, 0)</f>
        <v>60.601500000000001</v>
      </c>
      <c r="E537" s="17">
        <f>60.4627 * CHOOSE(CONTROL!$C$9, $D$9, 100%, $F$9) + CHOOSE(CONTROL!$C$27, 0.0021, 0)</f>
        <v>60.464799999999997</v>
      </c>
      <c r="F537" s="17">
        <f>60.4627 * CHOOSE(CONTROL!$C$9, $D$9, 100%, $F$9) + CHOOSE(CONTROL!$C$27, 0.0021, 0)</f>
        <v>60.464799999999997</v>
      </c>
      <c r="G537" s="17">
        <f>60.7341 * CHOOSE(CONTROL!$C$9, $D$9, 100%, $F$9) + CHOOSE(CONTROL!$C$27, 0.0021, 0)</f>
        <v>60.736199999999997</v>
      </c>
      <c r="H537" s="17">
        <f>60.5994 * CHOOSE(CONTROL!$C$9, $D$9, 100%, $F$9) + CHOOSE(CONTROL!$C$27, 0.0021, 0)</f>
        <v>60.601500000000001</v>
      </c>
      <c r="I537" s="17">
        <f>60.5994 * CHOOSE(CONTROL!$C$9, $D$9, 100%, $F$9) + CHOOSE(CONTROL!$C$27, 0.0021, 0)</f>
        <v>60.601500000000001</v>
      </c>
      <c r="J537" s="17">
        <f>60.5994 * CHOOSE(CONTROL!$C$9, $D$9, 100%, $F$9) + CHOOSE(CONTROL!$C$27, 0.0021, 0)</f>
        <v>60.601500000000001</v>
      </c>
      <c r="K537" s="17">
        <f>60.5994 * CHOOSE(CONTROL!$C$9, $D$9, 100%, $F$9) + CHOOSE(CONTROL!$C$27, 0.0021, 0)</f>
        <v>60.601500000000001</v>
      </c>
      <c r="L537" s="17"/>
    </row>
    <row r="538" spans="1:12" ht="15.75" x14ac:dyDescent="0.25">
      <c r="A538" s="13">
        <v>57314</v>
      </c>
      <c r="B538" s="17">
        <f>61.1673 * CHOOSE(CONTROL!$C$9, $D$9, 100%, $F$9) + CHOOSE(CONTROL!$C$27, 0.0021, 0)</f>
        <v>61.169399999999996</v>
      </c>
      <c r="C538" s="17">
        <f>60.7351 * CHOOSE(CONTROL!$C$9, $D$9, 100%, $F$9) + CHOOSE(CONTROL!$C$27, 0.0021, 0)</f>
        <v>60.737200000000001</v>
      </c>
      <c r="D538" s="17">
        <f>60.7351 * CHOOSE(CONTROL!$C$9, $D$9, 100%, $F$9) + CHOOSE(CONTROL!$C$27, 0.0021, 0)</f>
        <v>60.737200000000001</v>
      </c>
      <c r="E538" s="17">
        <f>60.5984 * CHOOSE(CONTROL!$C$9, $D$9, 100%, $F$9) + CHOOSE(CONTROL!$C$27, 0.0021, 0)</f>
        <v>60.600499999999997</v>
      </c>
      <c r="F538" s="17">
        <f>60.5984 * CHOOSE(CONTROL!$C$9, $D$9, 100%, $F$9) + CHOOSE(CONTROL!$C$27, 0.0021, 0)</f>
        <v>60.600499999999997</v>
      </c>
      <c r="G538" s="17">
        <f>60.8698 * CHOOSE(CONTROL!$C$9, $D$9, 100%, $F$9) + CHOOSE(CONTROL!$C$27, 0.0021, 0)</f>
        <v>60.871899999999997</v>
      </c>
      <c r="H538" s="17">
        <f>60.7351 * CHOOSE(CONTROL!$C$9, $D$9, 100%, $F$9) + CHOOSE(CONTROL!$C$27, 0.0021, 0)</f>
        <v>60.737200000000001</v>
      </c>
      <c r="I538" s="17">
        <f>60.7351 * CHOOSE(CONTROL!$C$9, $D$9, 100%, $F$9) + CHOOSE(CONTROL!$C$27, 0.0021, 0)</f>
        <v>60.737200000000001</v>
      </c>
      <c r="J538" s="17">
        <f>60.7351 * CHOOSE(CONTROL!$C$9, $D$9, 100%, $F$9) + CHOOSE(CONTROL!$C$27, 0.0021, 0)</f>
        <v>60.737200000000001</v>
      </c>
      <c r="K538" s="17">
        <f>60.7351 * CHOOSE(CONTROL!$C$9, $D$9, 100%, $F$9) + CHOOSE(CONTROL!$C$27, 0.0021, 0)</f>
        <v>60.737200000000001</v>
      </c>
      <c r="L538" s="17"/>
    </row>
    <row r="539" spans="1:12" ht="15.75" x14ac:dyDescent="0.25">
      <c r="A539" s="13">
        <v>57345</v>
      </c>
      <c r="B539" s="17">
        <f>60.0129 * CHOOSE(CONTROL!$C$9, $D$9, 100%, $F$9) + CHOOSE(CONTROL!$C$27, 0.0021, 0)</f>
        <v>60.015000000000001</v>
      </c>
      <c r="C539" s="17">
        <f>59.5807 * CHOOSE(CONTROL!$C$9, $D$9, 100%, $F$9) + CHOOSE(CONTROL!$C$27, 0.0021, 0)</f>
        <v>59.582799999999999</v>
      </c>
      <c r="D539" s="17">
        <f>59.5807 * CHOOSE(CONTROL!$C$9, $D$9, 100%, $F$9) + CHOOSE(CONTROL!$C$27, 0.0021, 0)</f>
        <v>59.582799999999999</v>
      </c>
      <c r="E539" s="17">
        <f>59.444 * CHOOSE(CONTROL!$C$9, $D$9, 100%, $F$9) + CHOOSE(CONTROL!$C$27, 0.0021, 0)</f>
        <v>59.446100000000001</v>
      </c>
      <c r="F539" s="17">
        <f>59.444 * CHOOSE(CONTROL!$C$9, $D$9, 100%, $F$9) + CHOOSE(CONTROL!$C$27, 0.0021, 0)</f>
        <v>59.446100000000001</v>
      </c>
      <c r="G539" s="17">
        <f>59.7154 * CHOOSE(CONTROL!$C$9, $D$9, 100%, $F$9) + CHOOSE(CONTROL!$C$27, 0.0021, 0)</f>
        <v>59.717500000000001</v>
      </c>
      <c r="H539" s="17">
        <f>59.5807 * CHOOSE(CONTROL!$C$9, $D$9, 100%, $F$9) + CHOOSE(CONTROL!$C$27, 0.0021, 0)</f>
        <v>59.582799999999999</v>
      </c>
      <c r="I539" s="17">
        <f>59.5807 * CHOOSE(CONTROL!$C$9, $D$9, 100%, $F$9) + CHOOSE(CONTROL!$C$27, 0.0021, 0)</f>
        <v>59.582799999999999</v>
      </c>
      <c r="J539" s="17">
        <f>59.5807 * CHOOSE(CONTROL!$C$9, $D$9, 100%, $F$9) + CHOOSE(CONTROL!$C$27, 0.0021, 0)</f>
        <v>59.582799999999999</v>
      </c>
      <c r="K539" s="17">
        <f>59.5807 * CHOOSE(CONTROL!$C$9, $D$9, 100%, $F$9) + CHOOSE(CONTROL!$C$27, 0.0021, 0)</f>
        <v>59.582799999999999</v>
      </c>
      <c r="L539" s="17"/>
    </row>
    <row r="540" spans="1:12" ht="15.75" x14ac:dyDescent="0.25">
      <c r="A540" s="13">
        <v>57376</v>
      </c>
      <c r="B540" s="17">
        <f>59.2833 * CHOOSE(CONTROL!$C$9, $D$9, 100%, $F$9) + CHOOSE(CONTROL!$C$27, 0.0021, 0)</f>
        <v>59.285399999999996</v>
      </c>
      <c r="C540" s="17">
        <f>58.851 * CHOOSE(CONTROL!$C$9, $D$9, 100%, $F$9) + CHOOSE(CONTROL!$C$27, 0.0021, 0)</f>
        <v>58.853099999999998</v>
      </c>
      <c r="D540" s="17">
        <f>58.851 * CHOOSE(CONTROL!$C$9, $D$9, 100%, $F$9) + CHOOSE(CONTROL!$C$27, 0.0021, 0)</f>
        <v>58.853099999999998</v>
      </c>
      <c r="E540" s="17">
        <f>58.7144 * CHOOSE(CONTROL!$C$9, $D$9, 100%, $F$9) + CHOOSE(CONTROL!$C$27, 0.0021, 0)</f>
        <v>58.716499999999996</v>
      </c>
      <c r="F540" s="17">
        <f>58.7144 * CHOOSE(CONTROL!$C$9, $D$9, 100%, $F$9) + CHOOSE(CONTROL!$C$27, 0.0021, 0)</f>
        <v>58.716499999999996</v>
      </c>
      <c r="G540" s="17">
        <f>58.9857 * CHOOSE(CONTROL!$C$9, $D$9, 100%, $F$9) + CHOOSE(CONTROL!$C$27, 0.0021, 0)</f>
        <v>58.9878</v>
      </c>
      <c r="H540" s="17">
        <f>58.851 * CHOOSE(CONTROL!$C$9, $D$9, 100%, $F$9) + CHOOSE(CONTROL!$C$27, 0.0021, 0)</f>
        <v>58.853099999999998</v>
      </c>
      <c r="I540" s="17">
        <f>58.851 * CHOOSE(CONTROL!$C$9, $D$9, 100%, $F$9) + CHOOSE(CONTROL!$C$27, 0.0021, 0)</f>
        <v>58.853099999999998</v>
      </c>
      <c r="J540" s="17">
        <f>58.851 * CHOOSE(CONTROL!$C$9, $D$9, 100%, $F$9) + CHOOSE(CONTROL!$C$27, 0.0021, 0)</f>
        <v>58.853099999999998</v>
      </c>
      <c r="K540" s="17">
        <f>58.851 * CHOOSE(CONTROL!$C$9, $D$9, 100%, $F$9) + CHOOSE(CONTROL!$C$27, 0.0021, 0)</f>
        <v>58.853099999999998</v>
      </c>
      <c r="L540" s="17"/>
    </row>
    <row r="541" spans="1:12" ht="15.75" x14ac:dyDescent="0.25">
      <c r="A541" s="13">
        <v>57404</v>
      </c>
      <c r="B541" s="17">
        <f>57.6713 * CHOOSE(CONTROL!$C$9, $D$9, 100%, $F$9) + CHOOSE(CONTROL!$C$27, 0.0021, 0)</f>
        <v>57.673400000000001</v>
      </c>
      <c r="C541" s="17">
        <f>57.239 * CHOOSE(CONTROL!$C$9, $D$9, 100%, $F$9) + CHOOSE(CONTROL!$C$27, 0.0021, 0)</f>
        <v>57.241099999999996</v>
      </c>
      <c r="D541" s="17">
        <f>57.239 * CHOOSE(CONTROL!$C$9, $D$9, 100%, $F$9) + CHOOSE(CONTROL!$C$27, 0.0021, 0)</f>
        <v>57.241099999999996</v>
      </c>
      <c r="E541" s="17">
        <f>57.1023 * CHOOSE(CONTROL!$C$9, $D$9, 100%, $F$9) + CHOOSE(CONTROL!$C$27, 0.0021, 0)</f>
        <v>57.104399999999998</v>
      </c>
      <c r="F541" s="17">
        <f>57.1023 * CHOOSE(CONTROL!$C$9, $D$9, 100%, $F$9) + CHOOSE(CONTROL!$C$27, 0.0021, 0)</f>
        <v>57.104399999999998</v>
      </c>
      <c r="G541" s="17">
        <f>57.3737 * CHOOSE(CONTROL!$C$9, $D$9, 100%, $F$9) + CHOOSE(CONTROL!$C$27, 0.0021, 0)</f>
        <v>57.375799999999998</v>
      </c>
      <c r="H541" s="17">
        <f>57.239 * CHOOSE(CONTROL!$C$9, $D$9, 100%, $F$9) + CHOOSE(CONTROL!$C$27, 0.0021, 0)</f>
        <v>57.241099999999996</v>
      </c>
      <c r="I541" s="17">
        <f>57.239 * CHOOSE(CONTROL!$C$9, $D$9, 100%, $F$9) + CHOOSE(CONTROL!$C$27, 0.0021, 0)</f>
        <v>57.241099999999996</v>
      </c>
      <c r="J541" s="17">
        <f>57.239 * CHOOSE(CONTROL!$C$9, $D$9, 100%, $F$9) + CHOOSE(CONTROL!$C$27, 0.0021, 0)</f>
        <v>57.241099999999996</v>
      </c>
      <c r="K541" s="17">
        <f>57.239 * CHOOSE(CONTROL!$C$9, $D$9, 100%, $F$9) + CHOOSE(CONTROL!$C$27, 0.0021, 0)</f>
        <v>57.241099999999996</v>
      </c>
      <c r="L541" s="17"/>
    </row>
    <row r="542" spans="1:12" ht="15.75" x14ac:dyDescent="0.25">
      <c r="A542" s="13">
        <v>57435</v>
      </c>
      <c r="B542" s="17">
        <f>57.0058 * CHOOSE(CONTROL!$C$9, $D$9, 100%, $F$9) + CHOOSE(CONTROL!$C$27, 0.0021, 0)</f>
        <v>57.007899999999999</v>
      </c>
      <c r="C542" s="17">
        <f>56.5736 * CHOOSE(CONTROL!$C$9, $D$9, 100%, $F$9) + CHOOSE(CONTROL!$C$27, 0.0021, 0)</f>
        <v>56.575699999999998</v>
      </c>
      <c r="D542" s="17">
        <f>56.5736 * CHOOSE(CONTROL!$C$9, $D$9, 100%, $F$9) + CHOOSE(CONTROL!$C$27, 0.0021, 0)</f>
        <v>56.575699999999998</v>
      </c>
      <c r="E542" s="17">
        <f>56.4369 * CHOOSE(CONTROL!$C$9, $D$9, 100%, $F$9) + CHOOSE(CONTROL!$C$27, 0.0021, 0)</f>
        <v>56.439</v>
      </c>
      <c r="F542" s="17">
        <f>56.4369 * CHOOSE(CONTROL!$C$9, $D$9, 100%, $F$9) + CHOOSE(CONTROL!$C$27, 0.0021, 0)</f>
        <v>56.439</v>
      </c>
      <c r="G542" s="17">
        <f>56.7083 * CHOOSE(CONTROL!$C$9, $D$9, 100%, $F$9) + CHOOSE(CONTROL!$C$27, 0.0021, 0)</f>
        <v>56.7104</v>
      </c>
      <c r="H542" s="17">
        <f>56.5736 * CHOOSE(CONTROL!$C$9, $D$9, 100%, $F$9) + CHOOSE(CONTROL!$C$27, 0.0021, 0)</f>
        <v>56.575699999999998</v>
      </c>
      <c r="I542" s="17">
        <f>56.5736 * CHOOSE(CONTROL!$C$9, $D$9, 100%, $F$9) + CHOOSE(CONTROL!$C$27, 0.0021, 0)</f>
        <v>56.575699999999998</v>
      </c>
      <c r="J542" s="17">
        <f>56.5736 * CHOOSE(CONTROL!$C$9, $D$9, 100%, $F$9) + CHOOSE(CONTROL!$C$27, 0.0021, 0)</f>
        <v>56.575699999999998</v>
      </c>
      <c r="K542" s="17">
        <f>56.5736 * CHOOSE(CONTROL!$C$9, $D$9, 100%, $F$9) + CHOOSE(CONTROL!$C$27, 0.0021, 0)</f>
        <v>56.575699999999998</v>
      </c>
      <c r="L542" s="17"/>
    </row>
    <row r="543" spans="1:12" ht="15.75" x14ac:dyDescent="0.25">
      <c r="A543" s="13">
        <v>57465</v>
      </c>
      <c r="B543" s="17">
        <f>56.2113 * CHOOSE(CONTROL!$C$9, $D$9, 100%, $F$9) + CHOOSE(CONTROL!$C$27, 0.0021, 0)</f>
        <v>56.2134</v>
      </c>
      <c r="C543" s="17">
        <f>55.779 * CHOOSE(CONTROL!$C$9, $D$9, 100%, $F$9) + CHOOSE(CONTROL!$C$27, 0.0021, 0)</f>
        <v>55.781100000000002</v>
      </c>
      <c r="D543" s="17">
        <f>55.779 * CHOOSE(CONTROL!$C$9, $D$9, 100%, $F$9) + CHOOSE(CONTROL!$C$27, 0.0021, 0)</f>
        <v>55.781100000000002</v>
      </c>
      <c r="E543" s="17">
        <f>55.6424 * CHOOSE(CONTROL!$C$9, $D$9, 100%, $F$9) + CHOOSE(CONTROL!$C$27, 0.0021, 0)</f>
        <v>55.644500000000001</v>
      </c>
      <c r="F543" s="17">
        <f>55.6424 * CHOOSE(CONTROL!$C$9, $D$9, 100%, $F$9) + CHOOSE(CONTROL!$C$27, 0.0021, 0)</f>
        <v>55.644500000000001</v>
      </c>
      <c r="G543" s="17">
        <f>55.9137 * CHOOSE(CONTROL!$C$9, $D$9, 100%, $F$9) + CHOOSE(CONTROL!$C$27, 0.0021, 0)</f>
        <v>55.915799999999997</v>
      </c>
      <c r="H543" s="17">
        <f>55.779 * CHOOSE(CONTROL!$C$9, $D$9, 100%, $F$9) + CHOOSE(CONTROL!$C$27, 0.0021, 0)</f>
        <v>55.781100000000002</v>
      </c>
      <c r="I543" s="17">
        <f>55.779 * CHOOSE(CONTROL!$C$9, $D$9, 100%, $F$9) + CHOOSE(CONTROL!$C$27, 0.0021, 0)</f>
        <v>55.781100000000002</v>
      </c>
      <c r="J543" s="17">
        <f>55.779 * CHOOSE(CONTROL!$C$9, $D$9, 100%, $F$9) + CHOOSE(CONTROL!$C$27, 0.0021, 0)</f>
        <v>55.781100000000002</v>
      </c>
      <c r="K543" s="17">
        <f>55.779 * CHOOSE(CONTROL!$C$9, $D$9, 100%, $F$9) + CHOOSE(CONTROL!$C$27, 0.0021, 0)</f>
        <v>55.781100000000002</v>
      </c>
      <c r="L543" s="17"/>
    </row>
    <row r="544" spans="1:12" ht="15.75" x14ac:dyDescent="0.25">
      <c r="A544" s="13">
        <v>57496</v>
      </c>
      <c r="B544" s="17">
        <f>57.3436 * CHOOSE(CONTROL!$C$9, $D$9, 100%, $F$9) + CHOOSE(CONTROL!$C$27, 0.0021, 0)</f>
        <v>57.345700000000001</v>
      </c>
      <c r="C544" s="17">
        <f>56.9114 * CHOOSE(CONTROL!$C$9, $D$9, 100%, $F$9) + CHOOSE(CONTROL!$C$27, 0.0021, 0)</f>
        <v>56.913499999999999</v>
      </c>
      <c r="D544" s="17">
        <f>56.9114 * CHOOSE(CONTROL!$C$9, $D$9, 100%, $F$9) + CHOOSE(CONTROL!$C$27, 0.0021, 0)</f>
        <v>56.913499999999999</v>
      </c>
      <c r="E544" s="17">
        <f>56.7747 * CHOOSE(CONTROL!$C$9, $D$9, 100%, $F$9) + CHOOSE(CONTROL!$C$27, 0.0021, 0)</f>
        <v>56.776800000000001</v>
      </c>
      <c r="F544" s="17">
        <f>56.7747 * CHOOSE(CONTROL!$C$9, $D$9, 100%, $F$9) + CHOOSE(CONTROL!$C$27, 0.0021, 0)</f>
        <v>56.776800000000001</v>
      </c>
      <c r="G544" s="17">
        <f>57.0461 * CHOOSE(CONTROL!$C$9, $D$9, 100%, $F$9) + CHOOSE(CONTROL!$C$27, 0.0021, 0)</f>
        <v>57.048200000000001</v>
      </c>
      <c r="H544" s="17">
        <f>56.9114 * CHOOSE(CONTROL!$C$9, $D$9, 100%, $F$9) + CHOOSE(CONTROL!$C$27, 0.0021, 0)</f>
        <v>56.913499999999999</v>
      </c>
      <c r="I544" s="17">
        <f>56.9114 * CHOOSE(CONTROL!$C$9, $D$9, 100%, $F$9) + CHOOSE(CONTROL!$C$27, 0.0021, 0)</f>
        <v>56.913499999999999</v>
      </c>
      <c r="J544" s="17">
        <f>56.9114 * CHOOSE(CONTROL!$C$9, $D$9, 100%, $F$9) + CHOOSE(CONTROL!$C$27, 0.0021, 0)</f>
        <v>56.913499999999999</v>
      </c>
      <c r="K544" s="17">
        <f>56.9114 * CHOOSE(CONTROL!$C$9, $D$9, 100%, $F$9) + CHOOSE(CONTROL!$C$27, 0.0021, 0)</f>
        <v>56.913499999999999</v>
      </c>
      <c r="L544" s="17"/>
    </row>
    <row r="545" spans="1:12" ht="15.75" x14ac:dyDescent="0.25">
      <c r="A545" s="13">
        <v>57526</v>
      </c>
      <c r="B545" s="17">
        <f>58.0218 * CHOOSE(CONTROL!$C$9, $D$9, 100%, $F$9) + CHOOSE(CONTROL!$C$27, 0.0021, 0)</f>
        <v>58.023899999999998</v>
      </c>
      <c r="C545" s="17">
        <f>57.5896 * CHOOSE(CONTROL!$C$9, $D$9, 100%, $F$9) + CHOOSE(CONTROL!$C$27, 0.0021, 0)</f>
        <v>57.591699999999996</v>
      </c>
      <c r="D545" s="17">
        <f>57.5896 * CHOOSE(CONTROL!$C$9, $D$9, 100%, $F$9) + CHOOSE(CONTROL!$C$27, 0.0021, 0)</f>
        <v>57.591699999999996</v>
      </c>
      <c r="E545" s="17">
        <f>57.4529 * CHOOSE(CONTROL!$C$9, $D$9, 100%, $F$9) + CHOOSE(CONTROL!$C$27, 0.0021, 0)</f>
        <v>57.454999999999998</v>
      </c>
      <c r="F545" s="17">
        <f>57.4529 * CHOOSE(CONTROL!$C$9, $D$9, 100%, $F$9) + CHOOSE(CONTROL!$C$27, 0.0021, 0)</f>
        <v>57.454999999999998</v>
      </c>
      <c r="G545" s="17">
        <f>57.7243 * CHOOSE(CONTROL!$C$9, $D$9, 100%, $F$9) + CHOOSE(CONTROL!$C$27, 0.0021, 0)</f>
        <v>57.726399999999998</v>
      </c>
      <c r="H545" s="17">
        <f>57.5896 * CHOOSE(CONTROL!$C$9, $D$9, 100%, $F$9) + CHOOSE(CONTROL!$C$27, 0.0021, 0)</f>
        <v>57.591699999999996</v>
      </c>
      <c r="I545" s="17">
        <f>57.5896 * CHOOSE(CONTROL!$C$9, $D$9, 100%, $F$9) + CHOOSE(CONTROL!$C$27, 0.0021, 0)</f>
        <v>57.591699999999996</v>
      </c>
      <c r="J545" s="17">
        <f>57.5896 * CHOOSE(CONTROL!$C$9, $D$9, 100%, $F$9) + CHOOSE(CONTROL!$C$27, 0.0021, 0)</f>
        <v>57.591699999999996</v>
      </c>
      <c r="K545" s="17">
        <f>57.5896 * CHOOSE(CONTROL!$C$9, $D$9, 100%, $F$9) + CHOOSE(CONTROL!$C$27, 0.0021, 0)</f>
        <v>57.591699999999996</v>
      </c>
      <c r="L545" s="17"/>
    </row>
    <row r="546" spans="1:12" ht="15.75" x14ac:dyDescent="0.25">
      <c r="A546" s="13">
        <v>57557</v>
      </c>
      <c r="B546" s="17">
        <f>59.1406 * CHOOSE(CONTROL!$C$9, $D$9, 100%, $F$9) + CHOOSE(CONTROL!$C$27, 0.0021, 0)</f>
        <v>59.142699999999998</v>
      </c>
      <c r="C546" s="17">
        <f>58.7084 * CHOOSE(CONTROL!$C$9, $D$9, 100%, $F$9) + CHOOSE(CONTROL!$C$27, 0.0021, 0)</f>
        <v>58.710499999999996</v>
      </c>
      <c r="D546" s="17">
        <f>58.7084 * CHOOSE(CONTROL!$C$9, $D$9, 100%, $F$9) + CHOOSE(CONTROL!$C$27, 0.0021, 0)</f>
        <v>58.710499999999996</v>
      </c>
      <c r="E546" s="17">
        <f>58.5717 * CHOOSE(CONTROL!$C$9, $D$9, 100%, $F$9) + CHOOSE(CONTROL!$C$27, 0.0021, 0)</f>
        <v>58.573799999999999</v>
      </c>
      <c r="F546" s="17">
        <f>58.5717 * CHOOSE(CONTROL!$C$9, $D$9, 100%, $F$9) + CHOOSE(CONTROL!$C$27, 0.0021, 0)</f>
        <v>58.573799999999999</v>
      </c>
      <c r="G546" s="17">
        <f>58.8431 * CHOOSE(CONTROL!$C$9, $D$9, 100%, $F$9) + CHOOSE(CONTROL!$C$27, 0.0021, 0)</f>
        <v>58.845199999999998</v>
      </c>
      <c r="H546" s="17">
        <f>58.7084 * CHOOSE(CONTROL!$C$9, $D$9, 100%, $F$9) + CHOOSE(CONTROL!$C$27, 0.0021, 0)</f>
        <v>58.710499999999996</v>
      </c>
      <c r="I546" s="17">
        <f>58.7084 * CHOOSE(CONTROL!$C$9, $D$9, 100%, $F$9) + CHOOSE(CONTROL!$C$27, 0.0021, 0)</f>
        <v>58.710499999999996</v>
      </c>
      <c r="J546" s="17">
        <f>58.7084 * CHOOSE(CONTROL!$C$9, $D$9, 100%, $F$9) + CHOOSE(CONTROL!$C$27, 0.0021, 0)</f>
        <v>58.710499999999996</v>
      </c>
      <c r="K546" s="17">
        <f>58.7084 * CHOOSE(CONTROL!$C$9, $D$9, 100%, $F$9) + CHOOSE(CONTROL!$C$27, 0.0021, 0)</f>
        <v>58.710499999999996</v>
      </c>
      <c r="L546" s="17"/>
    </row>
    <row r="547" spans="1:12" ht="15.75" x14ac:dyDescent="0.25">
      <c r="A547" s="13">
        <v>57588</v>
      </c>
      <c r="B547" s="17">
        <f>59.4821 * CHOOSE(CONTROL!$C$9, $D$9, 100%, $F$9) + CHOOSE(CONTROL!$C$27, 0.0021, 0)</f>
        <v>59.484200000000001</v>
      </c>
      <c r="C547" s="17">
        <f>59.0499 * CHOOSE(CONTROL!$C$9, $D$9, 100%, $F$9) + CHOOSE(CONTROL!$C$27, 0.0021, 0)</f>
        <v>59.052</v>
      </c>
      <c r="D547" s="17">
        <f>59.0499 * CHOOSE(CONTROL!$C$9, $D$9, 100%, $F$9) + CHOOSE(CONTROL!$C$27, 0.0021, 0)</f>
        <v>59.052</v>
      </c>
      <c r="E547" s="17">
        <f>58.9132 * CHOOSE(CONTROL!$C$9, $D$9, 100%, $F$9) + CHOOSE(CONTROL!$C$27, 0.0021, 0)</f>
        <v>58.915300000000002</v>
      </c>
      <c r="F547" s="17">
        <f>58.9132 * CHOOSE(CONTROL!$C$9, $D$9, 100%, $F$9) + CHOOSE(CONTROL!$C$27, 0.0021, 0)</f>
        <v>58.915300000000002</v>
      </c>
      <c r="G547" s="17">
        <f>59.1846 * CHOOSE(CONTROL!$C$9, $D$9, 100%, $F$9) + CHOOSE(CONTROL!$C$27, 0.0021, 0)</f>
        <v>59.186700000000002</v>
      </c>
      <c r="H547" s="17">
        <f>59.0499 * CHOOSE(CONTROL!$C$9, $D$9, 100%, $F$9) + CHOOSE(CONTROL!$C$27, 0.0021, 0)</f>
        <v>59.052</v>
      </c>
      <c r="I547" s="17">
        <f>59.0499 * CHOOSE(CONTROL!$C$9, $D$9, 100%, $F$9) + CHOOSE(CONTROL!$C$27, 0.0021, 0)</f>
        <v>59.052</v>
      </c>
      <c r="J547" s="17">
        <f>59.0499 * CHOOSE(CONTROL!$C$9, $D$9, 100%, $F$9) + CHOOSE(CONTROL!$C$27, 0.0021, 0)</f>
        <v>59.052</v>
      </c>
      <c r="K547" s="17">
        <f>59.0499 * CHOOSE(CONTROL!$C$9, $D$9, 100%, $F$9) + CHOOSE(CONTROL!$C$27, 0.0021, 0)</f>
        <v>59.052</v>
      </c>
      <c r="L547" s="17"/>
    </row>
    <row r="548" spans="1:12" ht="15.75" x14ac:dyDescent="0.25">
      <c r="A548" s="13">
        <v>57618</v>
      </c>
      <c r="B548" s="17">
        <f>60.6451 * CHOOSE(CONTROL!$C$9, $D$9, 100%, $F$9) + CHOOSE(CONTROL!$C$27, 0.0021, 0)</f>
        <v>60.647199999999998</v>
      </c>
      <c r="C548" s="17">
        <f>60.2128 * CHOOSE(CONTROL!$C$9, $D$9, 100%, $F$9) + CHOOSE(CONTROL!$C$27, 0.0021, 0)</f>
        <v>60.2149</v>
      </c>
      <c r="D548" s="17">
        <f>60.2128 * CHOOSE(CONTROL!$C$9, $D$9, 100%, $F$9) + CHOOSE(CONTROL!$C$27, 0.0021, 0)</f>
        <v>60.2149</v>
      </c>
      <c r="E548" s="17">
        <f>60.0762 * CHOOSE(CONTROL!$C$9, $D$9, 100%, $F$9) + CHOOSE(CONTROL!$C$27, 0.0021, 0)</f>
        <v>60.078299999999999</v>
      </c>
      <c r="F548" s="17">
        <f>60.0762 * CHOOSE(CONTROL!$C$9, $D$9, 100%, $F$9) + CHOOSE(CONTROL!$C$27, 0.0021, 0)</f>
        <v>60.078299999999999</v>
      </c>
      <c r="G548" s="17">
        <f>60.3475 * CHOOSE(CONTROL!$C$9, $D$9, 100%, $F$9) + CHOOSE(CONTROL!$C$27, 0.0021, 0)</f>
        <v>60.349599999999995</v>
      </c>
      <c r="H548" s="17">
        <f>60.2128 * CHOOSE(CONTROL!$C$9, $D$9, 100%, $F$9) + CHOOSE(CONTROL!$C$27, 0.0021, 0)</f>
        <v>60.2149</v>
      </c>
      <c r="I548" s="17">
        <f>60.2128 * CHOOSE(CONTROL!$C$9, $D$9, 100%, $F$9) + CHOOSE(CONTROL!$C$27, 0.0021, 0)</f>
        <v>60.2149</v>
      </c>
      <c r="J548" s="17">
        <f>60.2128 * CHOOSE(CONTROL!$C$9, $D$9, 100%, $F$9) + CHOOSE(CONTROL!$C$27, 0.0021, 0)</f>
        <v>60.2149</v>
      </c>
      <c r="K548" s="17">
        <f>60.2128 * CHOOSE(CONTROL!$C$9, $D$9, 100%, $F$9) + CHOOSE(CONTROL!$C$27, 0.0021, 0)</f>
        <v>60.2149</v>
      </c>
      <c r="L548" s="17"/>
    </row>
    <row r="549" spans="1:12" ht="15.75" x14ac:dyDescent="0.25">
      <c r="A549" s="13">
        <v>57649</v>
      </c>
      <c r="B549" s="17">
        <f>62.1172 * CHOOSE(CONTROL!$C$9, $D$9, 100%, $F$9) + CHOOSE(CONTROL!$C$27, 0.0021, 0)</f>
        <v>62.119299999999996</v>
      </c>
      <c r="C549" s="17">
        <f>61.6849 * CHOOSE(CONTROL!$C$9, $D$9, 100%, $F$9) + CHOOSE(CONTROL!$C$27, 0.0021, 0)</f>
        <v>61.686999999999998</v>
      </c>
      <c r="D549" s="17">
        <f>61.6849 * CHOOSE(CONTROL!$C$9, $D$9, 100%, $F$9) + CHOOSE(CONTROL!$C$27, 0.0021, 0)</f>
        <v>61.686999999999998</v>
      </c>
      <c r="E549" s="17">
        <f>61.5483 * CHOOSE(CONTROL!$C$9, $D$9, 100%, $F$9) + CHOOSE(CONTROL!$C$27, 0.0021, 0)</f>
        <v>61.550399999999996</v>
      </c>
      <c r="F549" s="17">
        <f>61.5483 * CHOOSE(CONTROL!$C$9, $D$9, 100%, $F$9) + CHOOSE(CONTROL!$C$27, 0.0021, 0)</f>
        <v>61.550399999999996</v>
      </c>
      <c r="G549" s="17">
        <f>61.8196 * CHOOSE(CONTROL!$C$9, $D$9, 100%, $F$9) + CHOOSE(CONTROL!$C$27, 0.0021, 0)</f>
        <v>61.8217</v>
      </c>
      <c r="H549" s="17">
        <f>61.6849 * CHOOSE(CONTROL!$C$9, $D$9, 100%, $F$9) + CHOOSE(CONTROL!$C$27, 0.0021, 0)</f>
        <v>61.686999999999998</v>
      </c>
      <c r="I549" s="17">
        <f>61.6849 * CHOOSE(CONTROL!$C$9, $D$9, 100%, $F$9) + CHOOSE(CONTROL!$C$27, 0.0021, 0)</f>
        <v>61.686999999999998</v>
      </c>
      <c r="J549" s="17">
        <f>61.6849 * CHOOSE(CONTROL!$C$9, $D$9, 100%, $F$9) + CHOOSE(CONTROL!$C$27, 0.0021, 0)</f>
        <v>61.686999999999998</v>
      </c>
      <c r="K549" s="17">
        <f>61.6849 * CHOOSE(CONTROL!$C$9, $D$9, 100%, $F$9) + CHOOSE(CONTROL!$C$27, 0.0021, 0)</f>
        <v>61.686999999999998</v>
      </c>
      <c r="L549" s="17"/>
    </row>
    <row r="550" spans="1:12" ht="15.75" x14ac:dyDescent="0.25">
      <c r="A550" s="13">
        <v>57679</v>
      </c>
      <c r="B550" s="17">
        <f>62.2554 * CHOOSE(CONTROL!$C$9, $D$9, 100%, $F$9) + CHOOSE(CONTROL!$C$27, 0.0021, 0)</f>
        <v>62.2575</v>
      </c>
      <c r="C550" s="17">
        <f>61.8231 * CHOOSE(CONTROL!$C$9, $D$9, 100%, $F$9) + CHOOSE(CONTROL!$C$27, 0.0021, 0)</f>
        <v>61.825199999999995</v>
      </c>
      <c r="D550" s="17">
        <f>61.8231 * CHOOSE(CONTROL!$C$9, $D$9, 100%, $F$9) + CHOOSE(CONTROL!$C$27, 0.0021, 0)</f>
        <v>61.825199999999995</v>
      </c>
      <c r="E550" s="17">
        <f>61.6865 * CHOOSE(CONTROL!$C$9, $D$9, 100%, $F$9) + CHOOSE(CONTROL!$C$27, 0.0021, 0)</f>
        <v>61.688600000000001</v>
      </c>
      <c r="F550" s="17">
        <f>61.6865 * CHOOSE(CONTROL!$C$9, $D$9, 100%, $F$9) + CHOOSE(CONTROL!$C$27, 0.0021, 0)</f>
        <v>61.688600000000001</v>
      </c>
      <c r="G550" s="17">
        <f>61.9578 * CHOOSE(CONTROL!$C$9, $D$9, 100%, $F$9) + CHOOSE(CONTROL!$C$27, 0.0021, 0)</f>
        <v>61.959899999999998</v>
      </c>
      <c r="H550" s="17">
        <f>61.8231 * CHOOSE(CONTROL!$C$9, $D$9, 100%, $F$9) + CHOOSE(CONTROL!$C$27, 0.0021, 0)</f>
        <v>61.825199999999995</v>
      </c>
      <c r="I550" s="17">
        <f>61.8231 * CHOOSE(CONTROL!$C$9, $D$9, 100%, $F$9) + CHOOSE(CONTROL!$C$27, 0.0021, 0)</f>
        <v>61.825199999999995</v>
      </c>
      <c r="J550" s="17">
        <f>61.8231 * CHOOSE(CONTROL!$C$9, $D$9, 100%, $F$9) + CHOOSE(CONTROL!$C$27, 0.0021, 0)</f>
        <v>61.825199999999995</v>
      </c>
      <c r="K550" s="17">
        <f>61.8231 * CHOOSE(CONTROL!$C$9, $D$9, 100%, $F$9) + CHOOSE(CONTROL!$C$27, 0.0021, 0)</f>
        <v>61.825199999999995</v>
      </c>
      <c r="L550" s="17"/>
    </row>
    <row r="551" spans="1:12" ht="15.75" x14ac:dyDescent="0.25">
      <c r="A551" s="13">
        <v>57710</v>
      </c>
      <c r="B551" s="17">
        <f>61.0796 * CHOOSE(CONTROL!$C$9, $D$9, 100%, $F$9) + CHOOSE(CONTROL!$C$27, 0.0021, 0)</f>
        <v>61.081699999999998</v>
      </c>
      <c r="C551" s="17">
        <f>60.6474 * CHOOSE(CONTROL!$C$9, $D$9, 100%, $F$9) + CHOOSE(CONTROL!$C$27, 0.0021, 0)</f>
        <v>60.649499999999996</v>
      </c>
      <c r="D551" s="17">
        <f>60.6474 * CHOOSE(CONTROL!$C$9, $D$9, 100%, $F$9) + CHOOSE(CONTROL!$C$27, 0.0021, 0)</f>
        <v>60.649499999999996</v>
      </c>
      <c r="E551" s="17">
        <f>60.5107 * CHOOSE(CONTROL!$C$9, $D$9, 100%, $F$9) + CHOOSE(CONTROL!$C$27, 0.0021, 0)</f>
        <v>60.512799999999999</v>
      </c>
      <c r="F551" s="17">
        <f>60.5107 * CHOOSE(CONTROL!$C$9, $D$9, 100%, $F$9) + CHOOSE(CONTROL!$C$27, 0.0021, 0)</f>
        <v>60.512799999999999</v>
      </c>
      <c r="G551" s="17">
        <f>60.7821 * CHOOSE(CONTROL!$C$9, $D$9, 100%, $F$9) + CHOOSE(CONTROL!$C$27, 0.0021, 0)</f>
        <v>60.784199999999998</v>
      </c>
      <c r="H551" s="17">
        <f>60.6474 * CHOOSE(CONTROL!$C$9, $D$9, 100%, $F$9) + CHOOSE(CONTROL!$C$27, 0.0021, 0)</f>
        <v>60.649499999999996</v>
      </c>
      <c r="I551" s="17">
        <f>60.6474 * CHOOSE(CONTROL!$C$9, $D$9, 100%, $F$9) + CHOOSE(CONTROL!$C$27, 0.0021, 0)</f>
        <v>60.649499999999996</v>
      </c>
      <c r="J551" s="17">
        <f>60.6474 * CHOOSE(CONTROL!$C$9, $D$9, 100%, $F$9) + CHOOSE(CONTROL!$C$27, 0.0021, 0)</f>
        <v>60.649499999999996</v>
      </c>
      <c r="K551" s="17">
        <f>60.6474 * CHOOSE(CONTROL!$C$9, $D$9, 100%, $F$9) + CHOOSE(CONTROL!$C$27, 0.0021, 0)</f>
        <v>60.649499999999996</v>
      </c>
      <c r="L551" s="17"/>
    </row>
    <row r="552" spans="1:12" ht="15.75" x14ac:dyDescent="0.25">
      <c r="A552" s="13">
        <v>57741</v>
      </c>
      <c r="B552" s="17">
        <f>60.3365 * CHOOSE(CONTROL!$C$9, $D$9, 100%, $F$9) + CHOOSE(CONTROL!$C$27, 0.0021, 0)</f>
        <v>60.3386</v>
      </c>
      <c r="C552" s="17">
        <f>59.9043 * CHOOSE(CONTROL!$C$9, $D$9, 100%, $F$9) + CHOOSE(CONTROL!$C$27, 0.0021, 0)</f>
        <v>59.906399999999998</v>
      </c>
      <c r="D552" s="17">
        <f>59.9043 * CHOOSE(CONTROL!$C$9, $D$9, 100%, $F$9) + CHOOSE(CONTROL!$C$27, 0.0021, 0)</f>
        <v>59.906399999999998</v>
      </c>
      <c r="E552" s="17">
        <f>59.7676 * CHOOSE(CONTROL!$C$9, $D$9, 100%, $F$9) + CHOOSE(CONTROL!$C$27, 0.0021, 0)</f>
        <v>59.7697</v>
      </c>
      <c r="F552" s="17">
        <f>59.7676 * CHOOSE(CONTROL!$C$9, $D$9, 100%, $F$9) + CHOOSE(CONTROL!$C$27, 0.0021, 0)</f>
        <v>59.7697</v>
      </c>
      <c r="G552" s="17">
        <f>60.039 * CHOOSE(CONTROL!$C$9, $D$9, 100%, $F$9) + CHOOSE(CONTROL!$C$27, 0.0021, 0)</f>
        <v>60.0411</v>
      </c>
      <c r="H552" s="17">
        <f>59.9043 * CHOOSE(CONTROL!$C$9, $D$9, 100%, $F$9) + CHOOSE(CONTROL!$C$27, 0.0021, 0)</f>
        <v>59.906399999999998</v>
      </c>
      <c r="I552" s="17">
        <f>59.9043 * CHOOSE(CONTROL!$C$9, $D$9, 100%, $F$9) + CHOOSE(CONTROL!$C$27, 0.0021, 0)</f>
        <v>59.906399999999998</v>
      </c>
      <c r="J552" s="17">
        <f>59.9043 * CHOOSE(CONTROL!$C$9, $D$9, 100%, $F$9) + CHOOSE(CONTROL!$C$27, 0.0021, 0)</f>
        <v>59.906399999999998</v>
      </c>
      <c r="K552" s="17">
        <f>59.9043 * CHOOSE(CONTROL!$C$9, $D$9, 100%, $F$9) + CHOOSE(CONTROL!$C$27, 0.0021, 0)</f>
        <v>59.906399999999998</v>
      </c>
      <c r="L552" s="17"/>
    </row>
    <row r="553" spans="1:12" ht="15.75" x14ac:dyDescent="0.25">
      <c r="A553" s="13">
        <v>57769</v>
      </c>
      <c r="B553" s="17">
        <f>58.6947 * CHOOSE(CONTROL!$C$9, $D$9, 100%, $F$9) + CHOOSE(CONTROL!$C$27, 0.0021, 0)</f>
        <v>58.696799999999996</v>
      </c>
      <c r="C553" s="17">
        <f>58.2625 * CHOOSE(CONTROL!$C$9, $D$9, 100%, $F$9) + CHOOSE(CONTROL!$C$27, 0.0021, 0)</f>
        <v>58.264600000000002</v>
      </c>
      <c r="D553" s="17">
        <f>58.2625 * CHOOSE(CONTROL!$C$9, $D$9, 100%, $F$9) + CHOOSE(CONTROL!$C$27, 0.0021, 0)</f>
        <v>58.264600000000002</v>
      </c>
      <c r="E553" s="17">
        <f>58.1258 * CHOOSE(CONTROL!$C$9, $D$9, 100%, $F$9) + CHOOSE(CONTROL!$C$27, 0.0021, 0)</f>
        <v>58.127899999999997</v>
      </c>
      <c r="F553" s="17">
        <f>58.1258 * CHOOSE(CONTROL!$C$9, $D$9, 100%, $F$9) + CHOOSE(CONTROL!$C$27, 0.0021, 0)</f>
        <v>58.127899999999997</v>
      </c>
      <c r="G553" s="17">
        <f>58.3972 * CHOOSE(CONTROL!$C$9, $D$9, 100%, $F$9) + CHOOSE(CONTROL!$C$27, 0.0021, 0)</f>
        <v>58.399299999999997</v>
      </c>
      <c r="H553" s="17">
        <f>58.2625 * CHOOSE(CONTROL!$C$9, $D$9, 100%, $F$9) + CHOOSE(CONTROL!$C$27, 0.0021, 0)</f>
        <v>58.264600000000002</v>
      </c>
      <c r="I553" s="17">
        <f>58.2625 * CHOOSE(CONTROL!$C$9, $D$9, 100%, $F$9) + CHOOSE(CONTROL!$C$27, 0.0021, 0)</f>
        <v>58.264600000000002</v>
      </c>
      <c r="J553" s="17">
        <f>58.2625 * CHOOSE(CONTROL!$C$9, $D$9, 100%, $F$9) + CHOOSE(CONTROL!$C$27, 0.0021, 0)</f>
        <v>58.264600000000002</v>
      </c>
      <c r="K553" s="17">
        <f>58.2625 * CHOOSE(CONTROL!$C$9, $D$9, 100%, $F$9) + CHOOSE(CONTROL!$C$27, 0.0021, 0)</f>
        <v>58.264600000000002</v>
      </c>
      <c r="L553" s="17"/>
    </row>
    <row r="554" spans="1:12" ht="15.75" x14ac:dyDescent="0.25">
      <c r="A554" s="13">
        <v>57800</v>
      </c>
      <c r="B554" s="17">
        <f>58.017 * CHOOSE(CONTROL!$C$9, $D$9, 100%, $F$9) + CHOOSE(CONTROL!$C$27, 0.0021, 0)</f>
        <v>58.019100000000002</v>
      </c>
      <c r="C554" s="17">
        <f>57.5847 * CHOOSE(CONTROL!$C$9, $D$9, 100%, $F$9) + CHOOSE(CONTROL!$C$27, 0.0021, 0)</f>
        <v>57.586799999999997</v>
      </c>
      <c r="D554" s="17">
        <f>57.5847 * CHOOSE(CONTROL!$C$9, $D$9, 100%, $F$9) + CHOOSE(CONTROL!$C$27, 0.0021, 0)</f>
        <v>57.586799999999997</v>
      </c>
      <c r="E554" s="17">
        <f>57.4481 * CHOOSE(CONTROL!$C$9, $D$9, 100%, $F$9) + CHOOSE(CONTROL!$C$27, 0.0021, 0)</f>
        <v>57.450199999999995</v>
      </c>
      <c r="F554" s="17">
        <f>57.4481 * CHOOSE(CONTROL!$C$9, $D$9, 100%, $F$9) + CHOOSE(CONTROL!$C$27, 0.0021, 0)</f>
        <v>57.450199999999995</v>
      </c>
      <c r="G554" s="17">
        <f>57.7194 * CHOOSE(CONTROL!$C$9, $D$9, 100%, $F$9) + CHOOSE(CONTROL!$C$27, 0.0021, 0)</f>
        <v>57.721499999999999</v>
      </c>
      <c r="H554" s="17">
        <f>57.5847 * CHOOSE(CONTROL!$C$9, $D$9, 100%, $F$9) + CHOOSE(CONTROL!$C$27, 0.0021, 0)</f>
        <v>57.586799999999997</v>
      </c>
      <c r="I554" s="17">
        <f>57.5847 * CHOOSE(CONTROL!$C$9, $D$9, 100%, $F$9) + CHOOSE(CONTROL!$C$27, 0.0021, 0)</f>
        <v>57.586799999999997</v>
      </c>
      <c r="J554" s="17">
        <f>57.5847 * CHOOSE(CONTROL!$C$9, $D$9, 100%, $F$9) + CHOOSE(CONTROL!$C$27, 0.0021, 0)</f>
        <v>57.586799999999997</v>
      </c>
      <c r="K554" s="17">
        <f>57.5847 * CHOOSE(CONTROL!$C$9, $D$9, 100%, $F$9) + CHOOSE(CONTROL!$C$27, 0.0021, 0)</f>
        <v>57.586799999999997</v>
      </c>
      <c r="L554" s="17"/>
    </row>
    <row r="555" spans="1:12" ht="15.75" x14ac:dyDescent="0.25">
      <c r="A555" s="13">
        <v>57830</v>
      </c>
      <c r="B555" s="17">
        <f>57.2077 * CHOOSE(CONTROL!$C$9, $D$9, 100%, $F$9) + CHOOSE(CONTROL!$C$27, 0.0021, 0)</f>
        <v>57.209800000000001</v>
      </c>
      <c r="C555" s="17">
        <f>56.7755 * CHOOSE(CONTROL!$C$9, $D$9, 100%, $F$9) + CHOOSE(CONTROL!$C$27, 0.0021, 0)</f>
        <v>56.7776</v>
      </c>
      <c r="D555" s="17">
        <f>56.7755 * CHOOSE(CONTROL!$C$9, $D$9, 100%, $F$9) + CHOOSE(CONTROL!$C$27, 0.0021, 0)</f>
        <v>56.7776</v>
      </c>
      <c r="E555" s="17">
        <f>56.6388 * CHOOSE(CONTROL!$C$9, $D$9, 100%, $F$9) + CHOOSE(CONTROL!$C$27, 0.0021, 0)</f>
        <v>56.640900000000002</v>
      </c>
      <c r="F555" s="17">
        <f>56.6388 * CHOOSE(CONTROL!$C$9, $D$9, 100%, $F$9) + CHOOSE(CONTROL!$C$27, 0.0021, 0)</f>
        <v>56.640900000000002</v>
      </c>
      <c r="G555" s="17">
        <f>56.9102 * CHOOSE(CONTROL!$C$9, $D$9, 100%, $F$9) + CHOOSE(CONTROL!$C$27, 0.0021, 0)</f>
        <v>56.912300000000002</v>
      </c>
      <c r="H555" s="17">
        <f>56.7755 * CHOOSE(CONTROL!$C$9, $D$9, 100%, $F$9) + CHOOSE(CONTROL!$C$27, 0.0021, 0)</f>
        <v>56.7776</v>
      </c>
      <c r="I555" s="17">
        <f>56.7755 * CHOOSE(CONTROL!$C$9, $D$9, 100%, $F$9) + CHOOSE(CONTROL!$C$27, 0.0021, 0)</f>
        <v>56.7776</v>
      </c>
      <c r="J555" s="17">
        <f>56.7755 * CHOOSE(CONTROL!$C$9, $D$9, 100%, $F$9) + CHOOSE(CONTROL!$C$27, 0.0021, 0)</f>
        <v>56.7776</v>
      </c>
      <c r="K555" s="17">
        <f>56.7755 * CHOOSE(CONTROL!$C$9, $D$9, 100%, $F$9) + CHOOSE(CONTROL!$C$27, 0.0021, 0)</f>
        <v>56.7776</v>
      </c>
      <c r="L555" s="17"/>
    </row>
    <row r="556" spans="1:12" ht="15.75" x14ac:dyDescent="0.25">
      <c r="A556" s="13">
        <v>57861</v>
      </c>
      <c r="B556" s="17">
        <f>58.361 * CHOOSE(CONTROL!$C$9, $D$9, 100%, $F$9) + CHOOSE(CONTROL!$C$27, 0.0021, 0)</f>
        <v>58.363099999999996</v>
      </c>
      <c r="C556" s="17">
        <f>57.9287 * CHOOSE(CONTROL!$C$9, $D$9, 100%, $F$9) + CHOOSE(CONTROL!$C$27, 0.0021, 0)</f>
        <v>57.930799999999998</v>
      </c>
      <c r="D556" s="17">
        <f>57.9287 * CHOOSE(CONTROL!$C$9, $D$9, 100%, $F$9) + CHOOSE(CONTROL!$C$27, 0.0021, 0)</f>
        <v>57.930799999999998</v>
      </c>
      <c r="E556" s="17">
        <f>57.7921 * CHOOSE(CONTROL!$C$9, $D$9, 100%, $F$9) + CHOOSE(CONTROL!$C$27, 0.0021, 0)</f>
        <v>57.794199999999996</v>
      </c>
      <c r="F556" s="17">
        <f>57.7921 * CHOOSE(CONTROL!$C$9, $D$9, 100%, $F$9) + CHOOSE(CONTROL!$C$27, 0.0021, 0)</f>
        <v>57.794199999999996</v>
      </c>
      <c r="G556" s="17">
        <f>58.0635 * CHOOSE(CONTROL!$C$9, $D$9, 100%, $F$9) + CHOOSE(CONTROL!$C$27, 0.0021, 0)</f>
        <v>58.065599999999996</v>
      </c>
      <c r="H556" s="17">
        <f>57.9287 * CHOOSE(CONTROL!$C$9, $D$9, 100%, $F$9) + CHOOSE(CONTROL!$C$27, 0.0021, 0)</f>
        <v>57.930799999999998</v>
      </c>
      <c r="I556" s="17">
        <f>57.9287 * CHOOSE(CONTROL!$C$9, $D$9, 100%, $F$9) + CHOOSE(CONTROL!$C$27, 0.0021, 0)</f>
        <v>57.930799999999998</v>
      </c>
      <c r="J556" s="17">
        <f>57.9287 * CHOOSE(CONTROL!$C$9, $D$9, 100%, $F$9) + CHOOSE(CONTROL!$C$27, 0.0021, 0)</f>
        <v>57.930799999999998</v>
      </c>
      <c r="K556" s="17">
        <f>57.9287 * CHOOSE(CONTROL!$C$9, $D$9, 100%, $F$9) + CHOOSE(CONTROL!$C$27, 0.0021, 0)</f>
        <v>57.930799999999998</v>
      </c>
      <c r="L556" s="17"/>
    </row>
    <row r="557" spans="1:12" ht="15.75" x14ac:dyDescent="0.25">
      <c r="A557" s="13">
        <v>57891</v>
      </c>
      <c r="B557" s="17">
        <f>59.0517 * CHOOSE(CONTROL!$C$9, $D$9, 100%, $F$9) + CHOOSE(CONTROL!$C$27, 0.0021, 0)</f>
        <v>59.053799999999995</v>
      </c>
      <c r="C557" s="17">
        <f>58.6195 * CHOOSE(CONTROL!$C$9, $D$9, 100%, $F$9) + CHOOSE(CONTROL!$C$27, 0.0021, 0)</f>
        <v>58.621600000000001</v>
      </c>
      <c r="D557" s="17">
        <f>58.6195 * CHOOSE(CONTROL!$C$9, $D$9, 100%, $F$9) + CHOOSE(CONTROL!$C$27, 0.0021, 0)</f>
        <v>58.621600000000001</v>
      </c>
      <c r="E557" s="17">
        <f>58.4828 * CHOOSE(CONTROL!$C$9, $D$9, 100%, $F$9) + CHOOSE(CONTROL!$C$27, 0.0021, 0)</f>
        <v>58.484899999999996</v>
      </c>
      <c r="F557" s="17">
        <f>58.4828 * CHOOSE(CONTROL!$C$9, $D$9, 100%, $F$9) + CHOOSE(CONTROL!$C$27, 0.0021, 0)</f>
        <v>58.484899999999996</v>
      </c>
      <c r="G557" s="17">
        <f>58.7542 * CHOOSE(CONTROL!$C$9, $D$9, 100%, $F$9) + CHOOSE(CONTROL!$C$27, 0.0021, 0)</f>
        <v>58.756299999999996</v>
      </c>
      <c r="H557" s="17">
        <f>58.6195 * CHOOSE(CONTROL!$C$9, $D$9, 100%, $F$9) + CHOOSE(CONTROL!$C$27, 0.0021, 0)</f>
        <v>58.621600000000001</v>
      </c>
      <c r="I557" s="17">
        <f>58.6195 * CHOOSE(CONTROL!$C$9, $D$9, 100%, $F$9) + CHOOSE(CONTROL!$C$27, 0.0021, 0)</f>
        <v>58.621600000000001</v>
      </c>
      <c r="J557" s="17">
        <f>58.6195 * CHOOSE(CONTROL!$C$9, $D$9, 100%, $F$9) + CHOOSE(CONTROL!$C$27, 0.0021, 0)</f>
        <v>58.621600000000001</v>
      </c>
      <c r="K557" s="17">
        <f>58.6195 * CHOOSE(CONTROL!$C$9, $D$9, 100%, $F$9) + CHOOSE(CONTROL!$C$27, 0.0021, 0)</f>
        <v>58.621600000000001</v>
      </c>
      <c r="L557" s="17"/>
    </row>
    <row r="558" spans="1:12" ht="15.75" x14ac:dyDescent="0.25">
      <c r="A558" s="13">
        <v>57922</v>
      </c>
      <c r="B558" s="17">
        <f>60.1912 * CHOOSE(CONTROL!$C$9, $D$9, 100%, $F$9) + CHOOSE(CONTROL!$C$27, 0.0021, 0)</f>
        <v>60.193300000000001</v>
      </c>
      <c r="C558" s="17">
        <f>59.759 * CHOOSE(CONTROL!$C$9, $D$9, 100%, $F$9) + CHOOSE(CONTROL!$C$27, 0.0021, 0)</f>
        <v>59.761099999999999</v>
      </c>
      <c r="D558" s="17">
        <f>59.759 * CHOOSE(CONTROL!$C$9, $D$9, 100%, $F$9) + CHOOSE(CONTROL!$C$27, 0.0021, 0)</f>
        <v>59.761099999999999</v>
      </c>
      <c r="E558" s="17">
        <f>59.6223 * CHOOSE(CONTROL!$C$9, $D$9, 100%, $F$9) + CHOOSE(CONTROL!$C$27, 0.0021, 0)</f>
        <v>59.624400000000001</v>
      </c>
      <c r="F558" s="17">
        <f>59.6223 * CHOOSE(CONTROL!$C$9, $D$9, 100%, $F$9) + CHOOSE(CONTROL!$C$27, 0.0021, 0)</f>
        <v>59.624400000000001</v>
      </c>
      <c r="G558" s="17">
        <f>59.8937 * CHOOSE(CONTROL!$C$9, $D$9, 100%, $F$9) + CHOOSE(CONTROL!$C$27, 0.0021, 0)</f>
        <v>59.895800000000001</v>
      </c>
      <c r="H558" s="17">
        <f>59.759 * CHOOSE(CONTROL!$C$9, $D$9, 100%, $F$9) + CHOOSE(CONTROL!$C$27, 0.0021, 0)</f>
        <v>59.761099999999999</v>
      </c>
      <c r="I558" s="17">
        <f>59.759 * CHOOSE(CONTROL!$C$9, $D$9, 100%, $F$9) + CHOOSE(CONTROL!$C$27, 0.0021, 0)</f>
        <v>59.761099999999999</v>
      </c>
      <c r="J558" s="17">
        <f>59.759 * CHOOSE(CONTROL!$C$9, $D$9, 100%, $F$9) + CHOOSE(CONTROL!$C$27, 0.0021, 0)</f>
        <v>59.761099999999999</v>
      </c>
      <c r="K558" s="17">
        <f>59.759 * CHOOSE(CONTROL!$C$9, $D$9, 100%, $F$9) + CHOOSE(CONTROL!$C$27, 0.0021, 0)</f>
        <v>59.761099999999999</v>
      </c>
      <c r="L558" s="17"/>
    </row>
    <row r="559" spans="1:12" ht="15.75" x14ac:dyDescent="0.25">
      <c r="A559" s="13">
        <v>57953</v>
      </c>
      <c r="B559" s="17">
        <f>60.539 * CHOOSE(CONTROL!$C$9, $D$9, 100%, $F$9) + CHOOSE(CONTROL!$C$27, 0.0021, 0)</f>
        <v>60.5411</v>
      </c>
      <c r="C559" s="17">
        <f>60.1068 * CHOOSE(CONTROL!$C$9, $D$9, 100%, $F$9) + CHOOSE(CONTROL!$C$27, 0.0021, 0)</f>
        <v>60.108899999999998</v>
      </c>
      <c r="D559" s="17">
        <f>60.1068 * CHOOSE(CONTROL!$C$9, $D$9, 100%, $F$9) + CHOOSE(CONTROL!$C$27, 0.0021, 0)</f>
        <v>60.108899999999998</v>
      </c>
      <c r="E559" s="17">
        <f>59.9701 * CHOOSE(CONTROL!$C$9, $D$9, 100%, $F$9) + CHOOSE(CONTROL!$C$27, 0.0021, 0)</f>
        <v>59.972200000000001</v>
      </c>
      <c r="F559" s="17">
        <f>59.9701 * CHOOSE(CONTROL!$C$9, $D$9, 100%, $F$9) + CHOOSE(CONTROL!$C$27, 0.0021, 0)</f>
        <v>59.972200000000001</v>
      </c>
      <c r="G559" s="17">
        <f>60.2415 * CHOOSE(CONTROL!$C$9, $D$9, 100%, $F$9) + CHOOSE(CONTROL!$C$27, 0.0021, 0)</f>
        <v>60.243600000000001</v>
      </c>
      <c r="H559" s="17">
        <f>60.1068 * CHOOSE(CONTROL!$C$9, $D$9, 100%, $F$9) + CHOOSE(CONTROL!$C$27, 0.0021, 0)</f>
        <v>60.108899999999998</v>
      </c>
      <c r="I559" s="17">
        <f>60.1068 * CHOOSE(CONTROL!$C$9, $D$9, 100%, $F$9) + CHOOSE(CONTROL!$C$27, 0.0021, 0)</f>
        <v>60.108899999999998</v>
      </c>
      <c r="J559" s="17">
        <f>60.1068 * CHOOSE(CONTROL!$C$9, $D$9, 100%, $F$9) + CHOOSE(CONTROL!$C$27, 0.0021, 0)</f>
        <v>60.108899999999998</v>
      </c>
      <c r="K559" s="17">
        <f>60.1068 * CHOOSE(CONTROL!$C$9, $D$9, 100%, $F$9) + CHOOSE(CONTROL!$C$27, 0.0021, 0)</f>
        <v>60.108899999999998</v>
      </c>
      <c r="L559" s="17"/>
    </row>
    <row r="560" spans="1:12" ht="15.75" x14ac:dyDescent="0.25">
      <c r="A560" s="13">
        <v>57983</v>
      </c>
      <c r="B560" s="17">
        <f>61.7235 * CHOOSE(CONTROL!$C$9, $D$9, 100%, $F$9) + CHOOSE(CONTROL!$C$27, 0.0021, 0)</f>
        <v>61.7256</v>
      </c>
      <c r="C560" s="17">
        <f>61.2912 * CHOOSE(CONTROL!$C$9, $D$9, 100%, $F$9) + CHOOSE(CONTROL!$C$27, 0.0021, 0)</f>
        <v>61.293300000000002</v>
      </c>
      <c r="D560" s="17">
        <f>61.2912 * CHOOSE(CONTROL!$C$9, $D$9, 100%, $F$9) + CHOOSE(CONTROL!$C$27, 0.0021, 0)</f>
        <v>61.293300000000002</v>
      </c>
      <c r="E560" s="17">
        <f>61.1546 * CHOOSE(CONTROL!$C$9, $D$9, 100%, $F$9) + CHOOSE(CONTROL!$C$27, 0.0021, 0)</f>
        <v>61.156700000000001</v>
      </c>
      <c r="F560" s="17">
        <f>61.1546 * CHOOSE(CONTROL!$C$9, $D$9, 100%, $F$9) + CHOOSE(CONTROL!$C$27, 0.0021, 0)</f>
        <v>61.156700000000001</v>
      </c>
      <c r="G560" s="17">
        <f>61.4259 * CHOOSE(CONTROL!$C$9, $D$9, 100%, $F$9) + CHOOSE(CONTROL!$C$27, 0.0021, 0)</f>
        <v>61.427999999999997</v>
      </c>
      <c r="H560" s="17">
        <f>61.2912 * CHOOSE(CONTROL!$C$9, $D$9, 100%, $F$9) + CHOOSE(CONTROL!$C$27, 0.0021, 0)</f>
        <v>61.293300000000002</v>
      </c>
      <c r="I560" s="17">
        <f>61.2912 * CHOOSE(CONTROL!$C$9, $D$9, 100%, $F$9) + CHOOSE(CONTROL!$C$27, 0.0021, 0)</f>
        <v>61.293300000000002</v>
      </c>
      <c r="J560" s="17">
        <f>61.2912 * CHOOSE(CONTROL!$C$9, $D$9, 100%, $F$9) + CHOOSE(CONTROL!$C$27, 0.0021, 0)</f>
        <v>61.293300000000002</v>
      </c>
      <c r="K560" s="17">
        <f>61.2912 * CHOOSE(CONTROL!$C$9, $D$9, 100%, $F$9) + CHOOSE(CONTROL!$C$27, 0.0021, 0)</f>
        <v>61.293300000000002</v>
      </c>
      <c r="L560" s="17"/>
    </row>
    <row r="561" spans="1:12" ht="15.75" x14ac:dyDescent="0.25">
      <c r="A561" s="13">
        <v>58014</v>
      </c>
      <c r="B561" s="17">
        <f>63.2228 * CHOOSE(CONTROL!$C$9, $D$9, 100%, $F$9) + CHOOSE(CONTROL!$C$27, 0.0021, 0)</f>
        <v>63.224899999999998</v>
      </c>
      <c r="C561" s="17">
        <f>62.7905 * CHOOSE(CONTROL!$C$9, $D$9, 100%, $F$9) + CHOOSE(CONTROL!$C$27, 0.0021, 0)</f>
        <v>62.7926</v>
      </c>
      <c r="D561" s="17">
        <f>62.7905 * CHOOSE(CONTROL!$C$9, $D$9, 100%, $F$9) + CHOOSE(CONTROL!$C$27, 0.0021, 0)</f>
        <v>62.7926</v>
      </c>
      <c r="E561" s="17">
        <f>62.6539 * CHOOSE(CONTROL!$C$9, $D$9, 100%, $F$9) + CHOOSE(CONTROL!$C$27, 0.0021, 0)</f>
        <v>62.655999999999999</v>
      </c>
      <c r="F561" s="17">
        <f>62.6539 * CHOOSE(CONTROL!$C$9, $D$9, 100%, $F$9) + CHOOSE(CONTROL!$C$27, 0.0021, 0)</f>
        <v>62.655999999999999</v>
      </c>
      <c r="G561" s="17">
        <f>62.9252 * CHOOSE(CONTROL!$C$9, $D$9, 100%, $F$9) + CHOOSE(CONTROL!$C$27, 0.0021, 0)</f>
        <v>62.927299999999995</v>
      </c>
      <c r="H561" s="17">
        <f>62.7905 * CHOOSE(CONTROL!$C$9, $D$9, 100%, $F$9) + CHOOSE(CONTROL!$C$27, 0.0021, 0)</f>
        <v>62.7926</v>
      </c>
      <c r="I561" s="17">
        <f>62.7905 * CHOOSE(CONTROL!$C$9, $D$9, 100%, $F$9) + CHOOSE(CONTROL!$C$27, 0.0021, 0)</f>
        <v>62.7926</v>
      </c>
      <c r="J561" s="17">
        <f>62.7905 * CHOOSE(CONTROL!$C$9, $D$9, 100%, $F$9) + CHOOSE(CONTROL!$C$27, 0.0021, 0)</f>
        <v>62.7926</v>
      </c>
      <c r="K561" s="17">
        <f>62.7905 * CHOOSE(CONTROL!$C$9, $D$9, 100%, $F$9) + CHOOSE(CONTROL!$C$27, 0.0021, 0)</f>
        <v>62.7926</v>
      </c>
      <c r="L561" s="17"/>
    </row>
    <row r="562" spans="1:12" ht="15.75" x14ac:dyDescent="0.25">
      <c r="A562" s="13">
        <v>58044</v>
      </c>
      <c r="B562" s="17">
        <f>63.3635 * CHOOSE(CONTROL!$C$9, $D$9, 100%, $F$9) + CHOOSE(CONTROL!$C$27, 0.0021, 0)</f>
        <v>63.365600000000001</v>
      </c>
      <c r="C562" s="17">
        <f>62.9313 * CHOOSE(CONTROL!$C$9, $D$9, 100%, $F$9) + CHOOSE(CONTROL!$C$27, 0.0021, 0)</f>
        <v>62.933399999999999</v>
      </c>
      <c r="D562" s="17">
        <f>62.9313 * CHOOSE(CONTROL!$C$9, $D$9, 100%, $F$9) + CHOOSE(CONTROL!$C$27, 0.0021, 0)</f>
        <v>62.933399999999999</v>
      </c>
      <c r="E562" s="17">
        <f>62.7946 * CHOOSE(CONTROL!$C$9, $D$9, 100%, $F$9) + CHOOSE(CONTROL!$C$27, 0.0021, 0)</f>
        <v>62.796700000000001</v>
      </c>
      <c r="F562" s="17">
        <f>62.7946 * CHOOSE(CONTROL!$C$9, $D$9, 100%, $F$9) + CHOOSE(CONTROL!$C$27, 0.0021, 0)</f>
        <v>62.796700000000001</v>
      </c>
      <c r="G562" s="17">
        <f>63.066 * CHOOSE(CONTROL!$C$9, $D$9, 100%, $F$9) + CHOOSE(CONTROL!$C$27, 0.0021, 0)</f>
        <v>63.068100000000001</v>
      </c>
      <c r="H562" s="17">
        <f>62.9313 * CHOOSE(CONTROL!$C$9, $D$9, 100%, $F$9) + CHOOSE(CONTROL!$C$27, 0.0021, 0)</f>
        <v>62.933399999999999</v>
      </c>
      <c r="I562" s="17">
        <f>62.9313 * CHOOSE(CONTROL!$C$9, $D$9, 100%, $F$9) + CHOOSE(CONTROL!$C$27, 0.0021, 0)</f>
        <v>62.933399999999999</v>
      </c>
      <c r="J562" s="17">
        <f>62.9313 * CHOOSE(CONTROL!$C$9, $D$9, 100%, $F$9) + CHOOSE(CONTROL!$C$27, 0.0021, 0)</f>
        <v>62.933399999999999</v>
      </c>
      <c r="K562" s="17">
        <f>62.9313 * CHOOSE(CONTROL!$C$9, $D$9, 100%, $F$9) + CHOOSE(CONTROL!$C$27, 0.0021, 0)</f>
        <v>62.933399999999999</v>
      </c>
      <c r="L562" s="17"/>
    </row>
    <row r="563" spans="1:12" ht="15.75" x14ac:dyDescent="0.25">
      <c r="A563" s="13">
        <v>58075</v>
      </c>
      <c r="B563" s="17">
        <f>62.1661 * CHOOSE(CONTROL!$C$9, $D$9, 100%, $F$9) + CHOOSE(CONTROL!$C$27, 0.0021, 0)</f>
        <v>62.168199999999999</v>
      </c>
      <c r="C563" s="17">
        <f>61.7338 * CHOOSE(CONTROL!$C$9, $D$9, 100%, $F$9) + CHOOSE(CONTROL!$C$27, 0.0021, 0)</f>
        <v>61.735900000000001</v>
      </c>
      <c r="D563" s="17">
        <f>61.7338 * CHOOSE(CONTROL!$C$9, $D$9, 100%, $F$9) + CHOOSE(CONTROL!$C$27, 0.0021, 0)</f>
        <v>61.735900000000001</v>
      </c>
      <c r="E563" s="17">
        <f>61.5972 * CHOOSE(CONTROL!$C$9, $D$9, 100%, $F$9) + CHOOSE(CONTROL!$C$27, 0.0021, 0)</f>
        <v>61.599299999999999</v>
      </c>
      <c r="F563" s="17">
        <f>61.5972 * CHOOSE(CONTROL!$C$9, $D$9, 100%, $F$9) + CHOOSE(CONTROL!$C$27, 0.0021, 0)</f>
        <v>61.599299999999999</v>
      </c>
      <c r="G563" s="17">
        <f>61.8685 * CHOOSE(CONTROL!$C$9, $D$9, 100%, $F$9) + CHOOSE(CONTROL!$C$27, 0.0021, 0)</f>
        <v>61.870599999999996</v>
      </c>
      <c r="H563" s="17">
        <f>61.7338 * CHOOSE(CONTROL!$C$9, $D$9, 100%, $F$9) + CHOOSE(CONTROL!$C$27, 0.0021, 0)</f>
        <v>61.735900000000001</v>
      </c>
      <c r="I563" s="17">
        <f>61.7338 * CHOOSE(CONTROL!$C$9, $D$9, 100%, $F$9) + CHOOSE(CONTROL!$C$27, 0.0021, 0)</f>
        <v>61.735900000000001</v>
      </c>
      <c r="J563" s="17">
        <f>61.7338 * CHOOSE(CONTROL!$C$9, $D$9, 100%, $F$9) + CHOOSE(CONTROL!$C$27, 0.0021, 0)</f>
        <v>61.735900000000001</v>
      </c>
      <c r="K563" s="17">
        <f>61.7338 * CHOOSE(CONTROL!$C$9, $D$9, 100%, $F$9) + CHOOSE(CONTROL!$C$27, 0.0021, 0)</f>
        <v>61.735900000000001</v>
      </c>
      <c r="L563" s="17"/>
    </row>
    <row r="564" spans="1:12" ht="15.75" x14ac:dyDescent="0.25">
      <c r="A564" s="13">
        <v>58106</v>
      </c>
      <c r="B564" s="17">
        <f>61.4092 * CHOOSE(CONTROL!$C$9, $D$9, 100%, $F$9) + CHOOSE(CONTROL!$C$27, 0.0021, 0)</f>
        <v>61.411299999999997</v>
      </c>
      <c r="C564" s="17">
        <f>60.977 * CHOOSE(CONTROL!$C$9, $D$9, 100%, $F$9) + CHOOSE(CONTROL!$C$27, 0.0021, 0)</f>
        <v>60.979099999999995</v>
      </c>
      <c r="D564" s="17">
        <f>60.977 * CHOOSE(CONTROL!$C$9, $D$9, 100%, $F$9) + CHOOSE(CONTROL!$C$27, 0.0021, 0)</f>
        <v>60.979099999999995</v>
      </c>
      <c r="E564" s="17">
        <f>60.8403 * CHOOSE(CONTROL!$C$9, $D$9, 100%, $F$9) + CHOOSE(CONTROL!$C$27, 0.0021, 0)</f>
        <v>60.842399999999998</v>
      </c>
      <c r="F564" s="17">
        <f>60.8403 * CHOOSE(CONTROL!$C$9, $D$9, 100%, $F$9) + CHOOSE(CONTROL!$C$27, 0.0021, 0)</f>
        <v>60.842399999999998</v>
      </c>
      <c r="G564" s="17">
        <f>61.1117 * CHOOSE(CONTROL!$C$9, $D$9, 100%, $F$9) + CHOOSE(CONTROL!$C$27, 0.0021, 0)</f>
        <v>61.113799999999998</v>
      </c>
      <c r="H564" s="17">
        <f>60.977 * CHOOSE(CONTROL!$C$9, $D$9, 100%, $F$9) + CHOOSE(CONTROL!$C$27, 0.0021, 0)</f>
        <v>60.979099999999995</v>
      </c>
      <c r="I564" s="17">
        <f>60.977 * CHOOSE(CONTROL!$C$9, $D$9, 100%, $F$9) + CHOOSE(CONTROL!$C$27, 0.0021, 0)</f>
        <v>60.979099999999995</v>
      </c>
      <c r="J564" s="17">
        <f>60.977 * CHOOSE(CONTROL!$C$9, $D$9, 100%, $F$9) + CHOOSE(CONTROL!$C$27, 0.0021, 0)</f>
        <v>60.979099999999995</v>
      </c>
      <c r="K564" s="17">
        <f>60.977 * CHOOSE(CONTROL!$C$9, $D$9, 100%, $F$9) + CHOOSE(CONTROL!$C$27, 0.0021, 0)</f>
        <v>60.979099999999995</v>
      </c>
      <c r="L564" s="17"/>
    </row>
    <row r="565" spans="1:12" ht="15.75" x14ac:dyDescent="0.25">
      <c r="A565" s="13">
        <v>58134</v>
      </c>
      <c r="B565" s="17">
        <f>59.7371 * CHOOSE(CONTROL!$C$9, $D$9, 100%, $F$9) + CHOOSE(CONTROL!$C$27, 0.0021, 0)</f>
        <v>59.739199999999997</v>
      </c>
      <c r="C565" s="17">
        <f>59.3048 * CHOOSE(CONTROL!$C$9, $D$9, 100%, $F$9) + CHOOSE(CONTROL!$C$27, 0.0021, 0)</f>
        <v>59.306899999999999</v>
      </c>
      <c r="D565" s="17">
        <f>59.3048 * CHOOSE(CONTROL!$C$9, $D$9, 100%, $F$9) + CHOOSE(CONTROL!$C$27, 0.0021, 0)</f>
        <v>59.306899999999999</v>
      </c>
      <c r="E565" s="17">
        <f>59.1682 * CHOOSE(CONTROL!$C$9, $D$9, 100%, $F$9) + CHOOSE(CONTROL!$C$27, 0.0021, 0)</f>
        <v>59.170299999999997</v>
      </c>
      <c r="F565" s="17">
        <f>59.1682 * CHOOSE(CONTROL!$C$9, $D$9, 100%, $F$9) + CHOOSE(CONTROL!$C$27, 0.0021, 0)</f>
        <v>59.170299999999997</v>
      </c>
      <c r="G565" s="17">
        <f>59.4395 * CHOOSE(CONTROL!$C$9, $D$9, 100%, $F$9) + CHOOSE(CONTROL!$C$27, 0.0021, 0)</f>
        <v>59.441600000000001</v>
      </c>
      <c r="H565" s="17">
        <f>59.3048 * CHOOSE(CONTROL!$C$9, $D$9, 100%, $F$9) + CHOOSE(CONTROL!$C$27, 0.0021, 0)</f>
        <v>59.306899999999999</v>
      </c>
      <c r="I565" s="17">
        <f>59.3048 * CHOOSE(CONTROL!$C$9, $D$9, 100%, $F$9) + CHOOSE(CONTROL!$C$27, 0.0021, 0)</f>
        <v>59.306899999999999</v>
      </c>
      <c r="J565" s="17">
        <f>59.3048 * CHOOSE(CONTROL!$C$9, $D$9, 100%, $F$9) + CHOOSE(CONTROL!$C$27, 0.0021, 0)</f>
        <v>59.306899999999999</v>
      </c>
      <c r="K565" s="17">
        <f>59.3048 * CHOOSE(CONTROL!$C$9, $D$9, 100%, $F$9) + CHOOSE(CONTROL!$C$27, 0.0021, 0)</f>
        <v>59.306899999999999</v>
      </c>
      <c r="L565" s="17"/>
    </row>
    <row r="566" spans="1:12" ht="15.75" x14ac:dyDescent="0.25">
      <c r="A566" s="13">
        <v>58165</v>
      </c>
      <c r="B566" s="17">
        <f>59.0468 * CHOOSE(CONTROL!$C$9, $D$9, 100%, $F$9) + CHOOSE(CONTROL!$C$27, 0.0021, 0)</f>
        <v>59.048899999999996</v>
      </c>
      <c r="C566" s="17">
        <f>58.6146 * CHOOSE(CONTROL!$C$9, $D$9, 100%, $F$9) + CHOOSE(CONTROL!$C$27, 0.0021, 0)</f>
        <v>58.616700000000002</v>
      </c>
      <c r="D566" s="17">
        <f>58.6146 * CHOOSE(CONTROL!$C$9, $D$9, 100%, $F$9) + CHOOSE(CONTROL!$C$27, 0.0021, 0)</f>
        <v>58.616700000000002</v>
      </c>
      <c r="E566" s="17">
        <f>58.4779 * CHOOSE(CONTROL!$C$9, $D$9, 100%, $F$9) + CHOOSE(CONTROL!$C$27, 0.0021, 0)</f>
        <v>58.48</v>
      </c>
      <c r="F566" s="17">
        <f>58.4779 * CHOOSE(CONTROL!$C$9, $D$9, 100%, $F$9) + CHOOSE(CONTROL!$C$27, 0.0021, 0)</f>
        <v>58.48</v>
      </c>
      <c r="G566" s="17">
        <f>58.7493 * CHOOSE(CONTROL!$C$9, $D$9, 100%, $F$9) + CHOOSE(CONTROL!$C$27, 0.0021, 0)</f>
        <v>58.751399999999997</v>
      </c>
      <c r="H566" s="17">
        <f>58.6146 * CHOOSE(CONTROL!$C$9, $D$9, 100%, $F$9) + CHOOSE(CONTROL!$C$27, 0.0021, 0)</f>
        <v>58.616700000000002</v>
      </c>
      <c r="I566" s="17">
        <f>58.6146 * CHOOSE(CONTROL!$C$9, $D$9, 100%, $F$9) + CHOOSE(CONTROL!$C$27, 0.0021, 0)</f>
        <v>58.616700000000002</v>
      </c>
      <c r="J566" s="17">
        <f>58.6146 * CHOOSE(CONTROL!$C$9, $D$9, 100%, $F$9) + CHOOSE(CONTROL!$C$27, 0.0021, 0)</f>
        <v>58.616700000000002</v>
      </c>
      <c r="K566" s="17">
        <f>58.6146 * CHOOSE(CONTROL!$C$9, $D$9, 100%, $F$9) + CHOOSE(CONTROL!$C$27, 0.0021, 0)</f>
        <v>58.616700000000002</v>
      </c>
      <c r="L566" s="17"/>
    </row>
    <row r="567" spans="1:12" ht="15.75" x14ac:dyDescent="0.25">
      <c r="A567" s="13">
        <v>58195</v>
      </c>
      <c r="B567" s="17">
        <f>58.2226 * CHOOSE(CONTROL!$C$9, $D$9, 100%, $F$9) + CHOOSE(CONTROL!$C$27, 0.0021, 0)</f>
        <v>58.224699999999999</v>
      </c>
      <c r="C567" s="17">
        <f>57.7904 * CHOOSE(CONTROL!$C$9, $D$9, 100%, $F$9) + CHOOSE(CONTROL!$C$27, 0.0021, 0)</f>
        <v>57.792499999999997</v>
      </c>
      <c r="D567" s="17">
        <f>57.7904 * CHOOSE(CONTROL!$C$9, $D$9, 100%, $F$9) + CHOOSE(CONTROL!$C$27, 0.0021, 0)</f>
        <v>57.792499999999997</v>
      </c>
      <c r="E567" s="17">
        <f>57.6537 * CHOOSE(CONTROL!$C$9, $D$9, 100%, $F$9) + CHOOSE(CONTROL!$C$27, 0.0021, 0)</f>
        <v>57.655799999999999</v>
      </c>
      <c r="F567" s="17">
        <f>57.6537 * CHOOSE(CONTROL!$C$9, $D$9, 100%, $F$9) + CHOOSE(CONTROL!$C$27, 0.0021, 0)</f>
        <v>57.655799999999999</v>
      </c>
      <c r="G567" s="17">
        <f>57.9251 * CHOOSE(CONTROL!$C$9, $D$9, 100%, $F$9) + CHOOSE(CONTROL!$C$27, 0.0021, 0)</f>
        <v>57.927199999999999</v>
      </c>
      <c r="H567" s="17">
        <f>57.7904 * CHOOSE(CONTROL!$C$9, $D$9, 100%, $F$9) + CHOOSE(CONTROL!$C$27, 0.0021, 0)</f>
        <v>57.792499999999997</v>
      </c>
      <c r="I567" s="17">
        <f>57.7904 * CHOOSE(CONTROL!$C$9, $D$9, 100%, $F$9) + CHOOSE(CONTROL!$C$27, 0.0021, 0)</f>
        <v>57.792499999999997</v>
      </c>
      <c r="J567" s="17">
        <f>57.7904 * CHOOSE(CONTROL!$C$9, $D$9, 100%, $F$9) + CHOOSE(CONTROL!$C$27, 0.0021, 0)</f>
        <v>57.792499999999997</v>
      </c>
      <c r="K567" s="17">
        <f>57.7904 * CHOOSE(CONTROL!$C$9, $D$9, 100%, $F$9) + CHOOSE(CONTROL!$C$27, 0.0021, 0)</f>
        <v>57.792499999999997</v>
      </c>
      <c r="L567" s="17"/>
    </row>
    <row r="568" spans="1:12" ht="15.75" x14ac:dyDescent="0.25">
      <c r="A568" s="13">
        <v>58226</v>
      </c>
      <c r="B568" s="17">
        <f>59.3972 * CHOOSE(CONTROL!$C$9, $D$9, 100%, $F$9) + CHOOSE(CONTROL!$C$27, 0.0021, 0)</f>
        <v>59.399299999999997</v>
      </c>
      <c r="C568" s="17">
        <f>58.9649 * CHOOSE(CONTROL!$C$9, $D$9, 100%, $F$9) + CHOOSE(CONTROL!$C$27, 0.0021, 0)</f>
        <v>58.966999999999999</v>
      </c>
      <c r="D568" s="17">
        <f>58.9649 * CHOOSE(CONTROL!$C$9, $D$9, 100%, $F$9) + CHOOSE(CONTROL!$C$27, 0.0021, 0)</f>
        <v>58.966999999999999</v>
      </c>
      <c r="E568" s="17">
        <f>58.8283 * CHOOSE(CONTROL!$C$9, $D$9, 100%, $F$9) + CHOOSE(CONTROL!$C$27, 0.0021, 0)</f>
        <v>58.830399999999997</v>
      </c>
      <c r="F568" s="17">
        <f>58.8283 * CHOOSE(CONTROL!$C$9, $D$9, 100%, $F$9) + CHOOSE(CONTROL!$C$27, 0.0021, 0)</f>
        <v>58.830399999999997</v>
      </c>
      <c r="G568" s="17">
        <f>59.0996 * CHOOSE(CONTROL!$C$9, $D$9, 100%, $F$9) + CHOOSE(CONTROL!$C$27, 0.0021, 0)</f>
        <v>59.101700000000001</v>
      </c>
      <c r="H568" s="17">
        <f>58.9649 * CHOOSE(CONTROL!$C$9, $D$9, 100%, $F$9) + CHOOSE(CONTROL!$C$27, 0.0021, 0)</f>
        <v>58.966999999999999</v>
      </c>
      <c r="I568" s="17">
        <f>58.9649 * CHOOSE(CONTROL!$C$9, $D$9, 100%, $F$9) + CHOOSE(CONTROL!$C$27, 0.0021, 0)</f>
        <v>58.966999999999999</v>
      </c>
      <c r="J568" s="17">
        <f>58.9649 * CHOOSE(CONTROL!$C$9, $D$9, 100%, $F$9) + CHOOSE(CONTROL!$C$27, 0.0021, 0)</f>
        <v>58.966999999999999</v>
      </c>
      <c r="K568" s="17">
        <f>58.9649 * CHOOSE(CONTROL!$C$9, $D$9, 100%, $F$9) + CHOOSE(CONTROL!$C$27, 0.0021, 0)</f>
        <v>58.966999999999999</v>
      </c>
      <c r="L568" s="17"/>
    </row>
    <row r="569" spans="1:12" ht="15.75" x14ac:dyDescent="0.25">
      <c r="A569" s="13">
        <v>58256</v>
      </c>
      <c r="B569" s="17">
        <f>60.1007 * CHOOSE(CONTROL!$C$9, $D$9, 100%, $F$9) + CHOOSE(CONTROL!$C$27, 0.0021, 0)</f>
        <v>60.102800000000002</v>
      </c>
      <c r="C569" s="17">
        <f>59.6684 * CHOOSE(CONTROL!$C$9, $D$9, 100%, $F$9) + CHOOSE(CONTROL!$C$27, 0.0021, 0)</f>
        <v>59.670499999999997</v>
      </c>
      <c r="D569" s="17">
        <f>59.6684 * CHOOSE(CONTROL!$C$9, $D$9, 100%, $F$9) + CHOOSE(CONTROL!$C$27, 0.0021, 0)</f>
        <v>59.670499999999997</v>
      </c>
      <c r="E569" s="17">
        <f>59.5318 * CHOOSE(CONTROL!$C$9, $D$9, 100%, $F$9) + CHOOSE(CONTROL!$C$27, 0.0021, 0)</f>
        <v>59.533899999999996</v>
      </c>
      <c r="F569" s="17">
        <f>59.5318 * CHOOSE(CONTROL!$C$9, $D$9, 100%, $F$9) + CHOOSE(CONTROL!$C$27, 0.0021, 0)</f>
        <v>59.533899999999996</v>
      </c>
      <c r="G569" s="17">
        <f>59.8032 * CHOOSE(CONTROL!$C$9, $D$9, 100%, $F$9) + CHOOSE(CONTROL!$C$27, 0.0021, 0)</f>
        <v>59.805299999999995</v>
      </c>
      <c r="H569" s="17">
        <f>59.6684 * CHOOSE(CONTROL!$C$9, $D$9, 100%, $F$9) + CHOOSE(CONTROL!$C$27, 0.0021, 0)</f>
        <v>59.670499999999997</v>
      </c>
      <c r="I569" s="17">
        <f>59.6684 * CHOOSE(CONTROL!$C$9, $D$9, 100%, $F$9) + CHOOSE(CONTROL!$C$27, 0.0021, 0)</f>
        <v>59.670499999999997</v>
      </c>
      <c r="J569" s="17">
        <f>59.6684 * CHOOSE(CONTROL!$C$9, $D$9, 100%, $F$9) + CHOOSE(CONTROL!$C$27, 0.0021, 0)</f>
        <v>59.670499999999997</v>
      </c>
      <c r="K569" s="17">
        <f>59.6684 * CHOOSE(CONTROL!$C$9, $D$9, 100%, $F$9) + CHOOSE(CONTROL!$C$27, 0.0021, 0)</f>
        <v>59.670499999999997</v>
      </c>
      <c r="L569" s="17"/>
    </row>
    <row r="570" spans="1:12" ht="15.75" x14ac:dyDescent="0.25">
      <c r="A570" s="13">
        <v>58287</v>
      </c>
      <c r="B570" s="17">
        <f>61.2612 * CHOOSE(CONTROL!$C$9, $D$9, 100%, $F$9) + CHOOSE(CONTROL!$C$27, 0.0021, 0)</f>
        <v>61.263300000000001</v>
      </c>
      <c r="C570" s="17">
        <f>60.829 * CHOOSE(CONTROL!$C$9, $D$9, 100%, $F$9) + CHOOSE(CONTROL!$C$27, 0.0021, 0)</f>
        <v>60.831099999999999</v>
      </c>
      <c r="D570" s="17">
        <f>60.829 * CHOOSE(CONTROL!$C$9, $D$9, 100%, $F$9) + CHOOSE(CONTROL!$C$27, 0.0021, 0)</f>
        <v>60.831099999999999</v>
      </c>
      <c r="E570" s="17">
        <f>60.6923 * CHOOSE(CONTROL!$C$9, $D$9, 100%, $F$9) + CHOOSE(CONTROL!$C$27, 0.0021, 0)</f>
        <v>60.694400000000002</v>
      </c>
      <c r="F570" s="17">
        <f>60.6923 * CHOOSE(CONTROL!$C$9, $D$9, 100%, $F$9) + CHOOSE(CONTROL!$C$27, 0.0021, 0)</f>
        <v>60.694400000000002</v>
      </c>
      <c r="G570" s="17">
        <f>60.9637 * CHOOSE(CONTROL!$C$9, $D$9, 100%, $F$9) + CHOOSE(CONTROL!$C$27, 0.0021, 0)</f>
        <v>60.965800000000002</v>
      </c>
      <c r="H570" s="17">
        <f>60.829 * CHOOSE(CONTROL!$C$9, $D$9, 100%, $F$9) + CHOOSE(CONTROL!$C$27, 0.0021, 0)</f>
        <v>60.831099999999999</v>
      </c>
      <c r="I570" s="17">
        <f>60.829 * CHOOSE(CONTROL!$C$9, $D$9, 100%, $F$9) + CHOOSE(CONTROL!$C$27, 0.0021, 0)</f>
        <v>60.831099999999999</v>
      </c>
      <c r="J570" s="17">
        <f>60.829 * CHOOSE(CONTROL!$C$9, $D$9, 100%, $F$9) + CHOOSE(CONTROL!$C$27, 0.0021, 0)</f>
        <v>60.831099999999999</v>
      </c>
      <c r="K570" s="17">
        <f>60.829 * CHOOSE(CONTROL!$C$9, $D$9, 100%, $F$9) + CHOOSE(CONTROL!$C$27, 0.0021, 0)</f>
        <v>60.831099999999999</v>
      </c>
      <c r="L570" s="17"/>
    </row>
    <row r="571" spans="1:12" ht="15.75" x14ac:dyDescent="0.25">
      <c r="A571" s="13">
        <v>58318</v>
      </c>
      <c r="B571" s="17">
        <f>61.6155 * CHOOSE(CONTROL!$C$9, $D$9, 100%, $F$9) + CHOOSE(CONTROL!$C$27, 0.0021, 0)</f>
        <v>61.617599999999996</v>
      </c>
      <c r="C571" s="17">
        <f>61.1832 * CHOOSE(CONTROL!$C$9, $D$9, 100%, $F$9) + CHOOSE(CONTROL!$C$27, 0.0021, 0)</f>
        <v>61.185299999999998</v>
      </c>
      <c r="D571" s="17">
        <f>61.1832 * CHOOSE(CONTROL!$C$9, $D$9, 100%, $F$9) + CHOOSE(CONTROL!$C$27, 0.0021, 0)</f>
        <v>61.185299999999998</v>
      </c>
      <c r="E571" s="17">
        <f>61.0466 * CHOOSE(CONTROL!$C$9, $D$9, 100%, $F$9) + CHOOSE(CONTROL!$C$27, 0.0021, 0)</f>
        <v>61.048699999999997</v>
      </c>
      <c r="F571" s="17">
        <f>61.0466 * CHOOSE(CONTROL!$C$9, $D$9, 100%, $F$9) + CHOOSE(CONTROL!$C$27, 0.0021, 0)</f>
        <v>61.048699999999997</v>
      </c>
      <c r="G571" s="17">
        <f>61.3179 * CHOOSE(CONTROL!$C$9, $D$9, 100%, $F$9) + CHOOSE(CONTROL!$C$27, 0.0021, 0)</f>
        <v>61.32</v>
      </c>
      <c r="H571" s="17">
        <f>61.1832 * CHOOSE(CONTROL!$C$9, $D$9, 100%, $F$9) + CHOOSE(CONTROL!$C$27, 0.0021, 0)</f>
        <v>61.185299999999998</v>
      </c>
      <c r="I571" s="17">
        <f>61.1832 * CHOOSE(CONTROL!$C$9, $D$9, 100%, $F$9) + CHOOSE(CONTROL!$C$27, 0.0021, 0)</f>
        <v>61.185299999999998</v>
      </c>
      <c r="J571" s="17">
        <f>61.1832 * CHOOSE(CONTROL!$C$9, $D$9, 100%, $F$9) + CHOOSE(CONTROL!$C$27, 0.0021, 0)</f>
        <v>61.185299999999998</v>
      </c>
      <c r="K571" s="17">
        <f>61.1832 * CHOOSE(CONTROL!$C$9, $D$9, 100%, $F$9) + CHOOSE(CONTROL!$C$27, 0.0021, 0)</f>
        <v>61.185299999999998</v>
      </c>
      <c r="L571" s="17"/>
    </row>
    <row r="572" spans="1:12" ht="15.75" x14ac:dyDescent="0.25">
      <c r="A572" s="13">
        <v>58348</v>
      </c>
      <c r="B572" s="17">
        <f>62.8218 * CHOOSE(CONTROL!$C$9, $D$9, 100%, $F$9) + CHOOSE(CONTROL!$C$27, 0.0021, 0)</f>
        <v>62.823900000000002</v>
      </c>
      <c r="C572" s="17">
        <f>62.3896 * CHOOSE(CONTROL!$C$9, $D$9, 100%, $F$9) + CHOOSE(CONTROL!$C$27, 0.0021, 0)</f>
        <v>62.3917</v>
      </c>
      <c r="D572" s="17">
        <f>62.3896 * CHOOSE(CONTROL!$C$9, $D$9, 100%, $F$9) + CHOOSE(CONTROL!$C$27, 0.0021, 0)</f>
        <v>62.3917</v>
      </c>
      <c r="E572" s="17">
        <f>62.2529 * CHOOSE(CONTROL!$C$9, $D$9, 100%, $F$9) + CHOOSE(CONTROL!$C$27, 0.0021, 0)</f>
        <v>62.254999999999995</v>
      </c>
      <c r="F572" s="17">
        <f>62.2529 * CHOOSE(CONTROL!$C$9, $D$9, 100%, $F$9) + CHOOSE(CONTROL!$C$27, 0.0021, 0)</f>
        <v>62.254999999999995</v>
      </c>
      <c r="G572" s="17">
        <f>62.5243 * CHOOSE(CONTROL!$C$9, $D$9, 100%, $F$9) + CHOOSE(CONTROL!$C$27, 0.0021, 0)</f>
        <v>62.526399999999995</v>
      </c>
      <c r="H572" s="17">
        <f>62.3896 * CHOOSE(CONTROL!$C$9, $D$9, 100%, $F$9) + CHOOSE(CONTROL!$C$27, 0.0021, 0)</f>
        <v>62.3917</v>
      </c>
      <c r="I572" s="17">
        <f>62.3896 * CHOOSE(CONTROL!$C$9, $D$9, 100%, $F$9) + CHOOSE(CONTROL!$C$27, 0.0021, 0)</f>
        <v>62.3917</v>
      </c>
      <c r="J572" s="17">
        <f>62.3896 * CHOOSE(CONTROL!$C$9, $D$9, 100%, $F$9) + CHOOSE(CONTROL!$C$27, 0.0021, 0)</f>
        <v>62.3917</v>
      </c>
      <c r="K572" s="17">
        <f>62.3896 * CHOOSE(CONTROL!$C$9, $D$9, 100%, $F$9) + CHOOSE(CONTROL!$C$27, 0.0021, 0)</f>
        <v>62.3917</v>
      </c>
      <c r="L572" s="17"/>
    </row>
    <row r="573" spans="1:12" ht="15.75" x14ac:dyDescent="0.25">
      <c r="A573" s="13">
        <v>58379</v>
      </c>
      <c r="B573" s="17">
        <f>64.3488 * CHOOSE(CONTROL!$C$9, $D$9, 100%, $F$9) + CHOOSE(CONTROL!$C$27, 0.0021, 0)</f>
        <v>64.350899999999996</v>
      </c>
      <c r="C573" s="17">
        <f>63.9166 * CHOOSE(CONTROL!$C$9, $D$9, 100%, $F$9) + CHOOSE(CONTROL!$C$27, 0.0021, 0)</f>
        <v>63.918700000000001</v>
      </c>
      <c r="D573" s="17">
        <f>63.9166 * CHOOSE(CONTROL!$C$9, $D$9, 100%, $F$9) + CHOOSE(CONTROL!$C$27, 0.0021, 0)</f>
        <v>63.918700000000001</v>
      </c>
      <c r="E573" s="17">
        <f>63.7799 * CHOOSE(CONTROL!$C$9, $D$9, 100%, $F$9) + CHOOSE(CONTROL!$C$27, 0.0021, 0)</f>
        <v>63.781999999999996</v>
      </c>
      <c r="F573" s="17">
        <f>63.7799 * CHOOSE(CONTROL!$C$9, $D$9, 100%, $F$9) + CHOOSE(CONTROL!$C$27, 0.0021, 0)</f>
        <v>63.781999999999996</v>
      </c>
      <c r="G573" s="17">
        <f>64.0513 * CHOOSE(CONTROL!$C$9, $D$9, 100%, $F$9) + CHOOSE(CONTROL!$C$27, 0.0021, 0)</f>
        <v>64.053399999999996</v>
      </c>
      <c r="H573" s="17">
        <f>63.9166 * CHOOSE(CONTROL!$C$9, $D$9, 100%, $F$9) + CHOOSE(CONTROL!$C$27, 0.0021, 0)</f>
        <v>63.918700000000001</v>
      </c>
      <c r="I573" s="17">
        <f>63.9166 * CHOOSE(CONTROL!$C$9, $D$9, 100%, $F$9) + CHOOSE(CONTROL!$C$27, 0.0021, 0)</f>
        <v>63.918700000000001</v>
      </c>
      <c r="J573" s="17">
        <f>63.9166 * CHOOSE(CONTROL!$C$9, $D$9, 100%, $F$9) + CHOOSE(CONTROL!$C$27, 0.0021, 0)</f>
        <v>63.918700000000001</v>
      </c>
      <c r="K573" s="17">
        <f>63.9166 * CHOOSE(CONTROL!$C$9, $D$9, 100%, $F$9) + CHOOSE(CONTROL!$C$27, 0.0021, 0)</f>
        <v>63.918700000000001</v>
      </c>
      <c r="L573" s="17"/>
    </row>
    <row r="574" spans="1:12" ht="15.75" x14ac:dyDescent="0.25">
      <c r="A574" s="13">
        <v>58409</v>
      </c>
      <c r="B574" s="17">
        <f>64.4922 * CHOOSE(CONTROL!$C$9, $D$9, 100%, $F$9) + CHOOSE(CONTROL!$C$27, 0.0021, 0)</f>
        <v>64.494299999999996</v>
      </c>
      <c r="C574" s="17">
        <f>64.0599 * CHOOSE(CONTROL!$C$9, $D$9, 100%, $F$9) + CHOOSE(CONTROL!$C$27, 0.0021, 0)</f>
        <v>64.061999999999998</v>
      </c>
      <c r="D574" s="17">
        <f>64.0599 * CHOOSE(CONTROL!$C$9, $D$9, 100%, $F$9) + CHOOSE(CONTROL!$C$27, 0.0021, 0)</f>
        <v>64.061999999999998</v>
      </c>
      <c r="E574" s="17">
        <f>63.9233 * CHOOSE(CONTROL!$C$9, $D$9, 100%, $F$9) + CHOOSE(CONTROL!$C$27, 0.0021, 0)</f>
        <v>63.925399999999996</v>
      </c>
      <c r="F574" s="17">
        <f>63.9233 * CHOOSE(CONTROL!$C$9, $D$9, 100%, $F$9) + CHOOSE(CONTROL!$C$27, 0.0021, 0)</f>
        <v>63.925399999999996</v>
      </c>
      <c r="G574" s="17">
        <f>64.1946 * CHOOSE(CONTROL!$C$9, $D$9, 100%, $F$9) + CHOOSE(CONTROL!$C$27, 0.0021, 0)</f>
        <v>64.196699999999993</v>
      </c>
      <c r="H574" s="17">
        <f>64.0599 * CHOOSE(CONTROL!$C$9, $D$9, 100%, $F$9) + CHOOSE(CONTROL!$C$27, 0.0021, 0)</f>
        <v>64.061999999999998</v>
      </c>
      <c r="I574" s="17">
        <f>64.0599 * CHOOSE(CONTROL!$C$9, $D$9, 100%, $F$9) + CHOOSE(CONTROL!$C$27, 0.0021, 0)</f>
        <v>64.061999999999998</v>
      </c>
      <c r="J574" s="17">
        <f>64.0599 * CHOOSE(CONTROL!$C$9, $D$9, 100%, $F$9) + CHOOSE(CONTROL!$C$27, 0.0021, 0)</f>
        <v>64.061999999999998</v>
      </c>
      <c r="K574" s="17">
        <f>64.0599 * CHOOSE(CONTROL!$C$9, $D$9, 100%, $F$9) + CHOOSE(CONTROL!$C$27, 0.0021, 0)</f>
        <v>64.061999999999998</v>
      </c>
      <c r="L574" s="17"/>
    </row>
    <row r="575" spans="1:12" ht="15.75" x14ac:dyDescent="0.25">
      <c r="A575" s="13">
        <v>58440</v>
      </c>
      <c r="B575" s="17">
        <f>63.2726 * CHOOSE(CONTROL!$C$9, $D$9, 100%, $F$9) + CHOOSE(CONTROL!$C$27, 0.0021, 0)</f>
        <v>63.274699999999996</v>
      </c>
      <c r="C575" s="17">
        <f>62.8403 * CHOOSE(CONTROL!$C$9, $D$9, 100%, $F$9) + CHOOSE(CONTROL!$C$27, 0.0021, 0)</f>
        <v>62.842399999999998</v>
      </c>
      <c r="D575" s="17">
        <f>62.8403 * CHOOSE(CONTROL!$C$9, $D$9, 100%, $F$9) + CHOOSE(CONTROL!$C$27, 0.0021, 0)</f>
        <v>62.842399999999998</v>
      </c>
      <c r="E575" s="17">
        <f>62.7037 * CHOOSE(CONTROL!$C$9, $D$9, 100%, $F$9) + CHOOSE(CONTROL!$C$27, 0.0021, 0)</f>
        <v>62.705799999999996</v>
      </c>
      <c r="F575" s="17">
        <f>62.7037 * CHOOSE(CONTROL!$C$9, $D$9, 100%, $F$9) + CHOOSE(CONTROL!$C$27, 0.0021, 0)</f>
        <v>62.705799999999996</v>
      </c>
      <c r="G575" s="17">
        <f>62.975 * CHOOSE(CONTROL!$C$9, $D$9, 100%, $F$9) + CHOOSE(CONTROL!$C$27, 0.0021, 0)</f>
        <v>62.9771</v>
      </c>
      <c r="H575" s="17">
        <f>62.8403 * CHOOSE(CONTROL!$C$9, $D$9, 100%, $F$9) + CHOOSE(CONTROL!$C$27, 0.0021, 0)</f>
        <v>62.842399999999998</v>
      </c>
      <c r="I575" s="17">
        <f>62.8403 * CHOOSE(CONTROL!$C$9, $D$9, 100%, $F$9) + CHOOSE(CONTROL!$C$27, 0.0021, 0)</f>
        <v>62.842399999999998</v>
      </c>
      <c r="J575" s="17">
        <f>62.8403 * CHOOSE(CONTROL!$C$9, $D$9, 100%, $F$9) + CHOOSE(CONTROL!$C$27, 0.0021, 0)</f>
        <v>62.842399999999998</v>
      </c>
      <c r="K575" s="17">
        <f>62.8403 * CHOOSE(CONTROL!$C$9, $D$9, 100%, $F$9) + CHOOSE(CONTROL!$C$27, 0.0021, 0)</f>
        <v>62.842399999999998</v>
      </c>
      <c r="L575" s="17"/>
    </row>
    <row r="576" spans="1:12" ht="15.75" x14ac:dyDescent="0.25">
      <c r="A576" s="13">
        <v>58471</v>
      </c>
      <c r="B576" s="17">
        <f>62.5017 * CHOOSE(CONTROL!$C$9, $D$9, 100%, $F$9) + CHOOSE(CONTROL!$C$27, 0.0021, 0)</f>
        <v>62.503799999999998</v>
      </c>
      <c r="C576" s="17">
        <f>62.0695 * CHOOSE(CONTROL!$C$9, $D$9, 100%, $F$9) + CHOOSE(CONTROL!$C$27, 0.0021, 0)</f>
        <v>62.071599999999997</v>
      </c>
      <c r="D576" s="17">
        <f>62.0695 * CHOOSE(CONTROL!$C$9, $D$9, 100%, $F$9) + CHOOSE(CONTROL!$C$27, 0.0021, 0)</f>
        <v>62.071599999999997</v>
      </c>
      <c r="E576" s="17">
        <f>61.9328 * CHOOSE(CONTROL!$C$9, $D$9, 100%, $F$9) + CHOOSE(CONTROL!$C$27, 0.0021, 0)</f>
        <v>61.934899999999999</v>
      </c>
      <c r="F576" s="17">
        <f>61.9328 * CHOOSE(CONTROL!$C$9, $D$9, 100%, $F$9) + CHOOSE(CONTROL!$C$27, 0.0021, 0)</f>
        <v>61.934899999999999</v>
      </c>
      <c r="G576" s="17">
        <f>62.2042 * CHOOSE(CONTROL!$C$9, $D$9, 100%, $F$9) + CHOOSE(CONTROL!$C$27, 0.0021, 0)</f>
        <v>62.206299999999999</v>
      </c>
      <c r="H576" s="17">
        <f>62.0695 * CHOOSE(CONTROL!$C$9, $D$9, 100%, $F$9) + CHOOSE(CONTROL!$C$27, 0.0021, 0)</f>
        <v>62.071599999999997</v>
      </c>
      <c r="I576" s="17">
        <f>62.0695 * CHOOSE(CONTROL!$C$9, $D$9, 100%, $F$9) + CHOOSE(CONTROL!$C$27, 0.0021, 0)</f>
        <v>62.071599999999997</v>
      </c>
      <c r="J576" s="17">
        <f>62.0695 * CHOOSE(CONTROL!$C$9, $D$9, 100%, $F$9) + CHOOSE(CONTROL!$C$27, 0.0021, 0)</f>
        <v>62.071599999999997</v>
      </c>
      <c r="K576" s="17">
        <f>62.0695 * CHOOSE(CONTROL!$C$9, $D$9, 100%, $F$9) + CHOOSE(CONTROL!$C$27, 0.0021, 0)</f>
        <v>62.071599999999997</v>
      </c>
      <c r="L576" s="17"/>
    </row>
    <row r="577" spans="1:12" ht="15.75" x14ac:dyDescent="0.25">
      <c r="A577" s="13">
        <v>58499</v>
      </c>
      <c r="B577" s="17">
        <f>60.7987 * CHOOSE(CONTROL!$C$9, $D$9, 100%, $F$9) + CHOOSE(CONTROL!$C$27, 0.0021, 0)</f>
        <v>60.800799999999995</v>
      </c>
      <c r="C577" s="17">
        <f>60.3664 * CHOOSE(CONTROL!$C$9, $D$9, 100%, $F$9) + CHOOSE(CONTROL!$C$27, 0.0021, 0)</f>
        <v>60.368499999999997</v>
      </c>
      <c r="D577" s="17">
        <f>60.3664 * CHOOSE(CONTROL!$C$9, $D$9, 100%, $F$9) + CHOOSE(CONTROL!$C$27, 0.0021, 0)</f>
        <v>60.368499999999997</v>
      </c>
      <c r="E577" s="17">
        <f>60.2298 * CHOOSE(CONTROL!$C$9, $D$9, 100%, $F$9) + CHOOSE(CONTROL!$C$27, 0.0021, 0)</f>
        <v>60.231899999999996</v>
      </c>
      <c r="F577" s="17">
        <f>60.2298 * CHOOSE(CONTROL!$C$9, $D$9, 100%, $F$9) + CHOOSE(CONTROL!$C$27, 0.0021, 0)</f>
        <v>60.231899999999996</v>
      </c>
      <c r="G577" s="17">
        <f>60.5011 * CHOOSE(CONTROL!$C$9, $D$9, 100%, $F$9) + CHOOSE(CONTROL!$C$27, 0.0021, 0)</f>
        <v>60.5032</v>
      </c>
      <c r="H577" s="17">
        <f>60.3664 * CHOOSE(CONTROL!$C$9, $D$9, 100%, $F$9) + CHOOSE(CONTROL!$C$27, 0.0021, 0)</f>
        <v>60.368499999999997</v>
      </c>
      <c r="I577" s="17">
        <f>60.3664 * CHOOSE(CONTROL!$C$9, $D$9, 100%, $F$9) + CHOOSE(CONTROL!$C$27, 0.0021, 0)</f>
        <v>60.368499999999997</v>
      </c>
      <c r="J577" s="17">
        <f>60.3664 * CHOOSE(CONTROL!$C$9, $D$9, 100%, $F$9) + CHOOSE(CONTROL!$C$27, 0.0021, 0)</f>
        <v>60.368499999999997</v>
      </c>
      <c r="K577" s="17">
        <f>60.3664 * CHOOSE(CONTROL!$C$9, $D$9, 100%, $F$9) + CHOOSE(CONTROL!$C$27, 0.0021, 0)</f>
        <v>60.368499999999997</v>
      </c>
      <c r="L577" s="17"/>
    </row>
    <row r="578" spans="1:12" ht="15.75" x14ac:dyDescent="0.25">
      <c r="A578" s="13">
        <v>58531</v>
      </c>
      <c r="B578" s="17">
        <f>60.0957 * CHOOSE(CONTROL!$C$9, $D$9, 100%, $F$9) + CHOOSE(CONTROL!$C$27, 0.0021, 0)</f>
        <v>60.097799999999999</v>
      </c>
      <c r="C578" s="17">
        <f>59.6634 * CHOOSE(CONTROL!$C$9, $D$9, 100%, $F$9) + CHOOSE(CONTROL!$C$27, 0.0021, 0)</f>
        <v>59.665500000000002</v>
      </c>
      <c r="D578" s="17">
        <f>59.6634 * CHOOSE(CONTROL!$C$9, $D$9, 100%, $F$9) + CHOOSE(CONTROL!$C$27, 0.0021, 0)</f>
        <v>59.665500000000002</v>
      </c>
      <c r="E578" s="17">
        <f>59.5268 * CHOOSE(CONTROL!$C$9, $D$9, 100%, $F$9) + CHOOSE(CONTROL!$C$27, 0.0021, 0)</f>
        <v>59.5289</v>
      </c>
      <c r="F578" s="17">
        <f>59.5268 * CHOOSE(CONTROL!$C$9, $D$9, 100%, $F$9) + CHOOSE(CONTROL!$C$27, 0.0021, 0)</f>
        <v>59.5289</v>
      </c>
      <c r="G578" s="17">
        <f>59.7981 * CHOOSE(CONTROL!$C$9, $D$9, 100%, $F$9) + CHOOSE(CONTROL!$C$27, 0.0021, 0)</f>
        <v>59.800199999999997</v>
      </c>
      <c r="H578" s="17">
        <f>59.6634 * CHOOSE(CONTROL!$C$9, $D$9, 100%, $F$9) + CHOOSE(CONTROL!$C$27, 0.0021, 0)</f>
        <v>59.665500000000002</v>
      </c>
      <c r="I578" s="17">
        <f>59.6634 * CHOOSE(CONTROL!$C$9, $D$9, 100%, $F$9) + CHOOSE(CONTROL!$C$27, 0.0021, 0)</f>
        <v>59.665500000000002</v>
      </c>
      <c r="J578" s="17">
        <f>59.6634 * CHOOSE(CONTROL!$C$9, $D$9, 100%, $F$9) + CHOOSE(CONTROL!$C$27, 0.0021, 0)</f>
        <v>59.665500000000002</v>
      </c>
      <c r="K578" s="17">
        <f>59.6634 * CHOOSE(CONTROL!$C$9, $D$9, 100%, $F$9) + CHOOSE(CONTROL!$C$27, 0.0021, 0)</f>
        <v>59.665500000000002</v>
      </c>
      <c r="L578" s="17"/>
    </row>
    <row r="579" spans="1:12" ht="15.75" x14ac:dyDescent="0.25">
      <c r="A579" s="13">
        <v>58561</v>
      </c>
      <c r="B579" s="17">
        <f>59.2562 * CHOOSE(CONTROL!$C$9, $D$9, 100%, $F$9) + CHOOSE(CONTROL!$C$27, 0.0021, 0)</f>
        <v>59.258299999999998</v>
      </c>
      <c r="C579" s="17">
        <f>58.824 * CHOOSE(CONTROL!$C$9, $D$9, 100%, $F$9) + CHOOSE(CONTROL!$C$27, 0.0021, 0)</f>
        <v>58.826099999999997</v>
      </c>
      <c r="D579" s="17">
        <f>58.824 * CHOOSE(CONTROL!$C$9, $D$9, 100%, $F$9) + CHOOSE(CONTROL!$C$27, 0.0021, 0)</f>
        <v>58.826099999999997</v>
      </c>
      <c r="E579" s="17">
        <f>58.6873 * CHOOSE(CONTROL!$C$9, $D$9, 100%, $F$9) + CHOOSE(CONTROL!$C$27, 0.0021, 0)</f>
        <v>58.689399999999999</v>
      </c>
      <c r="F579" s="17">
        <f>58.6873 * CHOOSE(CONTROL!$C$9, $D$9, 100%, $F$9) + CHOOSE(CONTROL!$C$27, 0.0021, 0)</f>
        <v>58.689399999999999</v>
      </c>
      <c r="G579" s="17">
        <f>58.9587 * CHOOSE(CONTROL!$C$9, $D$9, 100%, $F$9) + CHOOSE(CONTROL!$C$27, 0.0021, 0)</f>
        <v>58.960799999999999</v>
      </c>
      <c r="H579" s="17">
        <f>58.824 * CHOOSE(CONTROL!$C$9, $D$9, 100%, $F$9) + CHOOSE(CONTROL!$C$27, 0.0021, 0)</f>
        <v>58.826099999999997</v>
      </c>
      <c r="I579" s="17">
        <f>58.824 * CHOOSE(CONTROL!$C$9, $D$9, 100%, $F$9) + CHOOSE(CONTROL!$C$27, 0.0021, 0)</f>
        <v>58.826099999999997</v>
      </c>
      <c r="J579" s="17">
        <f>58.824 * CHOOSE(CONTROL!$C$9, $D$9, 100%, $F$9) + CHOOSE(CONTROL!$C$27, 0.0021, 0)</f>
        <v>58.826099999999997</v>
      </c>
      <c r="K579" s="17">
        <f>58.824 * CHOOSE(CONTROL!$C$9, $D$9, 100%, $F$9) + CHOOSE(CONTROL!$C$27, 0.0021, 0)</f>
        <v>58.826099999999997</v>
      </c>
      <c r="L579" s="17"/>
    </row>
    <row r="580" spans="1:12" ht="15.75" x14ac:dyDescent="0.25">
      <c r="A580" s="13">
        <v>58592</v>
      </c>
      <c r="B580" s="17">
        <f>60.4525 * CHOOSE(CONTROL!$C$9, $D$9, 100%, $F$9) + CHOOSE(CONTROL!$C$27, 0.0021, 0)</f>
        <v>60.454599999999999</v>
      </c>
      <c r="C580" s="17">
        <f>60.0203 * CHOOSE(CONTROL!$C$9, $D$9, 100%, $F$9) + CHOOSE(CONTROL!$C$27, 0.0021, 0)</f>
        <v>60.022399999999998</v>
      </c>
      <c r="D580" s="17">
        <f>60.0203 * CHOOSE(CONTROL!$C$9, $D$9, 100%, $F$9) + CHOOSE(CONTROL!$C$27, 0.0021, 0)</f>
        <v>60.022399999999998</v>
      </c>
      <c r="E580" s="17">
        <f>59.8836 * CHOOSE(CONTROL!$C$9, $D$9, 100%, $F$9) + CHOOSE(CONTROL!$C$27, 0.0021, 0)</f>
        <v>59.8857</v>
      </c>
      <c r="F580" s="17">
        <f>59.8836 * CHOOSE(CONTROL!$C$9, $D$9, 100%, $F$9) + CHOOSE(CONTROL!$C$27, 0.0021, 0)</f>
        <v>59.8857</v>
      </c>
      <c r="G580" s="17">
        <f>60.155 * CHOOSE(CONTROL!$C$9, $D$9, 100%, $F$9) + CHOOSE(CONTROL!$C$27, 0.0021, 0)</f>
        <v>60.1571</v>
      </c>
      <c r="H580" s="17">
        <f>60.0203 * CHOOSE(CONTROL!$C$9, $D$9, 100%, $F$9) + CHOOSE(CONTROL!$C$27, 0.0021, 0)</f>
        <v>60.022399999999998</v>
      </c>
      <c r="I580" s="17">
        <f>60.0203 * CHOOSE(CONTROL!$C$9, $D$9, 100%, $F$9) + CHOOSE(CONTROL!$C$27, 0.0021, 0)</f>
        <v>60.022399999999998</v>
      </c>
      <c r="J580" s="17">
        <f>60.0203 * CHOOSE(CONTROL!$C$9, $D$9, 100%, $F$9) + CHOOSE(CONTROL!$C$27, 0.0021, 0)</f>
        <v>60.022399999999998</v>
      </c>
      <c r="K580" s="17">
        <f>60.0203 * CHOOSE(CONTROL!$C$9, $D$9, 100%, $F$9) + CHOOSE(CONTROL!$C$27, 0.0021, 0)</f>
        <v>60.022399999999998</v>
      </c>
      <c r="L580" s="17"/>
    </row>
    <row r="581" spans="1:12" ht="15.75" x14ac:dyDescent="0.25">
      <c r="A581" s="13">
        <v>58622</v>
      </c>
      <c r="B581" s="17">
        <f>61.169 * CHOOSE(CONTROL!$C$9, $D$9, 100%, $F$9) + CHOOSE(CONTROL!$C$27, 0.0021, 0)</f>
        <v>61.171099999999996</v>
      </c>
      <c r="C581" s="17">
        <f>60.7368 * CHOOSE(CONTROL!$C$9, $D$9, 100%, $F$9) + CHOOSE(CONTROL!$C$27, 0.0021, 0)</f>
        <v>60.738900000000001</v>
      </c>
      <c r="D581" s="17">
        <f>60.7368 * CHOOSE(CONTROL!$C$9, $D$9, 100%, $F$9) + CHOOSE(CONTROL!$C$27, 0.0021, 0)</f>
        <v>60.738900000000001</v>
      </c>
      <c r="E581" s="17">
        <f>60.6001 * CHOOSE(CONTROL!$C$9, $D$9, 100%, $F$9) + CHOOSE(CONTROL!$C$27, 0.0021, 0)</f>
        <v>60.602199999999996</v>
      </c>
      <c r="F581" s="17">
        <f>60.6001 * CHOOSE(CONTROL!$C$9, $D$9, 100%, $F$9) + CHOOSE(CONTROL!$C$27, 0.0021, 0)</f>
        <v>60.602199999999996</v>
      </c>
      <c r="G581" s="17">
        <f>60.8715 * CHOOSE(CONTROL!$C$9, $D$9, 100%, $F$9) + CHOOSE(CONTROL!$C$27, 0.0021, 0)</f>
        <v>60.873599999999996</v>
      </c>
      <c r="H581" s="17">
        <f>60.7368 * CHOOSE(CONTROL!$C$9, $D$9, 100%, $F$9) + CHOOSE(CONTROL!$C$27, 0.0021, 0)</f>
        <v>60.738900000000001</v>
      </c>
      <c r="I581" s="17">
        <f>60.7368 * CHOOSE(CONTROL!$C$9, $D$9, 100%, $F$9) + CHOOSE(CONTROL!$C$27, 0.0021, 0)</f>
        <v>60.738900000000001</v>
      </c>
      <c r="J581" s="17">
        <f>60.7368 * CHOOSE(CONTROL!$C$9, $D$9, 100%, $F$9) + CHOOSE(CONTROL!$C$27, 0.0021, 0)</f>
        <v>60.738900000000001</v>
      </c>
      <c r="K581" s="17">
        <f>60.7368 * CHOOSE(CONTROL!$C$9, $D$9, 100%, $F$9) + CHOOSE(CONTROL!$C$27, 0.0021, 0)</f>
        <v>60.738900000000001</v>
      </c>
      <c r="L581" s="17"/>
    </row>
    <row r="582" spans="1:12" ht="15.75" x14ac:dyDescent="0.25">
      <c r="A582" s="13">
        <v>58653</v>
      </c>
      <c r="B582" s="17">
        <f>62.351 * CHOOSE(CONTROL!$C$9, $D$9, 100%, $F$9) + CHOOSE(CONTROL!$C$27, 0.0021, 0)</f>
        <v>62.353099999999998</v>
      </c>
      <c r="C582" s="17">
        <f>61.9188 * CHOOSE(CONTROL!$C$9, $D$9, 100%, $F$9) + CHOOSE(CONTROL!$C$27, 0.0021, 0)</f>
        <v>61.920899999999996</v>
      </c>
      <c r="D582" s="17">
        <f>61.9188 * CHOOSE(CONTROL!$C$9, $D$9, 100%, $F$9) + CHOOSE(CONTROL!$C$27, 0.0021, 0)</f>
        <v>61.920899999999996</v>
      </c>
      <c r="E582" s="17">
        <f>61.7821 * CHOOSE(CONTROL!$C$9, $D$9, 100%, $F$9) + CHOOSE(CONTROL!$C$27, 0.0021, 0)</f>
        <v>61.784199999999998</v>
      </c>
      <c r="F582" s="17">
        <f>61.7821 * CHOOSE(CONTROL!$C$9, $D$9, 100%, $F$9) + CHOOSE(CONTROL!$C$27, 0.0021, 0)</f>
        <v>61.784199999999998</v>
      </c>
      <c r="G582" s="17">
        <f>62.0535 * CHOOSE(CONTROL!$C$9, $D$9, 100%, $F$9) + CHOOSE(CONTROL!$C$27, 0.0021, 0)</f>
        <v>62.055599999999998</v>
      </c>
      <c r="H582" s="17">
        <f>61.9188 * CHOOSE(CONTROL!$C$9, $D$9, 100%, $F$9) + CHOOSE(CONTROL!$C$27, 0.0021, 0)</f>
        <v>61.920899999999996</v>
      </c>
      <c r="I582" s="17">
        <f>61.9188 * CHOOSE(CONTROL!$C$9, $D$9, 100%, $F$9) + CHOOSE(CONTROL!$C$27, 0.0021, 0)</f>
        <v>61.920899999999996</v>
      </c>
      <c r="J582" s="17">
        <f>61.9188 * CHOOSE(CONTROL!$C$9, $D$9, 100%, $F$9) + CHOOSE(CONTROL!$C$27, 0.0021, 0)</f>
        <v>61.920899999999996</v>
      </c>
      <c r="K582" s="17">
        <f>61.9188 * CHOOSE(CONTROL!$C$9, $D$9, 100%, $F$9) + CHOOSE(CONTROL!$C$27, 0.0021, 0)</f>
        <v>61.920899999999996</v>
      </c>
      <c r="L582" s="17"/>
    </row>
    <row r="583" spans="1:12" ht="15.75" x14ac:dyDescent="0.25">
      <c r="A583" s="13">
        <v>58684</v>
      </c>
      <c r="B583" s="17">
        <f>62.7118 * CHOOSE(CONTROL!$C$9, $D$9, 100%, $F$9) + CHOOSE(CONTROL!$C$27, 0.0021, 0)</f>
        <v>62.713899999999995</v>
      </c>
      <c r="C583" s="17">
        <f>62.2796 * CHOOSE(CONTROL!$C$9, $D$9, 100%, $F$9) + CHOOSE(CONTROL!$C$27, 0.0021, 0)</f>
        <v>62.281700000000001</v>
      </c>
      <c r="D583" s="17">
        <f>62.2796 * CHOOSE(CONTROL!$C$9, $D$9, 100%, $F$9) + CHOOSE(CONTROL!$C$27, 0.0021, 0)</f>
        <v>62.281700000000001</v>
      </c>
      <c r="E583" s="17">
        <f>62.1429 * CHOOSE(CONTROL!$C$9, $D$9, 100%, $F$9) + CHOOSE(CONTROL!$C$27, 0.0021, 0)</f>
        <v>62.144999999999996</v>
      </c>
      <c r="F583" s="17">
        <f>62.1429 * CHOOSE(CONTROL!$C$9, $D$9, 100%, $F$9) + CHOOSE(CONTROL!$C$27, 0.0021, 0)</f>
        <v>62.144999999999996</v>
      </c>
      <c r="G583" s="17">
        <f>62.4143 * CHOOSE(CONTROL!$C$9, $D$9, 100%, $F$9) + CHOOSE(CONTROL!$C$27, 0.0021, 0)</f>
        <v>62.416399999999996</v>
      </c>
      <c r="H583" s="17">
        <f>62.2796 * CHOOSE(CONTROL!$C$9, $D$9, 100%, $F$9) + CHOOSE(CONTROL!$C$27, 0.0021, 0)</f>
        <v>62.281700000000001</v>
      </c>
      <c r="I583" s="17">
        <f>62.2796 * CHOOSE(CONTROL!$C$9, $D$9, 100%, $F$9) + CHOOSE(CONTROL!$C$27, 0.0021, 0)</f>
        <v>62.281700000000001</v>
      </c>
      <c r="J583" s="17">
        <f>62.2796 * CHOOSE(CONTROL!$C$9, $D$9, 100%, $F$9) + CHOOSE(CONTROL!$C$27, 0.0021, 0)</f>
        <v>62.281700000000001</v>
      </c>
      <c r="K583" s="17">
        <f>62.2796 * CHOOSE(CONTROL!$C$9, $D$9, 100%, $F$9) + CHOOSE(CONTROL!$C$27, 0.0021, 0)</f>
        <v>62.281700000000001</v>
      </c>
      <c r="L583" s="17"/>
    </row>
    <row r="584" spans="1:12" ht="15.75" x14ac:dyDescent="0.25">
      <c r="A584" s="13">
        <v>58714</v>
      </c>
      <c r="B584" s="17">
        <f>63.9404 * CHOOSE(CONTROL!$C$9, $D$9, 100%, $F$9) + CHOOSE(CONTROL!$C$27, 0.0021, 0)</f>
        <v>63.942499999999995</v>
      </c>
      <c r="C584" s="17">
        <f>63.5082 * CHOOSE(CONTROL!$C$9, $D$9, 100%, $F$9) + CHOOSE(CONTROL!$C$27, 0.0021, 0)</f>
        <v>63.510300000000001</v>
      </c>
      <c r="D584" s="17">
        <f>63.5082 * CHOOSE(CONTROL!$C$9, $D$9, 100%, $F$9) + CHOOSE(CONTROL!$C$27, 0.0021, 0)</f>
        <v>63.510300000000001</v>
      </c>
      <c r="E584" s="17">
        <f>63.3715 * CHOOSE(CONTROL!$C$9, $D$9, 100%, $F$9) + CHOOSE(CONTROL!$C$27, 0.0021, 0)</f>
        <v>63.373599999999996</v>
      </c>
      <c r="F584" s="17">
        <f>63.3715 * CHOOSE(CONTROL!$C$9, $D$9, 100%, $F$9) + CHOOSE(CONTROL!$C$27, 0.0021, 0)</f>
        <v>63.373599999999996</v>
      </c>
      <c r="G584" s="17">
        <f>63.6429 * CHOOSE(CONTROL!$C$9, $D$9, 100%, $F$9) + CHOOSE(CONTROL!$C$27, 0.0021, 0)</f>
        <v>63.644999999999996</v>
      </c>
      <c r="H584" s="17">
        <f>63.5082 * CHOOSE(CONTROL!$C$9, $D$9, 100%, $F$9) + CHOOSE(CONTROL!$C$27, 0.0021, 0)</f>
        <v>63.510300000000001</v>
      </c>
      <c r="I584" s="17">
        <f>63.5082 * CHOOSE(CONTROL!$C$9, $D$9, 100%, $F$9) + CHOOSE(CONTROL!$C$27, 0.0021, 0)</f>
        <v>63.510300000000001</v>
      </c>
      <c r="J584" s="17">
        <f>63.5082 * CHOOSE(CONTROL!$C$9, $D$9, 100%, $F$9) + CHOOSE(CONTROL!$C$27, 0.0021, 0)</f>
        <v>63.510300000000001</v>
      </c>
      <c r="K584" s="17">
        <f>63.5082 * CHOOSE(CONTROL!$C$9, $D$9, 100%, $F$9) + CHOOSE(CONTROL!$C$27, 0.0021, 0)</f>
        <v>63.510300000000001</v>
      </c>
      <c r="L584" s="17"/>
    </row>
    <row r="585" spans="1:12" ht="15.75" x14ac:dyDescent="0.25">
      <c r="A585" s="13">
        <v>58745</v>
      </c>
      <c r="B585" s="17">
        <f>65.4957 * CHOOSE(CONTROL!$C$9, $D$9, 100%, $F$9) + CHOOSE(CONTROL!$C$27, 0.0021, 0)</f>
        <v>65.497799999999998</v>
      </c>
      <c r="C585" s="17">
        <f>65.0634 * CHOOSE(CONTROL!$C$9, $D$9, 100%, $F$9) + CHOOSE(CONTROL!$C$27, 0.0021, 0)</f>
        <v>65.0655</v>
      </c>
      <c r="D585" s="17">
        <f>65.0634 * CHOOSE(CONTROL!$C$9, $D$9, 100%, $F$9) + CHOOSE(CONTROL!$C$27, 0.0021, 0)</f>
        <v>65.0655</v>
      </c>
      <c r="E585" s="17">
        <f>64.9268 * CHOOSE(CONTROL!$C$9, $D$9, 100%, $F$9) + CHOOSE(CONTROL!$C$27, 0.0021, 0)</f>
        <v>64.928899999999999</v>
      </c>
      <c r="F585" s="17">
        <f>64.9268 * CHOOSE(CONTROL!$C$9, $D$9, 100%, $F$9) + CHOOSE(CONTROL!$C$27, 0.0021, 0)</f>
        <v>64.928899999999999</v>
      </c>
      <c r="G585" s="17">
        <f>65.1981 * CHOOSE(CONTROL!$C$9, $D$9, 100%, $F$9) + CHOOSE(CONTROL!$C$27, 0.0021, 0)</f>
        <v>65.200199999999995</v>
      </c>
      <c r="H585" s="17">
        <f>65.0634 * CHOOSE(CONTROL!$C$9, $D$9, 100%, $F$9) + CHOOSE(CONTROL!$C$27, 0.0021, 0)</f>
        <v>65.0655</v>
      </c>
      <c r="I585" s="17">
        <f>65.0634 * CHOOSE(CONTROL!$C$9, $D$9, 100%, $F$9) + CHOOSE(CONTROL!$C$27, 0.0021, 0)</f>
        <v>65.0655</v>
      </c>
      <c r="J585" s="17">
        <f>65.0634 * CHOOSE(CONTROL!$C$9, $D$9, 100%, $F$9) + CHOOSE(CONTROL!$C$27, 0.0021, 0)</f>
        <v>65.0655</v>
      </c>
      <c r="K585" s="17">
        <f>65.0634 * CHOOSE(CONTROL!$C$9, $D$9, 100%, $F$9) + CHOOSE(CONTROL!$C$27, 0.0021, 0)</f>
        <v>65.0655</v>
      </c>
      <c r="L585" s="17"/>
    </row>
    <row r="586" spans="1:12" ht="15.75" x14ac:dyDescent="0.25">
      <c r="A586" s="13">
        <v>58775</v>
      </c>
      <c r="B586" s="17">
        <f>65.6417 * CHOOSE(CONTROL!$C$9, $D$9, 100%, $F$9) + CHOOSE(CONTROL!$C$27, 0.0021, 0)</f>
        <v>65.643799999999999</v>
      </c>
      <c r="C586" s="17">
        <f>65.2094 * CHOOSE(CONTROL!$C$9, $D$9, 100%, $F$9) + CHOOSE(CONTROL!$C$27, 0.0021, 0)</f>
        <v>65.211500000000001</v>
      </c>
      <c r="D586" s="17">
        <f>65.2094 * CHOOSE(CONTROL!$C$9, $D$9, 100%, $F$9) + CHOOSE(CONTROL!$C$27, 0.0021, 0)</f>
        <v>65.211500000000001</v>
      </c>
      <c r="E586" s="17">
        <f>65.0728 * CHOOSE(CONTROL!$C$9, $D$9, 100%, $F$9) + CHOOSE(CONTROL!$C$27, 0.0021, 0)</f>
        <v>65.0749</v>
      </c>
      <c r="F586" s="17">
        <f>65.0728 * CHOOSE(CONTROL!$C$9, $D$9, 100%, $F$9) + CHOOSE(CONTROL!$C$27, 0.0021, 0)</f>
        <v>65.0749</v>
      </c>
      <c r="G586" s="17">
        <f>65.3441 * CHOOSE(CONTROL!$C$9, $D$9, 100%, $F$9) + CHOOSE(CONTROL!$C$27, 0.0021, 0)</f>
        <v>65.346199999999996</v>
      </c>
      <c r="H586" s="17">
        <f>65.2094 * CHOOSE(CONTROL!$C$9, $D$9, 100%, $F$9) + CHOOSE(CONTROL!$C$27, 0.0021, 0)</f>
        <v>65.211500000000001</v>
      </c>
      <c r="I586" s="17">
        <f>65.2094 * CHOOSE(CONTROL!$C$9, $D$9, 100%, $F$9) + CHOOSE(CONTROL!$C$27, 0.0021, 0)</f>
        <v>65.211500000000001</v>
      </c>
      <c r="J586" s="17">
        <f>65.2094 * CHOOSE(CONTROL!$C$9, $D$9, 100%, $F$9) + CHOOSE(CONTROL!$C$27, 0.0021, 0)</f>
        <v>65.211500000000001</v>
      </c>
      <c r="K586" s="17">
        <f>65.2094 * CHOOSE(CONTROL!$C$9, $D$9, 100%, $F$9) + CHOOSE(CONTROL!$C$27, 0.0021, 0)</f>
        <v>65.211500000000001</v>
      </c>
      <c r="L586" s="17"/>
    </row>
    <row r="587" spans="1:12" ht="15.75" x14ac:dyDescent="0.25">
      <c r="A587" s="13">
        <v>58806</v>
      </c>
      <c r="B587" s="17">
        <f>64.3995 * CHOOSE(CONTROL!$C$9, $D$9, 100%, $F$9) + CHOOSE(CONTROL!$C$27, 0.0021, 0)</f>
        <v>64.401600000000002</v>
      </c>
      <c r="C587" s="17">
        <f>63.9673 * CHOOSE(CONTROL!$C$9, $D$9, 100%, $F$9) + CHOOSE(CONTROL!$C$27, 0.0021, 0)</f>
        <v>63.9694</v>
      </c>
      <c r="D587" s="17">
        <f>63.9673 * CHOOSE(CONTROL!$C$9, $D$9, 100%, $F$9) + CHOOSE(CONTROL!$C$27, 0.0021, 0)</f>
        <v>63.9694</v>
      </c>
      <c r="E587" s="17">
        <f>63.8306 * CHOOSE(CONTROL!$C$9, $D$9, 100%, $F$9) + CHOOSE(CONTROL!$C$27, 0.0021, 0)</f>
        <v>63.832699999999996</v>
      </c>
      <c r="F587" s="17">
        <f>63.8306 * CHOOSE(CONTROL!$C$9, $D$9, 100%, $F$9) + CHOOSE(CONTROL!$C$27, 0.0021, 0)</f>
        <v>63.832699999999996</v>
      </c>
      <c r="G587" s="17">
        <f>64.102 * CHOOSE(CONTROL!$C$9, $D$9, 100%, $F$9) + CHOOSE(CONTROL!$C$27, 0.0021, 0)</f>
        <v>64.104100000000003</v>
      </c>
      <c r="H587" s="17">
        <f>63.9673 * CHOOSE(CONTROL!$C$9, $D$9, 100%, $F$9) + CHOOSE(CONTROL!$C$27, 0.0021, 0)</f>
        <v>63.9694</v>
      </c>
      <c r="I587" s="17">
        <f>63.9673 * CHOOSE(CONTROL!$C$9, $D$9, 100%, $F$9) + CHOOSE(CONTROL!$C$27, 0.0021, 0)</f>
        <v>63.9694</v>
      </c>
      <c r="J587" s="17">
        <f>63.9673 * CHOOSE(CONTROL!$C$9, $D$9, 100%, $F$9) + CHOOSE(CONTROL!$C$27, 0.0021, 0)</f>
        <v>63.9694</v>
      </c>
      <c r="K587" s="17">
        <f>63.9673 * CHOOSE(CONTROL!$C$9, $D$9, 100%, $F$9) + CHOOSE(CONTROL!$C$27, 0.0021, 0)</f>
        <v>63.9694</v>
      </c>
      <c r="L587" s="17"/>
    </row>
    <row r="588" spans="1:12" ht="15.75" x14ac:dyDescent="0.25">
      <c r="A588" s="13">
        <v>58837</v>
      </c>
      <c r="B588" s="17">
        <f>63.6144 * CHOOSE(CONTROL!$C$9, $D$9, 100%, $F$9) + CHOOSE(CONTROL!$C$27, 0.0021, 0)</f>
        <v>63.616500000000002</v>
      </c>
      <c r="C588" s="17">
        <f>63.1822 * CHOOSE(CONTROL!$C$9, $D$9, 100%, $F$9) + CHOOSE(CONTROL!$C$27, 0.0021, 0)</f>
        <v>63.1843</v>
      </c>
      <c r="D588" s="17">
        <f>63.1822 * CHOOSE(CONTROL!$C$9, $D$9, 100%, $F$9) + CHOOSE(CONTROL!$C$27, 0.0021, 0)</f>
        <v>63.1843</v>
      </c>
      <c r="E588" s="17">
        <f>63.0455 * CHOOSE(CONTROL!$C$9, $D$9, 100%, $F$9) + CHOOSE(CONTROL!$C$27, 0.0021, 0)</f>
        <v>63.047599999999996</v>
      </c>
      <c r="F588" s="17">
        <f>63.0455 * CHOOSE(CONTROL!$C$9, $D$9, 100%, $F$9) + CHOOSE(CONTROL!$C$27, 0.0021, 0)</f>
        <v>63.047599999999996</v>
      </c>
      <c r="G588" s="17">
        <f>63.3169 * CHOOSE(CONTROL!$C$9, $D$9, 100%, $F$9) + CHOOSE(CONTROL!$C$27, 0.0021, 0)</f>
        <v>63.318999999999996</v>
      </c>
      <c r="H588" s="17">
        <f>63.1822 * CHOOSE(CONTROL!$C$9, $D$9, 100%, $F$9) + CHOOSE(CONTROL!$C$27, 0.0021, 0)</f>
        <v>63.1843</v>
      </c>
      <c r="I588" s="17">
        <f>63.1822 * CHOOSE(CONTROL!$C$9, $D$9, 100%, $F$9) + CHOOSE(CONTROL!$C$27, 0.0021, 0)</f>
        <v>63.1843</v>
      </c>
      <c r="J588" s="17">
        <f>63.1822 * CHOOSE(CONTROL!$C$9, $D$9, 100%, $F$9) + CHOOSE(CONTROL!$C$27, 0.0021, 0)</f>
        <v>63.1843</v>
      </c>
      <c r="K588" s="17">
        <f>63.1822 * CHOOSE(CONTROL!$C$9, $D$9, 100%, $F$9) + CHOOSE(CONTROL!$C$27, 0.0021, 0)</f>
        <v>63.1843</v>
      </c>
      <c r="L588" s="17"/>
    </row>
    <row r="589" spans="1:12" ht="15.75" x14ac:dyDescent="0.25">
      <c r="A589" s="13">
        <v>58865</v>
      </c>
      <c r="B589" s="17">
        <f>61.8799 * CHOOSE(CONTROL!$C$9, $D$9, 100%, $F$9) + CHOOSE(CONTROL!$C$27, 0.0021, 0)</f>
        <v>61.881999999999998</v>
      </c>
      <c r="C589" s="17">
        <f>61.4477 * CHOOSE(CONTROL!$C$9, $D$9, 100%, $F$9) + CHOOSE(CONTROL!$C$27, 0.0021, 0)</f>
        <v>61.449799999999996</v>
      </c>
      <c r="D589" s="17">
        <f>61.4477 * CHOOSE(CONTROL!$C$9, $D$9, 100%, $F$9) + CHOOSE(CONTROL!$C$27, 0.0021, 0)</f>
        <v>61.449799999999996</v>
      </c>
      <c r="E589" s="17">
        <f>61.311 * CHOOSE(CONTROL!$C$9, $D$9, 100%, $F$9) + CHOOSE(CONTROL!$C$27, 0.0021, 0)</f>
        <v>61.313099999999999</v>
      </c>
      <c r="F589" s="17">
        <f>61.311 * CHOOSE(CONTROL!$C$9, $D$9, 100%, $F$9) + CHOOSE(CONTROL!$C$27, 0.0021, 0)</f>
        <v>61.313099999999999</v>
      </c>
      <c r="G589" s="17">
        <f>61.5824 * CHOOSE(CONTROL!$C$9, $D$9, 100%, $F$9) + CHOOSE(CONTROL!$C$27, 0.0021, 0)</f>
        <v>61.584499999999998</v>
      </c>
      <c r="H589" s="17">
        <f>61.4477 * CHOOSE(CONTROL!$C$9, $D$9, 100%, $F$9) + CHOOSE(CONTROL!$C$27, 0.0021, 0)</f>
        <v>61.449799999999996</v>
      </c>
      <c r="I589" s="17">
        <f>61.4477 * CHOOSE(CONTROL!$C$9, $D$9, 100%, $F$9) + CHOOSE(CONTROL!$C$27, 0.0021, 0)</f>
        <v>61.449799999999996</v>
      </c>
      <c r="J589" s="17">
        <f>61.4477 * CHOOSE(CONTROL!$C$9, $D$9, 100%, $F$9) + CHOOSE(CONTROL!$C$27, 0.0021, 0)</f>
        <v>61.449799999999996</v>
      </c>
      <c r="K589" s="17">
        <f>61.4477 * CHOOSE(CONTROL!$C$9, $D$9, 100%, $F$9) + CHOOSE(CONTROL!$C$27, 0.0021, 0)</f>
        <v>61.449799999999996</v>
      </c>
      <c r="L589" s="17"/>
    </row>
    <row r="590" spans="1:12" ht="15.75" x14ac:dyDescent="0.25">
      <c r="A590" s="13">
        <v>58893</v>
      </c>
      <c r="B590" s="17">
        <f>61.1639 * CHOOSE(CONTROL!$C$9, $D$9, 100%, $F$9) + CHOOSE(CONTROL!$C$27, 0.0021, 0)</f>
        <v>61.165999999999997</v>
      </c>
      <c r="C590" s="17">
        <f>60.7317 * CHOOSE(CONTROL!$C$9, $D$9, 100%, $F$9) + CHOOSE(CONTROL!$C$27, 0.0021, 0)</f>
        <v>60.733799999999995</v>
      </c>
      <c r="D590" s="17">
        <f>60.7317 * CHOOSE(CONTROL!$C$9, $D$9, 100%, $F$9) + CHOOSE(CONTROL!$C$27, 0.0021, 0)</f>
        <v>60.733799999999995</v>
      </c>
      <c r="E590" s="17">
        <f>60.595 * CHOOSE(CONTROL!$C$9, $D$9, 100%, $F$9) + CHOOSE(CONTROL!$C$27, 0.0021, 0)</f>
        <v>60.597099999999998</v>
      </c>
      <c r="F590" s="17">
        <f>60.595 * CHOOSE(CONTROL!$C$9, $D$9, 100%, $F$9) + CHOOSE(CONTROL!$C$27, 0.0021, 0)</f>
        <v>60.597099999999998</v>
      </c>
      <c r="G590" s="17">
        <f>60.8664 * CHOOSE(CONTROL!$C$9, $D$9, 100%, $F$9) + CHOOSE(CONTROL!$C$27, 0.0021, 0)</f>
        <v>60.868499999999997</v>
      </c>
      <c r="H590" s="17">
        <f>60.7317 * CHOOSE(CONTROL!$C$9, $D$9, 100%, $F$9) + CHOOSE(CONTROL!$C$27, 0.0021, 0)</f>
        <v>60.733799999999995</v>
      </c>
      <c r="I590" s="17">
        <f>60.7317 * CHOOSE(CONTROL!$C$9, $D$9, 100%, $F$9) + CHOOSE(CONTROL!$C$27, 0.0021, 0)</f>
        <v>60.733799999999995</v>
      </c>
      <c r="J590" s="17">
        <f>60.7317 * CHOOSE(CONTROL!$C$9, $D$9, 100%, $F$9) + CHOOSE(CONTROL!$C$27, 0.0021, 0)</f>
        <v>60.733799999999995</v>
      </c>
      <c r="K590" s="17">
        <f>60.7317 * CHOOSE(CONTROL!$C$9, $D$9, 100%, $F$9) + CHOOSE(CONTROL!$C$27, 0.0021, 0)</f>
        <v>60.733799999999995</v>
      </c>
      <c r="L590" s="17"/>
    </row>
    <row r="591" spans="1:12" ht="15.75" x14ac:dyDescent="0.25">
      <c r="A591" s="13">
        <v>58926</v>
      </c>
      <c r="B591" s="17">
        <f>60.309 * CHOOSE(CONTROL!$C$9, $D$9, 100%, $F$9) + CHOOSE(CONTROL!$C$27, 0.0021, 0)</f>
        <v>60.311099999999996</v>
      </c>
      <c r="C591" s="17">
        <f>59.8767 * CHOOSE(CONTROL!$C$9, $D$9, 100%, $F$9) + CHOOSE(CONTROL!$C$27, 0.0021, 0)</f>
        <v>59.878799999999998</v>
      </c>
      <c r="D591" s="17">
        <f>59.8767 * CHOOSE(CONTROL!$C$9, $D$9, 100%, $F$9) + CHOOSE(CONTROL!$C$27, 0.0021, 0)</f>
        <v>59.878799999999998</v>
      </c>
      <c r="E591" s="17">
        <f>59.7401 * CHOOSE(CONTROL!$C$9, $D$9, 100%, $F$9) + CHOOSE(CONTROL!$C$27, 0.0021, 0)</f>
        <v>59.742199999999997</v>
      </c>
      <c r="F591" s="17">
        <f>59.7401 * CHOOSE(CONTROL!$C$9, $D$9, 100%, $F$9) + CHOOSE(CONTROL!$C$27, 0.0021, 0)</f>
        <v>59.742199999999997</v>
      </c>
      <c r="G591" s="17">
        <f>60.0115 * CHOOSE(CONTROL!$C$9, $D$9, 100%, $F$9) + CHOOSE(CONTROL!$C$27, 0.0021, 0)</f>
        <v>60.013599999999997</v>
      </c>
      <c r="H591" s="17">
        <f>59.8767 * CHOOSE(CONTROL!$C$9, $D$9, 100%, $F$9) + CHOOSE(CONTROL!$C$27, 0.0021, 0)</f>
        <v>59.878799999999998</v>
      </c>
      <c r="I591" s="17">
        <f>59.8767 * CHOOSE(CONTROL!$C$9, $D$9, 100%, $F$9) + CHOOSE(CONTROL!$C$27, 0.0021, 0)</f>
        <v>59.878799999999998</v>
      </c>
      <c r="J591" s="17">
        <f>59.8767 * CHOOSE(CONTROL!$C$9, $D$9, 100%, $F$9) + CHOOSE(CONTROL!$C$27, 0.0021, 0)</f>
        <v>59.878799999999998</v>
      </c>
      <c r="K591" s="17">
        <f>59.8767 * CHOOSE(CONTROL!$C$9, $D$9, 100%, $F$9) + CHOOSE(CONTROL!$C$27, 0.0021, 0)</f>
        <v>59.878799999999998</v>
      </c>
      <c r="L591" s="17"/>
    </row>
    <row r="592" spans="1:12" ht="15.75" x14ac:dyDescent="0.25">
      <c r="A592" s="13">
        <v>58957</v>
      </c>
      <c r="B592" s="17">
        <f>61.5274 * CHOOSE(CONTROL!$C$9, $D$9, 100%, $F$9) + CHOOSE(CONTROL!$C$27, 0.0021, 0)</f>
        <v>61.529499999999999</v>
      </c>
      <c r="C592" s="17">
        <f>61.0951 * CHOOSE(CONTROL!$C$9, $D$9, 100%, $F$9) + CHOOSE(CONTROL!$C$27, 0.0021, 0)</f>
        <v>61.097200000000001</v>
      </c>
      <c r="D592" s="17">
        <f>61.0951 * CHOOSE(CONTROL!$C$9, $D$9, 100%, $F$9) + CHOOSE(CONTROL!$C$27, 0.0021, 0)</f>
        <v>61.097200000000001</v>
      </c>
      <c r="E592" s="17">
        <f>60.9585 * CHOOSE(CONTROL!$C$9, $D$9, 100%, $F$9) + CHOOSE(CONTROL!$C$27, 0.0021, 0)</f>
        <v>60.960599999999999</v>
      </c>
      <c r="F592" s="17">
        <f>60.9585 * CHOOSE(CONTROL!$C$9, $D$9, 100%, $F$9) + CHOOSE(CONTROL!$C$27, 0.0021, 0)</f>
        <v>60.960599999999999</v>
      </c>
      <c r="G592" s="17">
        <f>61.2298 * CHOOSE(CONTROL!$C$9, $D$9, 100%, $F$9) + CHOOSE(CONTROL!$C$27, 0.0021, 0)</f>
        <v>61.231899999999996</v>
      </c>
      <c r="H592" s="17">
        <f>61.0951 * CHOOSE(CONTROL!$C$9, $D$9, 100%, $F$9) + CHOOSE(CONTROL!$C$27, 0.0021, 0)</f>
        <v>61.097200000000001</v>
      </c>
      <c r="I592" s="17">
        <f>61.0951 * CHOOSE(CONTROL!$C$9, $D$9, 100%, $F$9) + CHOOSE(CONTROL!$C$27, 0.0021, 0)</f>
        <v>61.097200000000001</v>
      </c>
      <c r="J592" s="17">
        <f>61.0951 * CHOOSE(CONTROL!$C$9, $D$9, 100%, $F$9) + CHOOSE(CONTROL!$C$27, 0.0021, 0)</f>
        <v>61.097200000000001</v>
      </c>
      <c r="K592" s="17">
        <f>61.0951 * CHOOSE(CONTROL!$C$9, $D$9, 100%, $F$9) + CHOOSE(CONTROL!$C$27, 0.0021, 0)</f>
        <v>61.097200000000001</v>
      </c>
      <c r="L592" s="17"/>
    </row>
    <row r="593" spans="1:12" ht="15.75" x14ac:dyDescent="0.25">
      <c r="A593" s="13">
        <v>58987</v>
      </c>
      <c r="B593" s="17">
        <f>62.2571 * CHOOSE(CONTROL!$C$9, $D$9, 100%, $F$9) + CHOOSE(CONTROL!$C$27, 0.0021, 0)</f>
        <v>62.2592</v>
      </c>
      <c r="C593" s="17">
        <f>61.8249 * CHOOSE(CONTROL!$C$9, $D$9, 100%, $F$9) + CHOOSE(CONTROL!$C$27, 0.0021, 0)</f>
        <v>61.826999999999998</v>
      </c>
      <c r="D593" s="17">
        <f>61.8249 * CHOOSE(CONTROL!$C$9, $D$9, 100%, $F$9) + CHOOSE(CONTROL!$C$27, 0.0021, 0)</f>
        <v>61.826999999999998</v>
      </c>
      <c r="E593" s="17">
        <f>61.6882 * CHOOSE(CONTROL!$C$9, $D$9, 100%, $F$9) + CHOOSE(CONTROL!$C$27, 0.0021, 0)</f>
        <v>61.690300000000001</v>
      </c>
      <c r="F593" s="17">
        <f>61.6882 * CHOOSE(CONTROL!$C$9, $D$9, 100%, $F$9) + CHOOSE(CONTROL!$C$27, 0.0021, 0)</f>
        <v>61.690300000000001</v>
      </c>
      <c r="G593" s="17">
        <f>61.9596 * CHOOSE(CONTROL!$C$9, $D$9, 100%, $F$9) + CHOOSE(CONTROL!$C$27, 0.0021, 0)</f>
        <v>61.9617</v>
      </c>
      <c r="H593" s="17">
        <f>61.8249 * CHOOSE(CONTROL!$C$9, $D$9, 100%, $F$9) + CHOOSE(CONTROL!$C$27, 0.0021, 0)</f>
        <v>61.826999999999998</v>
      </c>
      <c r="I593" s="17">
        <f>61.8249 * CHOOSE(CONTROL!$C$9, $D$9, 100%, $F$9) + CHOOSE(CONTROL!$C$27, 0.0021, 0)</f>
        <v>61.826999999999998</v>
      </c>
      <c r="J593" s="17">
        <f>61.8249 * CHOOSE(CONTROL!$C$9, $D$9, 100%, $F$9) + CHOOSE(CONTROL!$C$27, 0.0021, 0)</f>
        <v>61.826999999999998</v>
      </c>
      <c r="K593" s="17">
        <f>61.8249 * CHOOSE(CONTROL!$C$9, $D$9, 100%, $F$9) + CHOOSE(CONTROL!$C$27, 0.0021, 0)</f>
        <v>61.826999999999998</v>
      </c>
      <c r="L593" s="17"/>
    </row>
    <row r="594" spans="1:12" ht="15.75" x14ac:dyDescent="0.25">
      <c r="A594" s="13">
        <v>59018</v>
      </c>
      <c r="B594" s="17">
        <f>63.4609 * CHOOSE(CONTROL!$C$9, $D$9, 100%, $F$9) + CHOOSE(CONTROL!$C$27, 0.0021, 0)</f>
        <v>63.463000000000001</v>
      </c>
      <c r="C594" s="17">
        <f>63.0287 * CHOOSE(CONTROL!$C$9, $D$9, 100%, $F$9) + CHOOSE(CONTROL!$C$27, 0.0021, 0)</f>
        <v>63.030799999999999</v>
      </c>
      <c r="D594" s="17">
        <f>63.0287 * CHOOSE(CONTROL!$C$9, $D$9, 100%, $F$9) + CHOOSE(CONTROL!$C$27, 0.0021, 0)</f>
        <v>63.030799999999999</v>
      </c>
      <c r="E594" s="17">
        <f>62.892 * CHOOSE(CONTROL!$C$9, $D$9, 100%, $F$9) + CHOOSE(CONTROL!$C$27, 0.0021, 0)</f>
        <v>62.894100000000002</v>
      </c>
      <c r="F594" s="17">
        <f>62.892 * CHOOSE(CONTROL!$C$9, $D$9, 100%, $F$9) + CHOOSE(CONTROL!$C$27, 0.0021, 0)</f>
        <v>62.894100000000002</v>
      </c>
      <c r="G594" s="17">
        <f>63.1634 * CHOOSE(CONTROL!$C$9, $D$9, 100%, $F$9) + CHOOSE(CONTROL!$C$27, 0.0021, 0)</f>
        <v>63.165500000000002</v>
      </c>
      <c r="H594" s="17">
        <f>63.0287 * CHOOSE(CONTROL!$C$9, $D$9, 100%, $F$9) + CHOOSE(CONTROL!$C$27, 0.0021, 0)</f>
        <v>63.030799999999999</v>
      </c>
      <c r="I594" s="17">
        <f>63.0287 * CHOOSE(CONTROL!$C$9, $D$9, 100%, $F$9) + CHOOSE(CONTROL!$C$27, 0.0021, 0)</f>
        <v>63.030799999999999</v>
      </c>
      <c r="J594" s="17">
        <f>63.0287 * CHOOSE(CONTROL!$C$9, $D$9, 100%, $F$9) + CHOOSE(CONTROL!$C$27, 0.0021, 0)</f>
        <v>63.030799999999999</v>
      </c>
      <c r="K594" s="17">
        <f>63.0287 * CHOOSE(CONTROL!$C$9, $D$9, 100%, $F$9) + CHOOSE(CONTROL!$C$27, 0.0021, 0)</f>
        <v>63.030799999999999</v>
      </c>
      <c r="L594" s="17"/>
    </row>
    <row r="595" spans="1:12" ht="15.75" x14ac:dyDescent="0.25">
      <c r="A595" s="13">
        <v>59049</v>
      </c>
      <c r="B595" s="17">
        <f>63.8284 * CHOOSE(CONTROL!$C$9, $D$9, 100%, $F$9) + CHOOSE(CONTROL!$C$27, 0.0021, 0)</f>
        <v>63.830500000000001</v>
      </c>
      <c r="C595" s="17">
        <f>63.3961 * CHOOSE(CONTROL!$C$9, $D$9, 100%, $F$9) + CHOOSE(CONTROL!$C$27, 0.0021, 0)</f>
        <v>63.398199999999996</v>
      </c>
      <c r="D595" s="17">
        <f>63.3961 * CHOOSE(CONTROL!$C$9, $D$9, 100%, $F$9) + CHOOSE(CONTROL!$C$27, 0.0021, 0)</f>
        <v>63.398199999999996</v>
      </c>
      <c r="E595" s="17">
        <f>63.2595 * CHOOSE(CONTROL!$C$9, $D$9, 100%, $F$9) + CHOOSE(CONTROL!$C$27, 0.0021, 0)</f>
        <v>63.261600000000001</v>
      </c>
      <c r="F595" s="17">
        <f>63.2595 * CHOOSE(CONTROL!$C$9, $D$9, 100%, $F$9) + CHOOSE(CONTROL!$C$27, 0.0021, 0)</f>
        <v>63.261600000000001</v>
      </c>
      <c r="G595" s="17">
        <f>63.5309 * CHOOSE(CONTROL!$C$9, $D$9, 100%, $F$9) + CHOOSE(CONTROL!$C$27, 0.0021, 0)</f>
        <v>63.533000000000001</v>
      </c>
      <c r="H595" s="17">
        <f>63.3961 * CHOOSE(CONTROL!$C$9, $D$9, 100%, $F$9) + CHOOSE(CONTROL!$C$27, 0.0021, 0)</f>
        <v>63.398199999999996</v>
      </c>
      <c r="I595" s="17">
        <f>63.3961 * CHOOSE(CONTROL!$C$9, $D$9, 100%, $F$9) + CHOOSE(CONTROL!$C$27, 0.0021, 0)</f>
        <v>63.398199999999996</v>
      </c>
      <c r="J595" s="17">
        <f>63.3961 * CHOOSE(CONTROL!$C$9, $D$9, 100%, $F$9) + CHOOSE(CONTROL!$C$27, 0.0021, 0)</f>
        <v>63.398199999999996</v>
      </c>
      <c r="K595" s="17">
        <f>63.3961 * CHOOSE(CONTROL!$C$9, $D$9, 100%, $F$9) + CHOOSE(CONTROL!$C$27, 0.0021, 0)</f>
        <v>63.398199999999996</v>
      </c>
      <c r="L595" s="17"/>
    </row>
    <row r="596" spans="1:12" ht="15.75" x14ac:dyDescent="0.25">
      <c r="A596" s="13">
        <v>59079</v>
      </c>
      <c r="B596" s="17">
        <f>65.0797 * CHOOSE(CONTROL!$C$9, $D$9, 100%, $F$9) + CHOOSE(CONTROL!$C$27, 0.0021, 0)</f>
        <v>65.081800000000001</v>
      </c>
      <c r="C596" s="17">
        <f>64.6475 * CHOOSE(CONTROL!$C$9, $D$9, 100%, $F$9) + CHOOSE(CONTROL!$C$27, 0.0021, 0)</f>
        <v>64.649599999999992</v>
      </c>
      <c r="D596" s="17">
        <f>64.6475 * CHOOSE(CONTROL!$C$9, $D$9, 100%, $F$9) + CHOOSE(CONTROL!$C$27, 0.0021, 0)</f>
        <v>64.649599999999992</v>
      </c>
      <c r="E596" s="17">
        <f>64.5108 * CHOOSE(CONTROL!$C$9, $D$9, 100%, $F$9) + CHOOSE(CONTROL!$C$27, 0.0021, 0)</f>
        <v>64.512900000000002</v>
      </c>
      <c r="F596" s="17">
        <f>64.5108 * CHOOSE(CONTROL!$C$9, $D$9, 100%, $F$9) + CHOOSE(CONTROL!$C$27, 0.0021, 0)</f>
        <v>64.512900000000002</v>
      </c>
      <c r="G596" s="17">
        <f>64.7822 * CHOOSE(CONTROL!$C$9, $D$9, 100%, $F$9) + CHOOSE(CONTROL!$C$27, 0.0021, 0)</f>
        <v>64.784300000000002</v>
      </c>
      <c r="H596" s="17">
        <f>64.6475 * CHOOSE(CONTROL!$C$9, $D$9, 100%, $F$9) + CHOOSE(CONTROL!$C$27, 0.0021, 0)</f>
        <v>64.649599999999992</v>
      </c>
      <c r="I596" s="17">
        <f>64.6475 * CHOOSE(CONTROL!$C$9, $D$9, 100%, $F$9) + CHOOSE(CONTROL!$C$27, 0.0021, 0)</f>
        <v>64.649599999999992</v>
      </c>
      <c r="J596" s="17">
        <f>64.6475 * CHOOSE(CONTROL!$C$9, $D$9, 100%, $F$9) + CHOOSE(CONTROL!$C$27, 0.0021, 0)</f>
        <v>64.649599999999992</v>
      </c>
      <c r="K596" s="17">
        <f>64.6475 * CHOOSE(CONTROL!$C$9, $D$9, 100%, $F$9) + CHOOSE(CONTROL!$C$27, 0.0021, 0)</f>
        <v>64.649599999999992</v>
      </c>
      <c r="L596" s="17"/>
    </row>
    <row r="597" spans="1:12" ht="15.75" x14ac:dyDescent="0.25">
      <c r="A597" s="13">
        <v>59110</v>
      </c>
      <c r="B597" s="17">
        <f>66.6637 * CHOOSE(CONTROL!$C$9, $D$9, 100%, $F$9) + CHOOSE(CONTROL!$C$27, 0.0021, 0)</f>
        <v>66.665800000000004</v>
      </c>
      <c r="C597" s="17">
        <f>66.2315 * CHOOSE(CONTROL!$C$9, $D$9, 100%, $F$9) + CHOOSE(CONTROL!$C$27, 0.0021, 0)</f>
        <v>66.233599999999996</v>
      </c>
      <c r="D597" s="17">
        <f>66.2315 * CHOOSE(CONTROL!$C$9, $D$9, 100%, $F$9) + CHOOSE(CONTROL!$C$27, 0.0021, 0)</f>
        <v>66.233599999999996</v>
      </c>
      <c r="E597" s="17">
        <f>66.0948 * CHOOSE(CONTROL!$C$9, $D$9, 100%, $F$9) + CHOOSE(CONTROL!$C$27, 0.0021, 0)</f>
        <v>66.096900000000005</v>
      </c>
      <c r="F597" s="17">
        <f>66.0948 * CHOOSE(CONTROL!$C$9, $D$9, 100%, $F$9) + CHOOSE(CONTROL!$C$27, 0.0021, 0)</f>
        <v>66.096900000000005</v>
      </c>
      <c r="G597" s="17">
        <f>66.3662 * CHOOSE(CONTROL!$C$9, $D$9, 100%, $F$9) + CHOOSE(CONTROL!$C$27, 0.0021, 0)</f>
        <v>66.368300000000005</v>
      </c>
      <c r="H597" s="17">
        <f>66.2315 * CHOOSE(CONTROL!$C$9, $D$9, 100%, $F$9) + CHOOSE(CONTROL!$C$27, 0.0021, 0)</f>
        <v>66.233599999999996</v>
      </c>
      <c r="I597" s="17">
        <f>66.2315 * CHOOSE(CONTROL!$C$9, $D$9, 100%, $F$9) + CHOOSE(CONTROL!$C$27, 0.0021, 0)</f>
        <v>66.233599999999996</v>
      </c>
      <c r="J597" s="17">
        <f>66.2315 * CHOOSE(CONTROL!$C$9, $D$9, 100%, $F$9) + CHOOSE(CONTROL!$C$27, 0.0021, 0)</f>
        <v>66.233599999999996</v>
      </c>
      <c r="K597" s="17">
        <f>66.2315 * CHOOSE(CONTROL!$C$9, $D$9, 100%, $F$9) + CHOOSE(CONTROL!$C$27, 0.0021, 0)</f>
        <v>66.233599999999996</v>
      </c>
      <c r="L597" s="17"/>
    </row>
    <row r="598" spans="1:12" ht="15.75" x14ac:dyDescent="0.25">
      <c r="A598" s="13">
        <v>59140</v>
      </c>
      <c r="B598" s="17">
        <f>66.8124 * CHOOSE(CONTROL!$C$9, $D$9, 100%, $F$9) + CHOOSE(CONTROL!$C$27, 0.0021, 0)</f>
        <v>66.814499999999995</v>
      </c>
      <c r="C598" s="17">
        <f>66.3802 * CHOOSE(CONTROL!$C$9, $D$9, 100%, $F$9) + CHOOSE(CONTROL!$C$27, 0.0021, 0)</f>
        <v>66.382300000000001</v>
      </c>
      <c r="D598" s="17">
        <f>66.3802 * CHOOSE(CONTROL!$C$9, $D$9, 100%, $F$9) + CHOOSE(CONTROL!$C$27, 0.0021, 0)</f>
        <v>66.382300000000001</v>
      </c>
      <c r="E598" s="17">
        <f>66.2435 * CHOOSE(CONTROL!$C$9, $D$9, 100%, $F$9) + CHOOSE(CONTROL!$C$27, 0.0021, 0)</f>
        <v>66.245599999999996</v>
      </c>
      <c r="F598" s="17">
        <f>66.2435 * CHOOSE(CONTROL!$C$9, $D$9, 100%, $F$9) + CHOOSE(CONTROL!$C$27, 0.0021, 0)</f>
        <v>66.245599999999996</v>
      </c>
      <c r="G598" s="17">
        <f>66.5149 * CHOOSE(CONTROL!$C$9, $D$9, 100%, $F$9) + CHOOSE(CONTROL!$C$27, 0.0021, 0)</f>
        <v>66.516999999999996</v>
      </c>
      <c r="H598" s="17">
        <f>66.3802 * CHOOSE(CONTROL!$C$9, $D$9, 100%, $F$9) + CHOOSE(CONTROL!$C$27, 0.0021, 0)</f>
        <v>66.382300000000001</v>
      </c>
      <c r="I598" s="17">
        <f>66.3802 * CHOOSE(CONTROL!$C$9, $D$9, 100%, $F$9) + CHOOSE(CONTROL!$C$27, 0.0021, 0)</f>
        <v>66.382300000000001</v>
      </c>
      <c r="J598" s="17">
        <f>66.3802 * CHOOSE(CONTROL!$C$9, $D$9, 100%, $F$9) + CHOOSE(CONTROL!$C$27, 0.0021, 0)</f>
        <v>66.382300000000001</v>
      </c>
      <c r="K598" s="17">
        <f>66.3802 * CHOOSE(CONTROL!$C$9, $D$9, 100%, $F$9) + CHOOSE(CONTROL!$C$27, 0.0021, 0)</f>
        <v>66.382300000000001</v>
      </c>
      <c r="L598" s="17"/>
    </row>
    <row r="599" spans="1:12" ht="15.75" x14ac:dyDescent="0.25">
      <c r="A599" s="13">
        <v>59171</v>
      </c>
      <c r="B599" s="17">
        <f>65.5473 * CHOOSE(CONTROL!$C$9, $D$9, 100%, $F$9) + CHOOSE(CONTROL!$C$27, 0.0021, 0)</f>
        <v>65.549400000000006</v>
      </c>
      <c r="C599" s="17">
        <f>65.1151 * CHOOSE(CONTROL!$C$9, $D$9, 100%, $F$9) + CHOOSE(CONTROL!$C$27, 0.0021, 0)</f>
        <v>65.117199999999997</v>
      </c>
      <c r="D599" s="17">
        <f>65.1151 * CHOOSE(CONTROL!$C$9, $D$9, 100%, $F$9) + CHOOSE(CONTROL!$C$27, 0.0021, 0)</f>
        <v>65.117199999999997</v>
      </c>
      <c r="E599" s="17">
        <f>64.9784 * CHOOSE(CONTROL!$C$9, $D$9, 100%, $F$9) + CHOOSE(CONTROL!$C$27, 0.0021, 0)</f>
        <v>64.980499999999992</v>
      </c>
      <c r="F599" s="17">
        <f>64.9784 * CHOOSE(CONTROL!$C$9, $D$9, 100%, $F$9) + CHOOSE(CONTROL!$C$27, 0.0021, 0)</f>
        <v>64.980499999999992</v>
      </c>
      <c r="G599" s="17">
        <f>65.2498 * CHOOSE(CONTROL!$C$9, $D$9, 100%, $F$9) + CHOOSE(CONTROL!$C$27, 0.0021, 0)</f>
        <v>65.251899999999992</v>
      </c>
      <c r="H599" s="17">
        <f>65.1151 * CHOOSE(CONTROL!$C$9, $D$9, 100%, $F$9) + CHOOSE(CONTROL!$C$27, 0.0021, 0)</f>
        <v>65.117199999999997</v>
      </c>
      <c r="I599" s="17">
        <f>65.1151 * CHOOSE(CONTROL!$C$9, $D$9, 100%, $F$9) + CHOOSE(CONTROL!$C$27, 0.0021, 0)</f>
        <v>65.117199999999997</v>
      </c>
      <c r="J599" s="17">
        <f>65.1151 * CHOOSE(CONTROL!$C$9, $D$9, 100%, $F$9) + CHOOSE(CONTROL!$C$27, 0.0021, 0)</f>
        <v>65.117199999999997</v>
      </c>
      <c r="K599" s="17">
        <f>65.1151 * CHOOSE(CONTROL!$C$9, $D$9, 100%, $F$9) + CHOOSE(CONTROL!$C$27, 0.0021, 0)</f>
        <v>65.117199999999997</v>
      </c>
      <c r="L599" s="17"/>
    </row>
    <row r="600" spans="1:12" ht="15" x14ac:dyDescent="0.2">
      <c r="A600" s="12"/>
      <c r="B600" s="17"/>
      <c r="C600" s="17"/>
      <c r="D600" s="17"/>
      <c r="E600" s="17"/>
      <c r="F600" s="17"/>
      <c r="G600" s="17"/>
      <c r="H600" s="17"/>
      <c r="I600" s="17"/>
      <c r="L600" s="17"/>
    </row>
    <row r="601" spans="1:12" ht="15" x14ac:dyDescent="0.2">
      <c r="A601" s="11">
        <v>2013</v>
      </c>
      <c r="B601" s="17">
        <f>AVERAGE(B12:B23)</f>
        <v>23.913343867924524</v>
      </c>
      <c r="C601" s="17">
        <f>AVERAGE(C12:C23)</f>
        <v>23.481098284734131</v>
      </c>
      <c r="D601" s="17"/>
      <c r="E601" s="17">
        <f t="shared" ref="E601:K601" si="0">AVERAGE(E12:E23)</f>
        <v>23.344426743853631</v>
      </c>
      <c r="F601" s="17">
        <f t="shared" si="0"/>
        <v>23.344426743853631</v>
      </c>
      <c r="G601" s="17">
        <f t="shared" si="0"/>
        <v>23.615808033161802</v>
      </c>
      <c r="H601" s="17">
        <f t="shared" si="0"/>
        <v>23.481098284734131</v>
      </c>
      <c r="I601" s="17">
        <f t="shared" si="0"/>
        <v>23.481098284734131</v>
      </c>
      <c r="J601" s="17">
        <f t="shared" si="0"/>
        <v>23.120897798742138</v>
      </c>
      <c r="K601" s="17">
        <f t="shared" si="0"/>
        <v>23.481098284734131</v>
      </c>
      <c r="L601" s="17"/>
    </row>
    <row r="602" spans="1:12" ht="15" x14ac:dyDescent="0.2">
      <c r="A602" s="11">
        <v>2014</v>
      </c>
      <c r="B602" s="17">
        <f>AVERAGE(B24:B35)</f>
        <v>23.223024999999996</v>
      </c>
      <c r="C602" s="17">
        <f>AVERAGE(C24:C35)</f>
        <v>22.790749999999999</v>
      </c>
      <c r="D602" s="17"/>
      <c r="E602" s="17">
        <f t="shared" ref="E602:K602" si="1">AVERAGE(E24:E35)</f>
        <v>22.65409166666667</v>
      </c>
      <c r="F602" s="17">
        <f t="shared" si="1"/>
        <v>22.65409166666667</v>
      </c>
      <c r="G602" s="17">
        <f t="shared" si="1"/>
        <v>22.925466666666665</v>
      </c>
      <c r="H602" s="17">
        <f t="shared" si="1"/>
        <v>22.790749999999999</v>
      </c>
      <c r="I602" s="17">
        <f t="shared" si="1"/>
        <v>22.790749999999999</v>
      </c>
      <c r="J602" s="17">
        <f t="shared" si="1"/>
        <v>22.430549999999997</v>
      </c>
      <c r="K602" s="17">
        <f t="shared" si="1"/>
        <v>22.790749999999999</v>
      </c>
      <c r="L602" s="17"/>
    </row>
    <row r="603" spans="1:12" ht="15" x14ac:dyDescent="0.2">
      <c r="A603" s="11">
        <v>2015</v>
      </c>
      <c r="B603" s="17">
        <f>AVERAGE(B36:B47)</f>
        <v>22.51585833333333</v>
      </c>
      <c r="C603" s="17">
        <f>AVERAGE(C36:C47)</f>
        <v>22.083616666666668</v>
      </c>
      <c r="D603" s="17"/>
      <c r="E603" s="17">
        <f t="shared" ref="E603:K603" si="2">AVERAGE(E36:E47)</f>
        <v>21.946949999999998</v>
      </c>
      <c r="F603" s="17">
        <f t="shared" si="2"/>
        <v>21.946949999999998</v>
      </c>
      <c r="G603" s="17">
        <f t="shared" si="2"/>
        <v>22.21833333333333</v>
      </c>
      <c r="H603" s="17">
        <f t="shared" si="2"/>
        <v>22.083616666666668</v>
      </c>
      <c r="I603" s="17">
        <f t="shared" si="2"/>
        <v>22.083616666666668</v>
      </c>
      <c r="J603" s="17">
        <f t="shared" si="2"/>
        <v>22.083616666666668</v>
      </c>
      <c r="K603" s="17">
        <f t="shared" si="2"/>
        <v>22.083616666666668</v>
      </c>
      <c r="L603" s="17"/>
    </row>
    <row r="604" spans="1:12" ht="15" x14ac:dyDescent="0.2">
      <c r="A604" s="11">
        <v>2016</v>
      </c>
      <c r="B604" s="17">
        <f>AVERAGE(B48:B59)</f>
        <v>22.974149999999998</v>
      </c>
      <c r="C604" s="17">
        <f>AVERAGE(C48:C59)</f>
        <v>22.541883333333331</v>
      </c>
      <c r="D604" s="17"/>
      <c r="E604" s="17">
        <f t="shared" ref="E604:K604" si="3">AVERAGE(E48:E59)</f>
        <v>22.405249999999999</v>
      </c>
      <c r="F604" s="17">
        <f t="shared" si="3"/>
        <v>22.405249999999999</v>
      </c>
      <c r="G604" s="17">
        <f t="shared" si="3"/>
        <v>22.676633333333331</v>
      </c>
      <c r="H604" s="17">
        <f t="shared" si="3"/>
        <v>22.541883333333331</v>
      </c>
      <c r="I604" s="17">
        <f t="shared" si="3"/>
        <v>22.541883333333331</v>
      </c>
      <c r="J604" s="17">
        <f t="shared" si="3"/>
        <v>22.541883333333331</v>
      </c>
      <c r="K604" s="17">
        <f t="shared" si="3"/>
        <v>22.541883333333331</v>
      </c>
      <c r="L604" s="17"/>
    </row>
    <row r="605" spans="1:12" ht="15" x14ac:dyDescent="0.2">
      <c r="A605" s="11">
        <v>2017</v>
      </c>
      <c r="B605" s="17">
        <f>AVERAGE(B60:B71)</f>
        <v>23.469258333333332</v>
      </c>
      <c r="C605" s="17">
        <f>AVERAGE(C60:C71)</f>
        <v>23.036991666666665</v>
      </c>
      <c r="D605" s="17"/>
      <c r="E605" s="17">
        <f t="shared" ref="E605:K605" si="4">AVERAGE(E60:E71)</f>
        <v>22.90035</v>
      </c>
      <c r="F605" s="17">
        <f t="shared" si="4"/>
        <v>22.90035</v>
      </c>
      <c r="G605" s="17">
        <f t="shared" si="4"/>
        <v>23.171724999999999</v>
      </c>
      <c r="H605" s="17">
        <f t="shared" si="4"/>
        <v>23.036991666666665</v>
      </c>
      <c r="I605" s="17">
        <f t="shared" si="4"/>
        <v>23.036991666666665</v>
      </c>
      <c r="J605" s="17">
        <f t="shared" si="4"/>
        <v>23.036991666666665</v>
      </c>
      <c r="K605" s="17">
        <f t="shared" si="4"/>
        <v>23.036991666666665</v>
      </c>
      <c r="L605" s="17"/>
    </row>
    <row r="606" spans="1:12" ht="15" x14ac:dyDescent="0.2">
      <c r="A606" s="11">
        <v>2018</v>
      </c>
      <c r="B606" s="17">
        <f>AVERAGE(B72:B83)</f>
        <v>24.792816666666663</v>
      </c>
      <c r="C606" s="17">
        <f>AVERAGE(C72:C83)</f>
        <v>24.360566666666667</v>
      </c>
      <c r="D606" s="17"/>
      <c r="E606" s="17">
        <f t="shared" ref="E606:K606" si="5">AVERAGE(E72:E83)</f>
        <v>24.22390833333333</v>
      </c>
      <c r="F606" s="17">
        <f t="shared" si="5"/>
        <v>24.22390833333333</v>
      </c>
      <c r="G606" s="17">
        <f t="shared" si="5"/>
        <v>24.495299999999997</v>
      </c>
      <c r="H606" s="17">
        <f t="shared" si="5"/>
        <v>24.360566666666667</v>
      </c>
      <c r="I606" s="17">
        <f t="shared" si="5"/>
        <v>24.360566666666667</v>
      </c>
      <c r="J606" s="17">
        <f t="shared" si="5"/>
        <v>24.360566666666667</v>
      </c>
      <c r="K606" s="17">
        <f t="shared" si="5"/>
        <v>24.360566666666667</v>
      </c>
      <c r="L606" s="17"/>
    </row>
    <row r="607" spans="1:12" ht="15" x14ac:dyDescent="0.2">
      <c r="A607" s="11">
        <v>2019</v>
      </c>
      <c r="B607" s="17">
        <f>AVERAGE(B84:B95)</f>
        <v>25.411024999999999</v>
      </c>
      <c r="C607" s="17">
        <f>AVERAGE(C84:C95)</f>
        <v>24.978766666666662</v>
      </c>
      <c r="D607" s="17"/>
      <c r="E607" s="17">
        <f t="shared" ref="E607:K607" si="6">AVERAGE(E84:E95)</f>
        <v>24.842124999999999</v>
      </c>
      <c r="F607" s="17">
        <f t="shared" si="6"/>
        <v>24.842124999999999</v>
      </c>
      <c r="G607" s="17">
        <f t="shared" si="6"/>
        <v>25.113491666666665</v>
      </c>
      <c r="H607" s="17">
        <f t="shared" si="6"/>
        <v>24.978766666666662</v>
      </c>
      <c r="I607" s="17">
        <f t="shared" si="6"/>
        <v>24.978766666666662</v>
      </c>
      <c r="J607" s="17">
        <f t="shared" si="6"/>
        <v>24.978766666666662</v>
      </c>
      <c r="K607" s="17">
        <f t="shared" si="6"/>
        <v>24.978766666666662</v>
      </c>
      <c r="L607" s="17"/>
    </row>
    <row r="608" spans="1:12" ht="15" x14ac:dyDescent="0.2">
      <c r="A608" s="11">
        <v>2020</v>
      </c>
      <c r="B608" s="17">
        <f>AVERAGE(B96:B107)</f>
        <v>26.179733333333331</v>
      </c>
      <c r="C608" s="17">
        <f>AVERAGE(C96:C107)</f>
        <v>25.747499999999999</v>
      </c>
      <c r="D608" s="17"/>
      <c r="E608" s="17">
        <f t="shared" ref="E608:K608" si="7">AVERAGE(E96:E107)</f>
        <v>25.610816666666668</v>
      </c>
      <c r="F608" s="17">
        <f t="shared" si="7"/>
        <v>25.610816666666668</v>
      </c>
      <c r="G608" s="17">
        <f t="shared" si="7"/>
        <v>25.882216666666665</v>
      </c>
      <c r="H608" s="17">
        <f t="shared" si="7"/>
        <v>25.747499999999999</v>
      </c>
      <c r="I608" s="17">
        <f t="shared" si="7"/>
        <v>25.747499999999999</v>
      </c>
      <c r="J608" s="17">
        <f t="shared" si="7"/>
        <v>25.747499999999999</v>
      </c>
      <c r="K608" s="17">
        <f t="shared" si="7"/>
        <v>25.747499999999999</v>
      </c>
      <c r="L608" s="17"/>
    </row>
    <row r="609" spans="1:12" ht="15" x14ac:dyDescent="0.2">
      <c r="A609" s="11">
        <v>2021</v>
      </c>
      <c r="B609" s="17">
        <f>AVERAGE(B108:B119)</f>
        <v>27.510341666666662</v>
      </c>
      <c r="C609" s="17">
        <f>AVERAGE(C108:C119)</f>
        <v>27.078099999999996</v>
      </c>
      <c r="D609" s="17"/>
      <c r="E609" s="17">
        <f t="shared" ref="E609:K609" si="8">AVERAGE(E108:E119)</f>
        <v>26.941441666666666</v>
      </c>
      <c r="F609" s="17">
        <f t="shared" si="8"/>
        <v>26.941441666666666</v>
      </c>
      <c r="G609" s="17">
        <f t="shared" si="8"/>
        <v>27.212816666666665</v>
      </c>
      <c r="H609" s="17">
        <f t="shared" si="8"/>
        <v>27.078099999999996</v>
      </c>
      <c r="I609" s="17">
        <f t="shared" si="8"/>
        <v>27.078099999999996</v>
      </c>
      <c r="J609" s="17">
        <f t="shared" si="8"/>
        <v>27.078099999999996</v>
      </c>
      <c r="K609" s="17">
        <f t="shared" si="8"/>
        <v>27.078099999999996</v>
      </c>
      <c r="L609" s="17"/>
    </row>
    <row r="610" spans="1:12" ht="15" x14ac:dyDescent="0.2">
      <c r="A610" s="11">
        <v>2022</v>
      </c>
      <c r="B610" s="17">
        <f>AVERAGE(B120:B131)</f>
        <v>28.946333333333332</v>
      </c>
      <c r="C610" s="17">
        <f>AVERAGE(C120:C131)</f>
        <v>28.514075000000002</v>
      </c>
      <c r="D610" s="17"/>
      <c r="E610" s="17">
        <f t="shared" ref="E610:K610" si="9">AVERAGE(E120:E131)</f>
        <v>28.377433333333329</v>
      </c>
      <c r="F610" s="17">
        <f t="shared" si="9"/>
        <v>28.377433333333329</v>
      </c>
      <c r="G610" s="17">
        <f t="shared" si="9"/>
        <v>28.648775000000001</v>
      </c>
      <c r="H610" s="17">
        <f t="shared" si="9"/>
        <v>28.514075000000002</v>
      </c>
      <c r="I610" s="17">
        <f t="shared" si="9"/>
        <v>28.514075000000002</v>
      </c>
      <c r="J610" s="17">
        <f t="shared" si="9"/>
        <v>28.514075000000002</v>
      </c>
      <c r="K610" s="17">
        <f t="shared" si="9"/>
        <v>28.514075000000002</v>
      </c>
      <c r="L610" s="17"/>
    </row>
    <row r="611" spans="1:12" ht="15" x14ac:dyDescent="0.2">
      <c r="A611" s="11">
        <v>2023</v>
      </c>
      <c r="B611" s="17">
        <f>AVERAGE(B132:B143)</f>
        <v>30.340791666666671</v>
      </c>
      <c r="C611" s="17">
        <f>AVERAGE(C132:C143)</f>
        <v>29.908549999999995</v>
      </c>
      <c r="D611" s="17"/>
      <c r="E611" s="17">
        <f t="shared" ref="E611:K611" si="10">AVERAGE(E132:E143)</f>
        <v>29.771891666666665</v>
      </c>
      <c r="F611" s="17">
        <f t="shared" si="10"/>
        <v>29.771891666666665</v>
      </c>
      <c r="G611" s="17">
        <f t="shared" si="10"/>
        <v>30.043266666666664</v>
      </c>
      <c r="H611" s="17">
        <f t="shared" si="10"/>
        <v>29.908549999999995</v>
      </c>
      <c r="I611" s="17">
        <f t="shared" si="10"/>
        <v>29.908549999999995</v>
      </c>
      <c r="J611" s="17">
        <f t="shared" si="10"/>
        <v>29.908549999999995</v>
      </c>
      <c r="K611" s="17">
        <f t="shared" si="10"/>
        <v>29.908549999999995</v>
      </c>
      <c r="L611" s="17"/>
    </row>
    <row r="612" spans="1:12" ht="15" x14ac:dyDescent="0.2">
      <c r="A612" s="11">
        <v>2024</v>
      </c>
      <c r="B612" s="17">
        <f>AVERAGE(B144:B155)</f>
        <v>31.715941666666662</v>
      </c>
      <c r="C612" s="17">
        <f>AVERAGE(C144:C155)</f>
        <v>31.283691666666666</v>
      </c>
      <c r="D612" s="17"/>
      <c r="E612" s="17">
        <f t="shared" ref="E612:K612" si="11">AVERAGE(E144:E155)</f>
        <v>31.147041666666667</v>
      </c>
      <c r="F612" s="17">
        <f t="shared" si="11"/>
        <v>31.147041666666667</v>
      </c>
      <c r="G612" s="17">
        <f t="shared" si="11"/>
        <v>31.418408333333335</v>
      </c>
      <c r="H612" s="17">
        <f t="shared" si="11"/>
        <v>31.283691666666666</v>
      </c>
      <c r="I612" s="17">
        <f t="shared" si="11"/>
        <v>31.283691666666666</v>
      </c>
      <c r="J612" s="17">
        <f t="shared" si="11"/>
        <v>31.283691666666666</v>
      </c>
      <c r="K612" s="17">
        <f t="shared" si="11"/>
        <v>31.283691666666666</v>
      </c>
      <c r="L612" s="17"/>
    </row>
    <row r="613" spans="1:12" ht="15" x14ac:dyDescent="0.2">
      <c r="A613" s="11">
        <v>2025</v>
      </c>
      <c r="B613" s="17">
        <f>AVERAGE(B156:B167)</f>
        <v>33.055783333333331</v>
      </c>
      <c r="C613" s="17">
        <f>AVERAGE(C156:C167)</f>
        <v>32.623533333333327</v>
      </c>
      <c r="D613" s="17"/>
      <c r="E613" s="17">
        <f t="shared" ref="E613:K613" si="12">AVERAGE(E156:E167)</f>
        <v>32.486883333333331</v>
      </c>
      <c r="F613" s="17">
        <f t="shared" si="12"/>
        <v>32.486883333333331</v>
      </c>
      <c r="G613" s="17">
        <f t="shared" si="12"/>
        <v>32.758249999999997</v>
      </c>
      <c r="H613" s="17">
        <f t="shared" si="12"/>
        <v>32.623533333333327</v>
      </c>
      <c r="I613" s="17">
        <f t="shared" si="12"/>
        <v>32.623533333333327</v>
      </c>
      <c r="J613" s="17">
        <f t="shared" si="12"/>
        <v>32.623533333333327</v>
      </c>
      <c r="K613" s="17">
        <f t="shared" si="12"/>
        <v>32.623533333333327</v>
      </c>
      <c r="L613" s="17"/>
    </row>
    <row r="614" spans="1:12" ht="15" x14ac:dyDescent="0.2">
      <c r="A614" s="11">
        <v>2026</v>
      </c>
      <c r="B614" s="17">
        <f>AVERAGE(B168:B179)</f>
        <v>33.86505833333333</v>
      </c>
      <c r="C614" s="17">
        <f>AVERAGE(C168:C179)</f>
        <v>33.432808333333327</v>
      </c>
      <c r="D614" s="17"/>
      <c r="E614" s="17">
        <f t="shared" ref="E614:K614" si="13">AVERAGE(E168:E179)</f>
        <v>33.296158333333338</v>
      </c>
      <c r="F614" s="17">
        <f t="shared" si="13"/>
        <v>33.296158333333338</v>
      </c>
      <c r="G614" s="17">
        <f t="shared" si="13"/>
        <v>33.567541666666664</v>
      </c>
      <c r="H614" s="17">
        <f t="shared" si="13"/>
        <v>33.432808333333327</v>
      </c>
      <c r="I614" s="17">
        <f t="shared" si="13"/>
        <v>33.432808333333327</v>
      </c>
      <c r="J614" s="17">
        <f t="shared" si="13"/>
        <v>33.432808333333327</v>
      </c>
      <c r="K614" s="17">
        <f t="shared" si="13"/>
        <v>33.432808333333327</v>
      </c>
      <c r="L614" s="17"/>
    </row>
    <row r="615" spans="1:12" ht="15" x14ac:dyDescent="0.2">
      <c r="A615" s="11">
        <v>2027</v>
      </c>
      <c r="B615" s="17">
        <f>AVERAGE(B180:B191)</f>
        <v>34.656533333333336</v>
      </c>
      <c r="C615" s="17">
        <f>AVERAGE(C180:C191)</f>
        <v>34.224291666666666</v>
      </c>
      <c r="D615" s="17"/>
      <c r="E615" s="17">
        <f t="shared" ref="E615:K615" si="14">AVERAGE(E180:E191)</f>
        <v>34.087616666666669</v>
      </c>
      <c r="F615" s="17">
        <f t="shared" si="14"/>
        <v>34.087616666666669</v>
      </c>
      <c r="G615" s="17">
        <f t="shared" si="14"/>
        <v>34.359008333333328</v>
      </c>
      <c r="H615" s="17">
        <f t="shared" si="14"/>
        <v>34.224291666666666</v>
      </c>
      <c r="I615" s="17">
        <f t="shared" si="14"/>
        <v>34.224291666666666</v>
      </c>
      <c r="J615" s="17">
        <f t="shared" si="14"/>
        <v>34.224291666666666</v>
      </c>
      <c r="K615" s="17">
        <f t="shared" si="14"/>
        <v>34.224291666666666</v>
      </c>
      <c r="L615" s="17"/>
    </row>
    <row r="616" spans="1:12" ht="15" x14ac:dyDescent="0.2">
      <c r="A616" s="11">
        <v>2028</v>
      </c>
      <c r="B616" s="17">
        <f>AVERAGE(B192:B203)</f>
        <v>35.403291666666668</v>
      </c>
      <c r="C616" s="17">
        <f>AVERAGE(C192:C203)</f>
        <v>34.971016666666664</v>
      </c>
      <c r="D616" s="17"/>
      <c r="E616" s="17">
        <f t="shared" ref="E616:K616" si="15">AVERAGE(E192:E203)</f>
        <v>34.834375000000001</v>
      </c>
      <c r="F616" s="17">
        <f t="shared" si="15"/>
        <v>34.834375000000001</v>
      </c>
      <c r="G616" s="17">
        <f t="shared" si="15"/>
        <v>35.105741666666667</v>
      </c>
      <c r="H616" s="17">
        <f t="shared" si="15"/>
        <v>34.971016666666664</v>
      </c>
      <c r="I616" s="17">
        <f t="shared" si="15"/>
        <v>34.971016666666664</v>
      </c>
      <c r="J616" s="17">
        <f t="shared" si="15"/>
        <v>34.971016666666664</v>
      </c>
      <c r="K616" s="17">
        <f t="shared" si="15"/>
        <v>34.971016666666664</v>
      </c>
      <c r="L616" s="17"/>
    </row>
    <row r="617" spans="1:12" ht="15" x14ac:dyDescent="0.2">
      <c r="A617" s="11">
        <v>2029</v>
      </c>
      <c r="B617" s="17">
        <f>AVERAGE(B204:B215)</f>
        <v>36.185616666666668</v>
      </c>
      <c r="C617" s="17">
        <f>AVERAGE(C204:C215)</f>
        <v>35.753374999999998</v>
      </c>
      <c r="D617" s="17"/>
      <c r="E617" s="17">
        <f t="shared" ref="E617:K617" si="16">AVERAGE(E204:E215)</f>
        <v>35.616716666666662</v>
      </c>
      <c r="F617" s="17">
        <f t="shared" si="16"/>
        <v>35.616716666666662</v>
      </c>
      <c r="G617" s="17">
        <f t="shared" si="16"/>
        <v>35.888108333333328</v>
      </c>
      <c r="H617" s="17">
        <f t="shared" si="16"/>
        <v>35.753374999999998</v>
      </c>
      <c r="I617" s="17">
        <f t="shared" si="16"/>
        <v>35.753374999999998</v>
      </c>
      <c r="J617" s="17">
        <f t="shared" si="16"/>
        <v>35.753374999999998</v>
      </c>
      <c r="K617" s="17">
        <f t="shared" si="16"/>
        <v>35.753374999999998</v>
      </c>
      <c r="L617" s="17"/>
    </row>
    <row r="618" spans="1:12" ht="15" x14ac:dyDescent="0.2">
      <c r="A618" s="11">
        <v>2030</v>
      </c>
      <c r="B618" s="17">
        <f>AVERAGE(B216:B227)</f>
        <v>36.875049999999995</v>
      </c>
      <c r="C618" s="17">
        <f>AVERAGE(C216:C227)</f>
        <v>36.442791666666665</v>
      </c>
      <c r="D618" s="17"/>
      <c r="E618" s="17">
        <f t="shared" ref="E618:K618" si="17">AVERAGE(E216:E227)</f>
        <v>36.306141666666669</v>
      </c>
      <c r="F618" s="17">
        <f t="shared" si="17"/>
        <v>36.306141666666669</v>
      </c>
      <c r="G618" s="17">
        <f t="shared" si="17"/>
        <v>36.577499999999993</v>
      </c>
      <c r="H618" s="17">
        <f t="shared" si="17"/>
        <v>36.442791666666665</v>
      </c>
      <c r="I618" s="17">
        <f t="shared" si="17"/>
        <v>36.442791666666665</v>
      </c>
      <c r="J618" s="17">
        <f t="shared" si="17"/>
        <v>36.442791666666665</v>
      </c>
      <c r="K618" s="17">
        <f t="shared" si="17"/>
        <v>36.442791666666665</v>
      </c>
      <c r="L618" s="17"/>
    </row>
    <row r="619" spans="1:12" ht="15" x14ac:dyDescent="0.2">
      <c r="A619" s="11">
        <v>2031</v>
      </c>
      <c r="B619" s="17">
        <f>AVERAGE(B228:B239)</f>
        <v>37.637674999999994</v>
      </c>
      <c r="C619" s="17">
        <f>AVERAGE(C228:C239)</f>
        <v>37.205441666666665</v>
      </c>
      <c r="D619" s="17"/>
      <c r="E619" s="17">
        <f t="shared" ref="E619:K619" si="18">AVERAGE(E228:E239)</f>
        <v>37.068766666666669</v>
      </c>
      <c r="F619" s="17">
        <f t="shared" si="18"/>
        <v>37.068766666666669</v>
      </c>
      <c r="G619" s="17">
        <f t="shared" si="18"/>
        <v>37.340158333333328</v>
      </c>
      <c r="H619" s="17">
        <f t="shared" si="18"/>
        <v>37.205441666666665</v>
      </c>
      <c r="I619" s="17">
        <f t="shared" si="18"/>
        <v>37.205441666666665</v>
      </c>
      <c r="J619" s="17">
        <f t="shared" si="18"/>
        <v>37.205441666666665</v>
      </c>
      <c r="K619" s="17">
        <f t="shared" si="18"/>
        <v>37.205441666666665</v>
      </c>
      <c r="L619" s="17"/>
    </row>
    <row r="620" spans="1:12" ht="15" x14ac:dyDescent="0.2">
      <c r="A620" s="11">
        <v>2032</v>
      </c>
      <c r="B620" s="17">
        <f>AVERAGE(B240:B251)</f>
        <v>38.290849999999999</v>
      </c>
      <c r="C620" s="17">
        <f>AVERAGE(C240:C251)</f>
        <v>37.858591666666662</v>
      </c>
      <c r="D620" s="17"/>
      <c r="E620" s="17">
        <f t="shared" ref="E620:K620" si="19">AVERAGE(E240:E251)</f>
        <v>37.721950000000007</v>
      </c>
      <c r="F620" s="17">
        <f t="shared" si="19"/>
        <v>37.721950000000007</v>
      </c>
      <c r="G620" s="17">
        <f t="shared" si="19"/>
        <v>37.993324999999999</v>
      </c>
      <c r="H620" s="17">
        <f t="shared" si="19"/>
        <v>37.858591666666662</v>
      </c>
      <c r="I620" s="17">
        <f t="shared" si="19"/>
        <v>37.858591666666662</v>
      </c>
      <c r="J620" s="17">
        <f t="shared" si="19"/>
        <v>37.858591666666662</v>
      </c>
      <c r="K620" s="17">
        <f t="shared" si="19"/>
        <v>37.858591666666662</v>
      </c>
      <c r="L620" s="17"/>
    </row>
    <row r="621" spans="1:12" ht="15" x14ac:dyDescent="0.2">
      <c r="A621" s="11">
        <v>2033</v>
      </c>
      <c r="B621" s="17">
        <f>AVERAGE(B252:B263)</f>
        <v>38.956083333333332</v>
      </c>
      <c r="C621" s="17">
        <f>AVERAGE(C252:C263)</f>
        <v>38.523849999999996</v>
      </c>
      <c r="D621" s="17"/>
      <c r="E621" s="17">
        <f t="shared" ref="E621:K621" si="20">AVERAGE(E252:E263)</f>
        <v>38.387175000000006</v>
      </c>
      <c r="F621" s="17">
        <f t="shared" si="20"/>
        <v>38.387175000000006</v>
      </c>
      <c r="G621" s="17">
        <f t="shared" si="20"/>
        <v>38.658566666666665</v>
      </c>
      <c r="H621" s="17">
        <f t="shared" si="20"/>
        <v>38.523849999999996</v>
      </c>
      <c r="I621" s="17">
        <f t="shared" si="20"/>
        <v>38.523849999999996</v>
      </c>
      <c r="J621" s="17">
        <f t="shared" si="20"/>
        <v>38.523849999999996</v>
      </c>
      <c r="K621" s="17">
        <f t="shared" si="20"/>
        <v>38.523849999999996</v>
      </c>
      <c r="L621" s="17"/>
    </row>
    <row r="622" spans="1:12" ht="15" x14ac:dyDescent="0.2">
      <c r="A622" s="11">
        <v>2034</v>
      </c>
      <c r="B622" s="17">
        <f>AVERAGE(B264:B275)</f>
        <v>39.633624999999995</v>
      </c>
      <c r="C622" s="17">
        <f>AVERAGE(C264:C275)</f>
        <v>39.201374999999999</v>
      </c>
      <c r="D622" s="17"/>
      <c r="E622" s="17">
        <f t="shared" ref="E622:K622" si="21">AVERAGE(E264:E275)</f>
        <v>39.064725000000003</v>
      </c>
      <c r="F622" s="17">
        <f t="shared" si="21"/>
        <v>39.064725000000003</v>
      </c>
      <c r="G622" s="17">
        <f t="shared" si="21"/>
        <v>39.336099999999995</v>
      </c>
      <c r="H622" s="17">
        <f t="shared" si="21"/>
        <v>39.201374999999999</v>
      </c>
      <c r="I622" s="17">
        <f t="shared" si="21"/>
        <v>39.201374999999999</v>
      </c>
      <c r="J622" s="17">
        <f t="shared" si="21"/>
        <v>39.201374999999999</v>
      </c>
      <c r="K622" s="17">
        <f t="shared" si="21"/>
        <v>39.201374999999999</v>
      </c>
      <c r="L622" s="17"/>
    </row>
    <row r="623" spans="1:12" ht="15" x14ac:dyDescent="0.2">
      <c r="A623" s="11">
        <v>2035</v>
      </c>
      <c r="B623" s="17">
        <f>AVERAGE(B276:B287)</f>
        <v>40.323683333333328</v>
      </c>
      <c r="C623" s="17">
        <f>AVERAGE(C276:C287)</f>
        <v>39.891433333333332</v>
      </c>
      <c r="D623" s="17"/>
      <c r="E623" s="17">
        <f t="shared" ref="E623:K623" si="22">AVERAGE(E276:E287)</f>
        <v>39.754766666666661</v>
      </c>
      <c r="F623" s="17">
        <f t="shared" si="22"/>
        <v>39.754766666666661</v>
      </c>
      <c r="G623" s="17">
        <f t="shared" si="22"/>
        <v>40.026149999999994</v>
      </c>
      <c r="H623" s="17">
        <f t="shared" si="22"/>
        <v>39.891433333333332</v>
      </c>
      <c r="I623" s="17">
        <f t="shared" si="22"/>
        <v>39.891433333333332</v>
      </c>
      <c r="J623" s="17">
        <f t="shared" si="22"/>
        <v>39.891433333333332</v>
      </c>
      <c r="K623" s="17">
        <f t="shared" si="22"/>
        <v>39.891433333333332</v>
      </c>
      <c r="L623" s="17"/>
    </row>
    <row r="624" spans="1:12" ht="15" x14ac:dyDescent="0.2">
      <c r="A624" s="11">
        <v>2036</v>
      </c>
      <c r="B624" s="17">
        <f>AVERAGE(B288:B299)</f>
        <v>41.026491666666665</v>
      </c>
      <c r="C624" s="17">
        <f>AVERAGE(C288:C299)</f>
        <v>40.594241666666669</v>
      </c>
      <c r="D624" s="17"/>
      <c r="E624" s="17">
        <f t="shared" ref="E624:K624" si="23">AVERAGE(E288:E299)</f>
        <v>40.457574999999991</v>
      </c>
      <c r="F624" s="17">
        <f t="shared" si="23"/>
        <v>40.457574999999991</v>
      </c>
      <c r="G624" s="17">
        <f t="shared" si="23"/>
        <v>40.728949999999998</v>
      </c>
      <c r="H624" s="17">
        <f t="shared" si="23"/>
        <v>40.594241666666669</v>
      </c>
      <c r="I624" s="17">
        <f t="shared" si="23"/>
        <v>40.594241666666669</v>
      </c>
      <c r="J624" s="17">
        <f t="shared" si="23"/>
        <v>40.594241666666669</v>
      </c>
      <c r="K624" s="17">
        <f t="shared" si="23"/>
        <v>40.594241666666669</v>
      </c>
      <c r="L624" s="17"/>
    </row>
    <row r="625" spans="1:12" ht="15" x14ac:dyDescent="0.2">
      <c r="A625" s="11">
        <v>2037</v>
      </c>
      <c r="B625" s="17">
        <f>AVERAGE(B300:B311)</f>
        <v>41.74228333333334</v>
      </c>
      <c r="C625" s="17">
        <f>AVERAGE(C300:C311)</f>
        <v>41.31003333333333</v>
      </c>
      <c r="D625" s="17"/>
      <c r="E625" s="17">
        <f t="shared" ref="E625:K625" si="24">AVERAGE(E300:E311)</f>
        <v>41.173383333333334</v>
      </c>
      <c r="F625" s="17">
        <f t="shared" si="24"/>
        <v>41.173383333333334</v>
      </c>
      <c r="G625" s="17">
        <f t="shared" si="24"/>
        <v>41.444741666666665</v>
      </c>
      <c r="H625" s="17">
        <f t="shared" si="24"/>
        <v>41.31003333333333</v>
      </c>
      <c r="I625" s="17">
        <f t="shared" si="24"/>
        <v>41.31003333333333</v>
      </c>
      <c r="J625" s="17">
        <f t="shared" si="24"/>
        <v>41.31003333333333</v>
      </c>
      <c r="K625" s="17">
        <f t="shared" si="24"/>
        <v>41.31003333333333</v>
      </c>
      <c r="L625" s="17"/>
    </row>
    <row r="626" spans="1:12" ht="15" x14ac:dyDescent="0.2">
      <c r="A626" s="11">
        <f t="shared" ref="A626:A649" si="25">A625+1</f>
        <v>2038</v>
      </c>
      <c r="B626" s="17">
        <f>AVERAGE(B312:B323)</f>
        <v>42.471308333333333</v>
      </c>
      <c r="C626" s="17">
        <f>AVERAGE(C312:C323)</f>
        <v>42.039066666666663</v>
      </c>
      <c r="D626" s="17"/>
      <c r="E626" s="17">
        <f t="shared" ref="E626:K626" si="26">AVERAGE(E312:E323)</f>
        <v>41.902399999999993</v>
      </c>
      <c r="F626" s="17">
        <f t="shared" si="26"/>
        <v>41.902399999999993</v>
      </c>
      <c r="G626" s="17">
        <f t="shared" si="26"/>
        <v>42.173774999999999</v>
      </c>
      <c r="H626" s="17">
        <f t="shared" si="26"/>
        <v>42.039066666666663</v>
      </c>
      <c r="I626" s="17">
        <f t="shared" si="26"/>
        <v>42.039066666666663</v>
      </c>
      <c r="J626" s="17">
        <f t="shared" si="26"/>
        <v>42.039066666666663</v>
      </c>
      <c r="K626" s="17">
        <f t="shared" si="26"/>
        <v>42.039066666666663</v>
      </c>
      <c r="L626" s="17"/>
    </row>
    <row r="627" spans="1:12" ht="15" x14ac:dyDescent="0.2">
      <c r="A627" s="11">
        <f t="shared" si="25"/>
        <v>2039</v>
      </c>
      <c r="B627" s="17">
        <f>AVERAGE(B324:B335)</f>
        <v>43.213816666666666</v>
      </c>
      <c r="C627" s="17">
        <f>AVERAGE(C324:C335)</f>
        <v>42.781558333333329</v>
      </c>
      <c r="D627" s="17"/>
      <c r="E627" s="17">
        <f t="shared" ref="E627:K627" si="27">AVERAGE(E324:E335)</f>
        <v>42.644916666666667</v>
      </c>
      <c r="F627" s="17">
        <f t="shared" si="27"/>
        <v>42.644916666666667</v>
      </c>
      <c r="G627" s="17">
        <f t="shared" si="27"/>
        <v>42.916274999999992</v>
      </c>
      <c r="H627" s="17">
        <f t="shared" si="27"/>
        <v>42.781558333333329</v>
      </c>
      <c r="I627" s="17">
        <f t="shared" si="27"/>
        <v>42.781558333333329</v>
      </c>
      <c r="J627" s="17">
        <f t="shared" si="27"/>
        <v>42.781558333333329</v>
      </c>
      <c r="K627" s="17">
        <f t="shared" si="27"/>
        <v>42.781558333333329</v>
      </c>
      <c r="L627" s="17"/>
    </row>
    <row r="628" spans="1:12" ht="15" x14ac:dyDescent="0.2">
      <c r="A628" s="11">
        <f t="shared" si="25"/>
        <v>2040</v>
      </c>
      <c r="B628" s="17">
        <f>AVERAGE(B336:B347)</f>
        <v>43.970050000000008</v>
      </c>
      <c r="C628" s="17">
        <f>AVERAGE(C336:C347)</f>
        <v>43.537775000000003</v>
      </c>
      <c r="D628" s="17"/>
      <c r="E628" s="17">
        <f t="shared" ref="E628:K628" si="28">AVERAGE(E336:E347)</f>
        <v>43.401125</v>
      </c>
      <c r="F628" s="17">
        <f t="shared" si="28"/>
        <v>43.401125</v>
      </c>
      <c r="G628" s="17">
        <f t="shared" si="28"/>
        <v>43.672483333333332</v>
      </c>
      <c r="H628" s="17">
        <f t="shared" si="28"/>
        <v>43.537775000000003</v>
      </c>
      <c r="I628" s="17">
        <f t="shared" si="28"/>
        <v>43.537775000000003</v>
      </c>
      <c r="J628" s="17">
        <f t="shared" si="28"/>
        <v>43.537775000000003</v>
      </c>
      <c r="K628" s="17">
        <f t="shared" si="28"/>
        <v>43.537775000000003</v>
      </c>
      <c r="L628" s="17"/>
    </row>
    <row r="629" spans="1:12" ht="15" x14ac:dyDescent="0.2">
      <c r="A629" s="11">
        <f t="shared" si="25"/>
        <v>2041</v>
      </c>
      <c r="B629" s="17">
        <f>AVERAGE(B348:B359)</f>
        <v>44.740225000000002</v>
      </c>
      <c r="C629" s="17">
        <f>AVERAGE(C348:C359)</f>
        <v>44.307983333333333</v>
      </c>
      <c r="D629" s="17"/>
      <c r="E629" s="17">
        <f t="shared" ref="E629:K629" si="29">AVERAGE(E348:E359)</f>
        <v>44.171324999999996</v>
      </c>
      <c r="F629" s="17">
        <f t="shared" si="29"/>
        <v>44.171324999999996</v>
      </c>
      <c r="G629" s="17">
        <f t="shared" si="29"/>
        <v>44.442700000000002</v>
      </c>
      <c r="H629" s="17">
        <f t="shared" si="29"/>
        <v>44.307983333333333</v>
      </c>
      <c r="I629" s="17">
        <f t="shared" si="29"/>
        <v>44.307983333333333</v>
      </c>
      <c r="J629" s="17">
        <f t="shared" si="29"/>
        <v>44.307983333333333</v>
      </c>
      <c r="K629" s="17">
        <f t="shared" si="29"/>
        <v>44.307983333333333</v>
      </c>
      <c r="L629" s="17"/>
    </row>
    <row r="630" spans="1:12" ht="15" x14ac:dyDescent="0.2">
      <c r="A630" s="11">
        <f t="shared" si="25"/>
        <v>2042</v>
      </c>
      <c r="B630" s="17">
        <f>AVERAGE(B360:B371)</f>
        <v>45.524650000000008</v>
      </c>
      <c r="C630" s="17">
        <f>AVERAGE(C360:C371)</f>
        <v>45.092399999999998</v>
      </c>
      <c r="D630" s="17"/>
      <c r="E630" s="17">
        <f t="shared" ref="E630:K630" si="30">AVERAGE(E360:E371)</f>
        <v>44.955749999999995</v>
      </c>
      <c r="F630" s="17">
        <f t="shared" si="30"/>
        <v>44.955749999999995</v>
      </c>
      <c r="G630" s="17">
        <f t="shared" si="30"/>
        <v>45.227133333333335</v>
      </c>
      <c r="H630" s="17">
        <f t="shared" si="30"/>
        <v>45.092399999999998</v>
      </c>
      <c r="I630" s="17">
        <f t="shared" si="30"/>
        <v>45.092399999999998</v>
      </c>
      <c r="J630" s="17">
        <f t="shared" si="30"/>
        <v>45.092399999999998</v>
      </c>
      <c r="K630" s="17">
        <f t="shared" si="30"/>
        <v>45.092399999999998</v>
      </c>
      <c r="L630" s="17"/>
    </row>
    <row r="631" spans="1:12" ht="15" x14ac:dyDescent="0.2">
      <c r="A631" s="11">
        <f t="shared" si="25"/>
        <v>2043</v>
      </c>
      <c r="B631" s="17">
        <f>AVERAGE(B372:B383)</f>
        <v>46.323591666666665</v>
      </c>
      <c r="C631" s="17">
        <f>AVERAGE(C372:C383)</f>
        <v>45.891333333333336</v>
      </c>
      <c r="D631" s="17"/>
      <c r="E631" s="17">
        <f t="shared" ref="E631:K631" si="31">AVERAGE(E372:E383)</f>
        <v>45.754683333333325</v>
      </c>
      <c r="F631" s="17">
        <f t="shared" si="31"/>
        <v>45.754683333333325</v>
      </c>
      <c r="G631" s="17">
        <f t="shared" si="31"/>
        <v>46.026033333333338</v>
      </c>
      <c r="H631" s="17">
        <f t="shared" si="31"/>
        <v>45.891333333333336</v>
      </c>
      <c r="I631" s="17">
        <f t="shared" si="31"/>
        <v>45.891333333333336</v>
      </c>
      <c r="J631" s="17">
        <f t="shared" si="31"/>
        <v>45.891333333333336</v>
      </c>
      <c r="K631" s="17">
        <f t="shared" si="31"/>
        <v>45.891333333333336</v>
      </c>
      <c r="L631" s="17"/>
    </row>
    <row r="632" spans="1:12" ht="15" x14ac:dyDescent="0.2">
      <c r="A632" s="11">
        <f t="shared" si="25"/>
        <v>2044</v>
      </c>
      <c r="B632" s="17">
        <f>AVERAGE(B384:B395)</f>
        <v>47.137283333333329</v>
      </c>
      <c r="C632" s="17">
        <f>AVERAGE(C384:C395)</f>
        <v>46.705025000000006</v>
      </c>
      <c r="D632" s="17"/>
      <c r="E632" s="17">
        <f t="shared" ref="E632:K632" si="32">AVERAGE(E384:E395)</f>
        <v>46.568375000000003</v>
      </c>
      <c r="F632" s="17">
        <f t="shared" si="32"/>
        <v>46.568375000000003</v>
      </c>
      <c r="G632" s="17">
        <f t="shared" si="32"/>
        <v>46.839741666666662</v>
      </c>
      <c r="H632" s="17">
        <f t="shared" si="32"/>
        <v>46.705025000000006</v>
      </c>
      <c r="I632" s="17">
        <f t="shared" si="32"/>
        <v>46.705025000000006</v>
      </c>
      <c r="J632" s="17">
        <f t="shared" si="32"/>
        <v>46.705025000000006</v>
      </c>
      <c r="K632" s="17">
        <f t="shared" si="32"/>
        <v>46.705025000000006</v>
      </c>
      <c r="L632" s="17"/>
    </row>
    <row r="633" spans="1:12" ht="15" x14ac:dyDescent="0.2">
      <c r="A633" s="11">
        <f t="shared" si="25"/>
        <v>2045</v>
      </c>
      <c r="B633" s="17">
        <f>AVERAGE(B396:B407)</f>
        <v>47.966008333333342</v>
      </c>
      <c r="C633" s="17">
        <f>AVERAGE(C396:C407)</f>
        <v>47.533758333333331</v>
      </c>
      <c r="D633" s="17"/>
      <c r="E633" s="17">
        <f t="shared" ref="E633:K633" si="33">AVERAGE(E396:E407)</f>
        <v>47.397091666666654</v>
      </c>
      <c r="F633" s="17">
        <f t="shared" si="33"/>
        <v>47.397091666666654</v>
      </c>
      <c r="G633" s="17">
        <f t="shared" si="33"/>
        <v>47.668475000000001</v>
      </c>
      <c r="H633" s="17">
        <f t="shared" si="33"/>
        <v>47.533758333333331</v>
      </c>
      <c r="I633" s="17">
        <f t="shared" si="33"/>
        <v>47.533758333333331</v>
      </c>
      <c r="J633" s="17">
        <f t="shared" si="33"/>
        <v>47.533758333333331</v>
      </c>
      <c r="K633" s="17">
        <f t="shared" si="33"/>
        <v>47.533758333333331</v>
      </c>
      <c r="L633" s="17"/>
    </row>
    <row r="634" spans="1:12" ht="15" x14ac:dyDescent="0.2">
      <c r="A634" s="11">
        <f t="shared" si="25"/>
        <v>2046</v>
      </c>
      <c r="B634" s="17">
        <f>AVERAGE(B408:B419)</f>
        <v>48.81004166666667</v>
      </c>
      <c r="C634" s="17">
        <f>AVERAGE(C408:C419)</f>
        <v>48.377800000000008</v>
      </c>
      <c r="D634" s="17"/>
      <c r="E634" s="17">
        <f t="shared" ref="E634:K634" si="34">AVERAGE(E408:E419)</f>
        <v>48.24112499999999</v>
      </c>
      <c r="F634" s="17">
        <f t="shared" si="34"/>
        <v>48.24112499999999</v>
      </c>
      <c r="G634" s="17">
        <f t="shared" si="34"/>
        <v>48.512508333333329</v>
      </c>
      <c r="H634" s="17">
        <f t="shared" si="34"/>
        <v>48.377800000000008</v>
      </c>
      <c r="I634" s="17">
        <f t="shared" si="34"/>
        <v>48.377800000000008</v>
      </c>
      <c r="J634" s="17">
        <f t="shared" si="34"/>
        <v>48.377800000000008</v>
      </c>
      <c r="K634" s="17">
        <f t="shared" si="34"/>
        <v>48.377800000000008</v>
      </c>
      <c r="L634" s="17"/>
    </row>
    <row r="635" spans="1:12" ht="15" x14ac:dyDescent="0.2">
      <c r="A635" s="11">
        <f t="shared" si="25"/>
        <v>2047</v>
      </c>
      <c r="B635" s="17">
        <f>AVERAGE(B420:B431)</f>
        <v>49.669683333333332</v>
      </c>
      <c r="C635" s="17">
        <f>AVERAGE(C420:C431)</f>
        <v>49.237441666666676</v>
      </c>
      <c r="D635" s="17"/>
      <c r="E635" s="17">
        <f t="shared" ref="E635:K635" si="35">AVERAGE(E420:E431)</f>
        <v>49.100783333333332</v>
      </c>
      <c r="F635" s="17">
        <f t="shared" si="35"/>
        <v>49.100783333333332</v>
      </c>
      <c r="G635" s="17">
        <f t="shared" si="35"/>
        <v>49.372149999999998</v>
      </c>
      <c r="H635" s="17">
        <f t="shared" si="35"/>
        <v>49.237441666666676</v>
      </c>
      <c r="I635" s="17">
        <f t="shared" si="35"/>
        <v>49.237441666666676</v>
      </c>
      <c r="J635" s="17">
        <f t="shared" si="35"/>
        <v>49.237441666666676</v>
      </c>
      <c r="K635" s="17">
        <f t="shared" si="35"/>
        <v>49.237441666666676</v>
      </c>
      <c r="L635" s="17"/>
    </row>
    <row r="636" spans="1:12" ht="15" x14ac:dyDescent="0.2">
      <c r="A636" s="11">
        <f t="shared" si="25"/>
        <v>2048</v>
      </c>
      <c r="B636" s="17">
        <f>AVERAGE(B432:B443)</f>
        <v>50.545216666666668</v>
      </c>
      <c r="C636" s="17">
        <f>AVERAGE(C432:C443)</f>
        <v>50.112966666666658</v>
      </c>
      <c r="D636" s="17"/>
      <c r="E636" s="17">
        <f t="shared" ref="E636:K636" si="36">AVERAGE(E432:E443)</f>
        <v>49.976316666666669</v>
      </c>
      <c r="F636" s="17">
        <f t="shared" si="36"/>
        <v>49.976316666666669</v>
      </c>
      <c r="G636" s="17">
        <f t="shared" si="36"/>
        <v>50.247674999999994</v>
      </c>
      <c r="H636" s="17">
        <f t="shared" si="36"/>
        <v>50.112966666666658</v>
      </c>
      <c r="I636" s="17">
        <f t="shared" si="36"/>
        <v>50.112966666666658</v>
      </c>
      <c r="J636" s="17">
        <f t="shared" si="36"/>
        <v>50.112966666666658</v>
      </c>
      <c r="K636" s="17">
        <f t="shared" si="36"/>
        <v>50.112966666666658</v>
      </c>
      <c r="L636" s="17"/>
    </row>
    <row r="637" spans="1:12" ht="15" x14ac:dyDescent="0.2">
      <c r="A637" s="11">
        <f t="shared" si="25"/>
        <v>2049</v>
      </c>
      <c r="B637" s="17">
        <f>AVERAGE(B444:B455)</f>
        <v>51.436933333333336</v>
      </c>
      <c r="C637" s="17">
        <f>AVERAGE(C444:C455)</f>
        <v>51.004683333333332</v>
      </c>
      <c r="D637" s="17"/>
      <c r="E637" s="17">
        <f t="shared" ref="E637:K637" si="37">AVERAGE(E444:E455)</f>
        <v>50.868024999999996</v>
      </c>
      <c r="F637" s="17">
        <f t="shared" si="37"/>
        <v>50.868024999999996</v>
      </c>
      <c r="G637" s="17">
        <f t="shared" si="37"/>
        <v>51.139399999999995</v>
      </c>
      <c r="H637" s="17">
        <f t="shared" si="37"/>
        <v>51.004683333333332</v>
      </c>
      <c r="I637" s="17">
        <f t="shared" si="37"/>
        <v>51.004683333333332</v>
      </c>
      <c r="J637" s="17">
        <f t="shared" si="37"/>
        <v>51.004683333333332</v>
      </c>
      <c r="K637" s="17">
        <f t="shared" si="37"/>
        <v>51.004683333333332</v>
      </c>
      <c r="L637" s="17"/>
    </row>
    <row r="638" spans="1:12" ht="15" x14ac:dyDescent="0.2">
      <c r="A638" s="11">
        <f t="shared" si="25"/>
        <v>2050</v>
      </c>
      <c r="B638" s="17">
        <f>AVERAGE(B456:B467)</f>
        <v>52.34513333333333</v>
      </c>
      <c r="C638" s="17">
        <f>AVERAGE(C456:C467)</f>
        <v>51.912866666666666</v>
      </c>
      <c r="D638" s="17"/>
      <c r="E638" s="17">
        <f t="shared" ref="E638:K638" si="38">AVERAGE(E456:E467)</f>
        <v>51.776225000000004</v>
      </c>
      <c r="F638" s="17">
        <f t="shared" si="38"/>
        <v>51.776225000000004</v>
      </c>
      <c r="G638" s="17">
        <f t="shared" si="38"/>
        <v>52.047583333333328</v>
      </c>
      <c r="H638" s="17">
        <f t="shared" si="38"/>
        <v>51.912866666666666</v>
      </c>
      <c r="I638" s="17">
        <f t="shared" si="38"/>
        <v>51.912866666666666</v>
      </c>
      <c r="J638" s="17">
        <f t="shared" si="38"/>
        <v>51.912866666666666</v>
      </c>
      <c r="K638" s="17">
        <f t="shared" si="38"/>
        <v>51.912866666666666</v>
      </c>
      <c r="L638" s="17"/>
    </row>
    <row r="639" spans="1:12" ht="15" x14ac:dyDescent="0.2">
      <c r="A639" s="11">
        <f t="shared" si="25"/>
        <v>2051</v>
      </c>
      <c r="B639" s="17">
        <f>AVERAGE(B468:B479)</f>
        <v>53.270091666666666</v>
      </c>
      <c r="C639" s="17">
        <f>AVERAGE(C468:C479)</f>
        <v>52.837858333333322</v>
      </c>
      <c r="D639" s="17"/>
      <c r="E639" s="17">
        <f t="shared" ref="E639:K639" si="39">AVERAGE(E468:E479)</f>
        <v>52.701191666666666</v>
      </c>
      <c r="F639" s="17">
        <f t="shared" si="39"/>
        <v>52.701191666666666</v>
      </c>
      <c r="G639" s="17">
        <f t="shared" si="39"/>
        <v>52.972558333333325</v>
      </c>
      <c r="H639" s="17">
        <f t="shared" si="39"/>
        <v>52.837858333333322</v>
      </c>
      <c r="I639" s="17">
        <f t="shared" si="39"/>
        <v>52.837858333333322</v>
      </c>
      <c r="J639" s="17">
        <f t="shared" si="39"/>
        <v>52.837858333333322</v>
      </c>
      <c r="K639" s="17">
        <f t="shared" si="39"/>
        <v>52.837858333333322</v>
      </c>
      <c r="L639" s="17"/>
    </row>
    <row r="640" spans="1:12" ht="15" x14ac:dyDescent="0.2">
      <c r="A640" s="11">
        <f t="shared" si="25"/>
        <v>2052</v>
      </c>
      <c r="B640" s="17">
        <f>AVERAGE(B480:B491)</f>
        <v>54.212175000000002</v>
      </c>
      <c r="C640" s="17">
        <f>AVERAGE(C480:C491)</f>
        <v>53.779916666666658</v>
      </c>
      <c r="D640" s="17"/>
      <c r="E640" s="17">
        <f t="shared" ref="E640:K640" si="40">AVERAGE(E480:E491)</f>
        <v>53.643258333333328</v>
      </c>
      <c r="F640" s="17">
        <f t="shared" si="40"/>
        <v>53.643258333333328</v>
      </c>
      <c r="G640" s="17">
        <f t="shared" si="40"/>
        <v>53.91461666666666</v>
      </c>
      <c r="H640" s="17">
        <f t="shared" si="40"/>
        <v>53.779916666666658</v>
      </c>
      <c r="I640" s="17">
        <f t="shared" si="40"/>
        <v>53.779916666666658</v>
      </c>
      <c r="J640" s="17">
        <f t="shared" si="40"/>
        <v>53.779916666666658</v>
      </c>
      <c r="K640" s="17">
        <f t="shared" si="40"/>
        <v>53.779916666666658</v>
      </c>
      <c r="L640" s="17"/>
    </row>
    <row r="641" spans="1:12" ht="15" x14ac:dyDescent="0.2">
      <c r="A641" s="11">
        <f t="shared" si="25"/>
        <v>2053</v>
      </c>
      <c r="B641" s="17">
        <f>AVERAGE(B492:B503)</f>
        <v>55.171625000000006</v>
      </c>
      <c r="C641" s="17">
        <f>AVERAGE(C492:C503)</f>
        <v>54.739399999999996</v>
      </c>
      <c r="D641" s="17"/>
      <c r="E641" s="17">
        <f t="shared" ref="E641:K641" si="41">AVERAGE(E492:E503)</f>
        <v>54.602724999999992</v>
      </c>
      <c r="F641" s="17">
        <f t="shared" si="41"/>
        <v>54.602724999999992</v>
      </c>
      <c r="G641" s="17">
        <f t="shared" si="41"/>
        <v>54.874116666666673</v>
      </c>
      <c r="H641" s="17">
        <f t="shared" si="41"/>
        <v>54.739399999999996</v>
      </c>
      <c r="I641" s="17">
        <f t="shared" si="41"/>
        <v>54.739399999999996</v>
      </c>
      <c r="J641" s="17">
        <f t="shared" si="41"/>
        <v>54.739399999999996</v>
      </c>
      <c r="K641" s="17">
        <f t="shared" si="41"/>
        <v>54.739399999999996</v>
      </c>
      <c r="L641" s="17"/>
    </row>
    <row r="642" spans="1:12" ht="15" x14ac:dyDescent="0.2">
      <c r="A642" s="11">
        <f t="shared" si="25"/>
        <v>2054</v>
      </c>
      <c r="B642" s="17">
        <f>AVERAGE(B504:B515)</f>
        <v>56.148866666666663</v>
      </c>
      <c r="C642" s="17">
        <f>AVERAGE(C504:C515)</f>
        <v>55.7166</v>
      </c>
      <c r="D642" s="17"/>
      <c r="E642" s="17">
        <f t="shared" ref="E642:K642" si="42">AVERAGE(E504:E515)</f>
        <v>55.579949999999997</v>
      </c>
      <c r="F642" s="17">
        <f t="shared" si="42"/>
        <v>55.579949999999997</v>
      </c>
      <c r="G642" s="17">
        <f t="shared" si="42"/>
        <v>55.851308333333321</v>
      </c>
      <c r="H642" s="17">
        <f t="shared" si="42"/>
        <v>55.7166</v>
      </c>
      <c r="I642" s="17">
        <f t="shared" si="42"/>
        <v>55.7166</v>
      </c>
      <c r="J642" s="17">
        <f t="shared" si="42"/>
        <v>55.7166</v>
      </c>
      <c r="K642" s="17">
        <f t="shared" si="42"/>
        <v>55.7166</v>
      </c>
      <c r="L642" s="17"/>
    </row>
    <row r="643" spans="1:12" ht="15" x14ac:dyDescent="0.2">
      <c r="A643" s="11">
        <f t="shared" si="25"/>
        <v>2055</v>
      </c>
      <c r="B643" s="17">
        <f>AVERAGE(B516:B527)</f>
        <v>57.144124999999995</v>
      </c>
      <c r="C643" s="17">
        <f>AVERAGE(C516:C527)</f>
        <v>56.711858333333339</v>
      </c>
      <c r="D643" s="17"/>
      <c r="E643" s="17">
        <f t="shared" ref="E643:K643" si="43">AVERAGE(E516:E527)</f>
        <v>56.575224999999996</v>
      </c>
      <c r="F643" s="17">
        <f t="shared" si="43"/>
        <v>56.575224999999996</v>
      </c>
      <c r="G643" s="17">
        <f t="shared" si="43"/>
        <v>56.846583333333321</v>
      </c>
      <c r="H643" s="17">
        <f t="shared" si="43"/>
        <v>56.711858333333339</v>
      </c>
      <c r="I643" s="17">
        <f t="shared" si="43"/>
        <v>56.711858333333339</v>
      </c>
      <c r="J643" s="17">
        <f t="shared" si="43"/>
        <v>56.711858333333339</v>
      </c>
      <c r="K643" s="17">
        <f t="shared" si="43"/>
        <v>56.711858333333339</v>
      </c>
      <c r="L643" s="17"/>
    </row>
    <row r="644" spans="1:12" ht="15" x14ac:dyDescent="0.2">
      <c r="A644" s="11">
        <f t="shared" si="25"/>
        <v>2056</v>
      </c>
      <c r="B644" s="17">
        <f>AVERAGE(B528:B539)</f>
        <v>58.157783333333327</v>
      </c>
      <c r="C644" s="17">
        <f>AVERAGE(C528:C539)</f>
        <v>57.725533333333338</v>
      </c>
      <c r="D644" s="17"/>
      <c r="E644" s="17">
        <f t="shared" ref="E644:K644" si="44">AVERAGE(E528:E539)</f>
        <v>57.588883333333335</v>
      </c>
      <c r="F644" s="17">
        <f t="shared" si="44"/>
        <v>57.588883333333335</v>
      </c>
      <c r="G644" s="17">
        <f t="shared" si="44"/>
        <v>57.860266666666661</v>
      </c>
      <c r="H644" s="17">
        <f t="shared" si="44"/>
        <v>57.725533333333338</v>
      </c>
      <c r="I644" s="17">
        <f t="shared" si="44"/>
        <v>57.725533333333338</v>
      </c>
      <c r="J644" s="17">
        <f t="shared" si="44"/>
        <v>57.725533333333338</v>
      </c>
      <c r="K644" s="17">
        <f t="shared" si="44"/>
        <v>57.725533333333338</v>
      </c>
      <c r="L644" s="17"/>
    </row>
    <row r="645" spans="1:12" ht="15" x14ac:dyDescent="0.2">
      <c r="A645" s="11">
        <f t="shared" si="25"/>
        <v>2057</v>
      </c>
      <c r="B645" s="17">
        <f>AVERAGE(B540:B551)</f>
        <v>59.190191666666664</v>
      </c>
      <c r="C645" s="17">
        <f>AVERAGE(C540:C551)</f>
        <v>58.757941666666675</v>
      </c>
      <c r="D645" s="17"/>
      <c r="E645" s="17">
        <f t="shared" ref="E645:K645" si="45">AVERAGE(E540:E551)</f>
        <v>58.621283333333317</v>
      </c>
      <c r="F645" s="17">
        <f t="shared" si="45"/>
        <v>58.621283333333317</v>
      </c>
      <c r="G645" s="17">
        <f t="shared" si="45"/>
        <v>58.892641666666655</v>
      </c>
      <c r="H645" s="17">
        <f t="shared" si="45"/>
        <v>58.757941666666675</v>
      </c>
      <c r="I645" s="17">
        <f t="shared" si="45"/>
        <v>58.757941666666675</v>
      </c>
      <c r="J645" s="17">
        <f t="shared" si="45"/>
        <v>58.757941666666675</v>
      </c>
      <c r="K645" s="17">
        <f t="shared" si="45"/>
        <v>58.757941666666675</v>
      </c>
      <c r="L645" s="17"/>
    </row>
    <row r="646" spans="1:12" ht="15" x14ac:dyDescent="0.2">
      <c r="A646" s="11">
        <f t="shared" si="25"/>
        <v>2058</v>
      </c>
      <c r="B646" s="17">
        <f>AVERAGE(B552:B563)</f>
        <v>60.241658333333334</v>
      </c>
      <c r="C646" s="17">
        <f>AVERAGE(C552:C563)</f>
        <v>59.809416666666664</v>
      </c>
      <c r="D646" s="17"/>
      <c r="E646" s="17">
        <f t="shared" ref="E646:K646" si="46">AVERAGE(E552:E563)</f>
        <v>59.67275833333332</v>
      </c>
      <c r="F646" s="17">
        <f t="shared" si="46"/>
        <v>59.67275833333332</v>
      </c>
      <c r="G646" s="17">
        <f t="shared" si="46"/>
        <v>59.944124999999993</v>
      </c>
      <c r="H646" s="17">
        <f t="shared" si="46"/>
        <v>59.809416666666664</v>
      </c>
      <c r="I646" s="17">
        <f t="shared" si="46"/>
        <v>59.809416666666664</v>
      </c>
      <c r="J646" s="17">
        <f t="shared" si="46"/>
        <v>59.809416666666664</v>
      </c>
      <c r="K646" s="17">
        <f t="shared" si="46"/>
        <v>59.809416666666664</v>
      </c>
      <c r="L646" s="17"/>
    </row>
    <row r="647" spans="1:12" ht="15" x14ac:dyDescent="0.2">
      <c r="A647" s="11">
        <f t="shared" si="25"/>
        <v>2059</v>
      </c>
      <c r="B647" s="17">
        <f>AVERAGE(B564:B575)</f>
        <v>61.312575000000002</v>
      </c>
      <c r="C647" s="17">
        <f>AVERAGE(C564:C575)</f>
        <v>60.880324999999999</v>
      </c>
      <c r="D647" s="17"/>
      <c r="E647" s="17">
        <f t="shared" ref="E647:K647" si="47">AVERAGE(E564:E575)</f>
        <v>60.743674999999996</v>
      </c>
      <c r="F647" s="17">
        <f t="shared" si="47"/>
        <v>60.743674999999996</v>
      </c>
      <c r="G647" s="17">
        <f t="shared" si="47"/>
        <v>61.015033333333321</v>
      </c>
      <c r="H647" s="17">
        <f t="shared" si="47"/>
        <v>60.880324999999999</v>
      </c>
      <c r="I647" s="17">
        <f t="shared" si="47"/>
        <v>60.880324999999999</v>
      </c>
      <c r="J647" s="17">
        <f t="shared" si="47"/>
        <v>60.880324999999999</v>
      </c>
      <c r="K647" s="17">
        <f t="shared" si="47"/>
        <v>60.880324999999999</v>
      </c>
      <c r="L647" s="17"/>
    </row>
    <row r="648" spans="1:12" ht="15" x14ac:dyDescent="0.2">
      <c r="A648" s="11">
        <f t="shared" si="25"/>
        <v>2060</v>
      </c>
      <c r="B648" s="17">
        <f>AVERAGE(B576:B587)</f>
        <v>62.403258333333333</v>
      </c>
      <c r="C648" s="17">
        <f>AVERAGE(C576:C587)</f>
        <v>61.971024999999997</v>
      </c>
      <c r="D648" s="17"/>
      <c r="E648" s="17">
        <f t="shared" ref="E648:K648" si="48">AVERAGE(E576:E587)</f>
        <v>61.834358333333334</v>
      </c>
      <c r="F648" s="17">
        <f t="shared" si="48"/>
        <v>61.834358333333334</v>
      </c>
      <c r="G648" s="17">
        <f t="shared" si="48"/>
        <v>62.105725</v>
      </c>
      <c r="H648" s="17">
        <f t="shared" si="48"/>
        <v>61.971024999999997</v>
      </c>
      <c r="I648" s="17">
        <f t="shared" si="48"/>
        <v>61.971024999999997</v>
      </c>
      <c r="J648" s="17">
        <f t="shared" si="48"/>
        <v>61.971024999999997</v>
      </c>
      <c r="K648" s="17">
        <f t="shared" si="48"/>
        <v>61.971024999999997</v>
      </c>
      <c r="L648" s="17"/>
    </row>
    <row r="649" spans="1:12" ht="15" x14ac:dyDescent="0.2">
      <c r="A649" s="11">
        <f t="shared" si="25"/>
        <v>2061</v>
      </c>
      <c r="B649" s="17">
        <f>AVERAGE(B588:B599)</f>
        <v>63.514108333333333</v>
      </c>
      <c r="C649" s="17">
        <f>AVERAGE(C588:C599)</f>
        <v>63.08188333333333</v>
      </c>
      <c r="D649" s="17"/>
      <c r="E649" s="17">
        <f t="shared" ref="E649:K649" si="49">AVERAGE(E588:E599)</f>
        <v>62.945208333333319</v>
      </c>
      <c r="F649" s="17">
        <f t="shared" si="49"/>
        <v>62.945208333333319</v>
      </c>
      <c r="G649" s="17">
        <f t="shared" si="49"/>
        <v>63.216599999999993</v>
      </c>
      <c r="H649" s="17">
        <f t="shared" si="49"/>
        <v>63.08188333333333</v>
      </c>
      <c r="I649" s="17">
        <f t="shared" si="49"/>
        <v>63.08188333333333</v>
      </c>
      <c r="J649" s="17">
        <f t="shared" si="49"/>
        <v>63.08188333333333</v>
      </c>
      <c r="K649" s="17">
        <f t="shared" si="49"/>
        <v>63.08188333333333</v>
      </c>
      <c r="L649" s="17"/>
    </row>
    <row r="650" spans="1:12" x14ac:dyDescent="0.2">
      <c r="A650" s="8"/>
    </row>
    <row r="651" spans="1:12" x14ac:dyDescent="0.2">
      <c r="A651" s="8"/>
    </row>
    <row r="652" spans="1:12" x14ac:dyDescent="0.2">
      <c r="A652" s="8"/>
    </row>
    <row r="653" spans="1:12" x14ac:dyDescent="0.2">
      <c r="A653" s="8"/>
    </row>
    <row r="654" spans="1:12" x14ac:dyDescent="0.2">
      <c r="A654" s="8"/>
    </row>
    <row r="655" spans="1:12" x14ac:dyDescent="0.2">
      <c r="A655" s="8"/>
    </row>
    <row r="656" spans="1:12" x14ac:dyDescent="0.2">
      <c r="A656" s="8"/>
    </row>
    <row r="657" spans="1:1" x14ac:dyDescent="0.2">
      <c r="A657" s="8"/>
    </row>
    <row r="658" spans="1:1" x14ac:dyDescent="0.2">
      <c r="A658" s="8"/>
    </row>
    <row r="659" spans="1:1" x14ac:dyDescent="0.2">
      <c r="A659" s="8"/>
    </row>
    <row r="660" spans="1:1" x14ac:dyDescent="0.2">
      <c r="A660" s="8"/>
    </row>
    <row r="661" spans="1:1" x14ac:dyDescent="0.2">
      <c r="A661" s="8"/>
    </row>
    <row r="662" spans="1:1" x14ac:dyDescent="0.2">
      <c r="A662" s="8"/>
    </row>
    <row r="663" spans="1:1" x14ac:dyDescent="0.2">
      <c r="A663" s="8"/>
    </row>
    <row r="664" spans="1:1" x14ac:dyDescent="0.2">
      <c r="A664" s="8"/>
    </row>
    <row r="665" spans="1:1" x14ac:dyDescent="0.2">
      <c r="A665" s="8"/>
    </row>
    <row r="666" spans="1:1" x14ac:dyDescent="0.2">
      <c r="A666" s="8"/>
    </row>
    <row r="667" spans="1:1" x14ac:dyDescent="0.2">
      <c r="A667" s="8"/>
    </row>
    <row r="668" spans="1:1" x14ac:dyDescent="0.2">
      <c r="A668" s="8"/>
    </row>
    <row r="669" spans="1:1" x14ac:dyDescent="0.2">
      <c r="A669" s="8"/>
    </row>
    <row r="670" spans="1:1" x14ac:dyDescent="0.2">
      <c r="A670" s="8"/>
    </row>
    <row r="671" spans="1:1" x14ac:dyDescent="0.2">
      <c r="A671" s="8"/>
    </row>
    <row r="672" spans="1:1" x14ac:dyDescent="0.2">
      <c r="A672" s="8"/>
    </row>
    <row r="673" spans="1:1" x14ac:dyDescent="0.2">
      <c r="A673" s="8"/>
    </row>
    <row r="674" spans="1:1" x14ac:dyDescent="0.2">
      <c r="A674" s="8"/>
    </row>
    <row r="675" spans="1:1" x14ac:dyDescent="0.2">
      <c r="A675" s="8"/>
    </row>
    <row r="676" spans="1:1" x14ac:dyDescent="0.2">
      <c r="A676" s="8"/>
    </row>
    <row r="677" spans="1:1" x14ac:dyDescent="0.2">
      <c r="A677" s="8"/>
    </row>
    <row r="678" spans="1:1" x14ac:dyDescent="0.2">
      <c r="A678" s="8"/>
    </row>
    <row r="679" spans="1:1" x14ac:dyDescent="0.2">
      <c r="A679" s="8"/>
    </row>
    <row r="680" spans="1:1" x14ac:dyDescent="0.2">
      <c r="A680" s="8"/>
    </row>
    <row r="681" spans="1:1" x14ac:dyDescent="0.2">
      <c r="A681" s="8"/>
    </row>
    <row r="682" spans="1:1" x14ac:dyDescent="0.2">
      <c r="A682" s="8"/>
    </row>
    <row r="683" spans="1:1" x14ac:dyDescent="0.2">
      <c r="A683" s="8"/>
    </row>
    <row r="684" spans="1:1" x14ac:dyDescent="0.2">
      <c r="A684" s="8"/>
    </row>
    <row r="685" spans="1:1" x14ac:dyDescent="0.2">
      <c r="A685" s="8"/>
    </row>
    <row r="686" spans="1:1" x14ac:dyDescent="0.2">
      <c r="A686" s="8"/>
    </row>
    <row r="687" spans="1:1" x14ac:dyDescent="0.2">
      <c r="A687" s="8"/>
    </row>
    <row r="688" spans="1:1" x14ac:dyDescent="0.2">
      <c r="A688" s="8"/>
    </row>
    <row r="689" spans="1:1" x14ac:dyDescent="0.2">
      <c r="A689" s="8"/>
    </row>
    <row r="690" spans="1:1" x14ac:dyDescent="0.2">
      <c r="A690" s="8"/>
    </row>
    <row r="691" spans="1:1" x14ac:dyDescent="0.2">
      <c r="A691" s="8"/>
    </row>
    <row r="692" spans="1:1" x14ac:dyDescent="0.2">
      <c r="A692" s="8"/>
    </row>
    <row r="693" spans="1:1" x14ac:dyDescent="0.2">
      <c r="A693" s="8"/>
    </row>
    <row r="694" spans="1:1" x14ac:dyDescent="0.2">
      <c r="A694" s="8"/>
    </row>
    <row r="695" spans="1:1" x14ac:dyDescent="0.2">
      <c r="A695" s="8"/>
    </row>
    <row r="696" spans="1:1" x14ac:dyDescent="0.2">
      <c r="A696" s="8"/>
    </row>
    <row r="697" spans="1:1" x14ac:dyDescent="0.2">
      <c r="A697" s="8"/>
    </row>
    <row r="698" spans="1:1" x14ac:dyDescent="0.2">
      <c r="A698" s="8"/>
    </row>
    <row r="699" spans="1:1" x14ac:dyDescent="0.2">
      <c r="A699" s="8"/>
    </row>
    <row r="700" spans="1:1" x14ac:dyDescent="0.2">
      <c r="A700" s="8"/>
    </row>
    <row r="701" spans="1:1" x14ac:dyDescent="0.2">
      <c r="A701" s="8"/>
    </row>
    <row r="702" spans="1:1" x14ac:dyDescent="0.2">
      <c r="A702" s="8"/>
    </row>
    <row r="703" spans="1:1" x14ac:dyDescent="0.2">
      <c r="A703" s="8"/>
    </row>
    <row r="704" spans="1:1" x14ac:dyDescent="0.2">
      <c r="A704" s="8"/>
    </row>
    <row r="705" spans="1:1" x14ac:dyDescent="0.2">
      <c r="A705" s="8"/>
    </row>
    <row r="706" spans="1:1" x14ac:dyDescent="0.2">
      <c r="A706" s="8"/>
    </row>
    <row r="707" spans="1:1" x14ac:dyDescent="0.2">
      <c r="A707" s="8"/>
    </row>
    <row r="708" spans="1:1" x14ac:dyDescent="0.2">
      <c r="A708" s="8"/>
    </row>
  </sheetData>
  <pageMargins left="0.25" right="0.25" top="0.5" bottom="0.5" header="0.25" footer="0.25"/>
  <pageSetup paperSize="17" scale="90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6</xdr:col>
                    <xdr:colOff>104775</xdr:colOff>
                    <xdr:row>7</xdr:row>
                    <xdr:rowOff>85725</xdr:rowOff>
                  </from>
                  <to>
                    <xdr:col>7</xdr:col>
                    <xdr:colOff>104775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7</xdr:col>
                    <xdr:colOff>295275</xdr:colOff>
                    <xdr:row>7</xdr:row>
                    <xdr:rowOff>114300</xdr:rowOff>
                  </from>
                  <to>
                    <xdr:col>8</xdr:col>
                    <xdr:colOff>295275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K708"/>
  <sheetViews>
    <sheetView zoomScale="75" workbookViewId="0">
      <pane xSplit="1" ySplit="11" topLeftCell="B12" activePane="bottomRight" state="frozen"/>
      <selection activeCell="A6" sqref="A6"/>
      <selection pane="topRight" activeCell="A6" sqref="A6"/>
      <selection pane="bottomLeft" activeCell="A6" sqref="A6"/>
      <selection pane="bottomRight" activeCell="B12" sqref="B12"/>
    </sheetView>
  </sheetViews>
  <sheetFormatPr defaultColWidth="7.109375" defaultRowHeight="12.75" x14ac:dyDescent="0.2"/>
  <cols>
    <col min="1" max="1" width="18.44140625" style="34" customWidth="1"/>
    <col min="2" max="3" width="14.5546875" style="34" customWidth="1"/>
    <col min="4" max="4" width="16.88671875" style="34" customWidth="1"/>
    <col min="5" max="5" width="14.5546875" style="34" customWidth="1"/>
    <col min="6" max="6" width="16.77734375" style="34" customWidth="1"/>
    <col min="7" max="9" width="14.5546875" style="34" customWidth="1"/>
    <col min="10" max="10" width="12.21875" style="8" customWidth="1"/>
    <col min="11" max="11" width="9.6640625" style="8" customWidth="1"/>
    <col min="12" max="16384" width="7.109375" style="8"/>
  </cols>
  <sheetData>
    <row r="1" spans="1:10" ht="15.75" x14ac:dyDescent="0.25">
      <c r="A1" s="103" t="s">
        <v>91</v>
      </c>
    </row>
    <row r="2" spans="1:10" ht="15.75" x14ac:dyDescent="0.25">
      <c r="A2" s="103" t="s">
        <v>92</v>
      </c>
    </row>
    <row r="3" spans="1:10" ht="15.75" x14ac:dyDescent="0.25">
      <c r="A3" s="103" t="s">
        <v>93</v>
      </c>
    </row>
    <row r="4" spans="1:10" ht="15.75" x14ac:dyDescent="0.25">
      <c r="A4" s="103" t="s">
        <v>94</v>
      </c>
    </row>
    <row r="5" spans="1:10" ht="15.75" x14ac:dyDescent="0.25">
      <c r="A5" s="103" t="s">
        <v>96</v>
      </c>
    </row>
    <row r="6" spans="1:10" ht="15.75" x14ac:dyDescent="0.25">
      <c r="A6" s="103" t="s">
        <v>99</v>
      </c>
    </row>
    <row r="8" spans="1:10" ht="15.75" x14ac:dyDescent="0.25">
      <c r="A8" s="47" t="s">
        <v>27</v>
      </c>
      <c r="B8" s="48"/>
      <c r="C8" s="42"/>
    </row>
    <row r="9" spans="1:10" ht="15.75" x14ac:dyDescent="0.25">
      <c r="A9" s="47"/>
      <c r="B9" s="42"/>
      <c r="C9" s="42"/>
      <c r="D9" s="41" t="s">
        <v>25</v>
      </c>
      <c r="E9" s="40">
        <f>1-0.278</f>
        <v>0.72199999999999998</v>
      </c>
      <c r="F9" s="41" t="s">
        <v>24</v>
      </c>
      <c r="G9" s="40">
        <v>1.278</v>
      </c>
    </row>
    <row r="10" spans="1:10" s="36" customFormat="1" ht="34.9" customHeight="1" x14ac:dyDescent="0.25">
      <c r="B10" s="39" t="s">
        <v>48</v>
      </c>
      <c r="C10" s="37" t="s">
        <v>47</v>
      </c>
      <c r="D10" s="39" t="s">
        <v>46</v>
      </c>
      <c r="E10" s="37" t="s">
        <v>45</v>
      </c>
      <c r="F10" s="39" t="s">
        <v>44</v>
      </c>
      <c r="G10" s="37" t="s">
        <v>43</v>
      </c>
      <c r="H10" s="37" t="s">
        <v>42</v>
      </c>
      <c r="I10" s="39" t="s">
        <v>41</v>
      </c>
      <c r="J10" s="37" t="s">
        <v>40</v>
      </c>
    </row>
    <row r="11" spans="1:10" s="36" customFormat="1" ht="13.15" customHeight="1" x14ac:dyDescent="0.25">
      <c r="A11" s="38" t="s">
        <v>15</v>
      </c>
      <c r="B11" s="38" t="s">
        <v>14</v>
      </c>
      <c r="C11" s="38" t="s">
        <v>14</v>
      </c>
      <c r="D11" s="38" t="s">
        <v>14</v>
      </c>
      <c r="E11" s="38" t="s">
        <v>14</v>
      </c>
      <c r="F11" s="38" t="s">
        <v>14</v>
      </c>
      <c r="G11" s="38" t="s">
        <v>14</v>
      </c>
      <c r="H11" s="38" t="s">
        <v>14</v>
      </c>
      <c r="I11" s="38" t="s">
        <v>14</v>
      </c>
      <c r="J11" s="38" t="s">
        <v>39</v>
      </c>
    </row>
    <row r="12" spans="1:10" ht="15" x14ac:dyDescent="0.2">
      <c r="A12" s="16">
        <v>41275</v>
      </c>
      <c r="B12" s="17">
        <v>17.168546651911999</v>
      </c>
      <c r="C12" s="17">
        <v>16.439606021331599</v>
      </c>
      <c r="D12" s="17">
        <v>16.431793521331599</v>
      </c>
      <c r="E12" s="17">
        <v>16.431793521331599</v>
      </c>
      <c r="F12" s="17">
        <v>16.378668521331601</v>
      </c>
      <c r="G12" s="17">
        <v>16.438043521331601</v>
      </c>
      <c r="H12" s="17">
        <v>16.438043521331601</v>
      </c>
      <c r="I12" s="17">
        <v>16.439606021331599</v>
      </c>
      <c r="J12" s="45">
        <f>89.51</f>
        <v>89.51</v>
      </c>
    </row>
    <row r="13" spans="1:10" ht="15" x14ac:dyDescent="0.2">
      <c r="A13" s="16">
        <v>41306</v>
      </c>
      <c r="B13" s="17">
        <f>16.9297 * CHOOSE(CONTROL!$C$15, $E$9, 100%, $G$9) + CHOOSE(CONTROL!$C$38, 0.0342, 0)</f>
        <v>16.963899999999999</v>
      </c>
      <c r="C13" s="17">
        <f>16.1875 * CHOOSE(CONTROL!$C$15, $E$9, 100%, $G$9) + CHOOSE(CONTROL!$C$38, 0.0343, 0)</f>
        <v>16.221800000000002</v>
      </c>
      <c r="D13" s="17">
        <f>16.1797 * CHOOSE(CONTROL!$C$15, $E$9, 100%, $G$9) + CHOOSE(CONTROL!$C$38, 0.0343, 0)</f>
        <v>16.213999999999999</v>
      </c>
      <c r="E13" s="17">
        <f>16.1797 * CHOOSE(CONTROL!$C$15, $E$9, 100%, $G$9) + CHOOSE(CONTROL!$C$38, 0.0343, 0)</f>
        <v>16.213999999999999</v>
      </c>
      <c r="F13" s="17">
        <f>16.1266 * CHOOSE(CONTROL!$C$15, $E$9, 100%, $G$9) + CHOOSE(CONTROL!$C$38, 0.0343, 0)</f>
        <v>16.160899999999998</v>
      </c>
      <c r="G13" s="17">
        <f>16.1859 * CHOOSE(CONTROL!$C$15, $E$9, 100%, $G$9) + CHOOSE(CONTROL!$C$38, 0.0343, 0)</f>
        <v>16.220199999999998</v>
      </c>
      <c r="H13" s="17">
        <f>16.1859 * CHOOSE(CONTROL!$C$15, $E$9, 100%, $G$9) + CHOOSE(CONTROL!$C$38, 0.0343, 0)</f>
        <v>16.220199999999998</v>
      </c>
      <c r="I13" s="17">
        <f>16.1875 * CHOOSE(CONTROL!$C$15, $E$9, 100%, $G$9) + CHOOSE(CONTROL!$C$38, 0.0343, 0)</f>
        <v>16.221800000000002</v>
      </c>
      <c r="J13" s="45">
        <f>93.19</f>
        <v>93.19</v>
      </c>
    </row>
    <row r="14" spans="1:10" ht="15" x14ac:dyDescent="0.2">
      <c r="A14" s="16">
        <v>41334</v>
      </c>
      <c r="B14" s="17">
        <f>16.8516 * CHOOSE(CONTROL!$C$15, $E$9, 100%, $G$9) + CHOOSE(CONTROL!$C$38, 0.0342, 0)</f>
        <v>16.8858</v>
      </c>
      <c r="C14" s="17">
        <f>16.1094 * CHOOSE(CONTROL!$C$15, $E$9, 100%, $G$9) + CHOOSE(CONTROL!$C$38, 0.0343, 0)</f>
        <v>16.143700000000003</v>
      </c>
      <c r="D14" s="17">
        <f>16.1016 * CHOOSE(CONTROL!$C$15, $E$9, 100%, $G$9) + CHOOSE(CONTROL!$C$38, 0.0343, 0)</f>
        <v>16.135899999999999</v>
      </c>
      <c r="E14" s="17">
        <f>16.1016 * CHOOSE(CONTROL!$C$15, $E$9, 100%, $G$9) + CHOOSE(CONTROL!$C$38, 0.0343, 0)</f>
        <v>16.135899999999999</v>
      </c>
      <c r="F14" s="17">
        <f>16.0484 * CHOOSE(CONTROL!$C$15, $E$9, 100%, $G$9) + CHOOSE(CONTROL!$C$38, 0.0343, 0)</f>
        <v>16.082700000000003</v>
      </c>
      <c r="G14" s="17">
        <f>16.1078 * CHOOSE(CONTROL!$C$15, $E$9, 100%, $G$9) + CHOOSE(CONTROL!$C$38, 0.0343, 0)</f>
        <v>16.142099999999999</v>
      </c>
      <c r="H14" s="17">
        <f>16.1078 * CHOOSE(CONTROL!$C$15, $E$9, 100%, $G$9) + CHOOSE(CONTROL!$C$38, 0.0343, 0)</f>
        <v>16.142099999999999</v>
      </c>
      <c r="I14" s="17">
        <f>16.1094 * CHOOSE(CONTROL!$C$15, $E$9, 100%, $G$9) + CHOOSE(CONTROL!$C$38, 0.0343, 0)</f>
        <v>16.143700000000003</v>
      </c>
      <c r="J14" s="45">
        <f>93.63</f>
        <v>93.63</v>
      </c>
    </row>
    <row r="15" spans="1:10" ht="15" x14ac:dyDescent="0.2">
      <c r="A15" s="16">
        <v>41365</v>
      </c>
      <c r="B15" s="17">
        <f>16.8359 * CHOOSE(CONTROL!$C$15, $E$9, 100%, $G$9) + CHOOSE(CONTROL!$C$38, 0.0342, 0)</f>
        <v>16.870099999999997</v>
      </c>
      <c r="C15" s="17">
        <f>16.0547 * CHOOSE(CONTROL!$C$15, $E$9, 100%, $G$9) + CHOOSE(CONTROL!$C$38, 0.0343, 0)</f>
        <v>16.088999999999999</v>
      </c>
      <c r="D15" s="17">
        <f>16.0469 * CHOOSE(CONTROL!$C$15, $E$9, 100%, $G$9) + CHOOSE(CONTROL!$C$38, 0.0343, 0)</f>
        <v>16.081200000000003</v>
      </c>
      <c r="E15" s="17">
        <f>16.0469 * CHOOSE(CONTROL!$C$15, $E$9, 100%, $G$9) + CHOOSE(CONTROL!$C$38, 0.0343, 0)</f>
        <v>16.081200000000003</v>
      </c>
      <c r="F15" s="46">
        <f>16.8359 * CHOOSE(CONTROL!$C$15, $E$9, 100%, $G$9) + CHOOSE(CONTROL!$C$38, 0.0342, 0)</f>
        <v>16.870099999999997</v>
      </c>
      <c r="G15" s="17">
        <f>16.0531 * CHOOSE(CONTROL!$C$15, $E$9, 100%, $G$9) + CHOOSE(CONTROL!$C$38, 0.0343, 0)</f>
        <v>16.087400000000002</v>
      </c>
      <c r="H15" s="17">
        <f>16.0531 * CHOOSE(CONTROL!$C$15, $E$9, 100%, $G$9) + CHOOSE(CONTROL!$C$38, 0.0343, 0)</f>
        <v>16.087400000000002</v>
      </c>
      <c r="I15" s="17">
        <f>16.0547 * CHOOSE(CONTROL!$C$15, $E$9, 100%, $G$9) + CHOOSE(CONTROL!$C$38, 0.0343, 0)</f>
        <v>16.088999999999999</v>
      </c>
      <c r="J15" s="45">
        <f>94.02</f>
        <v>94.02</v>
      </c>
    </row>
    <row r="16" spans="1:10" ht="15" x14ac:dyDescent="0.2">
      <c r="A16" s="16">
        <v>41395</v>
      </c>
      <c r="B16" s="17">
        <f>16.7969 * CHOOSE(CONTROL!$C$15, $E$9, 100%, $G$9) + CHOOSE(CONTROL!$C$38, 0.0355, 0)</f>
        <v>16.8324</v>
      </c>
      <c r="C16" s="17">
        <f>16.0156 * CHOOSE(CONTROL!$C$15, $E$9, 100%, $G$9) + CHOOSE(CONTROL!$C$38, 0.0356, 0)</f>
        <v>16.051199999999998</v>
      </c>
      <c r="D16" s="17">
        <f>16.0078 * CHOOSE(CONTROL!$C$15, $E$9, 100%, $G$9) + CHOOSE(CONTROL!$C$38, 0.0356, 0)</f>
        <v>16.043399999999998</v>
      </c>
      <c r="E16" s="17">
        <f>16.0078 * CHOOSE(CONTROL!$C$15, $E$9, 100%, $G$9) + CHOOSE(CONTROL!$C$38, 0.0356, 0)</f>
        <v>16.043399999999998</v>
      </c>
      <c r="F16" s="46">
        <f>16.7969 * CHOOSE(CONTROL!$C$15, $E$9, 100%, $G$9) + CHOOSE(CONTROL!$C$38, 0.0355, 0)</f>
        <v>16.8324</v>
      </c>
      <c r="G16" s="17">
        <f>16.0141 * CHOOSE(CONTROL!$C$15, $E$9, 100%, $G$9) + CHOOSE(CONTROL!$C$38, 0.0356, 0)</f>
        <v>16.049699999999998</v>
      </c>
      <c r="H16" s="17">
        <f>16.0141 * CHOOSE(CONTROL!$C$15, $E$9, 100%, $G$9) + CHOOSE(CONTROL!$C$38, 0.0356, 0)</f>
        <v>16.049699999999998</v>
      </c>
      <c r="I16" s="17">
        <f>16.0156 * CHOOSE(CONTROL!$C$15, $E$9, 100%, $G$9) + CHOOSE(CONTROL!$C$38, 0.0356, 0)</f>
        <v>16.051199999999998</v>
      </c>
      <c r="J16" s="45">
        <f>94.33</f>
        <v>94.33</v>
      </c>
    </row>
    <row r="17" spans="1:10" ht="15" x14ac:dyDescent="0.2">
      <c r="A17" s="16">
        <v>41426</v>
      </c>
      <c r="B17" s="17">
        <f>16.8375 * CHOOSE(CONTROL!$C$15, $E$9, 100%, $G$9) + CHOOSE(CONTROL!$C$38, 0.0355, 0)</f>
        <v>16.872999999999998</v>
      </c>
      <c r="C17" s="17">
        <f>15.9766 * CHOOSE(CONTROL!$C$15, $E$9, 100%, $G$9) + CHOOSE(CONTROL!$C$38, 0.0356, 0)</f>
        <v>16.0122</v>
      </c>
      <c r="D17" s="17">
        <f>15.9687 * CHOOSE(CONTROL!$C$15, $E$9, 100%, $G$9) + CHOOSE(CONTROL!$C$38, 0.0356, 0)</f>
        <v>16.004300000000001</v>
      </c>
      <c r="E17" s="17">
        <f>15.9687 * CHOOSE(CONTROL!$C$15, $E$9, 100%, $G$9) + CHOOSE(CONTROL!$C$38, 0.0356, 0)</f>
        <v>16.004300000000001</v>
      </c>
      <c r="F17" s="46">
        <f>16.8375 * CHOOSE(CONTROL!$C$15, $E$9, 100%, $G$9) + CHOOSE(CONTROL!$C$38, 0.0355, 0)</f>
        <v>16.872999999999998</v>
      </c>
      <c r="G17" s="17">
        <f>15.975 * CHOOSE(CONTROL!$C$15, $E$9, 100%, $G$9) + CHOOSE(CONTROL!$C$38, 0.0356, 0)</f>
        <v>16.0106</v>
      </c>
      <c r="H17" s="17">
        <f>15.975 * CHOOSE(CONTROL!$C$15, $E$9, 100%, $G$9) + CHOOSE(CONTROL!$C$38, 0.0356, 0)</f>
        <v>16.0106</v>
      </c>
      <c r="I17" s="17">
        <f>15.9766 * CHOOSE(CONTROL!$C$15, $E$9, 100%, $G$9) + CHOOSE(CONTROL!$C$38, 0.0356, 0)</f>
        <v>16.0122</v>
      </c>
      <c r="J17" s="45">
        <f>94.54</f>
        <v>94.54</v>
      </c>
    </row>
    <row r="18" spans="1:10" ht="15" x14ac:dyDescent="0.2">
      <c r="A18" s="16">
        <v>41456</v>
      </c>
      <c r="B18" s="17">
        <f>16.75 * CHOOSE(CONTROL!$C$15, $E$9, 100%, $G$9) + CHOOSE(CONTROL!$C$38, 0.0355, 0)</f>
        <v>16.785499999999999</v>
      </c>
      <c r="C18" s="17">
        <f>15.8906 * CHOOSE(CONTROL!$C$15, $E$9, 100%, $G$9) + CHOOSE(CONTROL!$C$38, 0.0356, 0)</f>
        <v>15.9262</v>
      </c>
      <c r="D18" s="17">
        <f>15.8828 * CHOOSE(CONTROL!$C$15, $E$9, 100%, $G$9) + CHOOSE(CONTROL!$C$38, 0.0356, 0)</f>
        <v>15.9184</v>
      </c>
      <c r="E18" s="17">
        <f>15.8828 * CHOOSE(CONTROL!$C$15, $E$9, 100%, $G$9) + CHOOSE(CONTROL!$C$38, 0.0356, 0)</f>
        <v>15.9184</v>
      </c>
      <c r="F18" s="46">
        <f>16.75 * CHOOSE(CONTROL!$C$15, $E$9, 100%, $G$9) + CHOOSE(CONTROL!$C$38, 0.0355, 0)</f>
        <v>16.785499999999999</v>
      </c>
      <c r="G18" s="17">
        <f>15.8891 * CHOOSE(CONTROL!$C$15, $E$9, 100%, $G$9) + CHOOSE(CONTROL!$C$38, 0.0356, 0)</f>
        <v>15.9247</v>
      </c>
      <c r="H18" s="17">
        <f>15.8891 * CHOOSE(CONTROL!$C$15, $E$9, 100%, $G$9) + CHOOSE(CONTROL!$C$38, 0.0356, 0)</f>
        <v>15.9247</v>
      </c>
      <c r="I18" s="17">
        <f>15.8906 * CHOOSE(CONTROL!$C$15, $E$9, 100%, $G$9) + CHOOSE(CONTROL!$C$38, 0.0356, 0)</f>
        <v>15.9262</v>
      </c>
      <c r="J18" s="45">
        <f>94.67</f>
        <v>94.67</v>
      </c>
    </row>
    <row r="19" spans="1:10" ht="15" x14ac:dyDescent="0.2">
      <c r="A19" s="16">
        <v>41487</v>
      </c>
      <c r="B19" s="17">
        <f>16.75 * CHOOSE(CONTROL!$C$15, $E$9, 100%, $G$9) + CHOOSE(CONTROL!$C$38, 0.0355, 0)</f>
        <v>16.785499999999999</v>
      </c>
      <c r="C19" s="17">
        <f>15.8906 * CHOOSE(CONTROL!$C$15, $E$9, 100%, $G$9) + CHOOSE(CONTROL!$C$38, 0.0356, 0)</f>
        <v>15.9262</v>
      </c>
      <c r="D19" s="17">
        <f>15.8828 * CHOOSE(CONTROL!$C$15, $E$9, 100%, $G$9) + CHOOSE(CONTROL!$C$38, 0.0356, 0)</f>
        <v>15.9184</v>
      </c>
      <c r="E19" s="17">
        <f>15.8828 * CHOOSE(CONTROL!$C$15, $E$9, 100%, $G$9) + CHOOSE(CONTROL!$C$38, 0.0356, 0)</f>
        <v>15.9184</v>
      </c>
      <c r="F19" s="46">
        <f>16.75 * CHOOSE(CONTROL!$C$15, $E$9, 100%, $G$9) + CHOOSE(CONTROL!$C$38, 0.0355, 0)</f>
        <v>16.785499999999999</v>
      </c>
      <c r="G19" s="17">
        <f>15.8891 * CHOOSE(CONTROL!$C$15, $E$9, 100%, $G$9) + CHOOSE(CONTROL!$C$38, 0.0356, 0)</f>
        <v>15.9247</v>
      </c>
      <c r="H19" s="17">
        <f>15.8891 * CHOOSE(CONTROL!$C$15, $E$9, 100%, $G$9) + CHOOSE(CONTROL!$C$38, 0.0356, 0)</f>
        <v>15.9247</v>
      </c>
      <c r="I19" s="17">
        <f>15.8906 * CHOOSE(CONTROL!$C$15, $E$9, 100%, $G$9) + CHOOSE(CONTROL!$C$38, 0.0356, 0)</f>
        <v>15.9262</v>
      </c>
      <c r="J19" s="45">
        <f>94.67</f>
        <v>94.67</v>
      </c>
    </row>
    <row r="20" spans="1:10" ht="15" x14ac:dyDescent="0.2">
      <c r="A20" s="16">
        <v>41518</v>
      </c>
      <c r="B20" s="17">
        <f>16.75 * CHOOSE(CONTROL!$C$15, $E$9, 100%, $G$9) + CHOOSE(CONTROL!$C$38, 0.0355, 0)</f>
        <v>16.785499999999999</v>
      </c>
      <c r="C20" s="17">
        <f>15.8906 * CHOOSE(CONTROL!$C$15, $E$9, 100%, $G$9) + CHOOSE(CONTROL!$C$38, 0.0356, 0)</f>
        <v>15.9262</v>
      </c>
      <c r="D20" s="17">
        <f>15.8828 * CHOOSE(CONTROL!$C$15, $E$9, 100%, $G$9) + CHOOSE(CONTROL!$C$38, 0.0356, 0)</f>
        <v>15.9184</v>
      </c>
      <c r="E20" s="17">
        <f>15.8828 * CHOOSE(CONTROL!$C$15, $E$9, 100%, $G$9) + CHOOSE(CONTROL!$C$38, 0.0356, 0)</f>
        <v>15.9184</v>
      </c>
      <c r="F20" s="46">
        <f>16.75 * CHOOSE(CONTROL!$C$15, $E$9, 100%, $G$9) + CHOOSE(CONTROL!$C$38, 0.0355, 0)</f>
        <v>16.785499999999999</v>
      </c>
      <c r="G20" s="17">
        <f>15.8891 * CHOOSE(CONTROL!$C$15, $E$9, 100%, $G$9) + CHOOSE(CONTROL!$C$38, 0.0356, 0)</f>
        <v>15.9247</v>
      </c>
      <c r="H20" s="17">
        <f>15.8891 * CHOOSE(CONTROL!$C$15, $E$9, 100%, $G$9) + CHOOSE(CONTROL!$C$38, 0.0356, 0)</f>
        <v>15.9247</v>
      </c>
      <c r="I20" s="17">
        <f>15.8906 * CHOOSE(CONTROL!$C$15, $E$9, 100%, $G$9) + CHOOSE(CONTROL!$C$38, 0.0356, 0)</f>
        <v>15.9262</v>
      </c>
      <c r="J20" s="45">
        <f>94.57</f>
        <v>94.57</v>
      </c>
    </row>
    <row r="21" spans="1:10" ht="15" x14ac:dyDescent="0.2">
      <c r="A21" s="16">
        <v>41548</v>
      </c>
      <c r="B21" s="17">
        <f>16.4406 * CHOOSE(CONTROL!$C$15, $E$9, 100%, $G$9) + CHOOSE(CONTROL!$C$38, 0.0342, 0)</f>
        <v>16.474799999999998</v>
      </c>
      <c r="C21" s="17">
        <f>15.75 * CHOOSE(CONTROL!$C$15, $E$9, 100%, $G$9) + CHOOSE(CONTROL!$C$38, 0.0343, 0)</f>
        <v>15.7843</v>
      </c>
      <c r="D21" s="17">
        <f>15.7422 * CHOOSE(CONTROL!$C$15, $E$9, 100%, $G$9) + CHOOSE(CONTROL!$C$38, 0.0343, 0)</f>
        <v>15.7765</v>
      </c>
      <c r="E21" s="17">
        <f>15.7422 * CHOOSE(CONTROL!$C$15, $E$9, 100%, $G$9) + CHOOSE(CONTROL!$C$38, 0.0343, 0)</f>
        <v>15.7765</v>
      </c>
      <c r="F21" s="46">
        <f>16.4406 * CHOOSE(CONTROL!$C$15, $E$9, 100%, $G$9) + CHOOSE(CONTROL!$C$38, 0.0342, 0)</f>
        <v>16.474799999999998</v>
      </c>
      <c r="G21" s="17">
        <f>15.7484 * CHOOSE(CONTROL!$C$15, $E$9, 100%, $G$9) + CHOOSE(CONTROL!$C$38, 0.0343, 0)</f>
        <v>15.7827</v>
      </c>
      <c r="H21" s="17">
        <f>15.7484 * CHOOSE(CONTROL!$C$15, $E$9, 100%, $G$9) + CHOOSE(CONTROL!$C$38, 0.0343, 0)</f>
        <v>15.7827</v>
      </c>
      <c r="I21" s="17">
        <f>15.75 * CHOOSE(CONTROL!$C$15, $E$9, 100%, $G$9) + CHOOSE(CONTROL!$C$38, 0.0343, 0)</f>
        <v>15.7843</v>
      </c>
      <c r="J21" s="45">
        <f>94.38</f>
        <v>94.38</v>
      </c>
    </row>
    <row r="22" spans="1:10" ht="15" x14ac:dyDescent="0.2">
      <c r="A22" s="16">
        <v>41579</v>
      </c>
      <c r="B22" s="17">
        <f>16.4406 * CHOOSE(CONTROL!$C$15, $E$9, 100%, $G$9) + CHOOSE(CONTROL!$C$38, 0.0342, 0)</f>
        <v>16.474799999999998</v>
      </c>
      <c r="C22" s="17">
        <f>15.75 * CHOOSE(CONTROL!$C$15, $E$9, 100%, $G$9) + CHOOSE(CONTROL!$C$38, 0.0343, 0)</f>
        <v>15.7843</v>
      </c>
      <c r="D22" s="17">
        <f>15.7422 * CHOOSE(CONTROL!$C$15, $E$9, 100%, $G$9) + CHOOSE(CONTROL!$C$38, 0.0343, 0)</f>
        <v>15.7765</v>
      </c>
      <c r="E22" s="17">
        <f>15.7422 * CHOOSE(CONTROL!$C$15, $E$9, 100%, $G$9) + CHOOSE(CONTROL!$C$38, 0.0343, 0)</f>
        <v>15.7765</v>
      </c>
      <c r="F22" s="46">
        <f>16.4406 * CHOOSE(CONTROL!$C$15, $E$9, 100%, $G$9) + CHOOSE(CONTROL!$C$38, 0.0342, 0)</f>
        <v>16.474799999999998</v>
      </c>
      <c r="G22" s="17">
        <f>15.7484 * CHOOSE(CONTROL!$C$15, $E$9, 100%, $G$9) + CHOOSE(CONTROL!$C$38, 0.0343, 0)</f>
        <v>15.7827</v>
      </c>
      <c r="H22" s="17">
        <f>15.7484 * CHOOSE(CONTROL!$C$15, $E$9, 100%, $G$9) + CHOOSE(CONTROL!$C$38, 0.0343, 0)</f>
        <v>15.7827</v>
      </c>
      <c r="I22" s="17">
        <f>15.75 * CHOOSE(CONTROL!$C$15, $E$9, 100%, $G$9) + CHOOSE(CONTROL!$C$38, 0.0343, 0)</f>
        <v>15.7843</v>
      </c>
      <c r="J22" s="45">
        <f>94.18</f>
        <v>94.18</v>
      </c>
    </row>
    <row r="23" spans="1:10" ht="15" x14ac:dyDescent="0.2">
      <c r="A23" s="16">
        <v>41609</v>
      </c>
      <c r="B23" s="17">
        <f>16.4406 * CHOOSE(CONTROL!$C$15, $E$9, 100%, $G$9) + CHOOSE(CONTROL!$C$38, 0.0342, 0)</f>
        <v>16.474799999999998</v>
      </c>
      <c r="C23" s="17">
        <f>15.75 * CHOOSE(CONTROL!$C$15, $E$9, 100%, $G$9) + CHOOSE(CONTROL!$C$38, 0.0343, 0)</f>
        <v>15.7843</v>
      </c>
      <c r="D23" s="17">
        <f>15.7422 * CHOOSE(CONTROL!$C$15, $E$9, 100%, $G$9) + CHOOSE(CONTROL!$C$38, 0.0343, 0)</f>
        <v>15.7765</v>
      </c>
      <c r="E23" s="17">
        <f>15.7422 * CHOOSE(CONTROL!$C$15, $E$9, 100%, $G$9) + CHOOSE(CONTROL!$C$38, 0.0343, 0)</f>
        <v>15.7765</v>
      </c>
      <c r="F23" s="46">
        <f>16.4406 * CHOOSE(CONTROL!$C$15, $E$9, 100%, $G$9) + CHOOSE(CONTROL!$C$38, 0.0342, 0)</f>
        <v>16.474799999999998</v>
      </c>
      <c r="G23" s="17">
        <f>15.7484 * CHOOSE(CONTROL!$C$15, $E$9, 100%, $G$9) + CHOOSE(CONTROL!$C$38, 0.0343, 0)</f>
        <v>15.7827</v>
      </c>
      <c r="H23" s="17">
        <f>15.7484 * CHOOSE(CONTROL!$C$15, $E$9, 100%, $G$9) + CHOOSE(CONTROL!$C$38, 0.0343, 0)</f>
        <v>15.7827</v>
      </c>
      <c r="I23" s="17">
        <f>15.75 * CHOOSE(CONTROL!$C$15, $E$9, 100%, $G$9) + CHOOSE(CONTROL!$C$38, 0.0343, 0)</f>
        <v>15.7843</v>
      </c>
      <c r="J23" s="45">
        <f>94</f>
        <v>94</v>
      </c>
    </row>
    <row r="24" spans="1:10" ht="15" x14ac:dyDescent="0.2">
      <c r="A24" s="16">
        <v>41640</v>
      </c>
      <c r="B24" s="17">
        <f>16.5536 * CHOOSE(CONTROL!$C$15, $E$9, 100%, $G$9) + CHOOSE(CONTROL!$C$38, 0.0342, 0)</f>
        <v>16.587799999999998</v>
      </c>
      <c r="C24" s="17">
        <f>15.5156 * CHOOSE(CONTROL!$C$15, $E$9, 100%, $G$9) + CHOOSE(CONTROL!$C$38, 0.0343, 0)</f>
        <v>15.549899999999999</v>
      </c>
      <c r="D24" s="17">
        <f>15.5078 * CHOOSE(CONTROL!$C$15, $E$9, 100%, $G$9) + CHOOSE(CONTROL!$C$38, 0.0343, 0)</f>
        <v>15.5421</v>
      </c>
      <c r="E24" s="17">
        <f>15.5078 * CHOOSE(CONTROL!$C$15, $E$9, 100%, $G$9) + CHOOSE(CONTROL!$C$38, 0.0343, 0)</f>
        <v>15.5421</v>
      </c>
      <c r="F24" s="46">
        <f>16.5536 * CHOOSE(CONTROL!$C$15, $E$9, 100%, $G$9) + CHOOSE(CONTROL!$C$38, 0.0342, 0)</f>
        <v>16.587799999999998</v>
      </c>
      <c r="G24" s="17">
        <f>15.5141 * CHOOSE(CONTROL!$C$15, $E$9, 100%, $G$9) + CHOOSE(CONTROL!$C$38, 0.0343, 0)</f>
        <v>15.548399999999999</v>
      </c>
      <c r="H24" s="17">
        <f>15.5141 * CHOOSE(CONTROL!$C$15, $E$9, 100%, $G$9) + CHOOSE(CONTROL!$C$38, 0.0343, 0)</f>
        <v>15.548399999999999</v>
      </c>
      <c r="I24" s="17">
        <f>15.5156 * CHOOSE(CONTROL!$C$15, $E$9, 100%, $G$9) + CHOOSE(CONTROL!$C$38, 0.0343, 0)</f>
        <v>15.549899999999999</v>
      </c>
      <c r="J24" s="45">
        <f>93.75</f>
        <v>93.75</v>
      </c>
    </row>
    <row r="25" spans="1:10" ht="15" x14ac:dyDescent="0.2">
      <c r="A25" s="16">
        <v>41671</v>
      </c>
      <c r="B25" s="17">
        <f>16.5536 * CHOOSE(CONTROL!$C$15, $E$9, 100%, $G$9) + CHOOSE(CONTROL!$C$38, 0.0342, 0)</f>
        <v>16.587799999999998</v>
      </c>
      <c r="C25" s="17">
        <f>15.5156 * CHOOSE(CONTROL!$C$15, $E$9, 100%, $G$9) + CHOOSE(CONTROL!$C$38, 0.0343, 0)</f>
        <v>15.549899999999999</v>
      </c>
      <c r="D25" s="17">
        <f>15.5078 * CHOOSE(CONTROL!$C$15, $E$9, 100%, $G$9) + CHOOSE(CONTROL!$C$38, 0.0343, 0)</f>
        <v>15.5421</v>
      </c>
      <c r="E25" s="17">
        <f>15.5078 * CHOOSE(CONTROL!$C$15, $E$9, 100%, $G$9) + CHOOSE(CONTROL!$C$38, 0.0343, 0)</f>
        <v>15.5421</v>
      </c>
      <c r="F25" s="46">
        <f>16.5536 * CHOOSE(CONTROL!$C$15, $E$9, 100%, $G$9) + CHOOSE(CONTROL!$C$38, 0.0342, 0)</f>
        <v>16.587799999999998</v>
      </c>
      <c r="G25" s="17">
        <f>15.5141 * CHOOSE(CONTROL!$C$15, $E$9, 100%, $G$9) + CHOOSE(CONTROL!$C$38, 0.0343, 0)</f>
        <v>15.548399999999999</v>
      </c>
      <c r="H25" s="17">
        <f>15.5141 * CHOOSE(CONTROL!$C$15, $E$9, 100%, $G$9) + CHOOSE(CONTROL!$C$38, 0.0343, 0)</f>
        <v>15.548399999999999</v>
      </c>
      <c r="I25" s="17">
        <f>15.5156 * CHOOSE(CONTROL!$C$15, $E$9, 100%, $G$9) + CHOOSE(CONTROL!$C$38, 0.0343, 0)</f>
        <v>15.549899999999999</v>
      </c>
      <c r="J25" s="45">
        <f>93.5</f>
        <v>93.5</v>
      </c>
    </row>
    <row r="26" spans="1:10" ht="15" x14ac:dyDescent="0.2">
      <c r="A26" s="16">
        <v>41699</v>
      </c>
      <c r="B26" s="17">
        <f>16.5536 * CHOOSE(CONTROL!$C$15, $E$9, 100%, $G$9) + CHOOSE(CONTROL!$C$38, 0.0342, 0)</f>
        <v>16.587799999999998</v>
      </c>
      <c r="C26" s="17">
        <f>15.5156 * CHOOSE(CONTROL!$C$15, $E$9, 100%, $G$9) + CHOOSE(CONTROL!$C$38, 0.0343, 0)</f>
        <v>15.549899999999999</v>
      </c>
      <c r="D26" s="17">
        <f>15.5078 * CHOOSE(CONTROL!$C$15, $E$9, 100%, $G$9) + CHOOSE(CONTROL!$C$38, 0.0343, 0)</f>
        <v>15.5421</v>
      </c>
      <c r="E26" s="17">
        <f>15.5078 * CHOOSE(CONTROL!$C$15, $E$9, 100%, $G$9) + CHOOSE(CONTROL!$C$38, 0.0343, 0)</f>
        <v>15.5421</v>
      </c>
      <c r="F26" s="46">
        <f>16.5536 * CHOOSE(CONTROL!$C$15, $E$9, 100%, $G$9) + CHOOSE(CONTROL!$C$38, 0.0342, 0)</f>
        <v>16.587799999999998</v>
      </c>
      <c r="G26" s="17">
        <f>15.5141 * CHOOSE(CONTROL!$C$15, $E$9, 100%, $G$9) + CHOOSE(CONTROL!$C$38, 0.0343, 0)</f>
        <v>15.548399999999999</v>
      </c>
      <c r="H26" s="17">
        <f>15.5141 * CHOOSE(CONTROL!$C$15, $E$9, 100%, $G$9) + CHOOSE(CONTROL!$C$38, 0.0343, 0)</f>
        <v>15.548399999999999</v>
      </c>
      <c r="I26" s="17">
        <f>15.5156 * CHOOSE(CONTROL!$C$15, $E$9, 100%, $G$9) + CHOOSE(CONTROL!$C$38, 0.0343, 0)</f>
        <v>15.549899999999999</v>
      </c>
      <c r="J26" s="45">
        <f>93.26</f>
        <v>93.26</v>
      </c>
    </row>
    <row r="27" spans="1:10" ht="15" x14ac:dyDescent="0.2">
      <c r="A27" s="16">
        <v>41730</v>
      </c>
      <c r="B27" s="17">
        <f>16.5536 * CHOOSE(CONTROL!$C$15, $E$9, 100%, $G$9) + CHOOSE(CONTROL!$C$38, 0.0342, 0)</f>
        <v>16.587799999999998</v>
      </c>
      <c r="C27" s="17">
        <f>15.5156 * CHOOSE(CONTROL!$C$15, $E$9, 100%, $G$9) + CHOOSE(CONTROL!$C$38, 0.0343, 0)</f>
        <v>15.549899999999999</v>
      </c>
      <c r="D27" s="17">
        <f>15.5078 * CHOOSE(CONTROL!$C$15, $E$9, 100%, $G$9) + CHOOSE(CONTROL!$C$38, 0.0343, 0)</f>
        <v>15.5421</v>
      </c>
      <c r="E27" s="17">
        <f>15.5078 * CHOOSE(CONTROL!$C$15, $E$9, 100%, $G$9) + CHOOSE(CONTROL!$C$38, 0.0343, 0)</f>
        <v>15.5421</v>
      </c>
      <c r="F27" s="46">
        <f>16.5536 * CHOOSE(CONTROL!$C$15, $E$9, 100%, $G$9) + CHOOSE(CONTROL!$C$38, 0.0342, 0)</f>
        <v>16.587799999999998</v>
      </c>
      <c r="G27" s="17">
        <f>15.5141 * CHOOSE(CONTROL!$C$15, $E$9, 100%, $G$9) + CHOOSE(CONTROL!$C$38, 0.0343, 0)</f>
        <v>15.548399999999999</v>
      </c>
      <c r="H27" s="17">
        <f>15.5141 * CHOOSE(CONTROL!$C$15, $E$9, 100%, $G$9) + CHOOSE(CONTROL!$C$38, 0.0343, 0)</f>
        <v>15.548399999999999</v>
      </c>
      <c r="I27" s="17">
        <f>15.5156 * CHOOSE(CONTROL!$C$15, $E$9, 100%, $G$9) + CHOOSE(CONTROL!$C$38, 0.0343, 0)</f>
        <v>15.549899999999999</v>
      </c>
      <c r="J27" s="45">
        <f>93.03</f>
        <v>93.03</v>
      </c>
    </row>
    <row r="28" spans="1:10" ht="15" x14ac:dyDescent="0.2">
      <c r="A28" s="16">
        <v>41760</v>
      </c>
      <c r="B28" s="17">
        <f>16.5536 * CHOOSE(CONTROL!$C$15, $E$9, 100%, $G$9) + CHOOSE(CONTROL!$C$38, 0.0355, 0)</f>
        <v>16.589099999999998</v>
      </c>
      <c r="C28" s="17">
        <f>15.5156 * CHOOSE(CONTROL!$C$15, $E$9, 100%, $G$9) + CHOOSE(CONTROL!$C$38, 0.0356, 0)</f>
        <v>15.5512</v>
      </c>
      <c r="D28" s="17">
        <f>15.5078 * CHOOSE(CONTROL!$C$15, $E$9, 100%, $G$9) + CHOOSE(CONTROL!$C$38, 0.0356, 0)</f>
        <v>15.5434</v>
      </c>
      <c r="E28" s="17">
        <f>15.5078 * CHOOSE(CONTROL!$C$15, $E$9, 100%, $G$9) + CHOOSE(CONTROL!$C$38, 0.0356, 0)</f>
        <v>15.5434</v>
      </c>
      <c r="F28" s="46">
        <f>16.5536 * CHOOSE(CONTROL!$C$15, $E$9, 100%, $G$9) + CHOOSE(CONTROL!$C$38, 0.0355, 0)</f>
        <v>16.589099999999998</v>
      </c>
      <c r="G28" s="17">
        <f>15.5141 * CHOOSE(CONTROL!$C$15, $E$9, 100%, $G$9) + CHOOSE(CONTROL!$C$38, 0.0356, 0)</f>
        <v>15.5497</v>
      </c>
      <c r="H28" s="17">
        <f>15.5141 * CHOOSE(CONTROL!$C$15, $E$9, 100%, $G$9) + CHOOSE(CONTROL!$C$38, 0.0356, 0)</f>
        <v>15.5497</v>
      </c>
      <c r="I28" s="17">
        <f>15.5156 * CHOOSE(CONTROL!$C$15, $E$9, 100%, $G$9) + CHOOSE(CONTROL!$C$38, 0.0356, 0)</f>
        <v>15.5512</v>
      </c>
      <c r="J28" s="45">
        <f>92.84</f>
        <v>92.84</v>
      </c>
    </row>
    <row r="29" spans="1:10" ht="15" x14ac:dyDescent="0.2">
      <c r="A29" s="16">
        <v>41791</v>
      </c>
      <c r="B29" s="17">
        <f>16.5536 * CHOOSE(CONTROL!$C$15, $E$9, 100%, $G$9) + CHOOSE(CONTROL!$C$38, 0.0355, 0)</f>
        <v>16.589099999999998</v>
      </c>
      <c r="C29" s="17">
        <f>15.5156 * CHOOSE(CONTROL!$C$15, $E$9, 100%, $G$9) + CHOOSE(CONTROL!$C$38, 0.0356, 0)</f>
        <v>15.5512</v>
      </c>
      <c r="D29" s="17">
        <f>15.5078 * CHOOSE(CONTROL!$C$15, $E$9, 100%, $G$9) + CHOOSE(CONTROL!$C$38, 0.0356, 0)</f>
        <v>15.5434</v>
      </c>
      <c r="E29" s="17">
        <f>15.5078 * CHOOSE(CONTROL!$C$15, $E$9, 100%, $G$9) + CHOOSE(CONTROL!$C$38, 0.0356, 0)</f>
        <v>15.5434</v>
      </c>
      <c r="F29" s="46">
        <f>16.5536 * CHOOSE(CONTROL!$C$15, $E$9, 100%, $G$9) + CHOOSE(CONTROL!$C$38, 0.0355, 0)</f>
        <v>16.589099999999998</v>
      </c>
      <c r="G29" s="17">
        <f>15.5141 * CHOOSE(CONTROL!$C$15, $E$9, 100%, $G$9) + CHOOSE(CONTROL!$C$38, 0.0356, 0)</f>
        <v>15.5497</v>
      </c>
      <c r="H29" s="17">
        <f>15.5141 * CHOOSE(CONTROL!$C$15, $E$9, 100%, $G$9) + CHOOSE(CONTROL!$C$38, 0.0356, 0)</f>
        <v>15.5497</v>
      </c>
      <c r="I29" s="17">
        <f>15.5156 * CHOOSE(CONTROL!$C$15, $E$9, 100%, $G$9) + CHOOSE(CONTROL!$C$38, 0.0356, 0)</f>
        <v>15.5512</v>
      </c>
      <c r="J29" s="45">
        <f>92.63</f>
        <v>92.63</v>
      </c>
    </row>
    <row r="30" spans="1:10" ht="15" x14ac:dyDescent="0.2">
      <c r="A30" s="16">
        <v>41821</v>
      </c>
      <c r="B30" s="17">
        <f>16.5536 * CHOOSE(CONTROL!$C$15, $E$9, 100%, $G$9) + CHOOSE(CONTROL!$C$38, 0.0355, 0)</f>
        <v>16.589099999999998</v>
      </c>
      <c r="C30" s="17">
        <f>15.5156 * CHOOSE(CONTROL!$C$15, $E$9, 100%, $G$9) + CHOOSE(CONTROL!$C$38, 0.0356, 0)</f>
        <v>15.5512</v>
      </c>
      <c r="D30" s="17">
        <f>15.5078 * CHOOSE(CONTROL!$C$15, $E$9, 100%, $G$9) + CHOOSE(CONTROL!$C$38, 0.0356, 0)</f>
        <v>15.5434</v>
      </c>
      <c r="E30" s="17">
        <f>15.5078 * CHOOSE(CONTROL!$C$15, $E$9, 100%, $G$9) + CHOOSE(CONTROL!$C$38, 0.0356, 0)</f>
        <v>15.5434</v>
      </c>
      <c r="F30" s="46">
        <f>16.5536 * CHOOSE(CONTROL!$C$15, $E$9, 100%, $G$9) + CHOOSE(CONTROL!$C$38, 0.0355, 0)</f>
        <v>16.589099999999998</v>
      </c>
      <c r="G30" s="17">
        <f>15.5141 * CHOOSE(CONTROL!$C$15, $E$9, 100%, $G$9) + CHOOSE(CONTROL!$C$38, 0.0356, 0)</f>
        <v>15.5497</v>
      </c>
      <c r="H30" s="17">
        <f>15.5141 * CHOOSE(CONTROL!$C$15, $E$9, 100%, $G$9) + CHOOSE(CONTROL!$C$38, 0.0356, 0)</f>
        <v>15.5497</v>
      </c>
      <c r="I30" s="17">
        <f>15.5156 * CHOOSE(CONTROL!$C$15, $E$9, 100%, $G$9) + CHOOSE(CONTROL!$C$38, 0.0356, 0)</f>
        <v>15.5512</v>
      </c>
      <c r="J30" s="45">
        <f>92.35</f>
        <v>92.35</v>
      </c>
    </row>
    <row r="31" spans="1:10" ht="15" x14ac:dyDescent="0.2">
      <c r="A31" s="16">
        <v>41852</v>
      </c>
      <c r="B31" s="17">
        <f>16.5536 * CHOOSE(CONTROL!$C$15, $E$9, 100%, $G$9) + CHOOSE(CONTROL!$C$38, 0.0355, 0)</f>
        <v>16.589099999999998</v>
      </c>
      <c r="C31" s="17">
        <f>15.5156 * CHOOSE(CONTROL!$C$15, $E$9, 100%, $G$9) + CHOOSE(CONTROL!$C$38, 0.0356, 0)</f>
        <v>15.5512</v>
      </c>
      <c r="D31" s="17">
        <f>15.5078 * CHOOSE(CONTROL!$C$15, $E$9, 100%, $G$9) + CHOOSE(CONTROL!$C$38, 0.0356, 0)</f>
        <v>15.5434</v>
      </c>
      <c r="E31" s="17">
        <f>15.5078 * CHOOSE(CONTROL!$C$15, $E$9, 100%, $G$9) + CHOOSE(CONTROL!$C$38, 0.0356, 0)</f>
        <v>15.5434</v>
      </c>
      <c r="F31" s="46">
        <f>16.5536 * CHOOSE(CONTROL!$C$15, $E$9, 100%, $G$9) + CHOOSE(CONTROL!$C$38, 0.0355, 0)</f>
        <v>16.589099999999998</v>
      </c>
      <c r="G31" s="17">
        <f>15.5141 * CHOOSE(CONTROL!$C$15, $E$9, 100%, $G$9) + CHOOSE(CONTROL!$C$38, 0.0356, 0)</f>
        <v>15.5497</v>
      </c>
      <c r="H31" s="17">
        <f>15.5141 * CHOOSE(CONTROL!$C$15, $E$9, 100%, $G$9) + CHOOSE(CONTROL!$C$38, 0.0356, 0)</f>
        <v>15.5497</v>
      </c>
      <c r="I31" s="17">
        <f>15.5156 * CHOOSE(CONTROL!$C$15, $E$9, 100%, $G$9) + CHOOSE(CONTROL!$C$38, 0.0356, 0)</f>
        <v>15.5512</v>
      </c>
      <c r="J31" s="45">
        <f>92.12</f>
        <v>92.12</v>
      </c>
    </row>
    <row r="32" spans="1:10" ht="15" x14ac:dyDescent="0.2">
      <c r="A32" s="16">
        <v>41883</v>
      </c>
      <c r="B32" s="17">
        <f>16.5536 * CHOOSE(CONTROL!$C$15, $E$9, 100%, $G$9) + CHOOSE(CONTROL!$C$38, 0.0355, 0)</f>
        <v>16.589099999999998</v>
      </c>
      <c r="C32" s="17">
        <f>15.5156 * CHOOSE(CONTROL!$C$15, $E$9, 100%, $G$9) + CHOOSE(CONTROL!$C$38, 0.0356, 0)</f>
        <v>15.5512</v>
      </c>
      <c r="D32" s="17">
        <f>15.5078 * CHOOSE(CONTROL!$C$15, $E$9, 100%, $G$9) + CHOOSE(CONTROL!$C$38, 0.0356, 0)</f>
        <v>15.5434</v>
      </c>
      <c r="E32" s="17">
        <f>15.5078 * CHOOSE(CONTROL!$C$15, $E$9, 100%, $G$9) + CHOOSE(CONTROL!$C$38, 0.0356, 0)</f>
        <v>15.5434</v>
      </c>
      <c r="F32" s="46">
        <f>16.5536 * CHOOSE(CONTROL!$C$15, $E$9, 100%, $G$9) + CHOOSE(CONTROL!$C$38, 0.0355, 0)</f>
        <v>16.589099999999998</v>
      </c>
      <c r="G32" s="17">
        <f>15.5141 * CHOOSE(CONTROL!$C$15, $E$9, 100%, $G$9) + CHOOSE(CONTROL!$C$38, 0.0356, 0)</f>
        <v>15.5497</v>
      </c>
      <c r="H32" s="17">
        <f>15.5141 * CHOOSE(CONTROL!$C$15, $E$9, 100%, $G$9) + CHOOSE(CONTROL!$C$38, 0.0356, 0)</f>
        <v>15.5497</v>
      </c>
      <c r="I32" s="17">
        <f>15.5156 * CHOOSE(CONTROL!$C$15, $E$9, 100%, $G$9) + CHOOSE(CONTROL!$C$38, 0.0356, 0)</f>
        <v>15.5512</v>
      </c>
      <c r="J32" s="45">
        <f>91.92</f>
        <v>91.92</v>
      </c>
    </row>
    <row r="33" spans="1:10" ht="15" x14ac:dyDescent="0.2">
      <c r="A33" s="16">
        <v>41913</v>
      </c>
      <c r="B33" s="17">
        <f>16.5536 * CHOOSE(CONTROL!$C$15, $E$9, 100%, $G$9) + CHOOSE(CONTROL!$C$38, 0.0342, 0)</f>
        <v>16.587799999999998</v>
      </c>
      <c r="C33" s="17">
        <f>15.5156 * CHOOSE(CONTROL!$C$15, $E$9, 100%, $G$9) + CHOOSE(CONTROL!$C$38, 0.0343, 0)</f>
        <v>15.549899999999999</v>
      </c>
      <c r="D33" s="17">
        <f>15.5078 * CHOOSE(CONTROL!$C$15, $E$9, 100%, $G$9) + CHOOSE(CONTROL!$C$38, 0.0343, 0)</f>
        <v>15.5421</v>
      </c>
      <c r="E33" s="17">
        <f>15.5078 * CHOOSE(CONTROL!$C$15, $E$9, 100%, $G$9) + CHOOSE(CONTROL!$C$38, 0.0343, 0)</f>
        <v>15.5421</v>
      </c>
      <c r="F33" s="46">
        <f>16.5536 * CHOOSE(CONTROL!$C$15, $E$9, 100%, $G$9) + CHOOSE(CONTROL!$C$38, 0.0342, 0)</f>
        <v>16.587799999999998</v>
      </c>
      <c r="G33" s="17">
        <f>15.5141 * CHOOSE(CONTROL!$C$15, $E$9, 100%, $G$9) + CHOOSE(CONTROL!$C$38, 0.0343, 0)</f>
        <v>15.548399999999999</v>
      </c>
      <c r="H33" s="17">
        <f>15.5141 * CHOOSE(CONTROL!$C$15, $E$9, 100%, $G$9) + CHOOSE(CONTROL!$C$38, 0.0343, 0)</f>
        <v>15.548399999999999</v>
      </c>
      <c r="I33" s="17">
        <f>15.5156 * CHOOSE(CONTROL!$C$15, $E$9, 100%, $G$9) + CHOOSE(CONTROL!$C$38, 0.0343, 0)</f>
        <v>15.549899999999999</v>
      </c>
      <c r="J33" s="45">
        <f>91.74</f>
        <v>91.74</v>
      </c>
    </row>
    <row r="34" spans="1:10" ht="15" x14ac:dyDescent="0.2">
      <c r="A34" s="16">
        <v>41944</v>
      </c>
      <c r="B34" s="17">
        <f>16.5536 * CHOOSE(CONTROL!$C$15, $E$9, 100%, $G$9) + CHOOSE(CONTROL!$C$38, 0.0342, 0)</f>
        <v>16.587799999999998</v>
      </c>
      <c r="C34" s="17">
        <f>15.5156 * CHOOSE(CONTROL!$C$15, $E$9, 100%, $G$9) + CHOOSE(CONTROL!$C$38, 0.0343, 0)</f>
        <v>15.549899999999999</v>
      </c>
      <c r="D34" s="17">
        <f>15.5078 * CHOOSE(CONTROL!$C$15, $E$9, 100%, $G$9) + CHOOSE(CONTROL!$C$38, 0.0343, 0)</f>
        <v>15.5421</v>
      </c>
      <c r="E34" s="17">
        <f>15.5078 * CHOOSE(CONTROL!$C$15, $E$9, 100%, $G$9) + CHOOSE(CONTROL!$C$38, 0.0343, 0)</f>
        <v>15.5421</v>
      </c>
      <c r="F34" s="46">
        <f>16.5536 * CHOOSE(CONTROL!$C$15, $E$9, 100%, $G$9) + CHOOSE(CONTROL!$C$38, 0.0342, 0)</f>
        <v>16.587799999999998</v>
      </c>
      <c r="G34" s="17">
        <f>15.5141 * CHOOSE(CONTROL!$C$15, $E$9, 100%, $G$9) + CHOOSE(CONTROL!$C$38, 0.0343, 0)</f>
        <v>15.548399999999999</v>
      </c>
      <c r="H34" s="17">
        <f>15.5141 * CHOOSE(CONTROL!$C$15, $E$9, 100%, $G$9) + CHOOSE(CONTROL!$C$38, 0.0343, 0)</f>
        <v>15.548399999999999</v>
      </c>
      <c r="I34" s="17">
        <f>15.5156 * CHOOSE(CONTROL!$C$15, $E$9, 100%, $G$9) + CHOOSE(CONTROL!$C$38, 0.0343, 0)</f>
        <v>15.549899999999999</v>
      </c>
      <c r="J34" s="45">
        <f>91.59</f>
        <v>91.59</v>
      </c>
    </row>
    <row r="35" spans="1:10" ht="15" x14ac:dyDescent="0.2">
      <c r="A35" s="16">
        <v>41974</v>
      </c>
      <c r="B35" s="17">
        <f>16.5536 * CHOOSE(CONTROL!$C$15, $E$9, 100%, $G$9) + CHOOSE(CONTROL!$C$38, 0.0342, 0)</f>
        <v>16.587799999999998</v>
      </c>
      <c r="C35" s="17">
        <f>15.5156 * CHOOSE(CONTROL!$C$15, $E$9, 100%, $G$9) + CHOOSE(CONTROL!$C$38, 0.0343, 0)</f>
        <v>15.549899999999999</v>
      </c>
      <c r="D35" s="17">
        <f>15.5078 * CHOOSE(CONTROL!$C$15, $E$9, 100%, $G$9) + CHOOSE(CONTROL!$C$38, 0.0343, 0)</f>
        <v>15.5421</v>
      </c>
      <c r="E35" s="17">
        <f>15.5078 * CHOOSE(CONTROL!$C$15, $E$9, 100%, $G$9) + CHOOSE(CONTROL!$C$38, 0.0343, 0)</f>
        <v>15.5421</v>
      </c>
      <c r="F35" s="46">
        <f>16.5536 * CHOOSE(CONTROL!$C$15, $E$9, 100%, $G$9) + CHOOSE(CONTROL!$C$38, 0.0342, 0)</f>
        <v>16.587799999999998</v>
      </c>
      <c r="G35" s="17">
        <f>15.5141 * CHOOSE(CONTROL!$C$15, $E$9, 100%, $G$9) + CHOOSE(CONTROL!$C$38, 0.0343, 0)</f>
        <v>15.548399999999999</v>
      </c>
      <c r="H35" s="17">
        <f>15.5141 * CHOOSE(CONTROL!$C$15, $E$9, 100%, $G$9) + CHOOSE(CONTROL!$C$38, 0.0343, 0)</f>
        <v>15.548399999999999</v>
      </c>
      <c r="I35" s="17">
        <f>15.5156 * CHOOSE(CONTROL!$C$15, $E$9, 100%, $G$9) + CHOOSE(CONTROL!$C$38, 0.0343, 0)</f>
        <v>15.549899999999999</v>
      </c>
      <c r="J35" s="45">
        <f>91.46</f>
        <v>91.46</v>
      </c>
    </row>
    <row r="36" spans="1:10" ht="15" x14ac:dyDescent="0.2">
      <c r="A36" s="16">
        <v>42005</v>
      </c>
      <c r="B36" s="17">
        <f>16.151 * CHOOSE(CONTROL!$C$15, $E$9, 100%, $G$9) + CHOOSE(CONTROL!$C$38, 0.0342, 0)</f>
        <v>16.185199999999998</v>
      </c>
      <c r="C36" s="17">
        <f>15.6938 * CHOOSE(CONTROL!$C$15, $E$9, 100%, $G$9) + CHOOSE(CONTROL!$C$38, 0.0343, 0)</f>
        <v>15.7281</v>
      </c>
      <c r="D36" s="17">
        <f>15.686 * CHOOSE(CONTROL!$C$15, $E$9, 100%, $G$9) + CHOOSE(CONTROL!$C$38, 0.0343, 0)</f>
        <v>15.7203</v>
      </c>
      <c r="E36" s="17">
        <f>15.686 * CHOOSE(CONTROL!$C$15, $E$9, 100%, $G$9) + CHOOSE(CONTROL!$C$38, 0.0343, 0)</f>
        <v>15.7203</v>
      </c>
      <c r="F36" s="46">
        <f>16.151 * CHOOSE(CONTROL!$C$15, $E$9, 100%, $G$9) + CHOOSE(CONTROL!$C$38, 0.0342, 0)</f>
        <v>16.185199999999998</v>
      </c>
      <c r="G36" s="17">
        <f>15.6922 * CHOOSE(CONTROL!$C$15, $E$9, 100%, $G$9) + CHOOSE(CONTROL!$C$38, 0.0343, 0)</f>
        <v>15.7265</v>
      </c>
      <c r="H36" s="17">
        <f>15.6922 * CHOOSE(CONTROL!$C$15, $E$9, 100%, $G$9) + CHOOSE(CONTROL!$C$38, 0.0343, 0)</f>
        <v>15.7265</v>
      </c>
      <c r="I36" s="17">
        <f>15.6938 * CHOOSE(CONTROL!$C$15, $E$9, 100%, $G$9) + CHOOSE(CONTROL!$C$38, 0.0343, 0)</f>
        <v>15.7281</v>
      </c>
      <c r="J36" s="45">
        <f>91.17</f>
        <v>91.17</v>
      </c>
    </row>
    <row r="37" spans="1:10" ht="15" x14ac:dyDescent="0.2">
      <c r="A37" s="16">
        <v>42036</v>
      </c>
      <c r="B37" s="17">
        <f>16.151 * CHOOSE(CONTROL!$C$15, $E$9, 100%, $G$9) + CHOOSE(CONTROL!$C$38, 0.0342, 0)</f>
        <v>16.185199999999998</v>
      </c>
      <c r="C37" s="17">
        <f>15.3876 * CHOOSE(CONTROL!$C$15, $E$9, 100%, $G$9) + CHOOSE(CONTROL!$C$38, 0.0343, 0)</f>
        <v>15.421900000000001</v>
      </c>
      <c r="D37" s="17">
        <f>15.3797 * CHOOSE(CONTROL!$C$15, $E$9, 100%, $G$9) + CHOOSE(CONTROL!$C$38, 0.0343, 0)</f>
        <v>15.414</v>
      </c>
      <c r="E37" s="17">
        <f>15.3797 * CHOOSE(CONTROL!$C$15, $E$9, 100%, $G$9) + CHOOSE(CONTROL!$C$38, 0.0343, 0)</f>
        <v>15.414</v>
      </c>
      <c r="F37" s="46">
        <f>16.151 * CHOOSE(CONTROL!$C$15, $E$9, 100%, $G$9) + CHOOSE(CONTROL!$C$38, 0.0342, 0)</f>
        <v>16.185199999999998</v>
      </c>
      <c r="G37" s="17">
        <f>15.386 * CHOOSE(CONTROL!$C$15, $E$9, 100%, $G$9) + CHOOSE(CONTROL!$C$38, 0.0343, 0)</f>
        <v>15.420299999999999</v>
      </c>
      <c r="H37" s="17">
        <f>15.386 * CHOOSE(CONTROL!$C$15, $E$9, 100%, $G$9) + CHOOSE(CONTROL!$C$38, 0.0343, 0)</f>
        <v>15.420299999999999</v>
      </c>
      <c r="I37" s="17">
        <f>15.3876 * CHOOSE(CONTROL!$C$15, $E$9, 100%, $G$9) + CHOOSE(CONTROL!$C$38, 0.0343, 0)</f>
        <v>15.421900000000001</v>
      </c>
      <c r="J37" s="45">
        <f>90.9</f>
        <v>90.9</v>
      </c>
    </row>
    <row r="38" spans="1:10" ht="15" x14ac:dyDescent="0.2">
      <c r="A38" s="16">
        <v>42064</v>
      </c>
      <c r="B38" s="17">
        <f>16.151 * CHOOSE(CONTROL!$C$15, $E$9, 100%, $G$9) + CHOOSE(CONTROL!$C$38, 0.0342, 0)</f>
        <v>16.185199999999998</v>
      </c>
      <c r="C38" s="17">
        <f>15.3102 * CHOOSE(CONTROL!$C$15, $E$9, 100%, $G$9) + CHOOSE(CONTROL!$C$38, 0.0343, 0)</f>
        <v>15.3445</v>
      </c>
      <c r="D38" s="17">
        <f>15.3024 * CHOOSE(CONTROL!$C$15, $E$9, 100%, $G$9) + CHOOSE(CONTROL!$C$38, 0.0343, 0)</f>
        <v>15.3367</v>
      </c>
      <c r="E38" s="17">
        <f>15.3024 * CHOOSE(CONTROL!$C$15, $E$9, 100%, $G$9) + CHOOSE(CONTROL!$C$38, 0.0343, 0)</f>
        <v>15.3367</v>
      </c>
      <c r="F38" s="46">
        <f>16.151 * CHOOSE(CONTROL!$C$15, $E$9, 100%, $G$9) + CHOOSE(CONTROL!$C$38, 0.0342, 0)</f>
        <v>16.185199999999998</v>
      </c>
      <c r="G38" s="17">
        <f>15.3087 * CHOOSE(CONTROL!$C$15, $E$9, 100%, $G$9) + CHOOSE(CONTROL!$C$38, 0.0343, 0)</f>
        <v>15.343</v>
      </c>
      <c r="H38" s="17">
        <f>15.3087 * CHOOSE(CONTROL!$C$15, $E$9, 100%, $G$9) + CHOOSE(CONTROL!$C$38, 0.0343, 0)</f>
        <v>15.343</v>
      </c>
      <c r="I38" s="17">
        <f>15.3102 * CHOOSE(CONTROL!$C$15, $E$9, 100%, $G$9) + CHOOSE(CONTROL!$C$38, 0.0343, 0)</f>
        <v>15.3445</v>
      </c>
      <c r="J38" s="45">
        <f>90.65</f>
        <v>90.65</v>
      </c>
    </row>
    <row r="39" spans="1:10" ht="15" x14ac:dyDescent="0.2">
      <c r="A39" s="16">
        <v>42095</v>
      </c>
      <c r="B39" s="17">
        <f>16.151 * CHOOSE(CONTROL!$C$15, $E$9, 100%, $G$9) + CHOOSE(CONTROL!$C$38, 0.0342, 0)</f>
        <v>16.185199999999998</v>
      </c>
      <c r="C39" s="17">
        <f>15.3337 * CHOOSE(CONTROL!$C$15, $E$9, 100%, $G$9) + CHOOSE(CONTROL!$C$38, 0.0343, 0)</f>
        <v>15.368</v>
      </c>
      <c r="D39" s="17">
        <f>15.3259 * CHOOSE(CONTROL!$C$15, $E$9, 100%, $G$9) + CHOOSE(CONTROL!$C$38, 0.0343, 0)</f>
        <v>15.360200000000001</v>
      </c>
      <c r="E39" s="17">
        <f>15.3259 * CHOOSE(CONTROL!$C$15, $E$9, 100%, $G$9) + CHOOSE(CONTROL!$C$38, 0.0343, 0)</f>
        <v>15.360200000000001</v>
      </c>
      <c r="F39" s="46">
        <f>16.151 * CHOOSE(CONTROL!$C$15, $E$9, 100%, $G$9) + CHOOSE(CONTROL!$C$38, 0.0342, 0)</f>
        <v>16.185199999999998</v>
      </c>
      <c r="G39" s="17">
        <f>15.3322 * CHOOSE(CONTROL!$C$15, $E$9, 100%, $G$9) + CHOOSE(CONTROL!$C$38, 0.0343, 0)</f>
        <v>15.3665</v>
      </c>
      <c r="H39" s="17">
        <f>15.3322 * CHOOSE(CONTROL!$C$15, $E$9, 100%, $G$9) + CHOOSE(CONTROL!$C$38, 0.0343, 0)</f>
        <v>15.3665</v>
      </c>
      <c r="I39" s="17">
        <f>15.3337 * CHOOSE(CONTROL!$C$15, $E$9, 100%, $G$9) + CHOOSE(CONTROL!$C$38, 0.0343, 0)</f>
        <v>15.368</v>
      </c>
      <c r="J39" s="45">
        <f>90.41</f>
        <v>90.41</v>
      </c>
    </row>
    <row r="40" spans="1:10" ht="15" x14ac:dyDescent="0.2">
      <c r="A40" s="16">
        <v>42125</v>
      </c>
      <c r="B40" s="17">
        <f>16.151 * CHOOSE(CONTROL!$C$15, $E$9, 100%, $G$9) + CHOOSE(CONTROL!$C$38, 0.0355, 0)</f>
        <v>16.186499999999999</v>
      </c>
      <c r="C40" s="17">
        <f>15.2912 * CHOOSE(CONTROL!$C$15, $E$9, 100%, $G$9) + CHOOSE(CONTROL!$C$38, 0.0356, 0)</f>
        <v>15.3268</v>
      </c>
      <c r="D40" s="17">
        <f>15.2833 * CHOOSE(CONTROL!$C$15, $E$9, 100%, $G$9) + CHOOSE(CONTROL!$C$38, 0.0356, 0)</f>
        <v>15.318900000000001</v>
      </c>
      <c r="E40" s="17">
        <f>15.2833 * CHOOSE(CONTROL!$C$15, $E$9, 100%, $G$9) + CHOOSE(CONTROL!$C$38, 0.0356, 0)</f>
        <v>15.318900000000001</v>
      </c>
      <c r="F40" s="46">
        <f>16.151 * CHOOSE(CONTROL!$C$15, $E$9, 100%, $G$9) + CHOOSE(CONTROL!$C$38, 0.0355, 0)</f>
        <v>16.186499999999999</v>
      </c>
      <c r="G40" s="17">
        <f>15.2896 * CHOOSE(CONTROL!$C$15, $E$9, 100%, $G$9) + CHOOSE(CONTROL!$C$38, 0.0356, 0)</f>
        <v>15.325200000000001</v>
      </c>
      <c r="H40" s="17">
        <f>15.2896 * CHOOSE(CONTROL!$C$15, $E$9, 100%, $G$9) + CHOOSE(CONTROL!$C$38, 0.0356, 0)</f>
        <v>15.325200000000001</v>
      </c>
      <c r="I40" s="17">
        <f>15.2912 * CHOOSE(CONTROL!$C$15, $E$9, 100%, $G$9) + CHOOSE(CONTROL!$C$38, 0.0356, 0)</f>
        <v>15.3268</v>
      </c>
      <c r="J40" s="45">
        <f>90.19</f>
        <v>90.19</v>
      </c>
    </row>
    <row r="41" spans="1:10" ht="15" x14ac:dyDescent="0.2">
      <c r="A41" s="16">
        <v>42156</v>
      </c>
      <c r="B41" s="17">
        <f>16.151 * CHOOSE(CONTROL!$C$15, $E$9, 100%, $G$9) + CHOOSE(CONTROL!$C$38, 0.0355, 0)</f>
        <v>16.186499999999999</v>
      </c>
      <c r="C41" s="17">
        <f>15.2548 * CHOOSE(CONTROL!$C$15, $E$9, 100%, $G$9) + CHOOSE(CONTROL!$C$38, 0.0356, 0)</f>
        <v>15.2904</v>
      </c>
      <c r="D41" s="17">
        <f>15.247 * CHOOSE(CONTROL!$C$15, $E$9, 100%, $G$9) + CHOOSE(CONTROL!$C$38, 0.0356, 0)</f>
        <v>15.2826</v>
      </c>
      <c r="E41" s="17">
        <f>15.247 * CHOOSE(CONTROL!$C$15, $E$9, 100%, $G$9) + CHOOSE(CONTROL!$C$38, 0.0356, 0)</f>
        <v>15.2826</v>
      </c>
      <c r="F41" s="46">
        <f>16.151 * CHOOSE(CONTROL!$C$15, $E$9, 100%, $G$9) + CHOOSE(CONTROL!$C$38, 0.0355, 0)</f>
        <v>16.186499999999999</v>
      </c>
      <c r="G41" s="17">
        <f>15.2533 * CHOOSE(CONTROL!$C$15, $E$9, 100%, $G$9) + CHOOSE(CONTROL!$C$38, 0.0356, 0)</f>
        <v>15.2889</v>
      </c>
      <c r="H41" s="17">
        <f>15.2533 * CHOOSE(CONTROL!$C$15, $E$9, 100%, $G$9) + CHOOSE(CONTROL!$C$38, 0.0356, 0)</f>
        <v>15.2889</v>
      </c>
      <c r="I41" s="17">
        <f>15.2548 * CHOOSE(CONTROL!$C$15, $E$9, 100%, $G$9) + CHOOSE(CONTROL!$C$38, 0.0356, 0)</f>
        <v>15.2904</v>
      </c>
      <c r="J41" s="45">
        <f>89.99</f>
        <v>89.99</v>
      </c>
    </row>
    <row r="42" spans="1:10" ht="15" x14ac:dyDescent="0.2">
      <c r="A42" s="16">
        <v>42186</v>
      </c>
      <c r="B42" s="17">
        <f>16.151 * CHOOSE(CONTROL!$C$15, $E$9, 100%, $G$9) + CHOOSE(CONTROL!$C$38, 0.0355, 0)</f>
        <v>16.186499999999999</v>
      </c>
      <c r="C42" s="17">
        <f>15.1793 * CHOOSE(CONTROL!$C$15, $E$9, 100%, $G$9) + CHOOSE(CONTROL!$C$38, 0.0356, 0)</f>
        <v>15.2149</v>
      </c>
      <c r="D42" s="17">
        <f>15.1715 * CHOOSE(CONTROL!$C$15, $E$9, 100%, $G$9) + CHOOSE(CONTROL!$C$38, 0.0356, 0)</f>
        <v>15.207100000000001</v>
      </c>
      <c r="E42" s="17">
        <f>15.1715 * CHOOSE(CONTROL!$C$15, $E$9, 100%, $G$9) + CHOOSE(CONTROL!$C$38, 0.0356, 0)</f>
        <v>15.207100000000001</v>
      </c>
      <c r="F42" s="46">
        <f>16.151 * CHOOSE(CONTROL!$C$15, $E$9, 100%, $G$9) + CHOOSE(CONTROL!$C$38, 0.0355, 0)</f>
        <v>16.186499999999999</v>
      </c>
      <c r="G42" s="17">
        <f>15.1777 * CHOOSE(CONTROL!$C$15, $E$9, 100%, $G$9) + CHOOSE(CONTROL!$C$38, 0.0356, 0)</f>
        <v>15.2133</v>
      </c>
      <c r="H42" s="17">
        <f>15.1777 * CHOOSE(CONTROL!$C$15, $E$9, 100%, $G$9) + CHOOSE(CONTROL!$C$38, 0.0356, 0)</f>
        <v>15.2133</v>
      </c>
      <c r="I42" s="17">
        <f>15.1793 * CHOOSE(CONTROL!$C$15, $E$9, 100%, $G$9) + CHOOSE(CONTROL!$C$38, 0.0356, 0)</f>
        <v>15.2149</v>
      </c>
      <c r="J42" s="45">
        <f>89.76</f>
        <v>89.76</v>
      </c>
    </row>
    <row r="43" spans="1:10" ht="15" x14ac:dyDescent="0.2">
      <c r="A43" s="16">
        <v>42217</v>
      </c>
      <c r="B43" s="17">
        <f>16.151 * CHOOSE(CONTROL!$C$15, $E$9, 100%, $G$9) + CHOOSE(CONTROL!$C$38, 0.0355, 0)</f>
        <v>16.186499999999999</v>
      </c>
      <c r="C43" s="17">
        <f>15.184 * CHOOSE(CONTROL!$C$15, $E$9, 100%, $G$9) + CHOOSE(CONTROL!$C$38, 0.0356, 0)</f>
        <v>15.2196</v>
      </c>
      <c r="D43" s="17">
        <f>15.1762 * CHOOSE(CONTROL!$C$15, $E$9, 100%, $G$9) + CHOOSE(CONTROL!$C$38, 0.0356, 0)</f>
        <v>15.2118</v>
      </c>
      <c r="E43" s="17">
        <f>15.1762 * CHOOSE(CONTROL!$C$15, $E$9, 100%, $G$9) + CHOOSE(CONTROL!$C$38, 0.0356, 0)</f>
        <v>15.2118</v>
      </c>
      <c r="F43" s="46">
        <f>16.151 * CHOOSE(CONTROL!$C$15, $E$9, 100%, $G$9) + CHOOSE(CONTROL!$C$38, 0.0355, 0)</f>
        <v>16.186499999999999</v>
      </c>
      <c r="G43" s="17">
        <f>15.1824 * CHOOSE(CONTROL!$C$15, $E$9, 100%, $G$9) + CHOOSE(CONTROL!$C$38, 0.0356, 0)</f>
        <v>15.218</v>
      </c>
      <c r="H43" s="17">
        <f>15.1824 * CHOOSE(CONTROL!$C$15, $E$9, 100%, $G$9) + CHOOSE(CONTROL!$C$38, 0.0356, 0)</f>
        <v>15.218</v>
      </c>
      <c r="I43" s="17">
        <f>15.184 * CHOOSE(CONTROL!$C$15, $E$9, 100%, $G$9) + CHOOSE(CONTROL!$C$38, 0.0356, 0)</f>
        <v>15.2196</v>
      </c>
      <c r="J43" s="45">
        <f>89.56</f>
        <v>89.56</v>
      </c>
    </row>
    <row r="44" spans="1:10" ht="15" x14ac:dyDescent="0.2">
      <c r="A44" s="16">
        <v>42248</v>
      </c>
      <c r="B44" s="17">
        <f>16.151 * CHOOSE(CONTROL!$C$15, $E$9, 100%, $G$9) + CHOOSE(CONTROL!$C$38, 0.0355, 0)</f>
        <v>16.186499999999999</v>
      </c>
      <c r="C44" s="17">
        <f>15.1887 * CHOOSE(CONTROL!$C$15, $E$9, 100%, $G$9) + CHOOSE(CONTROL!$C$38, 0.0356, 0)</f>
        <v>15.224300000000001</v>
      </c>
      <c r="D44" s="17">
        <f>15.1808 * CHOOSE(CONTROL!$C$15, $E$9, 100%, $G$9) + CHOOSE(CONTROL!$C$38, 0.0356, 0)</f>
        <v>15.2164</v>
      </c>
      <c r="E44" s="17">
        <f>15.1808 * CHOOSE(CONTROL!$C$15, $E$9, 100%, $G$9) + CHOOSE(CONTROL!$C$38, 0.0356, 0)</f>
        <v>15.2164</v>
      </c>
      <c r="F44" s="46">
        <f>16.151 * CHOOSE(CONTROL!$C$15, $E$9, 100%, $G$9) + CHOOSE(CONTROL!$C$38, 0.0355, 0)</f>
        <v>16.186499999999999</v>
      </c>
      <c r="G44" s="17">
        <f>15.1871 * CHOOSE(CONTROL!$C$15, $E$9, 100%, $G$9) + CHOOSE(CONTROL!$C$38, 0.0356, 0)</f>
        <v>15.2227</v>
      </c>
      <c r="H44" s="17">
        <f>15.1871 * CHOOSE(CONTROL!$C$15, $E$9, 100%, $G$9) + CHOOSE(CONTROL!$C$38, 0.0356, 0)</f>
        <v>15.2227</v>
      </c>
      <c r="I44" s="17">
        <f>15.1887 * CHOOSE(CONTROL!$C$15, $E$9, 100%, $G$9) + CHOOSE(CONTROL!$C$38, 0.0356, 0)</f>
        <v>15.224300000000001</v>
      </c>
      <c r="J44" s="45">
        <f>89.39</f>
        <v>89.39</v>
      </c>
    </row>
    <row r="45" spans="1:10" ht="15" x14ac:dyDescent="0.2">
      <c r="A45" s="16">
        <v>42278</v>
      </c>
      <c r="B45" s="17">
        <f>16.151 * CHOOSE(CONTROL!$C$15, $E$9, 100%, $G$9) + CHOOSE(CONTROL!$C$38, 0.0342, 0)</f>
        <v>16.185199999999998</v>
      </c>
      <c r="C45" s="17">
        <f>15.0554 * CHOOSE(CONTROL!$C$15, $E$9, 100%, $G$9) + CHOOSE(CONTROL!$C$38, 0.0343, 0)</f>
        <v>15.089700000000001</v>
      </c>
      <c r="D45" s="17">
        <f>15.0476 * CHOOSE(CONTROL!$C$15, $E$9, 100%, $G$9) + CHOOSE(CONTROL!$C$38, 0.0343, 0)</f>
        <v>15.081899999999999</v>
      </c>
      <c r="E45" s="17">
        <f>15.0476 * CHOOSE(CONTROL!$C$15, $E$9, 100%, $G$9) + CHOOSE(CONTROL!$C$38, 0.0343, 0)</f>
        <v>15.081899999999999</v>
      </c>
      <c r="F45" s="46">
        <f>16.151 * CHOOSE(CONTROL!$C$15, $E$9, 100%, $G$9) + CHOOSE(CONTROL!$C$38, 0.0342, 0)</f>
        <v>16.185199999999998</v>
      </c>
      <c r="G45" s="17">
        <f>15.0538 * CHOOSE(CONTROL!$C$15, $E$9, 100%, $G$9) + CHOOSE(CONTROL!$C$38, 0.0343, 0)</f>
        <v>15.088100000000001</v>
      </c>
      <c r="H45" s="17">
        <f>15.0538 * CHOOSE(CONTROL!$C$15, $E$9, 100%, $G$9) + CHOOSE(CONTROL!$C$38, 0.0343, 0)</f>
        <v>15.088100000000001</v>
      </c>
      <c r="I45" s="17">
        <f>15.0554 * CHOOSE(CONTROL!$C$15, $E$9, 100%, $G$9) + CHOOSE(CONTROL!$C$38, 0.0343, 0)</f>
        <v>15.089700000000001</v>
      </c>
      <c r="J45" s="45">
        <f>89.23</f>
        <v>89.23</v>
      </c>
    </row>
    <row r="46" spans="1:10" ht="15" x14ac:dyDescent="0.2">
      <c r="A46" s="16">
        <v>42309</v>
      </c>
      <c r="B46" s="17">
        <f>16.151 * CHOOSE(CONTROL!$C$15, $E$9, 100%, $G$9) + CHOOSE(CONTROL!$C$38, 0.0342, 0)</f>
        <v>16.185199999999998</v>
      </c>
      <c r="C46" s="17">
        <f>14.9772 * CHOOSE(CONTROL!$C$15, $E$9, 100%, $G$9) + CHOOSE(CONTROL!$C$38, 0.0343, 0)</f>
        <v>15.0115</v>
      </c>
      <c r="D46" s="17">
        <f>14.9694 * CHOOSE(CONTROL!$C$15, $E$9, 100%, $G$9) + CHOOSE(CONTROL!$C$38, 0.0343, 0)</f>
        <v>15.0037</v>
      </c>
      <c r="E46" s="17">
        <f>14.9694 * CHOOSE(CONTROL!$C$15, $E$9, 100%, $G$9) + CHOOSE(CONTROL!$C$38, 0.0343, 0)</f>
        <v>15.0037</v>
      </c>
      <c r="F46" s="46">
        <f>16.151 * CHOOSE(CONTROL!$C$15, $E$9, 100%, $G$9) + CHOOSE(CONTROL!$C$38, 0.0342, 0)</f>
        <v>16.185199999999998</v>
      </c>
      <c r="G46" s="17">
        <f>14.9757 * CHOOSE(CONTROL!$C$15, $E$9, 100%, $G$9) + CHOOSE(CONTROL!$C$38, 0.0343, 0)</f>
        <v>15.01</v>
      </c>
      <c r="H46" s="17">
        <f>14.9757 * CHOOSE(CONTROL!$C$15, $E$9, 100%, $G$9) + CHOOSE(CONTROL!$C$38, 0.0343, 0)</f>
        <v>15.01</v>
      </c>
      <c r="I46" s="17">
        <f>14.9772 * CHOOSE(CONTROL!$C$15, $E$9, 100%, $G$9) + CHOOSE(CONTROL!$C$38, 0.0343, 0)</f>
        <v>15.0115</v>
      </c>
      <c r="J46" s="45">
        <f>89.08</f>
        <v>89.08</v>
      </c>
    </row>
    <row r="47" spans="1:10" ht="15" x14ac:dyDescent="0.2">
      <c r="A47" s="16">
        <v>42339</v>
      </c>
      <c r="B47" s="17">
        <f>16.151 * CHOOSE(CONTROL!$C$15, $E$9, 100%, $G$9) + CHOOSE(CONTROL!$C$38, 0.0342, 0)</f>
        <v>16.185199999999998</v>
      </c>
      <c r="C47" s="17">
        <f>14.9757 * CHOOSE(CONTROL!$C$15, $E$9, 100%, $G$9) + CHOOSE(CONTROL!$C$38, 0.0343, 0)</f>
        <v>15.01</v>
      </c>
      <c r="D47" s="17">
        <f>14.9679 * CHOOSE(CONTROL!$C$15, $E$9, 100%, $G$9) + CHOOSE(CONTROL!$C$38, 0.0343, 0)</f>
        <v>15.0022</v>
      </c>
      <c r="E47" s="17">
        <f>14.9679 * CHOOSE(CONTROL!$C$15, $E$9, 100%, $G$9) + CHOOSE(CONTROL!$C$38, 0.0343, 0)</f>
        <v>15.0022</v>
      </c>
      <c r="F47" s="46">
        <f>16.151 * CHOOSE(CONTROL!$C$15, $E$9, 100%, $G$9) + CHOOSE(CONTROL!$C$38, 0.0342, 0)</f>
        <v>16.185199999999998</v>
      </c>
      <c r="G47" s="17">
        <f>14.9741 * CHOOSE(CONTROL!$C$15, $E$9, 100%, $G$9) + CHOOSE(CONTROL!$C$38, 0.0343, 0)</f>
        <v>15.0084</v>
      </c>
      <c r="H47" s="17">
        <f>14.9741 * CHOOSE(CONTROL!$C$15, $E$9, 100%, $G$9) + CHOOSE(CONTROL!$C$38, 0.0343, 0)</f>
        <v>15.0084</v>
      </c>
      <c r="I47" s="17">
        <f>14.9757 * CHOOSE(CONTROL!$C$15, $E$9, 100%, $G$9) + CHOOSE(CONTROL!$C$38, 0.0343, 0)</f>
        <v>15.01</v>
      </c>
      <c r="J47" s="45">
        <f>88.94</f>
        <v>88.94</v>
      </c>
    </row>
    <row r="48" spans="1:10" ht="15" x14ac:dyDescent="0.2">
      <c r="A48" s="16">
        <v>42370</v>
      </c>
      <c r="B48" s="17">
        <f>17.2581 * CHOOSE(CONTROL!$C$15, $E$9, 100%, $G$9) + CHOOSE(CONTROL!$C$38, 0.0342, 0)</f>
        <v>17.292299999999997</v>
      </c>
      <c r="C48" s="17">
        <f>16.3161 * CHOOSE(CONTROL!$C$15, $E$9, 100%, $G$9) + CHOOSE(CONTROL!$C$38, 0.0343, 0)</f>
        <v>16.3504</v>
      </c>
      <c r="D48" s="17">
        <f>16.3083 * CHOOSE(CONTROL!$C$15, $E$9, 100%, $G$9) + CHOOSE(CONTROL!$C$38, 0.0343, 0)</f>
        <v>16.342599999999997</v>
      </c>
      <c r="E48" s="17">
        <f>16.3083 * CHOOSE(CONTROL!$C$15, $E$9, 100%, $G$9) + CHOOSE(CONTROL!$C$38, 0.0343, 0)</f>
        <v>16.342599999999997</v>
      </c>
      <c r="F48" s="46">
        <f>17.2581 * CHOOSE(CONTROL!$C$15, $E$9, 100%, $G$9) + CHOOSE(CONTROL!$C$38, 0.0342, 0)</f>
        <v>17.292299999999997</v>
      </c>
      <c r="G48" s="17">
        <f>16.3146 * CHOOSE(CONTROL!$C$15, $E$9, 100%, $G$9) + CHOOSE(CONTROL!$C$38, 0.0343, 0)</f>
        <v>16.3489</v>
      </c>
      <c r="H48" s="17">
        <f>16.3146 * CHOOSE(CONTROL!$C$15, $E$9, 100%, $G$9) + CHOOSE(CONTROL!$C$38, 0.0343, 0)</f>
        <v>16.3489</v>
      </c>
      <c r="I48" s="17">
        <f>16.3161 * CHOOSE(CONTROL!$C$15, $E$9, 100%, $G$9) + CHOOSE(CONTROL!$C$38, 0.0343, 0)</f>
        <v>16.3504</v>
      </c>
      <c r="J48" s="45">
        <f>86.9054</f>
        <v>86.9054</v>
      </c>
    </row>
    <row r="49" spans="1:10" ht="15" x14ac:dyDescent="0.2">
      <c r="A49" s="16">
        <v>42401</v>
      </c>
      <c r="B49" s="17">
        <f>17.5335 * CHOOSE(CONTROL!$C$15, $E$9, 100%, $G$9) + CHOOSE(CONTROL!$C$38, 0.0342, 0)</f>
        <v>17.567699999999999</v>
      </c>
      <c r="C49" s="17">
        <f>16.6012 * CHOOSE(CONTROL!$C$15, $E$9, 100%, $G$9) + CHOOSE(CONTROL!$C$38, 0.0343, 0)</f>
        <v>16.6355</v>
      </c>
      <c r="D49" s="17">
        <f>16.5934 * CHOOSE(CONTROL!$C$15, $E$9, 100%, $G$9) + CHOOSE(CONTROL!$C$38, 0.0343, 0)</f>
        <v>16.627699999999997</v>
      </c>
      <c r="E49" s="17">
        <f>16.5934 * CHOOSE(CONTROL!$C$15, $E$9, 100%, $G$9) + CHOOSE(CONTROL!$C$38, 0.0343, 0)</f>
        <v>16.627699999999997</v>
      </c>
      <c r="F49" s="46">
        <f>17.5335 * CHOOSE(CONTROL!$C$15, $E$9, 100%, $G$9) + CHOOSE(CONTROL!$C$38, 0.0342, 0)</f>
        <v>17.567699999999999</v>
      </c>
      <c r="G49" s="17">
        <f>16.5996 * CHOOSE(CONTROL!$C$15, $E$9, 100%, $G$9) + CHOOSE(CONTROL!$C$38, 0.0343, 0)</f>
        <v>16.633899999999997</v>
      </c>
      <c r="H49" s="17">
        <f>16.5996 * CHOOSE(CONTROL!$C$15, $E$9, 100%, $G$9) + CHOOSE(CONTROL!$C$38, 0.0343, 0)</f>
        <v>16.633899999999997</v>
      </c>
      <c r="I49" s="17">
        <f>16.6012 * CHOOSE(CONTROL!$C$15, $E$9, 100%, $G$9) + CHOOSE(CONTROL!$C$38, 0.0343, 0)</f>
        <v>16.6355</v>
      </c>
      <c r="J49" s="45">
        <f>86.8424</f>
        <v>86.842399999999998</v>
      </c>
    </row>
    <row r="50" spans="1:10" ht="15" x14ac:dyDescent="0.2">
      <c r="A50" s="16">
        <v>42430</v>
      </c>
      <c r="B50" s="17">
        <f>17.0089 * CHOOSE(CONTROL!$C$15, $E$9, 100%, $G$9) + CHOOSE(CONTROL!$C$38, 0.0342, 0)</f>
        <v>17.043099999999999</v>
      </c>
      <c r="C50" s="17">
        <f>16.075 * CHOOSE(CONTROL!$C$15, $E$9, 100%, $G$9) + CHOOSE(CONTROL!$C$38, 0.0343, 0)</f>
        <v>16.109299999999998</v>
      </c>
      <c r="D50" s="17">
        <f>16.0672 * CHOOSE(CONTROL!$C$15, $E$9, 100%, $G$9) + CHOOSE(CONTROL!$C$38, 0.0343, 0)</f>
        <v>16.101500000000001</v>
      </c>
      <c r="E50" s="17">
        <f>16.0672 * CHOOSE(CONTROL!$C$15, $E$9, 100%, $G$9) + CHOOSE(CONTROL!$C$38, 0.0343, 0)</f>
        <v>16.101500000000001</v>
      </c>
      <c r="F50" s="46">
        <f>17.0089 * CHOOSE(CONTROL!$C$15, $E$9, 100%, $G$9) + CHOOSE(CONTROL!$C$38, 0.0342, 0)</f>
        <v>17.043099999999999</v>
      </c>
      <c r="G50" s="17">
        <f>16.0734 * CHOOSE(CONTROL!$C$15, $E$9, 100%, $G$9) + CHOOSE(CONTROL!$C$38, 0.0343, 0)</f>
        <v>16.107700000000001</v>
      </c>
      <c r="H50" s="17">
        <f>16.0734 * CHOOSE(CONTROL!$C$15, $E$9, 100%, $G$9) + CHOOSE(CONTROL!$C$38, 0.0343, 0)</f>
        <v>16.107700000000001</v>
      </c>
      <c r="I50" s="17">
        <f>16.075 * CHOOSE(CONTROL!$C$15, $E$9, 100%, $G$9) + CHOOSE(CONTROL!$C$38, 0.0343, 0)</f>
        <v>16.109299999999998</v>
      </c>
      <c r="J50" s="45">
        <f>91.6078</f>
        <v>91.607799999999997</v>
      </c>
    </row>
    <row r="51" spans="1:10" ht="15" x14ac:dyDescent="0.2">
      <c r="A51" s="16">
        <v>42461</v>
      </c>
      <c r="B51" s="17">
        <f>16.4995 * CHOOSE(CONTROL!$C$15, $E$9, 100%, $G$9) + CHOOSE(CONTROL!$C$38, 0.0342, 0)</f>
        <v>16.5337</v>
      </c>
      <c r="C51" s="17">
        <f>15.5639 * CHOOSE(CONTROL!$C$15, $E$9, 100%, $G$9) + CHOOSE(CONTROL!$C$38, 0.0343, 0)</f>
        <v>15.5982</v>
      </c>
      <c r="D51" s="17">
        <f>15.5561 * CHOOSE(CONTROL!$C$15, $E$9, 100%, $G$9) + CHOOSE(CONTROL!$C$38, 0.0343, 0)</f>
        <v>15.590400000000001</v>
      </c>
      <c r="E51" s="17">
        <f>15.5561 * CHOOSE(CONTROL!$C$15, $E$9, 100%, $G$9) + CHOOSE(CONTROL!$C$38, 0.0343, 0)</f>
        <v>15.590400000000001</v>
      </c>
      <c r="F51" s="46">
        <f>16.4995 * CHOOSE(CONTROL!$C$15, $E$9, 100%, $G$9) + CHOOSE(CONTROL!$C$38, 0.0342, 0)</f>
        <v>16.5337</v>
      </c>
      <c r="G51" s="17">
        <f>15.5624 * CHOOSE(CONTROL!$C$15, $E$9, 100%, $G$9) + CHOOSE(CONTROL!$C$38, 0.0343, 0)</f>
        <v>15.5967</v>
      </c>
      <c r="H51" s="17">
        <f>15.5624 * CHOOSE(CONTROL!$C$15, $E$9, 100%, $G$9) + CHOOSE(CONTROL!$C$38, 0.0343, 0)</f>
        <v>15.5967</v>
      </c>
      <c r="I51" s="17">
        <f>15.5639 * CHOOSE(CONTROL!$C$15, $E$9, 100%, $G$9) + CHOOSE(CONTROL!$C$38, 0.0343, 0)</f>
        <v>15.5982</v>
      </c>
      <c r="J51" s="45">
        <f>97.7563</f>
        <v>97.756299999999996</v>
      </c>
    </row>
    <row r="52" spans="1:10" ht="15" x14ac:dyDescent="0.2">
      <c r="A52" s="16">
        <v>42491</v>
      </c>
      <c r="B52" s="17">
        <f>15.9648 * CHOOSE(CONTROL!$C$15, $E$9, 100%, $G$9) + CHOOSE(CONTROL!$C$38, 0.0355, 0)</f>
        <v>16.000299999999999</v>
      </c>
      <c r="C52" s="17">
        <f>15.0277 * CHOOSE(CONTROL!$C$15, $E$9, 100%, $G$9) + CHOOSE(CONTROL!$C$38, 0.0356, 0)</f>
        <v>15.0633</v>
      </c>
      <c r="D52" s="17">
        <f>15.0199 * CHOOSE(CONTROL!$C$15, $E$9, 100%, $G$9) + CHOOSE(CONTROL!$C$38, 0.0356, 0)</f>
        <v>15.0555</v>
      </c>
      <c r="E52" s="17">
        <f>15.0199 * CHOOSE(CONTROL!$C$15, $E$9, 100%, $G$9) + CHOOSE(CONTROL!$C$38, 0.0356, 0)</f>
        <v>15.0555</v>
      </c>
      <c r="F52" s="46">
        <f>15.9648 * CHOOSE(CONTROL!$C$15, $E$9, 100%, $G$9) + CHOOSE(CONTROL!$C$38, 0.0355, 0)</f>
        <v>16.000299999999999</v>
      </c>
      <c r="G52" s="17">
        <f>15.0261 * CHOOSE(CONTROL!$C$15, $E$9, 100%, $G$9) + CHOOSE(CONTROL!$C$38, 0.0356, 0)</f>
        <v>15.0617</v>
      </c>
      <c r="H52" s="17">
        <f>15.0261 * CHOOSE(CONTROL!$C$15, $E$9, 100%, $G$9) + CHOOSE(CONTROL!$C$38, 0.0356, 0)</f>
        <v>15.0617</v>
      </c>
      <c r="I52" s="17">
        <f>15.0277 * CHOOSE(CONTROL!$C$15, $E$9, 100%, $G$9) + CHOOSE(CONTROL!$C$38, 0.0356, 0)</f>
        <v>15.0633</v>
      </c>
      <c r="J52" s="45">
        <f>101.245</f>
        <v>101.245</v>
      </c>
    </row>
    <row r="53" spans="1:10" ht="15" x14ac:dyDescent="0.2">
      <c r="A53" s="16">
        <v>42522</v>
      </c>
      <c r="B53" s="17">
        <f>15.5979 * CHOOSE(CONTROL!$C$15, $E$9, 100%, $G$9) + CHOOSE(CONTROL!$C$38, 0.0355, 0)</f>
        <v>15.6334</v>
      </c>
      <c r="C53" s="17">
        <f>14.6591 * CHOOSE(CONTROL!$C$15, $E$9, 100%, $G$9) + CHOOSE(CONTROL!$C$38, 0.0356, 0)</f>
        <v>14.694700000000001</v>
      </c>
      <c r="D53" s="17">
        <f>14.6513 * CHOOSE(CONTROL!$C$15, $E$9, 100%, $G$9) + CHOOSE(CONTROL!$C$38, 0.0356, 0)</f>
        <v>14.686900000000001</v>
      </c>
      <c r="E53" s="17">
        <f>14.6513 * CHOOSE(CONTROL!$C$15, $E$9, 100%, $G$9) + CHOOSE(CONTROL!$C$38, 0.0356, 0)</f>
        <v>14.686900000000001</v>
      </c>
      <c r="F53" s="46">
        <f>15.5979 * CHOOSE(CONTROL!$C$15, $E$9, 100%, $G$9) + CHOOSE(CONTROL!$C$38, 0.0355, 0)</f>
        <v>15.6334</v>
      </c>
      <c r="G53" s="17">
        <f>14.6576 * CHOOSE(CONTROL!$C$15, $E$9, 100%, $G$9) + CHOOSE(CONTROL!$C$38, 0.0356, 0)</f>
        <v>14.693200000000001</v>
      </c>
      <c r="H53" s="17">
        <f>14.6576 * CHOOSE(CONTROL!$C$15, $E$9, 100%, $G$9) + CHOOSE(CONTROL!$C$38, 0.0356, 0)</f>
        <v>14.693200000000001</v>
      </c>
      <c r="I53" s="17">
        <f>14.6591 * CHOOSE(CONTROL!$C$15, $E$9, 100%, $G$9) + CHOOSE(CONTROL!$C$38, 0.0356, 0)</f>
        <v>14.694700000000001</v>
      </c>
      <c r="J53" s="45">
        <f>102.9153</f>
        <v>102.9153</v>
      </c>
    </row>
    <row r="54" spans="1:10" ht="15" x14ac:dyDescent="0.2">
      <c r="A54" s="16">
        <v>42552</v>
      </c>
      <c r="B54" s="17">
        <f>15.4008 * CHOOSE(CONTROL!$C$15, $E$9, 100%, $G$9) + CHOOSE(CONTROL!$C$38, 0.0355, 0)</f>
        <v>15.436300000000001</v>
      </c>
      <c r="C54" s="17">
        <f>14.4604 * CHOOSE(CONTROL!$C$15, $E$9, 100%, $G$9) + CHOOSE(CONTROL!$C$38, 0.0356, 0)</f>
        <v>14.496</v>
      </c>
      <c r="D54" s="17">
        <f>14.4526 * CHOOSE(CONTROL!$C$15, $E$9, 100%, $G$9) + CHOOSE(CONTROL!$C$38, 0.0356, 0)</f>
        <v>14.488200000000001</v>
      </c>
      <c r="E54" s="17">
        <f>14.4526 * CHOOSE(CONTROL!$C$15, $E$9, 100%, $G$9) + CHOOSE(CONTROL!$C$38, 0.0356, 0)</f>
        <v>14.488200000000001</v>
      </c>
      <c r="F54" s="46">
        <f>15.4008 * CHOOSE(CONTROL!$C$15, $E$9, 100%, $G$9) + CHOOSE(CONTROL!$C$38, 0.0355, 0)</f>
        <v>15.436300000000001</v>
      </c>
      <c r="G54" s="17">
        <f>14.4589 * CHOOSE(CONTROL!$C$15, $E$9, 100%, $G$9) + CHOOSE(CONTROL!$C$38, 0.0356, 0)</f>
        <v>14.4945</v>
      </c>
      <c r="H54" s="17">
        <f>14.4589 * CHOOSE(CONTROL!$C$15, $E$9, 100%, $G$9) + CHOOSE(CONTROL!$C$38, 0.0356, 0)</f>
        <v>14.4945</v>
      </c>
      <c r="I54" s="17">
        <f>14.4604 * CHOOSE(CONTROL!$C$15, $E$9, 100%, $G$9) + CHOOSE(CONTROL!$C$38, 0.0356, 0)</f>
        <v>14.496</v>
      </c>
      <c r="J54" s="45">
        <f>102.645</f>
        <v>102.645</v>
      </c>
    </row>
    <row r="55" spans="1:10" ht="15" x14ac:dyDescent="0.2">
      <c r="A55" s="16">
        <v>42583</v>
      </c>
      <c r="B55" s="17">
        <f>15.544 * CHOOSE(CONTROL!$C$15, $E$9, 100%, $G$9) + CHOOSE(CONTROL!$C$38, 0.0355, 0)</f>
        <v>15.579500000000001</v>
      </c>
      <c r="C55" s="17">
        <f>14.602 * CHOOSE(CONTROL!$C$15, $E$9, 100%, $G$9) + CHOOSE(CONTROL!$C$38, 0.0356, 0)</f>
        <v>14.637600000000001</v>
      </c>
      <c r="D55" s="17">
        <f>14.5942 * CHOOSE(CONTROL!$C$15, $E$9, 100%, $G$9) + CHOOSE(CONTROL!$C$38, 0.0356, 0)</f>
        <v>14.629800000000001</v>
      </c>
      <c r="E55" s="17">
        <f>14.5942 * CHOOSE(CONTROL!$C$15, $E$9, 100%, $G$9) + CHOOSE(CONTROL!$C$38, 0.0356, 0)</f>
        <v>14.629800000000001</v>
      </c>
      <c r="F55" s="46">
        <f>15.544 * CHOOSE(CONTROL!$C$15, $E$9, 100%, $G$9) + CHOOSE(CONTROL!$C$38, 0.0355, 0)</f>
        <v>15.579500000000001</v>
      </c>
      <c r="G55" s="17">
        <f>14.6004 * CHOOSE(CONTROL!$C$15, $E$9, 100%, $G$9) + CHOOSE(CONTROL!$C$38, 0.0356, 0)</f>
        <v>14.636000000000001</v>
      </c>
      <c r="H55" s="17">
        <f>14.6004 * CHOOSE(CONTROL!$C$15, $E$9, 100%, $G$9) + CHOOSE(CONTROL!$C$38, 0.0356, 0)</f>
        <v>14.636000000000001</v>
      </c>
      <c r="I55" s="17">
        <f>14.602 * CHOOSE(CONTROL!$C$15, $E$9, 100%, $G$9) + CHOOSE(CONTROL!$C$38, 0.0356, 0)</f>
        <v>14.637600000000001</v>
      </c>
      <c r="J55" s="45">
        <f>100.462</f>
        <v>100.462</v>
      </c>
    </row>
    <row r="56" spans="1:10" ht="15" x14ac:dyDescent="0.2">
      <c r="A56" s="16">
        <v>42614</v>
      </c>
      <c r="B56" s="17">
        <f>15.8815 * CHOOSE(CONTROL!$C$15, $E$9, 100%, $G$9) + CHOOSE(CONTROL!$C$38, 0.0355, 0)</f>
        <v>15.917000000000002</v>
      </c>
      <c r="C56" s="17">
        <f>14.9379 * CHOOSE(CONTROL!$C$15, $E$9, 100%, $G$9) + CHOOSE(CONTROL!$C$38, 0.0356, 0)</f>
        <v>14.973500000000001</v>
      </c>
      <c r="D56" s="17">
        <f>14.9301 * CHOOSE(CONTROL!$C$15, $E$9, 100%, $G$9) + CHOOSE(CONTROL!$C$38, 0.0356, 0)</f>
        <v>14.9657</v>
      </c>
      <c r="E56" s="17">
        <f>14.9301 * CHOOSE(CONTROL!$C$15, $E$9, 100%, $G$9) + CHOOSE(CONTROL!$C$38, 0.0356, 0)</f>
        <v>14.9657</v>
      </c>
      <c r="F56" s="46">
        <f>15.8815 * CHOOSE(CONTROL!$C$15, $E$9, 100%, $G$9) + CHOOSE(CONTROL!$C$38, 0.0355, 0)</f>
        <v>15.917000000000002</v>
      </c>
      <c r="G56" s="17">
        <f>14.9364 * CHOOSE(CONTROL!$C$15, $E$9, 100%, $G$9) + CHOOSE(CONTROL!$C$38, 0.0356, 0)</f>
        <v>14.972000000000001</v>
      </c>
      <c r="H56" s="17">
        <f>14.9364 * CHOOSE(CONTROL!$C$15, $E$9, 100%, $G$9) + CHOOSE(CONTROL!$C$38, 0.0356, 0)</f>
        <v>14.972000000000001</v>
      </c>
      <c r="I56" s="17">
        <f>14.9379 * CHOOSE(CONTROL!$C$15, $E$9, 100%, $G$9) + CHOOSE(CONTROL!$C$38, 0.0356, 0)</f>
        <v>14.973500000000001</v>
      </c>
      <c r="J56" s="45">
        <f>97.3229</f>
        <v>97.322900000000004</v>
      </c>
    </row>
    <row r="57" spans="1:10" ht="15" x14ac:dyDescent="0.2">
      <c r="A57" s="16">
        <v>42644</v>
      </c>
      <c r="B57" s="17">
        <f>16.1704 * CHOOSE(CONTROL!$C$15, $E$9, 100%, $G$9) + CHOOSE(CONTROL!$C$38, 0.0342, 0)</f>
        <v>16.204599999999999</v>
      </c>
      <c r="C57" s="17">
        <f>15.2252 * CHOOSE(CONTROL!$C$15, $E$9, 100%, $G$9) + CHOOSE(CONTROL!$C$38, 0.0343, 0)</f>
        <v>15.259499999999999</v>
      </c>
      <c r="D57" s="17">
        <f>15.2174 * CHOOSE(CONTROL!$C$15, $E$9, 100%, $G$9) + CHOOSE(CONTROL!$C$38, 0.0343, 0)</f>
        <v>15.2517</v>
      </c>
      <c r="E57" s="17">
        <f>15.2174 * CHOOSE(CONTROL!$C$15, $E$9, 100%, $G$9) + CHOOSE(CONTROL!$C$38, 0.0343, 0)</f>
        <v>15.2517</v>
      </c>
      <c r="F57" s="46">
        <f>16.1704 * CHOOSE(CONTROL!$C$15, $E$9, 100%, $G$9) + CHOOSE(CONTROL!$C$38, 0.0342, 0)</f>
        <v>16.204599999999999</v>
      </c>
      <c r="G57" s="17">
        <f>15.2236 * CHOOSE(CONTROL!$C$15, $E$9, 100%, $G$9) + CHOOSE(CONTROL!$C$38, 0.0343, 0)</f>
        <v>15.257899999999999</v>
      </c>
      <c r="H57" s="17">
        <f>15.2236 * CHOOSE(CONTROL!$C$15, $E$9, 100%, $G$9) + CHOOSE(CONTROL!$C$38, 0.0343, 0)</f>
        <v>15.257899999999999</v>
      </c>
      <c r="I57" s="17">
        <f>15.2252 * CHOOSE(CONTROL!$C$15, $E$9, 100%, $G$9) + CHOOSE(CONTROL!$C$38, 0.0343, 0)</f>
        <v>15.259499999999999</v>
      </c>
      <c r="J57" s="45">
        <f>94.1509</f>
        <v>94.150899999999993</v>
      </c>
    </row>
    <row r="58" spans="1:10" ht="15" x14ac:dyDescent="0.2">
      <c r="A58" s="16">
        <v>42675</v>
      </c>
      <c r="B58" s="17">
        <f>16.4178 * CHOOSE(CONTROL!$C$15, $E$9, 100%, $G$9) + CHOOSE(CONTROL!$C$38, 0.0342, 0)</f>
        <v>16.451999999999998</v>
      </c>
      <c r="C58" s="17">
        <f>15.4709 * CHOOSE(CONTROL!$C$15, $E$9, 100%, $G$9) + CHOOSE(CONTROL!$C$38, 0.0343, 0)</f>
        <v>15.5052</v>
      </c>
      <c r="D58" s="17">
        <f>15.4631 * CHOOSE(CONTROL!$C$15, $E$9, 100%, $G$9) + CHOOSE(CONTROL!$C$38, 0.0343, 0)</f>
        <v>15.497400000000001</v>
      </c>
      <c r="E58" s="17">
        <f>15.4631 * CHOOSE(CONTROL!$C$15, $E$9, 100%, $G$9) + CHOOSE(CONTROL!$C$38, 0.0343, 0)</f>
        <v>15.497400000000001</v>
      </c>
      <c r="F58" s="46">
        <f>16.4178 * CHOOSE(CONTROL!$C$15, $E$9, 100%, $G$9) + CHOOSE(CONTROL!$C$38, 0.0342, 0)</f>
        <v>16.451999999999998</v>
      </c>
      <c r="G58" s="17">
        <f>15.4693 * CHOOSE(CONTROL!$C$15, $E$9, 100%, $G$9) + CHOOSE(CONTROL!$C$38, 0.0343, 0)</f>
        <v>15.5036</v>
      </c>
      <c r="H58" s="17">
        <f>15.4693 * CHOOSE(CONTROL!$C$15, $E$9, 100%, $G$9) + CHOOSE(CONTROL!$C$38, 0.0343, 0)</f>
        <v>15.5036</v>
      </c>
      <c r="I58" s="17">
        <f>15.4709 * CHOOSE(CONTROL!$C$15, $E$9, 100%, $G$9) + CHOOSE(CONTROL!$C$38, 0.0343, 0)</f>
        <v>15.5052</v>
      </c>
      <c r="J58" s="45">
        <f>93.6726</f>
        <v>93.672600000000003</v>
      </c>
    </row>
    <row r="59" spans="1:10" ht="15" x14ac:dyDescent="0.2">
      <c r="A59" s="16">
        <v>42705</v>
      </c>
      <c r="B59" s="17">
        <f>17.1151 * CHOOSE(CONTROL!$C$15, $E$9, 100%, $G$9) + CHOOSE(CONTROL!$C$38, 0.0342, 0)</f>
        <v>17.1493</v>
      </c>
      <c r="C59" s="17">
        <f>16.1666 * CHOOSE(CONTROL!$C$15, $E$9, 100%, $G$9) + CHOOSE(CONTROL!$C$38, 0.0343, 0)</f>
        <v>16.200899999999997</v>
      </c>
      <c r="D59" s="17">
        <f>16.1588 * CHOOSE(CONTROL!$C$15, $E$9, 100%, $G$9) + CHOOSE(CONTROL!$C$38, 0.0343, 0)</f>
        <v>16.193100000000001</v>
      </c>
      <c r="E59" s="17">
        <f>16.1588 * CHOOSE(CONTROL!$C$15, $E$9, 100%, $G$9) + CHOOSE(CONTROL!$C$38, 0.0343, 0)</f>
        <v>16.193100000000001</v>
      </c>
      <c r="F59" s="46">
        <f>17.1151 * CHOOSE(CONTROL!$C$15, $E$9, 100%, $G$9) + CHOOSE(CONTROL!$C$38, 0.0342, 0)</f>
        <v>17.1493</v>
      </c>
      <c r="G59" s="17">
        <f>16.165 * CHOOSE(CONTROL!$C$15, $E$9, 100%, $G$9) + CHOOSE(CONTROL!$C$38, 0.0343, 0)</f>
        <v>16.199300000000001</v>
      </c>
      <c r="H59" s="17">
        <f>16.165 * CHOOSE(CONTROL!$C$15, $E$9, 100%, $G$9) + CHOOSE(CONTROL!$C$38, 0.0343, 0)</f>
        <v>16.199300000000001</v>
      </c>
      <c r="I59" s="17">
        <f>16.1666 * CHOOSE(CONTROL!$C$15, $E$9, 100%, $G$9) + CHOOSE(CONTROL!$C$38, 0.0343, 0)</f>
        <v>16.200899999999997</v>
      </c>
      <c r="J59" s="45">
        <f>91.0801</f>
        <v>91.080100000000002</v>
      </c>
    </row>
    <row r="60" spans="1:10" ht="15" x14ac:dyDescent="0.2">
      <c r="A60" s="16">
        <v>42736</v>
      </c>
      <c r="B60" s="17">
        <f>17.2476 * CHOOSE(CONTROL!$C$15, $E$9, 100%, $G$9) + CHOOSE(CONTROL!$C$38, 0.0342, 0)</f>
        <v>17.281799999999997</v>
      </c>
      <c r="C60" s="17">
        <f>16.3221 * CHOOSE(CONTROL!$C$15, $E$9, 100%, $G$9) + CHOOSE(CONTROL!$C$38, 0.0343, 0)</f>
        <v>16.356400000000001</v>
      </c>
      <c r="D60" s="17">
        <f>16.3143 * CHOOSE(CONTROL!$C$15, $E$9, 100%, $G$9) + CHOOSE(CONTROL!$C$38, 0.0343, 0)</f>
        <v>16.348599999999998</v>
      </c>
      <c r="E60" s="17">
        <f>16.3143 * CHOOSE(CONTROL!$C$15, $E$9, 100%, $G$9) + CHOOSE(CONTROL!$C$38, 0.0343, 0)</f>
        <v>16.348599999999998</v>
      </c>
      <c r="F60" s="46">
        <f>17.2476 * CHOOSE(CONTROL!$C$15, $E$9, 100%, $G$9) + CHOOSE(CONTROL!$C$38, 0.0342, 0)</f>
        <v>17.281799999999997</v>
      </c>
      <c r="G60" s="17">
        <f>16.3206 * CHOOSE(CONTROL!$C$15, $E$9, 100%, $G$9) + CHOOSE(CONTROL!$C$38, 0.0343, 0)</f>
        <v>16.354900000000001</v>
      </c>
      <c r="H60" s="17">
        <f>16.3206 * CHOOSE(CONTROL!$C$15, $E$9, 100%, $G$9) + CHOOSE(CONTROL!$C$38, 0.0343, 0)</f>
        <v>16.354900000000001</v>
      </c>
      <c r="I60" s="17">
        <f>16.3221 * CHOOSE(CONTROL!$C$15, $E$9, 100%, $G$9) + CHOOSE(CONTROL!$C$38, 0.0343, 0)</f>
        <v>16.356400000000001</v>
      </c>
      <c r="J60" s="45">
        <f>87.2014</f>
        <v>87.201400000000007</v>
      </c>
    </row>
    <row r="61" spans="1:10" ht="15" x14ac:dyDescent="0.2">
      <c r="A61" s="16">
        <v>42767</v>
      </c>
      <c r="B61" s="17">
        <f>17.5291 * CHOOSE(CONTROL!$C$15, $E$9, 100%, $G$9) + CHOOSE(CONTROL!$C$38, 0.0342, 0)</f>
        <v>17.563299999999998</v>
      </c>
      <c r="C61" s="17">
        <f>16.5828 * CHOOSE(CONTROL!$C$15, $E$9, 100%, $G$9) + CHOOSE(CONTROL!$C$38, 0.0343, 0)</f>
        <v>16.617100000000001</v>
      </c>
      <c r="D61" s="17">
        <f>16.575 * CHOOSE(CONTROL!$C$15, $E$9, 100%, $G$9) + CHOOSE(CONTROL!$C$38, 0.0343, 0)</f>
        <v>16.609299999999998</v>
      </c>
      <c r="E61" s="17">
        <f>16.575 * CHOOSE(CONTROL!$C$15, $E$9, 100%, $G$9) + CHOOSE(CONTROL!$C$38, 0.0343, 0)</f>
        <v>16.609299999999998</v>
      </c>
      <c r="F61" s="46">
        <f>17.5291 * CHOOSE(CONTROL!$C$15, $E$9, 100%, $G$9) + CHOOSE(CONTROL!$C$38, 0.0342, 0)</f>
        <v>17.563299999999998</v>
      </c>
      <c r="G61" s="17">
        <f>16.5812 * CHOOSE(CONTROL!$C$15, $E$9, 100%, $G$9) + CHOOSE(CONTROL!$C$38, 0.0343, 0)</f>
        <v>16.615499999999997</v>
      </c>
      <c r="H61" s="17">
        <f>16.5812 * CHOOSE(CONTROL!$C$15, $E$9, 100%, $G$9) + CHOOSE(CONTROL!$C$38, 0.0343, 0)</f>
        <v>16.615499999999997</v>
      </c>
      <c r="I61" s="17">
        <f>16.5828 * CHOOSE(CONTROL!$C$15, $E$9, 100%, $G$9) + CHOOSE(CONTROL!$C$38, 0.0343, 0)</f>
        <v>16.617100000000001</v>
      </c>
      <c r="J61" s="45">
        <f>87.1382</f>
        <v>87.138199999999998</v>
      </c>
    </row>
    <row r="62" spans="1:10" ht="15" x14ac:dyDescent="0.2">
      <c r="A62" s="16">
        <v>42795</v>
      </c>
      <c r="B62" s="17">
        <f>16.9905 * CHOOSE(CONTROL!$C$15, $E$9, 100%, $G$9) + CHOOSE(CONTROL!$C$38, 0.0342, 0)</f>
        <v>17.024699999999999</v>
      </c>
      <c r="C62" s="17">
        <f>16.0618 * CHOOSE(CONTROL!$C$15, $E$9, 100%, $G$9) + CHOOSE(CONTROL!$C$38, 0.0343, 0)</f>
        <v>16.0961</v>
      </c>
      <c r="D62" s="17">
        <f>16.054 * CHOOSE(CONTROL!$C$15, $E$9, 100%, $G$9) + CHOOSE(CONTROL!$C$38, 0.0343, 0)</f>
        <v>16.088299999999997</v>
      </c>
      <c r="E62" s="17">
        <f>16.054 * CHOOSE(CONTROL!$C$15, $E$9, 100%, $G$9) + CHOOSE(CONTROL!$C$38, 0.0343, 0)</f>
        <v>16.088299999999997</v>
      </c>
      <c r="F62" s="46">
        <f>16.9905 * CHOOSE(CONTROL!$C$15, $E$9, 100%, $G$9) + CHOOSE(CONTROL!$C$38, 0.0342, 0)</f>
        <v>17.024699999999999</v>
      </c>
      <c r="G62" s="17">
        <f>16.0603 * CHOOSE(CONTROL!$C$15, $E$9, 100%, $G$9) + CHOOSE(CONTROL!$C$38, 0.0343, 0)</f>
        <v>16.0946</v>
      </c>
      <c r="H62" s="17">
        <f>16.0603 * CHOOSE(CONTROL!$C$15, $E$9, 100%, $G$9) + CHOOSE(CONTROL!$C$38, 0.0343, 0)</f>
        <v>16.0946</v>
      </c>
      <c r="I62" s="17">
        <f>16.0618 * CHOOSE(CONTROL!$C$15, $E$9, 100%, $G$9) + CHOOSE(CONTROL!$C$38, 0.0343, 0)</f>
        <v>16.0961</v>
      </c>
      <c r="J62" s="45">
        <f>91.9198</f>
        <v>91.919799999999995</v>
      </c>
    </row>
    <row r="63" spans="1:10" ht="15" x14ac:dyDescent="0.2">
      <c r="A63" s="16">
        <v>42826</v>
      </c>
      <c r="B63" s="17">
        <f>16.4674 * CHOOSE(CONTROL!$C$15, $E$9, 100%, $G$9) + CHOOSE(CONTROL!$C$38, 0.0342, 0)</f>
        <v>16.5016</v>
      </c>
      <c r="C63" s="17">
        <f>15.5372 * CHOOSE(CONTROL!$C$15, $E$9, 100%, $G$9) + CHOOSE(CONTROL!$C$38, 0.0343, 0)</f>
        <v>15.5715</v>
      </c>
      <c r="D63" s="17">
        <f>15.5293 * CHOOSE(CONTROL!$C$15, $E$9, 100%, $G$9) + CHOOSE(CONTROL!$C$38, 0.0343, 0)</f>
        <v>15.563599999999999</v>
      </c>
      <c r="E63" s="17">
        <f>15.5293 * CHOOSE(CONTROL!$C$15, $E$9, 100%, $G$9) + CHOOSE(CONTROL!$C$38, 0.0343, 0)</f>
        <v>15.563599999999999</v>
      </c>
      <c r="F63" s="46">
        <f>16.4674 * CHOOSE(CONTROL!$C$15, $E$9, 100%, $G$9) + CHOOSE(CONTROL!$C$38, 0.0342, 0)</f>
        <v>16.5016</v>
      </c>
      <c r="G63" s="17">
        <f>15.5356 * CHOOSE(CONTROL!$C$15, $E$9, 100%, $G$9) + CHOOSE(CONTROL!$C$38, 0.0343, 0)</f>
        <v>15.569900000000001</v>
      </c>
      <c r="H63" s="17">
        <f>15.5356 * CHOOSE(CONTROL!$C$15, $E$9, 100%, $G$9) + CHOOSE(CONTROL!$C$38, 0.0343, 0)</f>
        <v>15.569900000000001</v>
      </c>
      <c r="I63" s="17">
        <f>15.5372 * CHOOSE(CONTROL!$C$15, $E$9, 100%, $G$9) + CHOOSE(CONTROL!$C$38, 0.0343, 0)</f>
        <v>15.5715</v>
      </c>
      <c r="J63" s="45">
        <f>98.0893</f>
        <v>98.089299999999994</v>
      </c>
    </row>
    <row r="64" spans="1:10" ht="15" x14ac:dyDescent="0.2">
      <c r="A64" s="16">
        <v>42856</v>
      </c>
      <c r="B64" s="17">
        <f>15.9185 * CHOOSE(CONTROL!$C$15, $E$9, 100%, $G$9) + CHOOSE(CONTROL!$C$38, 0.0355, 0)</f>
        <v>15.954000000000001</v>
      </c>
      <c r="C64" s="17">
        <f>14.9867 * CHOOSE(CONTROL!$C$15, $E$9, 100%, $G$9) + CHOOSE(CONTROL!$C$38, 0.0356, 0)</f>
        <v>15.022300000000001</v>
      </c>
      <c r="D64" s="17">
        <f>14.9789 * CHOOSE(CONTROL!$C$15, $E$9, 100%, $G$9) + CHOOSE(CONTROL!$C$38, 0.0356, 0)</f>
        <v>15.0145</v>
      </c>
      <c r="E64" s="17">
        <f>14.9789 * CHOOSE(CONTROL!$C$15, $E$9, 100%, $G$9) + CHOOSE(CONTROL!$C$38, 0.0356, 0)</f>
        <v>15.0145</v>
      </c>
      <c r="F64" s="46">
        <f>15.9185 * CHOOSE(CONTROL!$C$15, $E$9, 100%, $G$9) + CHOOSE(CONTROL!$C$38, 0.0355, 0)</f>
        <v>15.954000000000001</v>
      </c>
      <c r="G64" s="17">
        <f>14.9851 * CHOOSE(CONTROL!$C$15, $E$9, 100%, $G$9) + CHOOSE(CONTROL!$C$38, 0.0356, 0)</f>
        <v>15.0207</v>
      </c>
      <c r="H64" s="17">
        <f>14.9851 * CHOOSE(CONTROL!$C$15, $E$9, 100%, $G$9) + CHOOSE(CONTROL!$C$38, 0.0356, 0)</f>
        <v>15.0207</v>
      </c>
      <c r="I64" s="17">
        <f>14.9867 * CHOOSE(CONTROL!$C$15, $E$9, 100%, $G$9) + CHOOSE(CONTROL!$C$38, 0.0356, 0)</f>
        <v>15.022300000000001</v>
      </c>
      <c r="J64" s="45">
        <f>101.5898</f>
        <v>101.5898</v>
      </c>
    </row>
    <row r="65" spans="1:10" ht="15" x14ac:dyDescent="0.2">
      <c r="A65" s="16">
        <v>42887</v>
      </c>
      <c r="B65" s="17">
        <f>15.5415 * CHOOSE(CONTROL!$C$15, $E$9, 100%, $G$9) + CHOOSE(CONTROL!$C$38, 0.0355, 0)</f>
        <v>15.577</v>
      </c>
      <c r="C65" s="17">
        <f>14.6081 * CHOOSE(CONTROL!$C$15, $E$9, 100%, $G$9) + CHOOSE(CONTROL!$C$38, 0.0356, 0)</f>
        <v>14.643700000000001</v>
      </c>
      <c r="D65" s="17">
        <f>14.6002 * CHOOSE(CONTROL!$C$15, $E$9, 100%, $G$9) + CHOOSE(CONTROL!$C$38, 0.0356, 0)</f>
        <v>14.6358</v>
      </c>
      <c r="E65" s="17">
        <f>14.6002 * CHOOSE(CONTROL!$C$15, $E$9, 100%, $G$9) + CHOOSE(CONTROL!$C$38, 0.0356, 0)</f>
        <v>14.6358</v>
      </c>
      <c r="F65" s="46">
        <f>15.5415 * CHOOSE(CONTROL!$C$15, $E$9, 100%, $G$9) + CHOOSE(CONTROL!$C$38, 0.0355, 0)</f>
        <v>15.577</v>
      </c>
      <c r="G65" s="17">
        <f>14.6065 * CHOOSE(CONTROL!$C$15, $E$9, 100%, $G$9) + CHOOSE(CONTROL!$C$38, 0.0356, 0)</f>
        <v>14.642100000000001</v>
      </c>
      <c r="H65" s="17">
        <f>14.6065 * CHOOSE(CONTROL!$C$15, $E$9, 100%, $G$9) + CHOOSE(CONTROL!$C$38, 0.0356, 0)</f>
        <v>14.642100000000001</v>
      </c>
      <c r="I65" s="17">
        <f>14.6081 * CHOOSE(CONTROL!$C$15, $E$9, 100%, $G$9) + CHOOSE(CONTROL!$C$38, 0.0356, 0)</f>
        <v>14.643700000000001</v>
      </c>
      <c r="J65" s="45">
        <f>103.2659</f>
        <v>103.2659</v>
      </c>
    </row>
    <row r="66" spans="1:10" ht="15" x14ac:dyDescent="0.2">
      <c r="A66" s="16">
        <v>42917</v>
      </c>
      <c r="B66" s="17">
        <f>15.3386 * CHOOSE(CONTROL!$C$15, $E$9, 100%, $G$9) + CHOOSE(CONTROL!$C$38, 0.0355, 0)</f>
        <v>15.3741</v>
      </c>
      <c r="C66" s="17">
        <f>14.4036 * CHOOSE(CONTROL!$C$15, $E$9, 100%, $G$9) + CHOOSE(CONTROL!$C$38, 0.0356, 0)</f>
        <v>14.439200000000001</v>
      </c>
      <c r="D66" s="17">
        <f>14.3958 * CHOOSE(CONTROL!$C$15, $E$9, 100%, $G$9) + CHOOSE(CONTROL!$C$38, 0.0356, 0)</f>
        <v>14.4314</v>
      </c>
      <c r="E66" s="17">
        <f>14.3958 * CHOOSE(CONTROL!$C$15, $E$9, 100%, $G$9) + CHOOSE(CONTROL!$C$38, 0.0356, 0)</f>
        <v>14.4314</v>
      </c>
      <c r="F66" s="46">
        <f>15.3386 * CHOOSE(CONTROL!$C$15, $E$9, 100%, $G$9) + CHOOSE(CONTROL!$C$38, 0.0355, 0)</f>
        <v>15.3741</v>
      </c>
      <c r="G66" s="17">
        <f>14.402 * CHOOSE(CONTROL!$C$15, $E$9, 100%, $G$9) + CHOOSE(CONTROL!$C$38, 0.0356, 0)</f>
        <v>14.4376</v>
      </c>
      <c r="H66" s="17">
        <f>14.402 * CHOOSE(CONTROL!$C$15, $E$9, 100%, $G$9) + CHOOSE(CONTROL!$C$38, 0.0356, 0)</f>
        <v>14.4376</v>
      </c>
      <c r="I66" s="17">
        <f>14.4036 * CHOOSE(CONTROL!$C$15, $E$9, 100%, $G$9) + CHOOSE(CONTROL!$C$38, 0.0356, 0)</f>
        <v>14.439200000000001</v>
      </c>
      <c r="J66" s="45">
        <f>102.9947</f>
        <v>102.99469999999999</v>
      </c>
    </row>
    <row r="67" spans="1:10" ht="15" x14ac:dyDescent="0.2">
      <c r="A67" s="16">
        <v>42948</v>
      </c>
      <c r="B67" s="17">
        <f>15.4845 * CHOOSE(CONTROL!$C$15, $E$9, 100%, $G$9) + CHOOSE(CONTROL!$C$38, 0.0355, 0)</f>
        <v>15.520000000000001</v>
      </c>
      <c r="C67" s="17">
        <f>14.5478 * CHOOSE(CONTROL!$C$15, $E$9, 100%, $G$9) + CHOOSE(CONTROL!$C$38, 0.0356, 0)</f>
        <v>14.583400000000001</v>
      </c>
      <c r="D67" s="17">
        <f>14.54 * CHOOSE(CONTROL!$C$15, $E$9, 100%, $G$9) + CHOOSE(CONTROL!$C$38, 0.0356, 0)</f>
        <v>14.5756</v>
      </c>
      <c r="E67" s="17">
        <f>14.54 * CHOOSE(CONTROL!$C$15, $E$9, 100%, $G$9) + CHOOSE(CONTROL!$C$38, 0.0356, 0)</f>
        <v>14.5756</v>
      </c>
      <c r="F67" s="46">
        <f>15.4845 * CHOOSE(CONTROL!$C$15, $E$9, 100%, $G$9) + CHOOSE(CONTROL!$C$38, 0.0355, 0)</f>
        <v>15.520000000000001</v>
      </c>
      <c r="G67" s="17">
        <f>14.5463 * CHOOSE(CONTROL!$C$15, $E$9, 100%, $G$9) + CHOOSE(CONTROL!$C$38, 0.0356, 0)</f>
        <v>14.581900000000001</v>
      </c>
      <c r="H67" s="17">
        <f>14.5463 * CHOOSE(CONTROL!$C$15, $E$9, 100%, $G$9) + CHOOSE(CONTROL!$C$38, 0.0356, 0)</f>
        <v>14.581900000000001</v>
      </c>
      <c r="I67" s="17">
        <f>14.5478 * CHOOSE(CONTROL!$C$15, $E$9, 100%, $G$9) + CHOOSE(CONTROL!$C$38, 0.0356, 0)</f>
        <v>14.583400000000001</v>
      </c>
      <c r="J67" s="45">
        <f>100.8042</f>
        <v>100.80419999999999</v>
      </c>
    </row>
    <row r="68" spans="1:10" ht="15" x14ac:dyDescent="0.2">
      <c r="A68" s="16">
        <v>42979</v>
      </c>
      <c r="B68" s="17">
        <f>15.8296 * CHOOSE(CONTROL!$C$15, $E$9, 100%, $G$9) + CHOOSE(CONTROL!$C$38, 0.0355, 0)</f>
        <v>15.8651</v>
      </c>
      <c r="C68" s="17">
        <f>14.8913 * CHOOSE(CONTROL!$C$15, $E$9, 100%, $G$9) + CHOOSE(CONTROL!$C$38, 0.0356, 0)</f>
        <v>14.9269</v>
      </c>
      <c r="D68" s="17">
        <f>14.8835 * CHOOSE(CONTROL!$C$15, $E$9, 100%, $G$9) + CHOOSE(CONTROL!$C$38, 0.0356, 0)</f>
        <v>14.9191</v>
      </c>
      <c r="E68" s="17">
        <f>14.8835 * CHOOSE(CONTROL!$C$15, $E$9, 100%, $G$9) + CHOOSE(CONTROL!$C$38, 0.0356, 0)</f>
        <v>14.9191</v>
      </c>
      <c r="F68" s="46">
        <f>15.8296 * CHOOSE(CONTROL!$C$15, $E$9, 100%, $G$9) + CHOOSE(CONTROL!$C$38, 0.0355, 0)</f>
        <v>15.8651</v>
      </c>
      <c r="G68" s="17">
        <f>14.8897 * CHOOSE(CONTROL!$C$15, $E$9, 100%, $G$9) + CHOOSE(CONTROL!$C$38, 0.0356, 0)</f>
        <v>14.9253</v>
      </c>
      <c r="H68" s="17">
        <f>14.8897 * CHOOSE(CONTROL!$C$15, $E$9, 100%, $G$9) + CHOOSE(CONTROL!$C$38, 0.0356, 0)</f>
        <v>14.9253</v>
      </c>
      <c r="I68" s="17">
        <f>14.8913 * CHOOSE(CONTROL!$C$15, $E$9, 100%, $G$9) + CHOOSE(CONTROL!$C$38, 0.0356, 0)</f>
        <v>14.9269</v>
      </c>
      <c r="J68" s="45">
        <f>97.6544</f>
        <v>97.654399999999995</v>
      </c>
    </row>
    <row r="69" spans="1:10" ht="15" x14ac:dyDescent="0.2">
      <c r="A69" s="16">
        <v>43009</v>
      </c>
      <c r="B69" s="17">
        <f>16.1248 * CHOOSE(CONTROL!$C$15, $E$9, 100%, $G$9) + CHOOSE(CONTROL!$C$38, 0.0342, 0)</f>
        <v>16.158999999999999</v>
      </c>
      <c r="C69" s="17">
        <f>15.1849 * CHOOSE(CONTROL!$C$15, $E$9, 100%, $G$9) + CHOOSE(CONTROL!$C$38, 0.0343, 0)</f>
        <v>15.219200000000001</v>
      </c>
      <c r="D69" s="17">
        <f>15.1771 * CHOOSE(CONTROL!$C$15, $E$9, 100%, $G$9) + CHOOSE(CONTROL!$C$38, 0.0343, 0)</f>
        <v>15.211399999999999</v>
      </c>
      <c r="E69" s="17">
        <f>15.1771 * CHOOSE(CONTROL!$C$15, $E$9, 100%, $G$9) + CHOOSE(CONTROL!$C$38, 0.0343, 0)</f>
        <v>15.211399999999999</v>
      </c>
      <c r="F69" s="46">
        <f>16.1248 * CHOOSE(CONTROL!$C$15, $E$9, 100%, $G$9) + CHOOSE(CONTROL!$C$38, 0.0342, 0)</f>
        <v>16.158999999999999</v>
      </c>
      <c r="G69" s="17">
        <f>15.1834 * CHOOSE(CONTROL!$C$15, $E$9, 100%, $G$9) + CHOOSE(CONTROL!$C$38, 0.0343, 0)</f>
        <v>15.217700000000001</v>
      </c>
      <c r="H69" s="17">
        <f>15.1834 * CHOOSE(CONTROL!$C$15, $E$9, 100%, $G$9) + CHOOSE(CONTROL!$C$38, 0.0343, 0)</f>
        <v>15.217700000000001</v>
      </c>
      <c r="I69" s="17">
        <f>15.1849 * CHOOSE(CONTROL!$C$15, $E$9, 100%, $G$9) + CHOOSE(CONTROL!$C$38, 0.0343, 0)</f>
        <v>15.219200000000001</v>
      </c>
      <c r="J69" s="45">
        <f>94.4716</f>
        <v>94.471599999999995</v>
      </c>
    </row>
    <row r="70" spans="1:10" ht="15" x14ac:dyDescent="0.2">
      <c r="A70" s="16">
        <v>43040</v>
      </c>
      <c r="B70" s="17">
        <f>16.3774 * CHOOSE(CONTROL!$C$15, $E$9, 100%, $G$9) + CHOOSE(CONTROL!$C$38, 0.0342, 0)</f>
        <v>16.4116</v>
      </c>
      <c r="C70" s="17">
        <f>15.4359 * CHOOSE(CONTROL!$C$15, $E$9, 100%, $G$9) + CHOOSE(CONTROL!$C$38, 0.0343, 0)</f>
        <v>15.4702</v>
      </c>
      <c r="D70" s="17">
        <f>15.4281 * CHOOSE(CONTROL!$C$15, $E$9, 100%, $G$9) + CHOOSE(CONTROL!$C$38, 0.0343, 0)</f>
        <v>15.462400000000001</v>
      </c>
      <c r="E70" s="17">
        <f>15.4281 * CHOOSE(CONTROL!$C$15, $E$9, 100%, $G$9) + CHOOSE(CONTROL!$C$38, 0.0343, 0)</f>
        <v>15.462400000000001</v>
      </c>
      <c r="F70" s="46">
        <f>16.3774 * CHOOSE(CONTROL!$C$15, $E$9, 100%, $G$9) + CHOOSE(CONTROL!$C$38, 0.0342, 0)</f>
        <v>16.4116</v>
      </c>
      <c r="G70" s="17">
        <f>15.4344 * CHOOSE(CONTROL!$C$15, $E$9, 100%, $G$9) + CHOOSE(CONTROL!$C$38, 0.0343, 0)</f>
        <v>15.4687</v>
      </c>
      <c r="H70" s="17">
        <f>15.4344 * CHOOSE(CONTROL!$C$15, $E$9, 100%, $G$9) + CHOOSE(CONTROL!$C$38, 0.0343, 0)</f>
        <v>15.4687</v>
      </c>
      <c r="I70" s="17">
        <f>15.4359 * CHOOSE(CONTROL!$C$15, $E$9, 100%, $G$9) + CHOOSE(CONTROL!$C$38, 0.0343, 0)</f>
        <v>15.4702</v>
      </c>
      <c r="J70" s="45">
        <f>93.9917</f>
        <v>93.991699999999994</v>
      </c>
    </row>
    <row r="71" spans="1:10" ht="15" x14ac:dyDescent="0.2">
      <c r="A71" s="16">
        <v>43070</v>
      </c>
      <c r="B71" s="17">
        <f>17.0913 * CHOOSE(CONTROL!$C$15, $E$9, 100%, $G$9) + CHOOSE(CONTROL!$C$38, 0.0342, 0)</f>
        <v>17.125499999999999</v>
      </c>
      <c r="C71" s="17">
        <f>16.1482 * CHOOSE(CONTROL!$C$15, $E$9, 100%, $G$9) + CHOOSE(CONTROL!$C$38, 0.0343, 0)</f>
        <v>16.182499999999997</v>
      </c>
      <c r="D71" s="17">
        <f>16.1403 * CHOOSE(CONTROL!$C$15, $E$9, 100%, $G$9) + CHOOSE(CONTROL!$C$38, 0.0343, 0)</f>
        <v>16.174599999999998</v>
      </c>
      <c r="E71" s="17">
        <f>16.1403 * CHOOSE(CONTROL!$C$15, $E$9, 100%, $G$9) + CHOOSE(CONTROL!$C$38, 0.0343, 0)</f>
        <v>16.174599999999998</v>
      </c>
      <c r="F71" s="46">
        <f>17.0913 * CHOOSE(CONTROL!$C$15, $E$9, 100%, $G$9) + CHOOSE(CONTROL!$C$38, 0.0342, 0)</f>
        <v>17.125499999999999</v>
      </c>
      <c r="G71" s="17">
        <f>16.1466 * CHOOSE(CONTROL!$C$15, $E$9, 100%, $G$9) + CHOOSE(CONTROL!$C$38, 0.0343, 0)</f>
        <v>16.180900000000001</v>
      </c>
      <c r="H71" s="17">
        <f>16.1466 * CHOOSE(CONTROL!$C$15, $E$9, 100%, $G$9) + CHOOSE(CONTROL!$C$38, 0.0343, 0)</f>
        <v>16.180900000000001</v>
      </c>
      <c r="I71" s="17">
        <f>16.1482 * CHOOSE(CONTROL!$C$15, $E$9, 100%, $G$9) + CHOOSE(CONTROL!$C$38, 0.0343, 0)</f>
        <v>16.182499999999997</v>
      </c>
      <c r="J71" s="45">
        <f>91.3903</f>
        <v>91.390299999999996</v>
      </c>
    </row>
    <row r="72" spans="1:10" ht="15" x14ac:dyDescent="0.2">
      <c r="A72" s="16">
        <v>43101</v>
      </c>
      <c r="B72" s="17">
        <f>18.4368 * CHOOSE(CONTROL!$C$15, $E$9, 100%, $G$9) + CHOOSE(CONTROL!$C$38, 0.0342, 0)</f>
        <v>18.471</v>
      </c>
      <c r="C72" s="17">
        <f>17.4932 * CHOOSE(CONTROL!$C$15, $E$9, 100%, $G$9) + CHOOSE(CONTROL!$C$38, 0.0343, 0)</f>
        <v>17.527500000000003</v>
      </c>
      <c r="D72" s="17">
        <f>17.4854 * CHOOSE(CONTROL!$C$15, $E$9, 100%, $G$9) + CHOOSE(CONTROL!$C$38, 0.0343, 0)</f>
        <v>17.5197</v>
      </c>
      <c r="E72" s="17">
        <f>17.4854 * CHOOSE(CONTROL!$C$15, $E$9, 100%, $G$9) + CHOOSE(CONTROL!$C$38, 0.0343, 0)</f>
        <v>17.5197</v>
      </c>
      <c r="F72" s="46">
        <f>18.4368 * CHOOSE(CONTROL!$C$15, $E$9, 100%, $G$9) + CHOOSE(CONTROL!$C$38, 0.0342, 0)</f>
        <v>18.471</v>
      </c>
      <c r="G72" s="17">
        <f>17.4916 * CHOOSE(CONTROL!$C$15, $E$9, 100%, $G$9) + CHOOSE(CONTROL!$C$38, 0.0343, 0)</f>
        <v>17.5259</v>
      </c>
      <c r="H72" s="17">
        <f>17.4916 * CHOOSE(CONTROL!$C$15, $E$9, 100%, $G$9) + CHOOSE(CONTROL!$C$38, 0.0343, 0)</f>
        <v>17.5259</v>
      </c>
      <c r="I72" s="17">
        <f>17.4932 * CHOOSE(CONTROL!$C$15, $E$9, 100%, $G$9) + CHOOSE(CONTROL!$C$38, 0.0343, 0)</f>
        <v>17.527500000000003</v>
      </c>
      <c r="J72" s="45">
        <f>98.475</f>
        <v>98.474999999999994</v>
      </c>
    </row>
    <row r="73" spans="1:10" ht="15" x14ac:dyDescent="0.2">
      <c r="A73" s="16">
        <v>43132</v>
      </c>
      <c r="B73" s="17">
        <f>18.7269 * CHOOSE(CONTROL!$C$15, $E$9, 100%, $G$9) + CHOOSE(CONTROL!$C$38, 0.0342, 0)</f>
        <v>18.761099999999999</v>
      </c>
      <c r="C73" s="17">
        <f>17.7817 * CHOOSE(CONTROL!$C$15, $E$9, 100%, $G$9) + CHOOSE(CONTROL!$C$38, 0.0343, 0)</f>
        <v>17.816000000000003</v>
      </c>
      <c r="D73" s="17">
        <f>17.7738 * CHOOSE(CONTROL!$C$15, $E$9, 100%, $G$9) + CHOOSE(CONTROL!$C$38, 0.0343, 0)</f>
        <v>17.808100000000003</v>
      </c>
      <c r="E73" s="17">
        <f>17.7738 * CHOOSE(CONTROL!$C$15, $E$9, 100%, $G$9) + CHOOSE(CONTROL!$C$38, 0.0343, 0)</f>
        <v>17.808100000000003</v>
      </c>
      <c r="F73" s="46">
        <f>18.7269 * CHOOSE(CONTROL!$C$15, $E$9, 100%, $G$9) + CHOOSE(CONTROL!$C$38, 0.0342, 0)</f>
        <v>18.761099999999999</v>
      </c>
      <c r="G73" s="17">
        <f>17.7801 * CHOOSE(CONTROL!$C$15, $E$9, 100%, $G$9) + CHOOSE(CONTROL!$C$38, 0.0343, 0)</f>
        <v>17.814399999999999</v>
      </c>
      <c r="H73" s="17">
        <f>17.7801 * CHOOSE(CONTROL!$C$15, $E$9, 100%, $G$9) + CHOOSE(CONTROL!$C$38, 0.0343, 0)</f>
        <v>17.814399999999999</v>
      </c>
      <c r="I73" s="17">
        <f>17.7817 * CHOOSE(CONTROL!$C$15, $E$9, 100%, $G$9) + CHOOSE(CONTROL!$C$38, 0.0343, 0)</f>
        <v>17.816000000000003</v>
      </c>
      <c r="J73" s="45">
        <f>98.4036</f>
        <v>98.403599999999997</v>
      </c>
    </row>
    <row r="74" spans="1:10" ht="15" x14ac:dyDescent="0.2">
      <c r="A74" s="16">
        <v>43160</v>
      </c>
      <c r="B74" s="17">
        <f>18.1764 * CHOOSE(CONTROL!$C$15, $E$9, 100%, $G$9) + CHOOSE(CONTROL!$C$38, 0.0342, 0)</f>
        <v>18.210599999999999</v>
      </c>
      <c r="C74" s="17">
        <f>17.3019 * CHOOSE(CONTROL!$C$15, $E$9, 100%, $G$9) + CHOOSE(CONTROL!$C$38, 0.0343, 0)</f>
        <v>17.336199999999998</v>
      </c>
      <c r="D74" s="17">
        <f>17.2941 * CHOOSE(CONTROL!$C$15, $E$9, 100%, $G$9) + CHOOSE(CONTROL!$C$38, 0.0343, 0)</f>
        <v>17.328400000000002</v>
      </c>
      <c r="E74" s="17">
        <f>17.2941 * CHOOSE(CONTROL!$C$15, $E$9, 100%, $G$9) + CHOOSE(CONTROL!$C$38, 0.0343, 0)</f>
        <v>17.328400000000002</v>
      </c>
      <c r="F74" s="46">
        <f>18.1764 * CHOOSE(CONTROL!$C$15, $E$9, 100%, $G$9) + CHOOSE(CONTROL!$C$38, 0.0342, 0)</f>
        <v>18.210599999999999</v>
      </c>
      <c r="G74" s="17">
        <f>17.3003 * CHOOSE(CONTROL!$C$15, $E$9, 100%, $G$9) + CHOOSE(CONTROL!$C$38, 0.0343, 0)</f>
        <v>17.334600000000002</v>
      </c>
      <c r="H74" s="17">
        <f>17.3003 * CHOOSE(CONTROL!$C$15, $E$9, 100%, $G$9) + CHOOSE(CONTROL!$C$38, 0.0343, 0)</f>
        <v>17.334600000000002</v>
      </c>
      <c r="I74" s="17">
        <f>17.3019 * CHOOSE(CONTROL!$C$15, $E$9, 100%, $G$9) + CHOOSE(CONTROL!$C$38, 0.0343, 0)</f>
        <v>17.336199999999998</v>
      </c>
      <c r="J74" s="45">
        <f>103.8034</f>
        <v>103.8034</v>
      </c>
    </row>
    <row r="75" spans="1:10" ht="15" x14ac:dyDescent="0.2">
      <c r="A75" s="16">
        <v>43191</v>
      </c>
      <c r="B75" s="17">
        <f>17.6419 * CHOOSE(CONTROL!$C$15, $E$9, 100%, $G$9) + CHOOSE(CONTROL!$C$38, 0.0342, 0)</f>
        <v>17.676099999999998</v>
      </c>
      <c r="C75" s="17">
        <f>16.6934 * CHOOSE(CONTROL!$C$15, $E$9, 100%, $G$9) + CHOOSE(CONTROL!$C$38, 0.0343, 0)</f>
        <v>16.727699999999999</v>
      </c>
      <c r="D75" s="17">
        <f>16.6856 * CHOOSE(CONTROL!$C$15, $E$9, 100%, $G$9) + CHOOSE(CONTROL!$C$38, 0.0343, 0)</f>
        <v>16.719900000000003</v>
      </c>
      <c r="E75" s="17">
        <f>16.6856 * CHOOSE(CONTROL!$C$15, $E$9, 100%, $G$9) + CHOOSE(CONTROL!$C$38, 0.0343, 0)</f>
        <v>16.719900000000003</v>
      </c>
      <c r="F75" s="46">
        <f>17.6419 * CHOOSE(CONTROL!$C$15, $E$9, 100%, $G$9) + CHOOSE(CONTROL!$C$38, 0.0342, 0)</f>
        <v>17.676099999999998</v>
      </c>
      <c r="G75" s="17">
        <f>16.6918 * CHOOSE(CONTROL!$C$15, $E$9, 100%, $G$9) + CHOOSE(CONTROL!$C$38, 0.0343, 0)</f>
        <v>16.726100000000002</v>
      </c>
      <c r="H75" s="17">
        <f>16.6918 * CHOOSE(CONTROL!$C$15, $E$9, 100%, $G$9) + CHOOSE(CONTROL!$C$38, 0.0343, 0)</f>
        <v>16.726100000000002</v>
      </c>
      <c r="I75" s="17">
        <f>16.6934 * CHOOSE(CONTROL!$C$15, $E$9, 100%, $G$9) + CHOOSE(CONTROL!$C$38, 0.0343, 0)</f>
        <v>16.727699999999999</v>
      </c>
      <c r="J75" s="45">
        <f>110.7705</f>
        <v>110.7705</v>
      </c>
    </row>
    <row r="76" spans="1:10" ht="15" x14ac:dyDescent="0.2">
      <c r="A76" s="16">
        <v>43221</v>
      </c>
      <c r="B76" s="17">
        <f>17.0809 * CHOOSE(CONTROL!$C$15, $E$9, 100%, $G$9) + CHOOSE(CONTROL!$C$38, 0.0355, 0)</f>
        <v>17.116399999999999</v>
      </c>
      <c r="C76" s="17">
        <f>16.1307 * CHOOSE(CONTROL!$C$15, $E$9, 100%, $G$9) + CHOOSE(CONTROL!$C$38, 0.0356, 0)</f>
        <v>16.1663</v>
      </c>
      <c r="D76" s="17">
        <f>16.1229 * CHOOSE(CONTROL!$C$15, $E$9, 100%, $G$9) + CHOOSE(CONTROL!$C$38, 0.0356, 0)</f>
        <v>16.1585</v>
      </c>
      <c r="E76" s="17">
        <f>16.1229 * CHOOSE(CONTROL!$C$15, $E$9, 100%, $G$9) + CHOOSE(CONTROL!$C$38, 0.0356, 0)</f>
        <v>16.1585</v>
      </c>
      <c r="F76" s="46">
        <f>17.0809 * CHOOSE(CONTROL!$C$15, $E$9, 100%, $G$9) + CHOOSE(CONTROL!$C$38, 0.0355, 0)</f>
        <v>17.116399999999999</v>
      </c>
      <c r="G76" s="17">
        <f>16.1292 * CHOOSE(CONTROL!$C$15, $E$9, 100%, $G$9) + CHOOSE(CONTROL!$C$38, 0.0356, 0)</f>
        <v>16.1648</v>
      </c>
      <c r="H76" s="17">
        <f>16.1292 * CHOOSE(CONTROL!$C$15, $E$9, 100%, $G$9) + CHOOSE(CONTROL!$C$38, 0.0356, 0)</f>
        <v>16.1648</v>
      </c>
      <c r="I76" s="17">
        <f>16.1307 * CHOOSE(CONTROL!$C$15, $E$9, 100%, $G$9) + CHOOSE(CONTROL!$C$38, 0.0356, 0)</f>
        <v>16.1663</v>
      </c>
      <c r="J76" s="45">
        <f>114.7236</f>
        <v>114.7236</v>
      </c>
    </row>
    <row r="77" spans="1:10" ht="15" x14ac:dyDescent="0.2">
      <c r="A77" s="16">
        <v>43252</v>
      </c>
      <c r="B77" s="17">
        <f>16.696 * CHOOSE(CONTROL!$C$15, $E$9, 100%, $G$9) + CHOOSE(CONTROL!$C$38, 0.0355, 0)</f>
        <v>16.7315</v>
      </c>
      <c r="C77" s="17">
        <f>15.7443 * CHOOSE(CONTROL!$C$15, $E$9, 100%, $G$9) + CHOOSE(CONTROL!$C$38, 0.0356, 0)</f>
        <v>15.779900000000001</v>
      </c>
      <c r="D77" s="17">
        <f>15.7364 * CHOOSE(CONTROL!$C$15, $E$9, 100%, $G$9) + CHOOSE(CONTROL!$C$38, 0.0356, 0)</f>
        <v>15.772</v>
      </c>
      <c r="E77" s="17">
        <f>15.7364 * CHOOSE(CONTROL!$C$15, $E$9, 100%, $G$9) + CHOOSE(CONTROL!$C$38, 0.0356, 0)</f>
        <v>15.772</v>
      </c>
      <c r="F77" s="46">
        <f>16.696 * CHOOSE(CONTROL!$C$15, $E$9, 100%, $G$9) + CHOOSE(CONTROL!$C$38, 0.0355, 0)</f>
        <v>16.7315</v>
      </c>
      <c r="G77" s="17">
        <f>15.7427 * CHOOSE(CONTROL!$C$15, $E$9, 100%, $G$9) + CHOOSE(CONTROL!$C$38, 0.0356, 0)</f>
        <v>15.7783</v>
      </c>
      <c r="H77" s="17">
        <f>15.7427 * CHOOSE(CONTROL!$C$15, $E$9, 100%, $G$9) + CHOOSE(CONTROL!$C$38, 0.0356, 0)</f>
        <v>15.7783</v>
      </c>
      <c r="I77" s="17">
        <f>15.7443 * CHOOSE(CONTROL!$C$15, $E$9, 100%, $G$9) + CHOOSE(CONTROL!$C$38, 0.0356, 0)</f>
        <v>15.779900000000001</v>
      </c>
      <c r="J77" s="45">
        <f>116.6163</f>
        <v>116.6163</v>
      </c>
    </row>
    <row r="78" spans="1:10" ht="15" x14ac:dyDescent="0.2">
      <c r="A78" s="16">
        <v>43282</v>
      </c>
      <c r="B78" s="17">
        <f>16.4897 * CHOOSE(CONTROL!$C$15, $E$9, 100%, $G$9) + CHOOSE(CONTROL!$C$38, 0.0355, 0)</f>
        <v>16.525199999999998</v>
      </c>
      <c r="C78" s="17">
        <f>15.5363 * CHOOSE(CONTROL!$C$15, $E$9, 100%, $G$9) + CHOOSE(CONTROL!$C$38, 0.0356, 0)</f>
        <v>15.571900000000001</v>
      </c>
      <c r="D78" s="17">
        <f>15.5285 * CHOOSE(CONTROL!$C$15, $E$9, 100%, $G$9) + CHOOSE(CONTROL!$C$38, 0.0356, 0)</f>
        <v>15.5641</v>
      </c>
      <c r="E78" s="17">
        <f>15.5285 * CHOOSE(CONTROL!$C$15, $E$9, 100%, $G$9) + CHOOSE(CONTROL!$C$38, 0.0356, 0)</f>
        <v>15.5641</v>
      </c>
      <c r="F78" s="46">
        <f>16.4897 * CHOOSE(CONTROL!$C$15, $E$9, 100%, $G$9) + CHOOSE(CONTROL!$C$38, 0.0355, 0)</f>
        <v>16.525199999999998</v>
      </c>
      <c r="G78" s="17">
        <f>15.5347 * CHOOSE(CONTROL!$C$15, $E$9, 100%, $G$9) + CHOOSE(CONTROL!$C$38, 0.0356, 0)</f>
        <v>15.570300000000001</v>
      </c>
      <c r="H78" s="17">
        <f>15.5347 * CHOOSE(CONTROL!$C$15, $E$9, 100%, $G$9) + CHOOSE(CONTROL!$C$38, 0.0356, 0)</f>
        <v>15.570300000000001</v>
      </c>
      <c r="I78" s="17">
        <f>15.5363 * CHOOSE(CONTROL!$C$15, $E$9, 100%, $G$9) + CHOOSE(CONTROL!$C$38, 0.0356, 0)</f>
        <v>15.571900000000001</v>
      </c>
      <c r="J78" s="45">
        <f>116.3101</f>
        <v>116.31010000000001</v>
      </c>
    </row>
    <row r="79" spans="1:10" ht="15" x14ac:dyDescent="0.2">
      <c r="A79" s="16">
        <v>43313</v>
      </c>
      <c r="B79" s="17">
        <f>16.6408 * CHOOSE(CONTROL!$C$15, $E$9, 100%, $G$9) + CHOOSE(CONTROL!$C$38, 0.0355, 0)</f>
        <v>16.676299999999998</v>
      </c>
      <c r="C79" s="17">
        <f>15.6857 * CHOOSE(CONTROL!$C$15, $E$9, 100%, $G$9) + CHOOSE(CONTROL!$C$38, 0.0356, 0)</f>
        <v>15.721300000000001</v>
      </c>
      <c r="D79" s="17">
        <f>15.6779 * CHOOSE(CONTROL!$C$15, $E$9, 100%, $G$9) + CHOOSE(CONTROL!$C$38, 0.0356, 0)</f>
        <v>15.7135</v>
      </c>
      <c r="E79" s="17">
        <f>15.6779 * CHOOSE(CONTROL!$C$15, $E$9, 100%, $G$9) + CHOOSE(CONTROL!$C$38, 0.0356, 0)</f>
        <v>15.7135</v>
      </c>
      <c r="F79" s="46">
        <f>16.6408 * CHOOSE(CONTROL!$C$15, $E$9, 100%, $G$9) + CHOOSE(CONTROL!$C$38, 0.0355, 0)</f>
        <v>16.676299999999998</v>
      </c>
      <c r="G79" s="17">
        <f>15.6842 * CHOOSE(CONTROL!$C$15, $E$9, 100%, $G$9) + CHOOSE(CONTROL!$C$38, 0.0356, 0)</f>
        <v>15.719800000000001</v>
      </c>
      <c r="H79" s="17">
        <f>15.6842 * CHOOSE(CONTROL!$C$15, $E$9, 100%, $G$9) + CHOOSE(CONTROL!$C$38, 0.0356, 0)</f>
        <v>15.719800000000001</v>
      </c>
      <c r="I79" s="17">
        <f>15.6857 * CHOOSE(CONTROL!$C$15, $E$9, 100%, $G$9) + CHOOSE(CONTROL!$C$38, 0.0356, 0)</f>
        <v>15.721300000000001</v>
      </c>
      <c r="J79" s="45">
        <f>113.8364</f>
        <v>113.8364</v>
      </c>
    </row>
    <row r="80" spans="1:10" ht="15" x14ac:dyDescent="0.2">
      <c r="A80" s="16">
        <v>43344</v>
      </c>
      <c r="B80" s="17">
        <f>16.9961 * CHOOSE(CONTROL!$C$15, $E$9, 100%, $G$9) + CHOOSE(CONTROL!$C$38, 0.0355, 0)</f>
        <v>17.031599999999997</v>
      </c>
      <c r="C80" s="17">
        <f>16.0394 * CHOOSE(CONTROL!$C$15, $E$9, 100%, $G$9) + CHOOSE(CONTROL!$C$38, 0.0356, 0)</f>
        <v>16.074999999999999</v>
      </c>
      <c r="D80" s="17">
        <f>16.0316 * CHOOSE(CONTROL!$C$15, $E$9, 100%, $G$9) + CHOOSE(CONTROL!$C$38, 0.0356, 0)</f>
        <v>16.0672</v>
      </c>
      <c r="E80" s="17">
        <f>16.0316 * CHOOSE(CONTROL!$C$15, $E$9, 100%, $G$9) + CHOOSE(CONTROL!$C$38, 0.0356, 0)</f>
        <v>16.0672</v>
      </c>
      <c r="F80" s="46">
        <f>16.9961 * CHOOSE(CONTROL!$C$15, $E$9, 100%, $G$9) + CHOOSE(CONTROL!$C$38, 0.0355, 0)</f>
        <v>17.031599999999997</v>
      </c>
      <c r="G80" s="17">
        <f>16.0379 * CHOOSE(CONTROL!$C$15, $E$9, 100%, $G$9) + CHOOSE(CONTROL!$C$38, 0.0356, 0)</f>
        <v>16.073499999999999</v>
      </c>
      <c r="H80" s="17">
        <f>16.0379 * CHOOSE(CONTROL!$C$15, $E$9, 100%, $G$9) + CHOOSE(CONTROL!$C$38, 0.0356, 0)</f>
        <v>16.073499999999999</v>
      </c>
      <c r="I80" s="17">
        <f>16.0394 * CHOOSE(CONTROL!$C$15, $E$9, 100%, $G$9) + CHOOSE(CONTROL!$C$38, 0.0356, 0)</f>
        <v>16.074999999999999</v>
      </c>
      <c r="J80" s="45">
        <f>110.2794</f>
        <v>110.2794</v>
      </c>
    </row>
    <row r="81" spans="1:10" ht="15" x14ac:dyDescent="0.2">
      <c r="A81" s="16">
        <v>43374</v>
      </c>
      <c r="B81" s="17">
        <f>17.3004 * CHOOSE(CONTROL!$C$15, $E$9, 100%, $G$9) + CHOOSE(CONTROL!$C$38, 0.0342, 0)</f>
        <v>17.334599999999998</v>
      </c>
      <c r="C81" s="17">
        <f>16.342 * CHOOSE(CONTROL!$C$15, $E$9, 100%, $G$9) + CHOOSE(CONTROL!$C$38, 0.0343, 0)</f>
        <v>16.376300000000001</v>
      </c>
      <c r="D81" s="17">
        <f>16.3342 * CHOOSE(CONTROL!$C$15, $E$9, 100%, $G$9) + CHOOSE(CONTROL!$C$38, 0.0343, 0)</f>
        <v>16.368499999999997</v>
      </c>
      <c r="E81" s="17">
        <f>16.3342 * CHOOSE(CONTROL!$C$15, $E$9, 100%, $G$9) + CHOOSE(CONTROL!$C$38, 0.0343, 0)</f>
        <v>16.368499999999997</v>
      </c>
      <c r="F81" s="46">
        <f>17.3004 * CHOOSE(CONTROL!$C$15, $E$9, 100%, $G$9) + CHOOSE(CONTROL!$C$38, 0.0342, 0)</f>
        <v>17.334599999999998</v>
      </c>
      <c r="G81" s="17">
        <f>16.3405 * CHOOSE(CONTROL!$C$15, $E$9, 100%, $G$9) + CHOOSE(CONTROL!$C$38, 0.0343, 0)</f>
        <v>16.3748</v>
      </c>
      <c r="H81" s="17">
        <f>16.3405 * CHOOSE(CONTROL!$C$15, $E$9, 100%, $G$9) + CHOOSE(CONTROL!$C$38, 0.0343, 0)</f>
        <v>16.3748</v>
      </c>
      <c r="I81" s="17">
        <f>16.342 * CHOOSE(CONTROL!$C$15, $E$9, 100%, $G$9) + CHOOSE(CONTROL!$C$38, 0.0343, 0)</f>
        <v>16.376300000000001</v>
      </c>
      <c r="J81" s="45">
        <f>106.6851</f>
        <v>106.68510000000001</v>
      </c>
    </row>
    <row r="82" spans="1:10" ht="15" x14ac:dyDescent="0.2">
      <c r="A82" s="16">
        <v>43405</v>
      </c>
      <c r="B82" s="17">
        <f>17.5609 * CHOOSE(CONTROL!$C$15, $E$9, 100%, $G$9) + CHOOSE(CONTROL!$C$38, 0.0342, 0)</f>
        <v>17.595099999999999</v>
      </c>
      <c r="C82" s="17">
        <f>16.6009 * CHOOSE(CONTROL!$C$15, $E$9, 100%, $G$9) + CHOOSE(CONTROL!$C$38, 0.0343, 0)</f>
        <v>16.635199999999998</v>
      </c>
      <c r="D82" s="17">
        <f>16.5931 * CHOOSE(CONTROL!$C$15, $E$9, 100%, $G$9) + CHOOSE(CONTROL!$C$38, 0.0343, 0)</f>
        <v>16.627400000000002</v>
      </c>
      <c r="E82" s="17">
        <f>16.5931 * CHOOSE(CONTROL!$C$15, $E$9, 100%, $G$9) + CHOOSE(CONTROL!$C$38, 0.0343, 0)</f>
        <v>16.627400000000002</v>
      </c>
      <c r="F82" s="46">
        <f>17.5609 * CHOOSE(CONTROL!$C$15, $E$9, 100%, $G$9) + CHOOSE(CONTROL!$C$38, 0.0342, 0)</f>
        <v>17.595099999999999</v>
      </c>
      <c r="G82" s="17">
        <f>16.5994 * CHOOSE(CONTROL!$C$15, $E$9, 100%, $G$9) + CHOOSE(CONTROL!$C$38, 0.0343, 0)</f>
        <v>16.633699999999997</v>
      </c>
      <c r="H82" s="17">
        <f>16.5994 * CHOOSE(CONTROL!$C$15, $E$9, 100%, $G$9) + CHOOSE(CONTROL!$C$38, 0.0343, 0)</f>
        <v>16.633699999999997</v>
      </c>
      <c r="I82" s="17">
        <f>16.6009 * CHOOSE(CONTROL!$C$15, $E$9, 100%, $G$9) + CHOOSE(CONTROL!$C$38, 0.0343, 0)</f>
        <v>16.635199999999998</v>
      </c>
      <c r="J82" s="45">
        <f>106.1431</f>
        <v>106.1431</v>
      </c>
    </row>
    <row r="83" spans="1:10" ht="15" x14ac:dyDescent="0.2">
      <c r="A83" s="16">
        <v>43435</v>
      </c>
      <c r="B83" s="17">
        <f>18.2942 * CHOOSE(CONTROL!$C$15, $E$9, 100%, $G$9) + CHOOSE(CONTROL!$C$38, 0.0342, 0)</f>
        <v>18.328399999999998</v>
      </c>
      <c r="C83" s="17">
        <f>17.3326 * CHOOSE(CONTROL!$C$15, $E$9, 100%, $G$9) + CHOOSE(CONTROL!$C$38, 0.0343, 0)</f>
        <v>17.366900000000001</v>
      </c>
      <c r="D83" s="17">
        <f>17.3248 * CHOOSE(CONTROL!$C$15, $E$9, 100%, $G$9) + CHOOSE(CONTROL!$C$38, 0.0343, 0)</f>
        <v>17.359099999999998</v>
      </c>
      <c r="E83" s="17">
        <f>17.3248 * CHOOSE(CONTROL!$C$15, $E$9, 100%, $G$9) + CHOOSE(CONTROL!$C$38, 0.0343, 0)</f>
        <v>17.359099999999998</v>
      </c>
      <c r="F83" s="46">
        <f>18.2942 * CHOOSE(CONTROL!$C$15, $E$9, 100%, $G$9) + CHOOSE(CONTROL!$C$38, 0.0342, 0)</f>
        <v>18.328399999999998</v>
      </c>
      <c r="G83" s="17">
        <f>17.331 * CHOOSE(CONTROL!$C$15, $E$9, 100%, $G$9) + CHOOSE(CONTROL!$C$38, 0.0343, 0)</f>
        <v>17.365299999999998</v>
      </c>
      <c r="H83" s="17">
        <f>17.331 * CHOOSE(CONTROL!$C$15, $E$9, 100%, $G$9) + CHOOSE(CONTROL!$C$38, 0.0343, 0)</f>
        <v>17.365299999999998</v>
      </c>
      <c r="I83" s="17">
        <f>17.3326 * CHOOSE(CONTROL!$C$15, $E$9, 100%, $G$9) + CHOOSE(CONTROL!$C$38, 0.0343, 0)</f>
        <v>17.366900000000001</v>
      </c>
      <c r="J83" s="45">
        <f>103.2055</f>
        <v>103.2055</v>
      </c>
    </row>
    <row r="84" spans="1:10" ht="15" x14ac:dyDescent="0.2">
      <c r="A84" s="16">
        <v>43466</v>
      </c>
      <c r="B84" s="17">
        <f>18.8519 * CHOOSE(CONTROL!$C$15, $E$9, 100%, $G$9) + CHOOSE(CONTROL!$C$38, 0.0342, 0)</f>
        <v>18.886099999999999</v>
      </c>
      <c r="C84" s="17">
        <f>17.8731 * CHOOSE(CONTROL!$C$15, $E$9, 100%, $G$9) + CHOOSE(CONTROL!$C$38, 0.0343, 0)</f>
        <v>17.907400000000003</v>
      </c>
      <c r="D84" s="17">
        <f>17.8653 * CHOOSE(CONTROL!$C$15, $E$9, 100%, $G$9) + CHOOSE(CONTROL!$C$38, 0.0343, 0)</f>
        <v>17.8996</v>
      </c>
      <c r="E84" s="17">
        <f>17.8653 * CHOOSE(CONTROL!$C$15, $E$9, 100%, $G$9) + CHOOSE(CONTROL!$C$38, 0.0343, 0)</f>
        <v>17.8996</v>
      </c>
      <c r="F84" s="46">
        <f>18.8519 * CHOOSE(CONTROL!$C$15, $E$9, 100%, $G$9) + CHOOSE(CONTROL!$C$38, 0.0342, 0)</f>
        <v>18.886099999999999</v>
      </c>
      <c r="G84" s="17">
        <f>17.8716 * CHOOSE(CONTROL!$C$15, $E$9, 100%, $G$9) + CHOOSE(CONTROL!$C$38, 0.0343, 0)</f>
        <v>17.905900000000003</v>
      </c>
      <c r="H84" s="17">
        <f>17.8716 * CHOOSE(CONTROL!$C$15, $E$9, 100%, $G$9) + CHOOSE(CONTROL!$C$38, 0.0343, 0)</f>
        <v>17.905900000000003</v>
      </c>
      <c r="I84" s="17">
        <f>17.8731 * CHOOSE(CONTROL!$C$15, $E$9, 100%, $G$9) + CHOOSE(CONTROL!$C$38, 0.0343, 0)</f>
        <v>17.907400000000003</v>
      </c>
      <c r="J84" s="45">
        <f>100.7533</f>
        <v>100.7533</v>
      </c>
    </row>
    <row r="85" spans="1:10" ht="15" x14ac:dyDescent="0.2">
      <c r="A85" s="16">
        <v>43497</v>
      </c>
      <c r="B85" s="17">
        <f>19.1492 * CHOOSE(CONTROL!$C$15, $E$9, 100%, $G$9) + CHOOSE(CONTROL!$C$38, 0.0342, 0)</f>
        <v>19.183399999999999</v>
      </c>
      <c r="C85" s="17">
        <f>18.1687 * CHOOSE(CONTROL!$C$15, $E$9, 100%, $G$9) + CHOOSE(CONTROL!$C$38, 0.0343, 0)</f>
        <v>18.203000000000003</v>
      </c>
      <c r="D85" s="17">
        <f>18.1609 * CHOOSE(CONTROL!$C$15, $E$9, 100%, $G$9) + CHOOSE(CONTROL!$C$38, 0.0343, 0)</f>
        <v>18.1952</v>
      </c>
      <c r="E85" s="17">
        <f>18.1609 * CHOOSE(CONTROL!$C$15, $E$9, 100%, $G$9) + CHOOSE(CONTROL!$C$38, 0.0343, 0)</f>
        <v>18.1952</v>
      </c>
      <c r="F85" s="46">
        <f>19.1492 * CHOOSE(CONTROL!$C$15, $E$9, 100%, $G$9) + CHOOSE(CONTROL!$C$38, 0.0342, 0)</f>
        <v>19.183399999999999</v>
      </c>
      <c r="G85" s="17">
        <f>18.1672 * CHOOSE(CONTROL!$C$15, $E$9, 100%, $G$9) + CHOOSE(CONTROL!$C$38, 0.0343, 0)</f>
        <v>18.201500000000003</v>
      </c>
      <c r="H85" s="17">
        <f>18.1672 * CHOOSE(CONTROL!$C$15, $E$9, 100%, $G$9) + CHOOSE(CONTROL!$C$38, 0.0343, 0)</f>
        <v>18.201500000000003</v>
      </c>
      <c r="I85" s="17">
        <f>18.1687 * CHOOSE(CONTROL!$C$15, $E$9, 100%, $G$9) + CHOOSE(CONTROL!$C$38, 0.0343, 0)</f>
        <v>18.203000000000003</v>
      </c>
      <c r="J85" s="45">
        <f>100.6802</f>
        <v>100.6802</v>
      </c>
    </row>
    <row r="86" spans="1:10" ht="15" x14ac:dyDescent="0.2">
      <c r="A86" s="16">
        <v>43525</v>
      </c>
      <c r="B86" s="17">
        <f>18.5849 * CHOOSE(CONTROL!$C$15, $E$9, 100%, $G$9) + CHOOSE(CONTROL!$C$38, 0.0342, 0)</f>
        <v>18.6191</v>
      </c>
      <c r="C86" s="17">
        <f>17.6027 * CHOOSE(CONTROL!$C$15, $E$9, 100%, $G$9) + CHOOSE(CONTROL!$C$38, 0.0343, 0)</f>
        <v>17.637</v>
      </c>
      <c r="D86" s="17">
        <f>17.5949 * CHOOSE(CONTROL!$C$15, $E$9, 100%, $G$9) + CHOOSE(CONTROL!$C$38, 0.0343, 0)</f>
        <v>17.629199999999997</v>
      </c>
      <c r="E86" s="17">
        <f>17.5949 * CHOOSE(CONTROL!$C$15, $E$9, 100%, $G$9) + CHOOSE(CONTROL!$C$38, 0.0343, 0)</f>
        <v>17.629199999999997</v>
      </c>
      <c r="F86" s="46">
        <f>18.5849 * CHOOSE(CONTROL!$C$15, $E$9, 100%, $G$9) + CHOOSE(CONTROL!$C$38, 0.0342, 0)</f>
        <v>18.6191</v>
      </c>
      <c r="G86" s="17">
        <f>17.6012 * CHOOSE(CONTROL!$C$15, $E$9, 100%, $G$9) + CHOOSE(CONTROL!$C$38, 0.0343, 0)</f>
        <v>17.6355</v>
      </c>
      <c r="H86" s="17">
        <f>17.6012 * CHOOSE(CONTROL!$C$15, $E$9, 100%, $G$9) + CHOOSE(CONTROL!$C$38, 0.0343, 0)</f>
        <v>17.6355</v>
      </c>
      <c r="I86" s="17">
        <f>17.6027 * CHOOSE(CONTROL!$C$15, $E$9, 100%, $G$9) + CHOOSE(CONTROL!$C$38, 0.0343, 0)</f>
        <v>17.637</v>
      </c>
      <c r="J86" s="45">
        <f>106.2049</f>
        <v>106.20489999999999</v>
      </c>
    </row>
    <row r="87" spans="1:10" ht="15" x14ac:dyDescent="0.2">
      <c r="A87" s="16">
        <v>43556</v>
      </c>
      <c r="B87" s="17">
        <f>18.0369 * CHOOSE(CONTROL!$C$15, $E$9, 100%, $G$9) + CHOOSE(CONTROL!$C$38, 0.0342, 0)</f>
        <v>18.071099999999998</v>
      </c>
      <c r="C87" s="17">
        <f>17.1195 * CHOOSE(CONTROL!$C$15, $E$9, 100%, $G$9) + CHOOSE(CONTROL!$C$38, 0.0343, 0)</f>
        <v>17.153799999999997</v>
      </c>
      <c r="D87" s="17">
        <f>17.1117 * CHOOSE(CONTROL!$C$15, $E$9, 100%, $G$9) + CHOOSE(CONTROL!$C$38, 0.0343, 0)</f>
        <v>17.146000000000001</v>
      </c>
      <c r="E87" s="17">
        <f>17.1117 * CHOOSE(CONTROL!$C$15, $E$9, 100%, $G$9) + CHOOSE(CONTROL!$C$38, 0.0343, 0)</f>
        <v>17.146000000000001</v>
      </c>
      <c r="F87" s="46">
        <f>18.0369 * CHOOSE(CONTROL!$C$15, $E$9, 100%, $G$9) + CHOOSE(CONTROL!$C$38, 0.0342, 0)</f>
        <v>18.071099999999998</v>
      </c>
      <c r="G87" s="17">
        <f>17.118 * CHOOSE(CONTROL!$C$15, $E$9, 100%, $G$9) + CHOOSE(CONTROL!$C$38, 0.0343, 0)</f>
        <v>17.152299999999997</v>
      </c>
      <c r="H87" s="17">
        <f>17.118 * CHOOSE(CONTROL!$C$15, $E$9, 100%, $G$9) + CHOOSE(CONTROL!$C$38, 0.0343, 0)</f>
        <v>17.152299999999997</v>
      </c>
      <c r="I87" s="17">
        <f>17.1195 * CHOOSE(CONTROL!$C$15, $E$9, 100%, $G$9) + CHOOSE(CONTROL!$C$38, 0.0343, 0)</f>
        <v>17.153799999999997</v>
      </c>
      <c r="J87" s="45">
        <f>113.3332</f>
        <v>113.33320000000001</v>
      </c>
    </row>
    <row r="88" spans="1:10" ht="15" x14ac:dyDescent="0.2">
      <c r="A88" s="16">
        <v>43586</v>
      </c>
      <c r="B88" s="17">
        <f>17.4618 * CHOOSE(CONTROL!$C$15, $E$9, 100%, $G$9) + CHOOSE(CONTROL!$C$38, 0.0355, 0)</f>
        <v>17.497299999999999</v>
      </c>
      <c r="C88" s="17">
        <f>16.4762 * CHOOSE(CONTROL!$C$15, $E$9, 100%, $G$9) + CHOOSE(CONTROL!$C$38, 0.0356, 0)</f>
        <v>16.511799999999997</v>
      </c>
      <c r="D88" s="17">
        <f>16.4684 * CHOOSE(CONTROL!$C$15, $E$9, 100%, $G$9) + CHOOSE(CONTROL!$C$38, 0.0356, 0)</f>
        <v>16.503999999999998</v>
      </c>
      <c r="E88" s="17">
        <f>16.4684 * CHOOSE(CONTROL!$C$15, $E$9, 100%, $G$9) + CHOOSE(CONTROL!$C$38, 0.0356, 0)</f>
        <v>16.503999999999998</v>
      </c>
      <c r="F88" s="46">
        <f>17.4618 * CHOOSE(CONTROL!$C$15, $E$9, 100%, $G$9) + CHOOSE(CONTROL!$C$38, 0.0355, 0)</f>
        <v>17.497299999999999</v>
      </c>
      <c r="G88" s="17">
        <f>16.4747 * CHOOSE(CONTROL!$C$15, $E$9, 100%, $G$9) + CHOOSE(CONTROL!$C$38, 0.0356, 0)</f>
        <v>16.510299999999997</v>
      </c>
      <c r="H88" s="17">
        <f>16.4747 * CHOOSE(CONTROL!$C$15, $E$9, 100%, $G$9) + CHOOSE(CONTROL!$C$38, 0.0356, 0)</f>
        <v>16.510299999999997</v>
      </c>
      <c r="I88" s="17">
        <f>16.4762 * CHOOSE(CONTROL!$C$15, $E$9, 100%, $G$9) + CHOOSE(CONTROL!$C$38, 0.0356, 0)</f>
        <v>16.511799999999997</v>
      </c>
      <c r="J88" s="45">
        <f>117.3778</f>
        <v>117.37779999999999</v>
      </c>
    </row>
    <row r="89" spans="1:10" ht="15" x14ac:dyDescent="0.2">
      <c r="A89" s="16">
        <v>43617</v>
      </c>
      <c r="B89" s="17">
        <f>17.0673 * CHOOSE(CONTROL!$C$15, $E$9, 100%, $G$9) + CHOOSE(CONTROL!$C$38, 0.0355, 0)</f>
        <v>17.102799999999998</v>
      </c>
      <c r="C89" s="17">
        <f>16.08 * CHOOSE(CONTROL!$C$15, $E$9, 100%, $G$9) + CHOOSE(CONTROL!$C$38, 0.0356, 0)</f>
        <v>16.115599999999997</v>
      </c>
      <c r="D89" s="17">
        <f>16.0722 * CHOOSE(CONTROL!$C$15, $E$9, 100%, $G$9) + CHOOSE(CONTROL!$C$38, 0.0356, 0)</f>
        <v>16.107799999999997</v>
      </c>
      <c r="E89" s="17">
        <f>16.0722 * CHOOSE(CONTROL!$C$15, $E$9, 100%, $G$9) + CHOOSE(CONTROL!$C$38, 0.0356, 0)</f>
        <v>16.107799999999997</v>
      </c>
      <c r="F89" s="46">
        <f>17.0673 * CHOOSE(CONTROL!$C$15, $E$9, 100%, $G$9) + CHOOSE(CONTROL!$C$38, 0.0355, 0)</f>
        <v>17.102799999999998</v>
      </c>
      <c r="G89" s="17">
        <f>16.0784 * CHOOSE(CONTROL!$C$15, $E$9, 100%, $G$9) + CHOOSE(CONTROL!$C$38, 0.0356, 0)</f>
        <v>16.113999999999997</v>
      </c>
      <c r="H89" s="17">
        <f>16.0784 * CHOOSE(CONTROL!$C$15, $E$9, 100%, $G$9) + CHOOSE(CONTROL!$C$38, 0.0356, 0)</f>
        <v>16.113999999999997</v>
      </c>
      <c r="I89" s="17">
        <f>16.08 * CHOOSE(CONTROL!$C$15, $E$9, 100%, $G$9) + CHOOSE(CONTROL!$C$38, 0.0356, 0)</f>
        <v>16.115599999999997</v>
      </c>
      <c r="J89" s="45">
        <f>119.3143</f>
        <v>119.3143</v>
      </c>
    </row>
    <row r="90" spans="1:10" ht="15" x14ac:dyDescent="0.2">
      <c r="A90" s="16">
        <v>43647</v>
      </c>
      <c r="B90" s="17">
        <f>16.8557 * CHOOSE(CONTROL!$C$15, $E$9, 100%, $G$9) + CHOOSE(CONTROL!$C$38, 0.0355, 0)</f>
        <v>16.891199999999998</v>
      </c>
      <c r="C90" s="17">
        <f>15.8667 * CHOOSE(CONTROL!$C$15, $E$9, 100%, $G$9) + CHOOSE(CONTROL!$C$38, 0.0356, 0)</f>
        <v>15.9023</v>
      </c>
      <c r="D90" s="17">
        <f>15.8589 * CHOOSE(CONTROL!$C$15, $E$9, 100%, $G$9) + CHOOSE(CONTROL!$C$38, 0.0356, 0)</f>
        <v>15.894500000000001</v>
      </c>
      <c r="E90" s="17">
        <f>15.8589 * CHOOSE(CONTROL!$C$15, $E$9, 100%, $G$9) + CHOOSE(CONTROL!$C$38, 0.0356, 0)</f>
        <v>15.894500000000001</v>
      </c>
      <c r="F90" s="46">
        <f>16.8557 * CHOOSE(CONTROL!$C$15, $E$9, 100%, $G$9) + CHOOSE(CONTROL!$C$38, 0.0355, 0)</f>
        <v>16.891199999999998</v>
      </c>
      <c r="G90" s="17">
        <f>15.8652 * CHOOSE(CONTROL!$C$15, $E$9, 100%, $G$9) + CHOOSE(CONTROL!$C$38, 0.0356, 0)</f>
        <v>15.9008</v>
      </c>
      <c r="H90" s="17">
        <f>15.8652 * CHOOSE(CONTROL!$C$15, $E$9, 100%, $G$9) + CHOOSE(CONTROL!$C$38, 0.0356, 0)</f>
        <v>15.9008</v>
      </c>
      <c r="I90" s="17">
        <f>15.8667 * CHOOSE(CONTROL!$C$15, $E$9, 100%, $G$9) + CHOOSE(CONTROL!$C$38, 0.0356, 0)</f>
        <v>15.9023</v>
      </c>
      <c r="J90" s="45">
        <f>119.0009</f>
        <v>119.0009</v>
      </c>
    </row>
    <row r="91" spans="1:10" ht="15" x14ac:dyDescent="0.2">
      <c r="A91" s="16">
        <v>43678</v>
      </c>
      <c r="B91" s="17">
        <f>17.0105 * CHOOSE(CONTROL!$C$15, $E$9, 100%, $G$9) + CHOOSE(CONTROL!$C$38, 0.0355, 0)</f>
        <v>17.045999999999999</v>
      </c>
      <c r="C91" s="17">
        <f>16.0198 * CHOOSE(CONTROL!$C$15, $E$9, 100%, $G$9) + CHOOSE(CONTROL!$C$38, 0.0356, 0)</f>
        <v>16.055399999999999</v>
      </c>
      <c r="D91" s="17">
        <f>16.012 * CHOOSE(CONTROL!$C$15, $E$9, 100%, $G$9) + CHOOSE(CONTROL!$C$38, 0.0356, 0)</f>
        <v>16.047599999999999</v>
      </c>
      <c r="E91" s="17">
        <f>16.012 * CHOOSE(CONTROL!$C$15, $E$9, 100%, $G$9) + CHOOSE(CONTROL!$C$38, 0.0356, 0)</f>
        <v>16.047599999999999</v>
      </c>
      <c r="F91" s="46">
        <f>17.0105 * CHOOSE(CONTROL!$C$15, $E$9, 100%, $G$9) + CHOOSE(CONTROL!$C$38, 0.0355, 0)</f>
        <v>17.045999999999999</v>
      </c>
      <c r="G91" s="17">
        <f>16.0183 * CHOOSE(CONTROL!$C$15, $E$9, 100%, $G$9) + CHOOSE(CONTROL!$C$38, 0.0356, 0)</f>
        <v>16.053899999999999</v>
      </c>
      <c r="H91" s="17">
        <f>16.0183 * CHOOSE(CONTROL!$C$15, $E$9, 100%, $G$9) + CHOOSE(CONTROL!$C$38, 0.0356, 0)</f>
        <v>16.053899999999999</v>
      </c>
      <c r="I91" s="17">
        <f>16.0198 * CHOOSE(CONTROL!$C$15, $E$9, 100%, $G$9) + CHOOSE(CONTROL!$C$38, 0.0356, 0)</f>
        <v>16.055399999999999</v>
      </c>
      <c r="J91" s="45">
        <f>116.4701</f>
        <v>116.4701</v>
      </c>
    </row>
    <row r="92" spans="1:10" ht="15" x14ac:dyDescent="0.2">
      <c r="A92" s="16">
        <v>43709</v>
      </c>
      <c r="B92" s="17">
        <f>17.3747 * CHOOSE(CONTROL!$C$15, $E$9, 100%, $G$9) + CHOOSE(CONTROL!$C$38, 0.0355, 0)</f>
        <v>17.4102</v>
      </c>
      <c r="C92" s="17">
        <f>16.3823 * CHOOSE(CONTROL!$C$15, $E$9, 100%, $G$9) + CHOOSE(CONTROL!$C$38, 0.0356, 0)</f>
        <v>16.417899999999999</v>
      </c>
      <c r="D92" s="17">
        <f>16.3745 * CHOOSE(CONTROL!$C$15, $E$9, 100%, $G$9) + CHOOSE(CONTROL!$C$38, 0.0356, 0)</f>
        <v>16.4101</v>
      </c>
      <c r="E92" s="17">
        <f>16.3745 * CHOOSE(CONTROL!$C$15, $E$9, 100%, $G$9) + CHOOSE(CONTROL!$C$38, 0.0356, 0)</f>
        <v>16.4101</v>
      </c>
      <c r="F92" s="46">
        <f>17.3747 * CHOOSE(CONTROL!$C$15, $E$9, 100%, $G$9) + CHOOSE(CONTROL!$C$38, 0.0355, 0)</f>
        <v>17.4102</v>
      </c>
      <c r="G92" s="17">
        <f>16.3807 * CHOOSE(CONTROL!$C$15, $E$9, 100%, $G$9) + CHOOSE(CONTROL!$C$38, 0.0356, 0)</f>
        <v>16.4163</v>
      </c>
      <c r="H92" s="17">
        <f>16.3807 * CHOOSE(CONTROL!$C$15, $E$9, 100%, $G$9) + CHOOSE(CONTROL!$C$38, 0.0356, 0)</f>
        <v>16.4163</v>
      </c>
      <c r="I92" s="17">
        <f>16.3823 * CHOOSE(CONTROL!$C$15, $E$9, 100%, $G$9) + CHOOSE(CONTROL!$C$38, 0.0356, 0)</f>
        <v>16.417899999999999</v>
      </c>
      <c r="J92" s="45">
        <f>112.8307</f>
        <v>112.83069999999999</v>
      </c>
    </row>
    <row r="93" spans="1:10" ht="15" x14ac:dyDescent="0.2">
      <c r="A93" s="16">
        <v>43739</v>
      </c>
      <c r="B93" s="17">
        <f>17.6865 * CHOOSE(CONTROL!$C$15, $E$9, 100%, $G$9) + CHOOSE(CONTROL!$C$38, 0.0342, 0)</f>
        <v>17.720699999999997</v>
      </c>
      <c r="C93" s="17">
        <f>16.6923 * CHOOSE(CONTROL!$C$15, $E$9, 100%, $G$9) + CHOOSE(CONTROL!$C$38, 0.0343, 0)</f>
        <v>16.726599999999998</v>
      </c>
      <c r="D93" s="17">
        <f>16.6845 * CHOOSE(CONTROL!$C$15, $E$9, 100%, $G$9) + CHOOSE(CONTROL!$C$38, 0.0343, 0)</f>
        <v>16.718800000000002</v>
      </c>
      <c r="E93" s="17">
        <f>16.6845 * CHOOSE(CONTROL!$C$15, $E$9, 100%, $G$9) + CHOOSE(CONTROL!$C$38, 0.0343, 0)</f>
        <v>16.718800000000002</v>
      </c>
      <c r="F93" s="46">
        <f>17.6865 * CHOOSE(CONTROL!$C$15, $E$9, 100%, $G$9) + CHOOSE(CONTROL!$C$38, 0.0342, 0)</f>
        <v>17.720699999999997</v>
      </c>
      <c r="G93" s="17">
        <f>16.6908 * CHOOSE(CONTROL!$C$15, $E$9, 100%, $G$9) + CHOOSE(CONTROL!$C$38, 0.0343, 0)</f>
        <v>16.725099999999998</v>
      </c>
      <c r="H93" s="17">
        <f>16.6908 * CHOOSE(CONTROL!$C$15, $E$9, 100%, $G$9) + CHOOSE(CONTROL!$C$38, 0.0343, 0)</f>
        <v>16.725099999999998</v>
      </c>
      <c r="I93" s="17">
        <f>16.6923 * CHOOSE(CONTROL!$C$15, $E$9, 100%, $G$9) + CHOOSE(CONTROL!$C$38, 0.0343, 0)</f>
        <v>16.726599999999998</v>
      </c>
      <c r="J93" s="45">
        <f>109.1533</f>
        <v>109.1533</v>
      </c>
    </row>
    <row r="94" spans="1:10" ht="15" x14ac:dyDescent="0.2">
      <c r="A94" s="16">
        <v>43770</v>
      </c>
      <c r="B94" s="17">
        <f>17.9535 * CHOOSE(CONTROL!$C$15, $E$9, 100%, $G$9) + CHOOSE(CONTROL!$C$38, 0.0342, 0)</f>
        <v>17.987699999999997</v>
      </c>
      <c r="C94" s="17">
        <f>16.9576 * CHOOSE(CONTROL!$C$15, $E$9, 100%, $G$9) + CHOOSE(CONTROL!$C$38, 0.0343, 0)</f>
        <v>16.991900000000001</v>
      </c>
      <c r="D94" s="17">
        <f>16.9498 * CHOOSE(CONTROL!$C$15, $E$9, 100%, $G$9) + CHOOSE(CONTROL!$C$38, 0.0343, 0)</f>
        <v>16.984099999999998</v>
      </c>
      <c r="E94" s="17">
        <f>16.9498 * CHOOSE(CONTROL!$C$15, $E$9, 100%, $G$9) + CHOOSE(CONTROL!$C$38, 0.0343, 0)</f>
        <v>16.984099999999998</v>
      </c>
      <c r="F94" s="46">
        <f>17.9535 * CHOOSE(CONTROL!$C$15, $E$9, 100%, $G$9) + CHOOSE(CONTROL!$C$38, 0.0342, 0)</f>
        <v>17.987699999999997</v>
      </c>
      <c r="G94" s="17">
        <f>16.9561 * CHOOSE(CONTROL!$C$15, $E$9, 100%, $G$9) + CHOOSE(CONTROL!$C$38, 0.0343, 0)</f>
        <v>16.990400000000001</v>
      </c>
      <c r="H94" s="17">
        <f>16.9561 * CHOOSE(CONTROL!$C$15, $E$9, 100%, $G$9) + CHOOSE(CONTROL!$C$38, 0.0343, 0)</f>
        <v>16.990400000000001</v>
      </c>
      <c r="I94" s="17">
        <f>16.9576 * CHOOSE(CONTROL!$C$15, $E$9, 100%, $G$9) + CHOOSE(CONTROL!$C$38, 0.0343, 0)</f>
        <v>16.991900000000001</v>
      </c>
      <c r="J94" s="45">
        <f>108.5988</f>
        <v>108.5988</v>
      </c>
    </row>
    <row r="95" spans="1:10" ht="15" x14ac:dyDescent="0.2">
      <c r="A95" s="16">
        <v>43800</v>
      </c>
      <c r="B95" s="17">
        <f>18.705 * CHOOSE(CONTROL!$C$15, $E$9, 100%, $G$9) + CHOOSE(CONTROL!$C$38, 0.0342, 0)</f>
        <v>18.739199999999997</v>
      </c>
      <c r="C95" s="17">
        <f>17.7075 * CHOOSE(CONTROL!$C$15, $E$9, 100%, $G$9) + CHOOSE(CONTROL!$C$38, 0.0343, 0)</f>
        <v>17.741799999999998</v>
      </c>
      <c r="D95" s="17">
        <f>17.6996 * CHOOSE(CONTROL!$C$15, $E$9, 100%, $G$9) + CHOOSE(CONTROL!$C$38, 0.0343, 0)</f>
        <v>17.733899999999998</v>
      </c>
      <c r="E95" s="17">
        <f>17.6996 * CHOOSE(CONTROL!$C$15, $E$9, 100%, $G$9) + CHOOSE(CONTROL!$C$38, 0.0343, 0)</f>
        <v>17.733899999999998</v>
      </c>
      <c r="F95" s="46">
        <f>18.705 * CHOOSE(CONTROL!$C$15, $E$9, 100%, $G$9) + CHOOSE(CONTROL!$C$38, 0.0342, 0)</f>
        <v>18.739199999999997</v>
      </c>
      <c r="G95" s="17">
        <f>17.7059 * CHOOSE(CONTROL!$C$15, $E$9, 100%, $G$9) + CHOOSE(CONTROL!$C$38, 0.0343, 0)</f>
        <v>17.740200000000002</v>
      </c>
      <c r="H95" s="17">
        <f>17.7059 * CHOOSE(CONTROL!$C$15, $E$9, 100%, $G$9) + CHOOSE(CONTROL!$C$38, 0.0343, 0)</f>
        <v>17.740200000000002</v>
      </c>
      <c r="I95" s="17">
        <f>17.7075 * CHOOSE(CONTROL!$C$15, $E$9, 100%, $G$9) + CHOOSE(CONTROL!$C$38, 0.0343, 0)</f>
        <v>17.741799999999998</v>
      </c>
      <c r="J95" s="45">
        <f>105.5932</f>
        <v>105.5932</v>
      </c>
    </row>
    <row r="96" spans="1:10" ht="15" x14ac:dyDescent="0.2">
      <c r="A96" s="16">
        <v>43831</v>
      </c>
      <c r="B96" s="17">
        <f>19.3782 * CHOOSE(CONTROL!$C$15, $E$9, 100%, $G$9) + CHOOSE(CONTROL!$C$38, 0.0342, 0)</f>
        <v>19.412399999999998</v>
      </c>
      <c r="C96" s="17">
        <f>18.2069 * CHOOSE(CONTROL!$C$15, $E$9, 100%, $G$9) + CHOOSE(CONTROL!$C$38, 0.0343, 0)</f>
        <v>18.241199999999999</v>
      </c>
      <c r="D96" s="17">
        <f>18.1991 * CHOOSE(CONTROL!$C$15, $E$9, 100%, $G$9) + CHOOSE(CONTROL!$C$38, 0.0343, 0)</f>
        <v>18.233400000000003</v>
      </c>
      <c r="E96" s="17">
        <f>18.1991 * CHOOSE(CONTROL!$C$15, $E$9, 100%, $G$9) + CHOOSE(CONTROL!$C$38, 0.0343, 0)</f>
        <v>18.233400000000003</v>
      </c>
      <c r="F96" s="46">
        <f>19.3782 * CHOOSE(CONTROL!$C$15, $E$9, 100%, $G$9) + CHOOSE(CONTROL!$C$38, 0.0342, 0)</f>
        <v>19.412399999999998</v>
      </c>
      <c r="G96" s="17">
        <f>18.2053 * CHOOSE(CONTROL!$C$15, $E$9, 100%, $G$9) + CHOOSE(CONTROL!$C$38, 0.0343, 0)</f>
        <v>18.239600000000003</v>
      </c>
      <c r="H96" s="17">
        <f>18.2053 * CHOOSE(CONTROL!$C$15, $E$9, 100%, $G$9) + CHOOSE(CONTROL!$C$38, 0.0343, 0)</f>
        <v>18.239600000000003</v>
      </c>
      <c r="I96" s="17">
        <f>18.2069 * CHOOSE(CONTROL!$C$15, $E$9, 100%, $G$9) + CHOOSE(CONTROL!$C$38, 0.0343, 0)</f>
        <v>18.241199999999999</v>
      </c>
      <c r="J96" s="45">
        <f>103.0175</f>
        <v>103.0175</v>
      </c>
    </row>
    <row r="97" spans="1:10" ht="15" x14ac:dyDescent="0.2">
      <c r="A97" s="16">
        <v>43862</v>
      </c>
      <c r="B97" s="17">
        <f>19.683 * CHOOSE(CONTROL!$C$15, $E$9, 100%, $G$9) + CHOOSE(CONTROL!$C$38, 0.0342, 0)</f>
        <v>19.717199999999998</v>
      </c>
      <c r="C97" s="17">
        <f>18.5097 * CHOOSE(CONTROL!$C$15, $E$9, 100%, $G$9) + CHOOSE(CONTROL!$C$38, 0.0343, 0)</f>
        <v>18.543999999999997</v>
      </c>
      <c r="D97" s="17">
        <f>18.5018 * CHOOSE(CONTROL!$C$15, $E$9, 100%, $G$9) + CHOOSE(CONTROL!$C$38, 0.0343, 0)</f>
        <v>18.536099999999998</v>
      </c>
      <c r="E97" s="17">
        <f>18.5018 * CHOOSE(CONTROL!$C$15, $E$9, 100%, $G$9) + CHOOSE(CONTROL!$C$38, 0.0343, 0)</f>
        <v>18.536099999999998</v>
      </c>
      <c r="F97" s="46">
        <f>19.683 * CHOOSE(CONTROL!$C$15, $E$9, 100%, $G$9) + CHOOSE(CONTROL!$C$38, 0.0342, 0)</f>
        <v>19.717199999999998</v>
      </c>
      <c r="G97" s="17">
        <f>18.5081 * CHOOSE(CONTROL!$C$15, $E$9, 100%, $G$9) + CHOOSE(CONTROL!$C$38, 0.0343, 0)</f>
        <v>18.542400000000001</v>
      </c>
      <c r="H97" s="17">
        <f>18.5081 * CHOOSE(CONTROL!$C$15, $E$9, 100%, $G$9) + CHOOSE(CONTROL!$C$38, 0.0343, 0)</f>
        <v>18.542400000000001</v>
      </c>
      <c r="I97" s="17">
        <f>18.5097 * CHOOSE(CONTROL!$C$15, $E$9, 100%, $G$9) + CHOOSE(CONTROL!$C$38, 0.0343, 0)</f>
        <v>18.543999999999997</v>
      </c>
      <c r="J97" s="45">
        <f>102.9427</f>
        <v>102.9427</v>
      </c>
    </row>
    <row r="98" spans="1:10" ht="15" x14ac:dyDescent="0.2">
      <c r="A98" s="16">
        <v>43891</v>
      </c>
      <c r="B98" s="17">
        <f>19.1048 * CHOOSE(CONTROL!$C$15, $E$9, 100%, $G$9) + CHOOSE(CONTROL!$C$38, 0.0342, 0)</f>
        <v>19.138999999999999</v>
      </c>
      <c r="C98" s="17">
        <f>17.9293 * CHOOSE(CONTROL!$C$15, $E$9, 100%, $G$9) + CHOOSE(CONTROL!$C$38, 0.0343, 0)</f>
        <v>17.9636</v>
      </c>
      <c r="D98" s="17">
        <f>17.9215 * CHOOSE(CONTROL!$C$15, $E$9, 100%, $G$9) + CHOOSE(CONTROL!$C$38, 0.0343, 0)</f>
        <v>17.955800000000004</v>
      </c>
      <c r="E98" s="17">
        <f>17.9215 * CHOOSE(CONTROL!$C$15, $E$9, 100%, $G$9) + CHOOSE(CONTROL!$C$38, 0.0343, 0)</f>
        <v>17.955800000000004</v>
      </c>
      <c r="F98" s="46">
        <f>19.1048 * CHOOSE(CONTROL!$C$15, $E$9, 100%, $G$9) + CHOOSE(CONTROL!$C$38, 0.0342, 0)</f>
        <v>19.138999999999999</v>
      </c>
      <c r="G98" s="17">
        <f>17.9277 * CHOOSE(CONTROL!$C$15, $E$9, 100%, $G$9) + CHOOSE(CONTROL!$C$38, 0.0343, 0)</f>
        <v>17.962000000000003</v>
      </c>
      <c r="H98" s="17">
        <f>17.9277 * CHOOSE(CONTROL!$C$15, $E$9, 100%, $G$9) + CHOOSE(CONTROL!$C$38, 0.0343, 0)</f>
        <v>17.962000000000003</v>
      </c>
      <c r="I98" s="17">
        <f>17.9293 * CHOOSE(CONTROL!$C$15, $E$9, 100%, $G$9) + CHOOSE(CONTROL!$C$38, 0.0343, 0)</f>
        <v>17.9636</v>
      </c>
      <c r="J98" s="45">
        <f>108.5916</f>
        <v>108.5916</v>
      </c>
    </row>
    <row r="99" spans="1:10" ht="15" x14ac:dyDescent="0.2">
      <c r="A99" s="16">
        <v>43922</v>
      </c>
      <c r="B99" s="17">
        <f>18.5432 * CHOOSE(CONTROL!$C$15, $E$9, 100%, $G$9) + CHOOSE(CONTROL!$C$38, 0.0342, 0)</f>
        <v>18.577399999999997</v>
      </c>
      <c r="C99" s="17">
        <f>17.3657 * CHOOSE(CONTROL!$C$15, $E$9, 100%, $G$9) + CHOOSE(CONTROL!$C$38, 0.0343, 0)</f>
        <v>17.399999999999999</v>
      </c>
      <c r="D99" s="17">
        <f>17.3579 * CHOOSE(CONTROL!$C$15, $E$9, 100%, $G$9) + CHOOSE(CONTROL!$C$38, 0.0343, 0)</f>
        <v>17.392200000000003</v>
      </c>
      <c r="E99" s="17">
        <f>17.3579 * CHOOSE(CONTROL!$C$15, $E$9, 100%, $G$9) + CHOOSE(CONTROL!$C$38, 0.0343, 0)</f>
        <v>17.392200000000003</v>
      </c>
      <c r="F99" s="46">
        <f>18.5432 * CHOOSE(CONTROL!$C$15, $E$9, 100%, $G$9) + CHOOSE(CONTROL!$C$38, 0.0342, 0)</f>
        <v>18.577399999999997</v>
      </c>
      <c r="G99" s="17">
        <f>17.3641 * CHOOSE(CONTROL!$C$15, $E$9, 100%, $G$9) + CHOOSE(CONTROL!$C$38, 0.0343, 0)</f>
        <v>17.398400000000002</v>
      </c>
      <c r="H99" s="17">
        <f>17.3641 * CHOOSE(CONTROL!$C$15, $E$9, 100%, $G$9) + CHOOSE(CONTROL!$C$38, 0.0343, 0)</f>
        <v>17.398400000000002</v>
      </c>
      <c r="I99" s="17">
        <f>17.3657 * CHOOSE(CONTROL!$C$15, $E$9, 100%, $G$9) + CHOOSE(CONTROL!$C$38, 0.0343, 0)</f>
        <v>17.399999999999999</v>
      </c>
      <c r="J99" s="45">
        <f>115.8801</f>
        <v>115.8801</v>
      </c>
    </row>
    <row r="100" spans="1:10" ht="15" x14ac:dyDescent="0.2">
      <c r="A100" s="16">
        <v>43952</v>
      </c>
      <c r="B100" s="17">
        <f>17.9539 * CHOOSE(CONTROL!$C$15, $E$9, 100%, $G$9) + CHOOSE(CONTROL!$C$38, 0.0355, 0)</f>
        <v>17.9894</v>
      </c>
      <c r="C100" s="17">
        <f>16.8736 * CHOOSE(CONTROL!$C$15, $E$9, 100%, $G$9) + CHOOSE(CONTROL!$C$38, 0.0356, 0)</f>
        <v>16.909199999999998</v>
      </c>
      <c r="D100" s="17">
        <f>16.8658 * CHOOSE(CONTROL!$C$15, $E$9, 100%, $G$9) + CHOOSE(CONTROL!$C$38, 0.0356, 0)</f>
        <v>16.901399999999999</v>
      </c>
      <c r="E100" s="17">
        <f>16.8658 * CHOOSE(CONTROL!$C$15, $E$9, 100%, $G$9) + CHOOSE(CONTROL!$C$38, 0.0356, 0)</f>
        <v>16.901399999999999</v>
      </c>
      <c r="F100" s="46">
        <f>17.9539 * CHOOSE(CONTROL!$C$15, $E$9, 100%, $G$9) + CHOOSE(CONTROL!$C$38, 0.0355, 0)</f>
        <v>17.9894</v>
      </c>
      <c r="G100" s="17">
        <f>16.8721 * CHOOSE(CONTROL!$C$15, $E$9, 100%, $G$9) + CHOOSE(CONTROL!$C$38, 0.0356, 0)</f>
        <v>16.907699999999998</v>
      </c>
      <c r="H100" s="17">
        <f>16.8721 * CHOOSE(CONTROL!$C$15, $E$9, 100%, $G$9) + CHOOSE(CONTROL!$C$38, 0.0356, 0)</f>
        <v>16.907699999999998</v>
      </c>
      <c r="I100" s="17">
        <f>16.8736 * CHOOSE(CONTROL!$C$15, $E$9, 100%, $G$9) + CHOOSE(CONTROL!$C$38, 0.0356, 0)</f>
        <v>16.909199999999998</v>
      </c>
      <c r="J100" s="45">
        <f>120.0155</f>
        <v>120.0155</v>
      </c>
    </row>
    <row r="101" spans="1:10" ht="15" x14ac:dyDescent="0.2">
      <c r="A101" s="16">
        <v>43983</v>
      </c>
      <c r="B101" s="17">
        <f>17.5497 * CHOOSE(CONTROL!$C$15, $E$9, 100%, $G$9) + CHOOSE(CONTROL!$C$38, 0.0355, 0)</f>
        <v>17.5852</v>
      </c>
      <c r="C101" s="17">
        <f>16.3679 * CHOOSE(CONTROL!$C$15, $E$9, 100%, $G$9) + CHOOSE(CONTROL!$C$38, 0.0356, 0)</f>
        <v>16.403499999999998</v>
      </c>
      <c r="D101" s="17">
        <f>16.3601 * CHOOSE(CONTROL!$C$15, $E$9, 100%, $G$9) + CHOOSE(CONTROL!$C$38, 0.0356, 0)</f>
        <v>16.395699999999998</v>
      </c>
      <c r="E101" s="17">
        <f>16.3601 * CHOOSE(CONTROL!$C$15, $E$9, 100%, $G$9) + CHOOSE(CONTROL!$C$38, 0.0356, 0)</f>
        <v>16.395699999999998</v>
      </c>
      <c r="F101" s="46">
        <f>17.5497 * CHOOSE(CONTROL!$C$15, $E$9, 100%, $G$9) + CHOOSE(CONTROL!$C$38, 0.0355, 0)</f>
        <v>17.5852</v>
      </c>
      <c r="G101" s="17">
        <f>16.3663 * CHOOSE(CONTROL!$C$15, $E$9, 100%, $G$9) + CHOOSE(CONTROL!$C$38, 0.0356, 0)</f>
        <v>16.401899999999998</v>
      </c>
      <c r="H101" s="17">
        <f>16.3663 * CHOOSE(CONTROL!$C$15, $E$9, 100%, $G$9) + CHOOSE(CONTROL!$C$38, 0.0356, 0)</f>
        <v>16.401899999999998</v>
      </c>
      <c r="I101" s="17">
        <f>16.3679 * CHOOSE(CONTROL!$C$15, $E$9, 100%, $G$9) + CHOOSE(CONTROL!$C$38, 0.0356, 0)</f>
        <v>16.403499999999998</v>
      </c>
      <c r="J101" s="45">
        <f>121.9956</f>
        <v>121.9956</v>
      </c>
    </row>
    <row r="102" spans="1:10" ht="15" x14ac:dyDescent="0.2">
      <c r="A102" s="16">
        <v>44013</v>
      </c>
      <c r="B102" s="17">
        <f>17.3329 * CHOOSE(CONTROL!$C$15, $E$9, 100%, $G$9) + CHOOSE(CONTROL!$C$38, 0.0355, 0)</f>
        <v>17.368399999999998</v>
      </c>
      <c r="C102" s="17">
        <f>16.1491 * CHOOSE(CONTROL!$C$15, $E$9, 100%, $G$9) + CHOOSE(CONTROL!$C$38, 0.0356, 0)</f>
        <v>16.184699999999999</v>
      </c>
      <c r="D102" s="17">
        <f>16.1412 * CHOOSE(CONTROL!$C$15, $E$9, 100%, $G$9) + CHOOSE(CONTROL!$C$38, 0.0356, 0)</f>
        <v>16.1768</v>
      </c>
      <c r="E102" s="17">
        <f>16.1412 * CHOOSE(CONTROL!$C$15, $E$9, 100%, $G$9) + CHOOSE(CONTROL!$C$38, 0.0356, 0)</f>
        <v>16.1768</v>
      </c>
      <c r="F102" s="46">
        <f>17.3329 * CHOOSE(CONTROL!$C$15, $E$9, 100%, $G$9) + CHOOSE(CONTROL!$C$38, 0.0355, 0)</f>
        <v>17.368399999999998</v>
      </c>
      <c r="G102" s="17">
        <f>16.1475 * CHOOSE(CONTROL!$C$15, $E$9, 100%, $G$9) + CHOOSE(CONTROL!$C$38, 0.0356, 0)</f>
        <v>16.1831</v>
      </c>
      <c r="H102" s="17">
        <f>16.1475 * CHOOSE(CONTROL!$C$15, $E$9, 100%, $G$9) + CHOOSE(CONTROL!$C$38, 0.0356, 0)</f>
        <v>16.1831</v>
      </c>
      <c r="I102" s="17">
        <f>16.1491 * CHOOSE(CONTROL!$C$15, $E$9, 100%, $G$9) + CHOOSE(CONTROL!$C$38, 0.0356, 0)</f>
        <v>16.184699999999999</v>
      </c>
      <c r="J102" s="45">
        <f>121.6752</f>
        <v>121.6752</v>
      </c>
    </row>
    <row r="103" spans="1:10" ht="15" x14ac:dyDescent="0.2">
      <c r="A103" s="16">
        <v>44044</v>
      </c>
      <c r="B103" s="17">
        <f>17.4918 * CHOOSE(CONTROL!$C$15, $E$9, 100%, $G$9) + CHOOSE(CONTROL!$C$38, 0.0355, 0)</f>
        <v>17.5273</v>
      </c>
      <c r="C103" s="17">
        <f>16.3058 * CHOOSE(CONTROL!$C$15, $E$9, 100%, $G$9) + CHOOSE(CONTROL!$C$38, 0.0356, 0)</f>
        <v>16.3414</v>
      </c>
      <c r="D103" s="17">
        <f>16.298 * CHOOSE(CONTROL!$C$15, $E$9, 100%, $G$9) + CHOOSE(CONTROL!$C$38, 0.0356, 0)</f>
        <v>16.333599999999997</v>
      </c>
      <c r="E103" s="17">
        <f>16.298 * CHOOSE(CONTROL!$C$15, $E$9, 100%, $G$9) + CHOOSE(CONTROL!$C$38, 0.0356, 0)</f>
        <v>16.333599999999997</v>
      </c>
      <c r="F103" s="46">
        <f>17.4918 * CHOOSE(CONTROL!$C$15, $E$9, 100%, $G$9) + CHOOSE(CONTROL!$C$38, 0.0355, 0)</f>
        <v>17.5273</v>
      </c>
      <c r="G103" s="17">
        <f>16.3042 * CHOOSE(CONTROL!$C$15, $E$9, 100%, $G$9) + CHOOSE(CONTROL!$C$38, 0.0356, 0)</f>
        <v>16.3398</v>
      </c>
      <c r="H103" s="17">
        <f>16.3042 * CHOOSE(CONTROL!$C$15, $E$9, 100%, $G$9) + CHOOSE(CONTROL!$C$38, 0.0356, 0)</f>
        <v>16.3398</v>
      </c>
      <c r="I103" s="17">
        <f>16.3058 * CHOOSE(CONTROL!$C$15, $E$9, 100%, $G$9) + CHOOSE(CONTROL!$C$38, 0.0356, 0)</f>
        <v>16.3414</v>
      </c>
      <c r="J103" s="45">
        <f>119.0874</f>
        <v>119.0874</v>
      </c>
    </row>
    <row r="104" spans="1:10" ht="15" x14ac:dyDescent="0.2">
      <c r="A104" s="16">
        <v>44075</v>
      </c>
      <c r="B104" s="17">
        <f>17.8652 * CHOOSE(CONTROL!$C$15, $E$9, 100%, $G$9) + CHOOSE(CONTROL!$C$38, 0.0355, 0)</f>
        <v>17.900700000000001</v>
      </c>
      <c r="C104" s="17">
        <f>16.6771 * CHOOSE(CONTROL!$C$15, $E$9, 100%, $G$9) + CHOOSE(CONTROL!$C$38, 0.0356, 0)</f>
        <v>16.712699999999998</v>
      </c>
      <c r="D104" s="17">
        <f>16.6693 * CHOOSE(CONTROL!$C$15, $E$9, 100%, $G$9) + CHOOSE(CONTROL!$C$38, 0.0356, 0)</f>
        <v>16.704899999999999</v>
      </c>
      <c r="E104" s="17">
        <f>16.6693 * CHOOSE(CONTROL!$C$15, $E$9, 100%, $G$9) + CHOOSE(CONTROL!$C$38, 0.0356, 0)</f>
        <v>16.704899999999999</v>
      </c>
      <c r="F104" s="46">
        <f>17.8652 * CHOOSE(CONTROL!$C$15, $E$9, 100%, $G$9) + CHOOSE(CONTROL!$C$38, 0.0355, 0)</f>
        <v>17.900700000000001</v>
      </c>
      <c r="G104" s="17">
        <f>16.6755 * CHOOSE(CONTROL!$C$15, $E$9, 100%, $G$9) + CHOOSE(CONTROL!$C$38, 0.0356, 0)</f>
        <v>16.711099999999998</v>
      </c>
      <c r="H104" s="17">
        <f>16.6755 * CHOOSE(CONTROL!$C$15, $E$9, 100%, $G$9) + CHOOSE(CONTROL!$C$38, 0.0356, 0)</f>
        <v>16.711099999999998</v>
      </c>
      <c r="I104" s="17">
        <f>16.6771 * CHOOSE(CONTROL!$C$15, $E$9, 100%, $G$9) + CHOOSE(CONTROL!$C$38, 0.0356, 0)</f>
        <v>16.712699999999998</v>
      </c>
      <c r="J104" s="45">
        <f>115.3663</f>
        <v>115.3663</v>
      </c>
    </row>
    <row r="105" spans="1:10" ht="15" x14ac:dyDescent="0.2">
      <c r="A105" s="16">
        <v>44105</v>
      </c>
      <c r="B105" s="17">
        <f>18.1849 * CHOOSE(CONTROL!$C$15, $E$9, 100%, $G$9) + CHOOSE(CONTROL!$C$38, 0.0342, 0)</f>
        <v>18.219099999999997</v>
      </c>
      <c r="C105" s="17">
        <f>16.9947 * CHOOSE(CONTROL!$C$15, $E$9, 100%, $G$9) + CHOOSE(CONTROL!$C$38, 0.0343, 0)</f>
        <v>17.029000000000003</v>
      </c>
      <c r="D105" s="17">
        <f>16.9869 * CHOOSE(CONTROL!$C$15, $E$9, 100%, $G$9) + CHOOSE(CONTROL!$C$38, 0.0343, 0)</f>
        <v>17.0212</v>
      </c>
      <c r="E105" s="17">
        <f>16.9869 * CHOOSE(CONTROL!$C$15, $E$9, 100%, $G$9) + CHOOSE(CONTROL!$C$38, 0.0343, 0)</f>
        <v>17.0212</v>
      </c>
      <c r="F105" s="46">
        <f>18.1849 * CHOOSE(CONTROL!$C$15, $E$9, 100%, $G$9) + CHOOSE(CONTROL!$C$38, 0.0342, 0)</f>
        <v>18.219099999999997</v>
      </c>
      <c r="G105" s="17">
        <f>16.9931 * CHOOSE(CONTROL!$C$15, $E$9, 100%, $G$9) + CHOOSE(CONTROL!$C$38, 0.0343, 0)</f>
        <v>17.0274</v>
      </c>
      <c r="H105" s="17">
        <f>16.9931 * CHOOSE(CONTROL!$C$15, $E$9, 100%, $G$9) + CHOOSE(CONTROL!$C$38, 0.0343, 0)</f>
        <v>17.0274</v>
      </c>
      <c r="I105" s="17">
        <f>16.9947 * CHOOSE(CONTROL!$C$15, $E$9, 100%, $G$9) + CHOOSE(CONTROL!$C$38, 0.0343, 0)</f>
        <v>17.029000000000003</v>
      </c>
      <c r="J105" s="45">
        <f>111.6063</f>
        <v>111.6063</v>
      </c>
    </row>
    <row r="106" spans="1:10" ht="15" x14ac:dyDescent="0.2">
      <c r="A106" s="16">
        <v>44136</v>
      </c>
      <c r="B106" s="17">
        <f>18.4587 * CHOOSE(CONTROL!$C$15, $E$9, 100%, $G$9) + CHOOSE(CONTROL!$C$38, 0.0342, 0)</f>
        <v>18.492899999999999</v>
      </c>
      <c r="C106" s="17">
        <f>17.2664 * CHOOSE(CONTROL!$C$15, $E$9, 100%, $G$9) + CHOOSE(CONTROL!$C$38, 0.0343, 0)</f>
        <v>17.300699999999999</v>
      </c>
      <c r="D106" s="17">
        <f>17.2586 * CHOOSE(CONTROL!$C$15, $E$9, 100%, $G$9) + CHOOSE(CONTROL!$C$38, 0.0343, 0)</f>
        <v>17.292900000000003</v>
      </c>
      <c r="E106" s="17">
        <f>17.2586 * CHOOSE(CONTROL!$C$15, $E$9, 100%, $G$9) + CHOOSE(CONTROL!$C$38, 0.0343, 0)</f>
        <v>17.292900000000003</v>
      </c>
      <c r="F106" s="46">
        <f>18.4587 * CHOOSE(CONTROL!$C$15, $E$9, 100%, $G$9) + CHOOSE(CONTROL!$C$38, 0.0342, 0)</f>
        <v>18.492899999999999</v>
      </c>
      <c r="G106" s="17">
        <f>17.2648 * CHOOSE(CONTROL!$C$15, $E$9, 100%, $G$9) + CHOOSE(CONTROL!$C$38, 0.0343, 0)</f>
        <v>17.299100000000003</v>
      </c>
      <c r="H106" s="17">
        <f>17.2648 * CHOOSE(CONTROL!$C$15, $E$9, 100%, $G$9) + CHOOSE(CONTROL!$C$38, 0.0343, 0)</f>
        <v>17.299100000000003</v>
      </c>
      <c r="I106" s="17">
        <f>17.2664 * CHOOSE(CONTROL!$C$15, $E$9, 100%, $G$9) + CHOOSE(CONTROL!$C$38, 0.0343, 0)</f>
        <v>17.300699999999999</v>
      </c>
      <c r="J106" s="45">
        <f>111.0393</f>
        <v>111.0393</v>
      </c>
    </row>
    <row r="107" spans="1:10" ht="15" x14ac:dyDescent="0.2">
      <c r="A107" s="16">
        <v>44166</v>
      </c>
      <c r="B107" s="17">
        <f>19.2293 * CHOOSE(CONTROL!$C$15, $E$9, 100%, $G$9) + CHOOSE(CONTROL!$C$38, 0.0342, 0)</f>
        <v>19.263499999999997</v>
      </c>
      <c r="C107" s="17">
        <f>18.0348 * CHOOSE(CONTROL!$C$15, $E$9, 100%, $G$9) + CHOOSE(CONTROL!$C$38, 0.0343, 0)</f>
        <v>18.069099999999999</v>
      </c>
      <c r="D107" s="17">
        <f>18.0269 * CHOOSE(CONTROL!$C$15, $E$9, 100%, $G$9) + CHOOSE(CONTROL!$C$38, 0.0343, 0)</f>
        <v>18.061199999999999</v>
      </c>
      <c r="E107" s="17">
        <f>18.0269 * CHOOSE(CONTROL!$C$15, $E$9, 100%, $G$9) + CHOOSE(CONTROL!$C$38, 0.0343, 0)</f>
        <v>18.061199999999999</v>
      </c>
      <c r="F107" s="46">
        <f>19.2293 * CHOOSE(CONTROL!$C$15, $E$9, 100%, $G$9) + CHOOSE(CONTROL!$C$38, 0.0342, 0)</f>
        <v>19.263499999999997</v>
      </c>
      <c r="G107" s="17">
        <f>18.0332 * CHOOSE(CONTROL!$C$15, $E$9, 100%, $G$9) + CHOOSE(CONTROL!$C$38, 0.0343, 0)</f>
        <v>18.067500000000003</v>
      </c>
      <c r="H107" s="17">
        <f>18.0332 * CHOOSE(CONTROL!$C$15, $E$9, 100%, $G$9) + CHOOSE(CONTROL!$C$38, 0.0343, 0)</f>
        <v>18.067500000000003</v>
      </c>
      <c r="I107" s="17">
        <f>18.0348 * CHOOSE(CONTROL!$C$15, $E$9, 100%, $G$9) + CHOOSE(CONTROL!$C$38, 0.0343, 0)</f>
        <v>18.069099999999999</v>
      </c>
      <c r="J107" s="45">
        <f>107.9661</f>
        <v>107.9661</v>
      </c>
    </row>
    <row r="108" spans="1:10" ht="15" x14ac:dyDescent="0.2">
      <c r="A108" s="16">
        <v>44197</v>
      </c>
      <c r="B108" s="17">
        <f>20.4194 * CHOOSE(CONTROL!$C$15, $E$9, 100%, $G$9) + CHOOSE(CONTROL!$C$38, 0.0342, 0)</f>
        <v>20.453599999999998</v>
      </c>
      <c r="C108" s="17">
        <f>18.9069 * CHOOSE(CONTROL!$C$15, $E$9, 100%, $G$9) + CHOOSE(CONTROL!$C$38, 0.0343, 0)</f>
        <v>18.941200000000002</v>
      </c>
      <c r="D108" s="17">
        <f>18.8991 * CHOOSE(CONTROL!$C$15, $E$9, 100%, $G$9) + CHOOSE(CONTROL!$C$38, 0.0343, 0)</f>
        <v>18.933399999999999</v>
      </c>
      <c r="E108" s="17">
        <f>18.8991 * CHOOSE(CONTROL!$C$15, $E$9, 100%, $G$9) + CHOOSE(CONTROL!$C$38, 0.0343, 0)</f>
        <v>18.933399999999999</v>
      </c>
      <c r="F108" s="46">
        <f>20.4194 * CHOOSE(CONTROL!$C$15, $E$9, 100%, $G$9) + CHOOSE(CONTROL!$C$38, 0.0342, 0)</f>
        <v>20.453599999999998</v>
      </c>
      <c r="G108" s="17">
        <f>18.9053 * CHOOSE(CONTROL!$C$15, $E$9, 100%, $G$9) + CHOOSE(CONTROL!$C$38, 0.0343, 0)</f>
        <v>18.939599999999999</v>
      </c>
      <c r="H108" s="17">
        <f>18.9053 * CHOOSE(CONTROL!$C$15, $E$9, 100%, $G$9) + CHOOSE(CONTROL!$C$38, 0.0343, 0)</f>
        <v>18.939599999999999</v>
      </c>
      <c r="I108" s="17">
        <f>18.9069 * CHOOSE(CONTROL!$C$15, $E$9, 100%, $G$9) + CHOOSE(CONTROL!$C$38, 0.0343, 0)</f>
        <v>18.941200000000002</v>
      </c>
      <c r="J108" s="45">
        <f>108.2937</f>
        <v>108.2937</v>
      </c>
    </row>
    <row r="109" spans="1:10" ht="15" x14ac:dyDescent="0.2">
      <c r="A109" s="16">
        <v>44228</v>
      </c>
      <c r="B109" s="17">
        <f>20.7331 * CHOOSE(CONTROL!$C$15, $E$9, 100%, $G$9) + CHOOSE(CONTROL!$C$38, 0.0342, 0)</f>
        <v>20.767299999999999</v>
      </c>
      <c r="C109" s="17">
        <f>19.2178 * CHOOSE(CONTROL!$C$15, $E$9, 100%, $G$9) + CHOOSE(CONTROL!$C$38, 0.0343, 0)</f>
        <v>19.252099999999999</v>
      </c>
      <c r="D109" s="17">
        <f>19.2099 * CHOOSE(CONTROL!$C$15, $E$9, 100%, $G$9) + CHOOSE(CONTROL!$C$38, 0.0343, 0)</f>
        <v>19.244199999999999</v>
      </c>
      <c r="E109" s="17">
        <f>19.2099 * CHOOSE(CONTROL!$C$15, $E$9, 100%, $G$9) + CHOOSE(CONTROL!$C$38, 0.0343, 0)</f>
        <v>19.244199999999999</v>
      </c>
      <c r="F109" s="46">
        <f>20.7331 * CHOOSE(CONTROL!$C$15, $E$9, 100%, $G$9) + CHOOSE(CONTROL!$C$38, 0.0342, 0)</f>
        <v>20.767299999999999</v>
      </c>
      <c r="G109" s="17">
        <f>19.2162 * CHOOSE(CONTROL!$C$15, $E$9, 100%, $G$9) + CHOOSE(CONTROL!$C$38, 0.0343, 0)</f>
        <v>19.250500000000002</v>
      </c>
      <c r="H109" s="17">
        <f>19.2162 * CHOOSE(CONTROL!$C$15, $E$9, 100%, $G$9) + CHOOSE(CONTROL!$C$38, 0.0343, 0)</f>
        <v>19.250500000000002</v>
      </c>
      <c r="I109" s="17">
        <f>19.2178 * CHOOSE(CONTROL!$C$15, $E$9, 100%, $G$9) + CHOOSE(CONTROL!$C$38, 0.0343, 0)</f>
        <v>19.252099999999999</v>
      </c>
      <c r="J109" s="45">
        <f>108.2152</f>
        <v>108.2152</v>
      </c>
    </row>
    <row r="110" spans="1:10" ht="15" x14ac:dyDescent="0.2">
      <c r="A110" s="16">
        <v>44256</v>
      </c>
      <c r="B110" s="17">
        <f>20.1416 * CHOOSE(CONTROL!$C$15, $E$9, 100%, $G$9) + CHOOSE(CONTROL!$C$38, 0.0342, 0)</f>
        <v>20.175799999999999</v>
      </c>
      <c r="C110" s="17">
        <f>18.6234 * CHOOSE(CONTROL!$C$15, $E$9, 100%, $G$9) + CHOOSE(CONTROL!$C$38, 0.0343, 0)</f>
        <v>18.657699999999998</v>
      </c>
      <c r="D110" s="17">
        <f>18.6156 * CHOOSE(CONTROL!$C$15, $E$9, 100%, $G$9) + CHOOSE(CONTROL!$C$38, 0.0343, 0)</f>
        <v>18.649900000000002</v>
      </c>
      <c r="E110" s="17">
        <f>18.6156 * CHOOSE(CONTROL!$C$15, $E$9, 100%, $G$9) + CHOOSE(CONTROL!$C$38, 0.0343, 0)</f>
        <v>18.649900000000002</v>
      </c>
      <c r="F110" s="46">
        <f>20.1416 * CHOOSE(CONTROL!$C$15, $E$9, 100%, $G$9) + CHOOSE(CONTROL!$C$38, 0.0342, 0)</f>
        <v>20.175799999999999</v>
      </c>
      <c r="G110" s="17">
        <f>18.6218 * CHOOSE(CONTROL!$C$15, $E$9, 100%, $G$9) + CHOOSE(CONTROL!$C$38, 0.0343, 0)</f>
        <v>18.656100000000002</v>
      </c>
      <c r="H110" s="17">
        <f>18.6218 * CHOOSE(CONTROL!$C$15, $E$9, 100%, $G$9) + CHOOSE(CONTROL!$C$38, 0.0343, 0)</f>
        <v>18.656100000000002</v>
      </c>
      <c r="I110" s="17">
        <f>18.6234 * CHOOSE(CONTROL!$C$15, $E$9, 100%, $G$9) + CHOOSE(CONTROL!$C$38, 0.0343, 0)</f>
        <v>18.657699999999998</v>
      </c>
      <c r="J110" s="45">
        <f>114.1534</f>
        <v>114.1534</v>
      </c>
    </row>
    <row r="111" spans="1:10" ht="15" x14ac:dyDescent="0.2">
      <c r="A111" s="16">
        <v>44287</v>
      </c>
      <c r="B111" s="17">
        <f>19.5672 * CHOOSE(CONTROL!$C$15, $E$9, 100%, $G$9) + CHOOSE(CONTROL!$C$38, 0.0342, 0)</f>
        <v>19.601399999999998</v>
      </c>
      <c r="C111" s="17">
        <f>18.0462 * CHOOSE(CONTROL!$C$15, $E$9, 100%, $G$9) + CHOOSE(CONTROL!$C$38, 0.0343, 0)</f>
        <v>18.080500000000001</v>
      </c>
      <c r="D111" s="17">
        <f>18.0384 * CHOOSE(CONTROL!$C$15, $E$9, 100%, $G$9) + CHOOSE(CONTROL!$C$38, 0.0343, 0)</f>
        <v>18.072699999999998</v>
      </c>
      <c r="E111" s="17">
        <f>18.0384 * CHOOSE(CONTROL!$C$15, $E$9, 100%, $G$9) + CHOOSE(CONTROL!$C$38, 0.0343, 0)</f>
        <v>18.072699999999998</v>
      </c>
      <c r="F111" s="46">
        <f>19.5672 * CHOOSE(CONTROL!$C$15, $E$9, 100%, $G$9) + CHOOSE(CONTROL!$C$38, 0.0342, 0)</f>
        <v>19.601399999999998</v>
      </c>
      <c r="G111" s="17">
        <f>18.0447 * CHOOSE(CONTROL!$C$15, $E$9, 100%, $G$9) + CHOOSE(CONTROL!$C$38, 0.0343, 0)</f>
        <v>18.079000000000001</v>
      </c>
      <c r="H111" s="17">
        <f>18.0447 * CHOOSE(CONTROL!$C$15, $E$9, 100%, $G$9) + CHOOSE(CONTROL!$C$38, 0.0343, 0)</f>
        <v>18.079000000000001</v>
      </c>
      <c r="I111" s="17">
        <f>18.0462 * CHOOSE(CONTROL!$C$15, $E$9, 100%, $G$9) + CHOOSE(CONTROL!$C$38, 0.0343, 0)</f>
        <v>18.080500000000001</v>
      </c>
      <c r="J111" s="45">
        <f>121.8152</f>
        <v>121.8152</v>
      </c>
    </row>
    <row r="112" spans="1:10" ht="15" x14ac:dyDescent="0.2">
      <c r="A112" s="16">
        <v>44317</v>
      </c>
      <c r="B112" s="17">
        <f>18.9643 * CHOOSE(CONTROL!$C$15, $E$9, 100%, $G$9) + CHOOSE(CONTROL!$C$38, 0.0355, 0)</f>
        <v>18.9998</v>
      </c>
      <c r="C112" s="17">
        <f>17.4405 * CHOOSE(CONTROL!$C$15, $E$9, 100%, $G$9) + CHOOSE(CONTROL!$C$38, 0.0356, 0)</f>
        <v>17.476099999999999</v>
      </c>
      <c r="D112" s="17">
        <f>17.4327 * CHOOSE(CONTROL!$C$15, $E$9, 100%, $G$9) + CHOOSE(CONTROL!$C$38, 0.0356, 0)</f>
        <v>17.468299999999999</v>
      </c>
      <c r="E112" s="17">
        <f>17.4327 * CHOOSE(CONTROL!$C$15, $E$9, 100%, $G$9) + CHOOSE(CONTROL!$C$38, 0.0356, 0)</f>
        <v>17.468299999999999</v>
      </c>
      <c r="F112" s="46">
        <f>18.9643 * CHOOSE(CONTROL!$C$15, $E$9, 100%, $G$9) + CHOOSE(CONTROL!$C$38, 0.0355, 0)</f>
        <v>18.9998</v>
      </c>
      <c r="G112" s="17">
        <f>17.439 * CHOOSE(CONTROL!$C$15, $E$9, 100%, $G$9) + CHOOSE(CONTROL!$C$38, 0.0356, 0)</f>
        <v>17.474599999999999</v>
      </c>
      <c r="H112" s="17">
        <f>17.439 * CHOOSE(CONTROL!$C$15, $E$9, 100%, $G$9) + CHOOSE(CONTROL!$C$38, 0.0356, 0)</f>
        <v>17.474599999999999</v>
      </c>
      <c r="I112" s="17">
        <f>17.4405 * CHOOSE(CONTROL!$C$15, $E$9, 100%, $G$9) + CHOOSE(CONTROL!$C$38, 0.0356, 0)</f>
        <v>17.476099999999999</v>
      </c>
      <c r="J112" s="45">
        <f>126.1624</f>
        <v>126.16240000000001</v>
      </c>
    </row>
    <row r="113" spans="1:10" ht="15" x14ac:dyDescent="0.2">
      <c r="A113" s="16">
        <v>44348</v>
      </c>
      <c r="B113" s="17">
        <f>18.5511 * CHOOSE(CONTROL!$C$15, $E$9, 100%, $G$9) + CHOOSE(CONTROL!$C$38, 0.0355, 0)</f>
        <v>18.586600000000001</v>
      </c>
      <c r="C113" s="17">
        <f>17.1509 * CHOOSE(CONTROL!$C$15, $E$9, 100%, $G$9) + CHOOSE(CONTROL!$C$38, 0.0356, 0)</f>
        <v>17.186499999999999</v>
      </c>
      <c r="D113" s="17">
        <f>17.1431 * CHOOSE(CONTROL!$C$15, $E$9, 100%, $G$9) + CHOOSE(CONTROL!$C$38, 0.0356, 0)</f>
        <v>17.178699999999999</v>
      </c>
      <c r="E113" s="17">
        <f>17.1431 * CHOOSE(CONTROL!$C$15, $E$9, 100%, $G$9) + CHOOSE(CONTROL!$C$38, 0.0356, 0)</f>
        <v>17.178699999999999</v>
      </c>
      <c r="F113" s="46">
        <f>18.5511 * CHOOSE(CONTROL!$C$15, $E$9, 100%, $G$9) + CHOOSE(CONTROL!$C$38, 0.0355, 0)</f>
        <v>18.586600000000001</v>
      </c>
      <c r="G113" s="17">
        <f>17.1493 * CHOOSE(CONTROL!$C$15, $E$9, 100%, $G$9) + CHOOSE(CONTROL!$C$38, 0.0356, 0)</f>
        <v>17.184899999999999</v>
      </c>
      <c r="H113" s="17">
        <f>17.1493 * CHOOSE(CONTROL!$C$15, $E$9, 100%, $G$9) + CHOOSE(CONTROL!$C$38, 0.0356, 0)</f>
        <v>17.184899999999999</v>
      </c>
      <c r="I113" s="17">
        <f>17.1509 * CHOOSE(CONTROL!$C$15, $E$9, 100%, $G$9) + CHOOSE(CONTROL!$C$38, 0.0356, 0)</f>
        <v>17.186499999999999</v>
      </c>
      <c r="J113" s="45">
        <f>128.2439</f>
        <v>128.2439</v>
      </c>
    </row>
    <row r="114" spans="1:10" ht="15" x14ac:dyDescent="0.2">
      <c r="A114" s="16">
        <v>44378</v>
      </c>
      <c r="B114" s="17">
        <f>18.3302 * CHOOSE(CONTROL!$C$15, $E$9, 100%, $G$9) + CHOOSE(CONTROL!$C$38, 0.0355, 0)</f>
        <v>18.3657</v>
      </c>
      <c r="C114" s="17">
        <f>16.8008 * CHOOSE(CONTROL!$C$15, $E$9, 100%, $G$9) + CHOOSE(CONTROL!$C$38, 0.0356, 0)</f>
        <v>16.836399999999998</v>
      </c>
      <c r="D114" s="17">
        <f>16.793 * CHOOSE(CONTROL!$C$15, $E$9, 100%, $G$9) + CHOOSE(CONTROL!$C$38, 0.0356, 0)</f>
        <v>16.828599999999998</v>
      </c>
      <c r="E114" s="17">
        <f>16.793 * CHOOSE(CONTROL!$C$15, $E$9, 100%, $G$9) + CHOOSE(CONTROL!$C$38, 0.0356, 0)</f>
        <v>16.828599999999998</v>
      </c>
      <c r="F114" s="46">
        <f>18.3302 * CHOOSE(CONTROL!$C$15, $E$9, 100%, $G$9) + CHOOSE(CONTROL!$C$38, 0.0355, 0)</f>
        <v>18.3657</v>
      </c>
      <c r="G114" s="17">
        <f>16.7992 * CHOOSE(CONTROL!$C$15, $E$9, 100%, $G$9) + CHOOSE(CONTROL!$C$38, 0.0356, 0)</f>
        <v>16.834799999999998</v>
      </c>
      <c r="H114" s="17">
        <f>16.7992 * CHOOSE(CONTROL!$C$15, $E$9, 100%, $G$9) + CHOOSE(CONTROL!$C$38, 0.0356, 0)</f>
        <v>16.834799999999998</v>
      </c>
      <c r="I114" s="17">
        <f>16.8008 * CHOOSE(CONTROL!$C$15, $E$9, 100%, $G$9) + CHOOSE(CONTROL!$C$38, 0.0356, 0)</f>
        <v>16.836399999999998</v>
      </c>
      <c r="J114" s="45">
        <f>127.907</f>
        <v>127.907</v>
      </c>
    </row>
    <row r="115" spans="1:10" ht="15" x14ac:dyDescent="0.2">
      <c r="A115" s="16">
        <v>44409</v>
      </c>
      <c r="B115" s="17">
        <f>18.4942 * CHOOSE(CONTROL!$C$15, $E$9, 100%, $G$9) + CHOOSE(CONTROL!$C$38, 0.0355, 0)</f>
        <v>18.529699999999998</v>
      </c>
      <c r="C115" s="17">
        <f>16.962 * CHOOSE(CONTROL!$C$15, $E$9, 100%, $G$9) + CHOOSE(CONTROL!$C$38, 0.0356, 0)</f>
        <v>16.997599999999998</v>
      </c>
      <c r="D115" s="17">
        <f>16.9542 * CHOOSE(CONTROL!$C$15, $E$9, 100%, $G$9) + CHOOSE(CONTROL!$C$38, 0.0356, 0)</f>
        <v>16.989799999999999</v>
      </c>
      <c r="E115" s="17">
        <f>16.9542 * CHOOSE(CONTROL!$C$15, $E$9, 100%, $G$9) + CHOOSE(CONTROL!$C$38, 0.0356, 0)</f>
        <v>16.989799999999999</v>
      </c>
      <c r="F115" s="46">
        <f>18.4942 * CHOOSE(CONTROL!$C$15, $E$9, 100%, $G$9) + CHOOSE(CONTROL!$C$38, 0.0355, 0)</f>
        <v>18.529699999999998</v>
      </c>
      <c r="G115" s="17">
        <f>16.9604 * CHOOSE(CONTROL!$C$15, $E$9, 100%, $G$9) + CHOOSE(CONTROL!$C$38, 0.0356, 0)</f>
        <v>16.995999999999999</v>
      </c>
      <c r="H115" s="17">
        <f>16.9604 * CHOOSE(CONTROL!$C$15, $E$9, 100%, $G$9) + CHOOSE(CONTROL!$C$38, 0.0356, 0)</f>
        <v>16.995999999999999</v>
      </c>
      <c r="I115" s="17">
        <f>16.962 * CHOOSE(CONTROL!$C$15, $E$9, 100%, $G$9) + CHOOSE(CONTROL!$C$38, 0.0356, 0)</f>
        <v>16.997599999999998</v>
      </c>
      <c r="J115" s="45">
        <f>125.1868</f>
        <v>125.18680000000001</v>
      </c>
    </row>
    <row r="116" spans="1:10" ht="15" x14ac:dyDescent="0.2">
      <c r="A116" s="16">
        <v>44440</v>
      </c>
      <c r="B116" s="17">
        <f>18.8781 * CHOOSE(CONTROL!$C$15, $E$9, 100%, $G$9) + CHOOSE(CONTROL!$C$38, 0.0355, 0)</f>
        <v>18.913599999999999</v>
      </c>
      <c r="C116" s="17">
        <f>17.3431 * CHOOSE(CONTROL!$C$15, $E$9, 100%, $G$9) + CHOOSE(CONTROL!$C$38, 0.0356, 0)</f>
        <v>17.378699999999998</v>
      </c>
      <c r="D116" s="17">
        <f>17.3353 * CHOOSE(CONTROL!$C$15, $E$9, 100%, $G$9) + CHOOSE(CONTROL!$C$38, 0.0356, 0)</f>
        <v>17.370899999999999</v>
      </c>
      <c r="E116" s="17">
        <f>17.3353 * CHOOSE(CONTROL!$C$15, $E$9, 100%, $G$9) + CHOOSE(CONTROL!$C$38, 0.0356, 0)</f>
        <v>17.370899999999999</v>
      </c>
      <c r="F116" s="46">
        <f>18.8781 * CHOOSE(CONTROL!$C$15, $E$9, 100%, $G$9) + CHOOSE(CONTROL!$C$38, 0.0355, 0)</f>
        <v>18.913599999999999</v>
      </c>
      <c r="G116" s="17">
        <f>17.3415 * CHOOSE(CONTROL!$C$15, $E$9, 100%, $G$9) + CHOOSE(CONTROL!$C$38, 0.0356, 0)</f>
        <v>17.377099999999999</v>
      </c>
      <c r="H116" s="17">
        <f>17.3415 * CHOOSE(CONTROL!$C$15, $E$9, 100%, $G$9) + CHOOSE(CONTROL!$C$38, 0.0356, 0)</f>
        <v>17.377099999999999</v>
      </c>
      <c r="I116" s="17">
        <f>17.3431 * CHOOSE(CONTROL!$C$15, $E$9, 100%, $G$9) + CHOOSE(CONTROL!$C$38, 0.0356, 0)</f>
        <v>17.378699999999998</v>
      </c>
      <c r="J116" s="45">
        <f>121.2751</f>
        <v>121.27509999999999</v>
      </c>
    </row>
    <row r="117" spans="1:10" ht="15" x14ac:dyDescent="0.2">
      <c r="A117" s="16">
        <v>44470</v>
      </c>
      <c r="B117" s="17">
        <f>19.2071 * CHOOSE(CONTROL!$C$15, $E$9, 100%, $G$9) + CHOOSE(CONTROL!$C$38, 0.0342, 0)</f>
        <v>19.241299999999999</v>
      </c>
      <c r="C117" s="17">
        <f>17.6692 * CHOOSE(CONTROL!$C$15, $E$9, 100%, $G$9) + CHOOSE(CONTROL!$C$38, 0.0343, 0)</f>
        <v>17.703499999999998</v>
      </c>
      <c r="D117" s="17">
        <f>17.6614 * CHOOSE(CONTROL!$C$15, $E$9, 100%, $G$9) + CHOOSE(CONTROL!$C$38, 0.0343, 0)</f>
        <v>17.695700000000002</v>
      </c>
      <c r="E117" s="17">
        <f>17.6614 * CHOOSE(CONTROL!$C$15, $E$9, 100%, $G$9) + CHOOSE(CONTROL!$C$38, 0.0343, 0)</f>
        <v>17.695700000000002</v>
      </c>
      <c r="F117" s="46">
        <f>19.2071 * CHOOSE(CONTROL!$C$15, $E$9, 100%, $G$9) + CHOOSE(CONTROL!$C$38, 0.0342, 0)</f>
        <v>19.241299999999999</v>
      </c>
      <c r="G117" s="17">
        <f>17.6676 * CHOOSE(CONTROL!$C$15, $E$9, 100%, $G$9) + CHOOSE(CONTROL!$C$38, 0.0343, 0)</f>
        <v>17.701900000000002</v>
      </c>
      <c r="H117" s="17">
        <f>17.6676 * CHOOSE(CONTROL!$C$15, $E$9, 100%, $G$9) + CHOOSE(CONTROL!$C$38, 0.0343, 0)</f>
        <v>17.701900000000002</v>
      </c>
      <c r="I117" s="17">
        <f>17.6692 * CHOOSE(CONTROL!$C$15, $E$9, 100%, $G$9) + CHOOSE(CONTROL!$C$38, 0.0343, 0)</f>
        <v>17.703499999999998</v>
      </c>
      <c r="J117" s="45">
        <f>117.3224</f>
        <v>117.3224</v>
      </c>
    </row>
    <row r="118" spans="1:10" ht="15" x14ac:dyDescent="0.2">
      <c r="A118" s="16">
        <v>44501</v>
      </c>
      <c r="B118" s="17">
        <f>19.4889 * CHOOSE(CONTROL!$C$15, $E$9, 100%, $G$9) + CHOOSE(CONTROL!$C$38, 0.0342, 0)</f>
        <v>19.523099999999999</v>
      </c>
      <c r="C118" s="17">
        <f>17.9482 * CHOOSE(CONTROL!$C$15, $E$9, 100%, $G$9) + CHOOSE(CONTROL!$C$38, 0.0343, 0)</f>
        <v>17.982500000000002</v>
      </c>
      <c r="D118" s="17">
        <f>17.9404 * CHOOSE(CONTROL!$C$15, $E$9, 100%, $G$9) + CHOOSE(CONTROL!$C$38, 0.0343, 0)</f>
        <v>17.974699999999999</v>
      </c>
      <c r="E118" s="17">
        <f>17.9404 * CHOOSE(CONTROL!$C$15, $E$9, 100%, $G$9) + CHOOSE(CONTROL!$C$38, 0.0343, 0)</f>
        <v>17.974699999999999</v>
      </c>
      <c r="F118" s="46">
        <f>19.4889 * CHOOSE(CONTROL!$C$15, $E$9, 100%, $G$9) + CHOOSE(CONTROL!$C$38, 0.0342, 0)</f>
        <v>19.523099999999999</v>
      </c>
      <c r="G118" s="17">
        <f>17.9466 * CHOOSE(CONTROL!$C$15, $E$9, 100%, $G$9) + CHOOSE(CONTROL!$C$38, 0.0343, 0)</f>
        <v>17.980899999999998</v>
      </c>
      <c r="H118" s="17">
        <f>17.9466 * CHOOSE(CONTROL!$C$15, $E$9, 100%, $G$9) + CHOOSE(CONTROL!$C$38, 0.0343, 0)</f>
        <v>17.980899999999998</v>
      </c>
      <c r="I118" s="17">
        <f>17.9482 * CHOOSE(CONTROL!$C$15, $E$9, 100%, $G$9) + CHOOSE(CONTROL!$C$38, 0.0343, 0)</f>
        <v>17.982500000000002</v>
      </c>
      <c r="J118" s="45">
        <f>116.7264</f>
        <v>116.7264</v>
      </c>
    </row>
    <row r="119" spans="1:10" ht="15" x14ac:dyDescent="0.2">
      <c r="A119" s="16">
        <v>44531</v>
      </c>
      <c r="B119" s="17">
        <f>20.2799 * CHOOSE(CONTROL!$C$15, $E$9, 100%, $G$9) + CHOOSE(CONTROL!$C$38, 0.0342, 0)</f>
        <v>20.3141</v>
      </c>
      <c r="C119" s="17">
        <f>18.7363 * CHOOSE(CONTROL!$C$15, $E$9, 100%, $G$9) + CHOOSE(CONTROL!$C$38, 0.0343, 0)</f>
        <v>18.770600000000002</v>
      </c>
      <c r="D119" s="17">
        <f>18.7285 * CHOOSE(CONTROL!$C$15, $E$9, 100%, $G$9) + CHOOSE(CONTROL!$C$38, 0.0343, 0)</f>
        <v>18.762799999999999</v>
      </c>
      <c r="E119" s="17">
        <f>18.7285 * CHOOSE(CONTROL!$C$15, $E$9, 100%, $G$9) + CHOOSE(CONTROL!$C$38, 0.0343, 0)</f>
        <v>18.762799999999999</v>
      </c>
      <c r="F119" s="46">
        <f>20.2799 * CHOOSE(CONTROL!$C$15, $E$9, 100%, $G$9) + CHOOSE(CONTROL!$C$38, 0.0342, 0)</f>
        <v>20.3141</v>
      </c>
      <c r="G119" s="17">
        <f>18.7348 * CHOOSE(CONTROL!$C$15, $E$9, 100%, $G$9) + CHOOSE(CONTROL!$C$38, 0.0343, 0)</f>
        <v>18.769100000000002</v>
      </c>
      <c r="H119" s="17">
        <f>18.7348 * CHOOSE(CONTROL!$C$15, $E$9, 100%, $G$9) + CHOOSE(CONTROL!$C$38, 0.0343, 0)</f>
        <v>18.769100000000002</v>
      </c>
      <c r="I119" s="17">
        <f>18.7363 * CHOOSE(CONTROL!$C$15, $E$9, 100%, $G$9) + CHOOSE(CONTROL!$C$38, 0.0343, 0)</f>
        <v>18.770600000000002</v>
      </c>
      <c r="J119" s="45">
        <f>113.4958</f>
        <v>113.4958</v>
      </c>
    </row>
    <row r="120" spans="1:10" ht="15" x14ac:dyDescent="0.2">
      <c r="A120" s="16">
        <v>44562</v>
      </c>
      <c r="B120" s="17">
        <f>21.2853 * CHOOSE(CONTROL!$C$15, $E$9, 100%, $G$9) + CHOOSE(CONTROL!$C$38, 0.0342, 0)</f>
        <v>21.319499999999998</v>
      </c>
      <c r="C120" s="17">
        <f>19.7375 * CHOOSE(CONTROL!$C$15, $E$9, 100%, $G$9) + CHOOSE(CONTROL!$C$38, 0.0343, 0)</f>
        <v>19.771799999999999</v>
      </c>
      <c r="D120" s="17">
        <f>19.7296 * CHOOSE(CONTROL!$C$15, $E$9, 100%, $G$9) + CHOOSE(CONTROL!$C$38, 0.0343, 0)</f>
        <v>19.7639</v>
      </c>
      <c r="E120" s="17">
        <f>19.7296 * CHOOSE(CONTROL!$C$15, $E$9, 100%, $G$9) + CHOOSE(CONTROL!$C$38, 0.0343, 0)</f>
        <v>19.7639</v>
      </c>
      <c r="F120" s="46">
        <f>21.2853 * CHOOSE(CONTROL!$C$15, $E$9, 100%, $G$9) + CHOOSE(CONTROL!$C$38, 0.0342, 0)</f>
        <v>21.319499999999998</v>
      </c>
      <c r="G120" s="17">
        <f>19.7359 * CHOOSE(CONTROL!$C$15, $E$9, 100%, $G$9) + CHOOSE(CONTROL!$C$38, 0.0343, 0)</f>
        <v>19.770200000000003</v>
      </c>
      <c r="H120" s="17">
        <f>19.7359 * CHOOSE(CONTROL!$C$15, $E$9, 100%, $G$9) + CHOOSE(CONTROL!$C$38, 0.0343, 0)</f>
        <v>19.770200000000003</v>
      </c>
      <c r="I120" s="17">
        <f>19.7375 * CHOOSE(CONTROL!$C$15, $E$9, 100%, $G$9) + CHOOSE(CONTROL!$C$38, 0.0343, 0)</f>
        <v>19.771799999999999</v>
      </c>
      <c r="J120" s="45">
        <f>113.8159</f>
        <v>113.8159</v>
      </c>
    </row>
    <row r="121" spans="1:10" ht="15" x14ac:dyDescent="0.2">
      <c r="A121" s="16">
        <v>44593</v>
      </c>
      <c r="B121" s="17">
        <f>21.6076 * CHOOSE(CONTROL!$C$15, $E$9, 100%, $G$9) + CHOOSE(CONTROL!$C$38, 0.0342, 0)</f>
        <v>21.6418</v>
      </c>
      <c r="C121" s="17">
        <f>20.0569 * CHOOSE(CONTROL!$C$15, $E$9, 100%, $G$9) + CHOOSE(CONTROL!$C$38, 0.0343, 0)</f>
        <v>20.091200000000001</v>
      </c>
      <c r="D121" s="17">
        <f>20.0491 * CHOOSE(CONTROL!$C$15, $E$9, 100%, $G$9) + CHOOSE(CONTROL!$C$38, 0.0343, 0)</f>
        <v>20.083399999999997</v>
      </c>
      <c r="E121" s="17">
        <f>20.0491 * CHOOSE(CONTROL!$C$15, $E$9, 100%, $G$9) + CHOOSE(CONTROL!$C$38, 0.0343, 0)</f>
        <v>20.083399999999997</v>
      </c>
      <c r="F121" s="46">
        <f>21.6076 * CHOOSE(CONTROL!$C$15, $E$9, 100%, $G$9) + CHOOSE(CONTROL!$C$38, 0.0342, 0)</f>
        <v>21.6418</v>
      </c>
      <c r="G121" s="17">
        <f>20.0553 * CHOOSE(CONTROL!$C$15, $E$9, 100%, $G$9) + CHOOSE(CONTROL!$C$38, 0.0343, 0)</f>
        <v>20.089599999999997</v>
      </c>
      <c r="H121" s="17">
        <f>20.0553 * CHOOSE(CONTROL!$C$15, $E$9, 100%, $G$9) + CHOOSE(CONTROL!$C$38, 0.0343, 0)</f>
        <v>20.089599999999997</v>
      </c>
      <c r="I121" s="17">
        <f>20.0569 * CHOOSE(CONTROL!$C$15, $E$9, 100%, $G$9) + CHOOSE(CONTROL!$C$38, 0.0343, 0)</f>
        <v>20.091200000000001</v>
      </c>
      <c r="J121" s="45">
        <f>113.7334</f>
        <v>113.7334</v>
      </c>
    </row>
    <row r="122" spans="1:10" ht="15" x14ac:dyDescent="0.2">
      <c r="A122" s="16">
        <v>44621</v>
      </c>
      <c r="B122" s="17">
        <f>21.002 * CHOOSE(CONTROL!$C$15, $E$9, 100%, $G$9) + CHOOSE(CONTROL!$C$38, 0.0342, 0)</f>
        <v>21.036199999999997</v>
      </c>
      <c r="C122" s="17">
        <f>19.4484 * CHOOSE(CONTROL!$C$15, $E$9, 100%, $G$9) + CHOOSE(CONTROL!$C$38, 0.0343, 0)</f>
        <v>19.482700000000001</v>
      </c>
      <c r="D122" s="17">
        <f>19.4406 * CHOOSE(CONTROL!$C$15, $E$9, 100%, $G$9) + CHOOSE(CONTROL!$C$38, 0.0343, 0)</f>
        <v>19.474899999999998</v>
      </c>
      <c r="E122" s="17">
        <f>19.4406 * CHOOSE(CONTROL!$C$15, $E$9, 100%, $G$9) + CHOOSE(CONTROL!$C$38, 0.0343, 0)</f>
        <v>19.474899999999998</v>
      </c>
      <c r="F122" s="46">
        <f>21.002 * CHOOSE(CONTROL!$C$15, $E$9, 100%, $G$9) + CHOOSE(CONTROL!$C$38, 0.0342, 0)</f>
        <v>21.036199999999997</v>
      </c>
      <c r="G122" s="17">
        <f>19.4469 * CHOOSE(CONTROL!$C$15, $E$9, 100%, $G$9) + CHOOSE(CONTROL!$C$38, 0.0343, 0)</f>
        <v>19.481200000000001</v>
      </c>
      <c r="H122" s="17">
        <f>19.4469 * CHOOSE(CONTROL!$C$15, $E$9, 100%, $G$9) + CHOOSE(CONTROL!$C$38, 0.0343, 0)</f>
        <v>19.481200000000001</v>
      </c>
      <c r="I122" s="17">
        <f>19.4484 * CHOOSE(CONTROL!$C$15, $E$9, 100%, $G$9) + CHOOSE(CONTROL!$C$38, 0.0343, 0)</f>
        <v>19.482700000000001</v>
      </c>
      <c r="J122" s="45">
        <f>119.9744</f>
        <v>119.9744</v>
      </c>
    </row>
    <row r="123" spans="1:10" ht="15" x14ac:dyDescent="0.2">
      <c r="A123" s="16">
        <v>44652</v>
      </c>
      <c r="B123" s="17">
        <f>20.414 * CHOOSE(CONTROL!$C$15, $E$9, 100%, $G$9) + CHOOSE(CONTROL!$C$38, 0.0342, 0)</f>
        <v>20.4482</v>
      </c>
      <c r="C123" s="17">
        <f>18.8576 * CHOOSE(CONTROL!$C$15, $E$9, 100%, $G$9) + CHOOSE(CONTROL!$C$38, 0.0343, 0)</f>
        <v>18.8919</v>
      </c>
      <c r="D123" s="17">
        <f>18.8498 * CHOOSE(CONTROL!$C$15, $E$9, 100%, $G$9) + CHOOSE(CONTROL!$C$38, 0.0343, 0)</f>
        <v>18.884099999999997</v>
      </c>
      <c r="E123" s="17">
        <f>18.8498 * CHOOSE(CONTROL!$C$15, $E$9, 100%, $G$9) + CHOOSE(CONTROL!$C$38, 0.0343, 0)</f>
        <v>18.884099999999997</v>
      </c>
      <c r="F123" s="46">
        <f>20.414 * CHOOSE(CONTROL!$C$15, $E$9, 100%, $G$9) + CHOOSE(CONTROL!$C$38, 0.0342, 0)</f>
        <v>20.4482</v>
      </c>
      <c r="G123" s="17">
        <f>18.856 * CHOOSE(CONTROL!$C$15, $E$9, 100%, $G$9) + CHOOSE(CONTROL!$C$38, 0.0343, 0)</f>
        <v>18.890300000000003</v>
      </c>
      <c r="H123" s="17">
        <f>18.856 * CHOOSE(CONTROL!$C$15, $E$9, 100%, $G$9) + CHOOSE(CONTROL!$C$38, 0.0343, 0)</f>
        <v>18.890300000000003</v>
      </c>
      <c r="I123" s="17">
        <f>18.8576 * CHOOSE(CONTROL!$C$15, $E$9, 100%, $G$9) + CHOOSE(CONTROL!$C$38, 0.0343, 0)</f>
        <v>18.8919</v>
      </c>
      <c r="J123" s="45">
        <f>128.0269</f>
        <v>128.02690000000001</v>
      </c>
    </row>
    <row r="124" spans="1:10" ht="15" x14ac:dyDescent="0.2">
      <c r="A124" s="16">
        <v>44682</v>
      </c>
      <c r="B124" s="17">
        <f>19.7969 * CHOOSE(CONTROL!$C$15, $E$9, 100%, $G$9) + CHOOSE(CONTROL!$C$38, 0.0355, 0)</f>
        <v>19.8324</v>
      </c>
      <c r="C124" s="17">
        <f>18.2375 * CHOOSE(CONTROL!$C$15, $E$9, 100%, $G$9) + CHOOSE(CONTROL!$C$38, 0.0356, 0)</f>
        <v>18.273099999999999</v>
      </c>
      <c r="D124" s="17">
        <f>18.2297 * CHOOSE(CONTROL!$C$15, $E$9, 100%, $G$9) + CHOOSE(CONTROL!$C$38, 0.0356, 0)</f>
        <v>18.2653</v>
      </c>
      <c r="E124" s="17">
        <f>18.2297 * CHOOSE(CONTROL!$C$15, $E$9, 100%, $G$9) + CHOOSE(CONTROL!$C$38, 0.0356, 0)</f>
        <v>18.2653</v>
      </c>
      <c r="F124" s="46">
        <f>19.7969 * CHOOSE(CONTROL!$C$15, $E$9, 100%, $G$9) + CHOOSE(CONTROL!$C$38, 0.0355, 0)</f>
        <v>19.8324</v>
      </c>
      <c r="G124" s="17">
        <f>18.2359 * CHOOSE(CONTROL!$C$15, $E$9, 100%, $G$9) + CHOOSE(CONTROL!$C$38, 0.0356, 0)</f>
        <v>18.2715</v>
      </c>
      <c r="H124" s="17">
        <f>18.2359 * CHOOSE(CONTROL!$C$15, $E$9, 100%, $G$9) + CHOOSE(CONTROL!$C$38, 0.0356, 0)</f>
        <v>18.2715</v>
      </c>
      <c r="I124" s="17">
        <f>18.2375 * CHOOSE(CONTROL!$C$15, $E$9, 100%, $G$9) + CHOOSE(CONTROL!$C$38, 0.0356, 0)</f>
        <v>18.273099999999999</v>
      </c>
      <c r="J124" s="45">
        <f>132.5958</f>
        <v>132.5958</v>
      </c>
    </row>
    <row r="125" spans="1:10" ht="15" x14ac:dyDescent="0.2">
      <c r="A125" s="16">
        <v>44713</v>
      </c>
      <c r="B125" s="17">
        <f>19.3741 * CHOOSE(CONTROL!$C$15, $E$9, 100%, $G$9) + CHOOSE(CONTROL!$C$38, 0.0355, 0)</f>
        <v>19.409599999999998</v>
      </c>
      <c r="C125" s="17">
        <f>17.8119 * CHOOSE(CONTROL!$C$15, $E$9, 100%, $G$9) + CHOOSE(CONTROL!$C$38, 0.0356, 0)</f>
        <v>17.8475</v>
      </c>
      <c r="D125" s="17">
        <f>17.8041 * CHOOSE(CONTROL!$C$15, $E$9, 100%, $G$9) + CHOOSE(CONTROL!$C$38, 0.0356, 0)</f>
        <v>17.839699999999997</v>
      </c>
      <c r="E125" s="17">
        <f>17.8041 * CHOOSE(CONTROL!$C$15, $E$9, 100%, $G$9) + CHOOSE(CONTROL!$C$38, 0.0356, 0)</f>
        <v>17.839699999999997</v>
      </c>
      <c r="F125" s="46">
        <f>19.3741 * CHOOSE(CONTROL!$C$15, $E$9, 100%, $G$9) + CHOOSE(CONTROL!$C$38, 0.0355, 0)</f>
        <v>19.409599999999998</v>
      </c>
      <c r="G125" s="17">
        <f>17.8103 * CHOOSE(CONTROL!$C$15, $E$9, 100%, $G$9) + CHOOSE(CONTROL!$C$38, 0.0356, 0)</f>
        <v>17.8459</v>
      </c>
      <c r="H125" s="17">
        <f>17.8103 * CHOOSE(CONTROL!$C$15, $E$9, 100%, $G$9) + CHOOSE(CONTROL!$C$38, 0.0356, 0)</f>
        <v>17.8459</v>
      </c>
      <c r="I125" s="17">
        <f>17.8119 * CHOOSE(CONTROL!$C$15, $E$9, 100%, $G$9) + CHOOSE(CONTROL!$C$38, 0.0356, 0)</f>
        <v>17.8475</v>
      </c>
      <c r="J125" s="45">
        <f>134.7834</f>
        <v>134.7834</v>
      </c>
    </row>
    <row r="126" spans="1:10" ht="15" x14ac:dyDescent="0.2">
      <c r="A126" s="16">
        <v>44743</v>
      </c>
      <c r="B126" s="17">
        <f>19.1485 * CHOOSE(CONTROL!$C$15, $E$9, 100%, $G$9) + CHOOSE(CONTROL!$C$38, 0.0355, 0)</f>
        <v>19.183999999999997</v>
      </c>
      <c r="C126" s="17">
        <f>17.7211 * CHOOSE(CONTROL!$C$15, $E$9, 100%, $G$9) + CHOOSE(CONTROL!$C$38, 0.0356, 0)</f>
        <v>17.756699999999999</v>
      </c>
      <c r="D126" s="17">
        <f>17.7133 * CHOOSE(CONTROL!$C$15, $E$9, 100%, $G$9) + CHOOSE(CONTROL!$C$38, 0.0356, 0)</f>
        <v>17.748899999999999</v>
      </c>
      <c r="E126" s="17">
        <f>17.7133 * CHOOSE(CONTROL!$C$15, $E$9, 100%, $G$9) + CHOOSE(CONTROL!$C$38, 0.0356, 0)</f>
        <v>17.748899999999999</v>
      </c>
      <c r="F126" s="46">
        <f>19.1485 * CHOOSE(CONTROL!$C$15, $E$9, 100%, $G$9) + CHOOSE(CONTROL!$C$38, 0.0355, 0)</f>
        <v>19.183999999999997</v>
      </c>
      <c r="G126" s="17">
        <f>17.7196 * CHOOSE(CONTROL!$C$15, $E$9, 100%, $G$9) + CHOOSE(CONTROL!$C$38, 0.0356, 0)</f>
        <v>17.755199999999999</v>
      </c>
      <c r="H126" s="17">
        <f>17.7196 * CHOOSE(CONTROL!$C$15, $E$9, 100%, $G$9) + CHOOSE(CONTROL!$C$38, 0.0356, 0)</f>
        <v>17.755199999999999</v>
      </c>
      <c r="I126" s="17">
        <f>17.7211 * CHOOSE(CONTROL!$C$15, $E$9, 100%, $G$9) + CHOOSE(CONTROL!$C$38, 0.0356, 0)</f>
        <v>17.756699999999999</v>
      </c>
      <c r="J126" s="45">
        <f>134.4294</f>
        <v>134.42939999999999</v>
      </c>
    </row>
    <row r="127" spans="1:10" ht="15" x14ac:dyDescent="0.2">
      <c r="A127" s="16">
        <v>44774</v>
      </c>
      <c r="B127" s="17">
        <f>19.3173 * CHOOSE(CONTROL!$C$15, $E$9, 100%, $G$9) + CHOOSE(CONTROL!$C$38, 0.0355, 0)</f>
        <v>19.352799999999998</v>
      </c>
      <c r="C127" s="17">
        <f>17.7493 * CHOOSE(CONTROL!$C$15, $E$9, 100%, $G$9) + CHOOSE(CONTROL!$C$38, 0.0356, 0)</f>
        <v>17.7849</v>
      </c>
      <c r="D127" s="17">
        <f>17.7415 * CHOOSE(CONTROL!$C$15, $E$9, 100%, $G$9) + CHOOSE(CONTROL!$C$38, 0.0356, 0)</f>
        <v>17.777099999999997</v>
      </c>
      <c r="E127" s="17">
        <f>17.7415 * CHOOSE(CONTROL!$C$15, $E$9, 100%, $G$9) + CHOOSE(CONTROL!$C$38, 0.0356, 0)</f>
        <v>17.777099999999997</v>
      </c>
      <c r="F127" s="46">
        <f>19.3173 * CHOOSE(CONTROL!$C$15, $E$9, 100%, $G$9) + CHOOSE(CONTROL!$C$38, 0.0355, 0)</f>
        <v>19.352799999999998</v>
      </c>
      <c r="G127" s="17">
        <f>17.7477 * CHOOSE(CONTROL!$C$15, $E$9, 100%, $G$9) + CHOOSE(CONTROL!$C$38, 0.0356, 0)</f>
        <v>17.783299999999997</v>
      </c>
      <c r="H127" s="17">
        <f>17.7477 * CHOOSE(CONTROL!$C$15, $E$9, 100%, $G$9) + CHOOSE(CONTROL!$C$38, 0.0356, 0)</f>
        <v>17.783299999999997</v>
      </c>
      <c r="I127" s="17">
        <f>17.7493 * CHOOSE(CONTROL!$C$15, $E$9, 100%, $G$9) + CHOOSE(CONTROL!$C$38, 0.0356, 0)</f>
        <v>17.7849</v>
      </c>
      <c r="J127" s="45">
        <f>131.5704</f>
        <v>131.57040000000001</v>
      </c>
    </row>
    <row r="128" spans="1:10" ht="15" x14ac:dyDescent="0.2">
      <c r="A128" s="16">
        <v>44805</v>
      </c>
      <c r="B128" s="17">
        <f>19.7117 * CHOOSE(CONTROL!$C$15, $E$9, 100%, $G$9) + CHOOSE(CONTROL!$C$38, 0.0355, 0)</f>
        <v>19.747199999999999</v>
      </c>
      <c r="C128" s="17">
        <f>18.1407 * CHOOSE(CONTROL!$C$15, $E$9, 100%, $G$9) + CHOOSE(CONTROL!$C$38, 0.0356, 0)</f>
        <v>18.176299999999998</v>
      </c>
      <c r="D128" s="17">
        <f>18.1329 * CHOOSE(CONTROL!$C$15, $E$9, 100%, $G$9) + CHOOSE(CONTROL!$C$38, 0.0356, 0)</f>
        <v>18.168499999999998</v>
      </c>
      <c r="E128" s="17">
        <f>18.1329 * CHOOSE(CONTROL!$C$15, $E$9, 100%, $G$9) + CHOOSE(CONTROL!$C$38, 0.0356, 0)</f>
        <v>18.168499999999998</v>
      </c>
      <c r="F128" s="46">
        <f>19.7117 * CHOOSE(CONTROL!$C$15, $E$9, 100%, $G$9) + CHOOSE(CONTROL!$C$38, 0.0355, 0)</f>
        <v>19.747199999999999</v>
      </c>
      <c r="G128" s="17">
        <f>18.1391 * CHOOSE(CONTROL!$C$15, $E$9, 100%, $G$9) + CHOOSE(CONTROL!$C$38, 0.0356, 0)</f>
        <v>18.174699999999998</v>
      </c>
      <c r="H128" s="17">
        <f>18.1391 * CHOOSE(CONTROL!$C$15, $E$9, 100%, $G$9) + CHOOSE(CONTROL!$C$38, 0.0356, 0)</f>
        <v>18.174699999999998</v>
      </c>
      <c r="I128" s="17">
        <f>18.1407 * CHOOSE(CONTROL!$C$15, $E$9, 100%, $G$9) + CHOOSE(CONTROL!$C$38, 0.0356, 0)</f>
        <v>18.176299999999998</v>
      </c>
      <c r="J128" s="45">
        <f>127.4592</f>
        <v>127.4592</v>
      </c>
    </row>
    <row r="129" spans="1:10" ht="15" x14ac:dyDescent="0.2">
      <c r="A129" s="16">
        <v>44835</v>
      </c>
      <c r="B129" s="17">
        <f>20.0496 * CHOOSE(CONTROL!$C$15, $E$9, 100%, $G$9) + CHOOSE(CONTROL!$C$38, 0.0342, 0)</f>
        <v>20.0838</v>
      </c>
      <c r="C129" s="17">
        <f>18.4757 * CHOOSE(CONTROL!$C$15, $E$9, 100%, $G$9) + CHOOSE(CONTROL!$C$38, 0.0343, 0)</f>
        <v>18.509999999999998</v>
      </c>
      <c r="D129" s="17">
        <f>18.4679 * CHOOSE(CONTROL!$C$15, $E$9, 100%, $G$9) + CHOOSE(CONTROL!$C$38, 0.0343, 0)</f>
        <v>18.502200000000002</v>
      </c>
      <c r="E129" s="17">
        <f>18.4679 * CHOOSE(CONTROL!$C$15, $E$9, 100%, $G$9) + CHOOSE(CONTROL!$C$38, 0.0343, 0)</f>
        <v>18.502200000000002</v>
      </c>
      <c r="F129" s="46">
        <f>20.0496 * CHOOSE(CONTROL!$C$15, $E$9, 100%, $G$9) + CHOOSE(CONTROL!$C$38, 0.0342, 0)</f>
        <v>20.0838</v>
      </c>
      <c r="G129" s="17">
        <f>18.4741 * CHOOSE(CONTROL!$C$15, $E$9, 100%, $G$9) + CHOOSE(CONTROL!$C$38, 0.0343, 0)</f>
        <v>18.508400000000002</v>
      </c>
      <c r="H129" s="17">
        <f>18.4741 * CHOOSE(CONTROL!$C$15, $E$9, 100%, $G$9) + CHOOSE(CONTROL!$C$38, 0.0343, 0)</f>
        <v>18.508400000000002</v>
      </c>
      <c r="I129" s="17">
        <f>18.4757 * CHOOSE(CONTROL!$C$15, $E$9, 100%, $G$9) + CHOOSE(CONTROL!$C$38, 0.0343, 0)</f>
        <v>18.509999999999998</v>
      </c>
      <c r="J129" s="45">
        <f>123.305</f>
        <v>123.30500000000001</v>
      </c>
    </row>
    <row r="130" spans="1:10" ht="15" x14ac:dyDescent="0.2">
      <c r="A130" s="16">
        <v>44866</v>
      </c>
      <c r="B130" s="17">
        <f>20.3393 * CHOOSE(CONTROL!$C$15, $E$9, 100%, $G$9) + CHOOSE(CONTROL!$C$38, 0.0342, 0)</f>
        <v>20.3735</v>
      </c>
      <c r="C130" s="17">
        <f>18.7625 * CHOOSE(CONTROL!$C$15, $E$9, 100%, $G$9) + CHOOSE(CONTROL!$C$38, 0.0343, 0)</f>
        <v>18.796799999999998</v>
      </c>
      <c r="D130" s="17">
        <f>18.7547 * CHOOSE(CONTROL!$C$15, $E$9, 100%, $G$9) + CHOOSE(CONTROL!$C$38, 0.0343, 0)</f>
        <v>18.789000000000001</v>
      </c>
      <c r="E130" s="17">
        <f>18.7547 * CHOOSE(CONTROL!$C$15, $E$9, 100%, $G$9) + CHOOSE(CONTROL!$C$38, 0.0343, 0)</f>
        <v>18.789000000000001</v>
      </c>
      <c r="F130" s="46">
        <f>20.3393 * CHOOSE(CONTROL!$C$15, $E$9, 100%, $G$9) + CHOOSE(CONTROL!$C$38, 0.0342, 0)</f>
        <v>20.3735</v>
      </c>
      <c r="G130" s="17">
        <f>18.7609 * CHOOSE(CONTROL!$C$15, $E$9, 100%, $G$9) + CHOOSE(CONTROL!$C$38, 0.0343, 0)</f>
        <v>18.795200000000001</v>
      </c>
      <c r="H130" s="17">
        <f>18.7609 * CHOOSE(CONTROL!$C$15, $E$9, 100%, $G$9) + CHOOSE(CONTROL!$C$38, 0.0343, 0)</f>
        <v>18.795200000000001</v>
      </c>
      <c r="I130" s="17">
        <f>18.7625 * CHOOSE(CONTROL!$C$15, $E$9, 100%, $G$9) + CHOOSE(CONTROL!$C$38, 0.0343, 0)</f>
        <v>18.796799999999998</v>
      </c>
      <c r="J130" s="45">
        <f>122.6786</f>
        <v>122.6786</v>
      </c>
    </row>
    <row r="131" spans="1:10" ht="15" x14ac:dyDescent="0.2">
      <c r="A131" s="16">
        <v>44896</v>
      </c>
      <c r="B131" s="17">
        <f>21.1508 * CHOOSE(CONTROL!$C$15, $E$9, 100%, $G$9) + CHOOSE(CONTROL!$C$38, 0.0342, 0)</f>
        <v>21.184999999999999</v>
      </c>
      <c r="C131" s="17">
        <f>19.5711 * CHOOSE(CONTROL!$C$15, $E$9, 100%, $G$9) + CHOOSE(CONTROL!$C$38, 0.0343, 0)</f>
        <v>19.605400000000003</v>
      </c>
      <c r="D131" s="17">
        <f>19.5633 * CHOOSE(CONTROL!$C$15, $E$9, 100%, $G$9) + CHOOSE(CONTROL!$C$38, 0.0343, 0)</f>
        <v>19.5976</v>
      </c>
      <c r="E131" s="17">
        <f>19.5633 * CHOOSE(CONTROL!$C$15, $E$9, 100%, $G$9) + CHOOSE(CONTROL!$C$38, 0.0343, 0)</f>
        <v>19.5976</v>
      </c>
      <c r="F131" s="46">
        <f>21.1508 * CHOOSE(CONTROL!$C$15, $E$9, 100%, $G$9) + CHOOSE(CONTROL!$C$38, 0.0342, 0)</f>
        <v>21.184999999999999</v>
      </c>
      <c r="G131" s="17">
        <f>19.5695 * CHOOSE(CONTROL!$C$15, $E$9, 100%, $G$9) + CHOOSE(CONTROL!$C$38, 0.0343, 0)</f>
        <v>19.6038</v>
      </c>
      <c r="H131" s="17">
        <f>19.5695 * CHOOSE(CONTROL!$C$15, $E$9, 100%, $G$9) + CHOOSE(CONTROL!$C$38, 0.0343, 0)</f>
        <v>19.6038</v>
      </c>
      <c r="I131" s="17">
        <f>19.5711 * CHOOSE(CONTROL!$C$15, $E$9, 100%, $G$9) + CHOOSE(CONTROL!$C$38, 0.0343, 0)</f>
        <v>19.605400000000003</v>
      </c>
      <c r="J131" s="45">
        <f>119.2833</f>
        <v>119.2833</v>
      </c>
    </row>
    <row r="132" spans="1:10" ht="15" x14ac:dyDescent="0.2">
      <c r="A132" s="16">
        <v>44927</v>
      </c>
      <c r="B132" s="17">
        <f>22.4095 * CHOOSE(CONTROL!$C$15, $E$9, 100%, $G$9) + CHOOSE(CONTROL!$C$38, 0.0342, 0)</f>
        <v>22.4437</v>
      </c>
      <c r="C132" s="17">
        <f>20.6871 * CHOOSE(CONTROL!$C$15, $E$9, 100%, $G$9) + CHOOSE(CONTROL!$C$38, 0.0343, 0)</f>
        <v>20.721400000000003</v>
      </c>
      <c r="D132" s="17">
        <f>20.6793 * CHOOSE(CONTROL!$C$15, $E$9, 100%, $G$9) + CHOOSE(CONTROL!$C$38, 0.0343, 0)</f>
        <v>20.7136</v>
      </c>
      <c r="E132" s="17">
        <f>20.6793 * CHOOSE(CONTROL!$C$15, $E$9, 100%, $G$9) + CHOOSE(CONTROL!$C$38, 0.0343, 0)</f>
        <v>20.7136</v>
      </c>
      <c r="F132" s="46">
        <f>22.4095 * CHOOSE(CONTROL!$C$15, $E$9, 100%, $G$9) + CHOOSE(CONTROL!$C$38, 0.0342, 0)</f>
        <v>22.4437</v>
      </c>
      <c r="G132" s="17">
        <f>20.6856 * CHOOSE(CONTROL!$C$15, $E$9, 100%, $G$9) + CHOOSE(CONTROL!$C$38, 0.0343, 0)</f>
        <v>20.719900000000003</v>
      </c>
      <c r="H132" s="17">
        <f>20.6856 * CHOOSE(CONTROL!$C$15, $E$9, 100%, $G$9) + CHOOSE(CONTROL!$C$38, 0.0343, 0)</f>
        <v>20.719900000000003</v>
      </c>
      <c r="I132" s="17">
        <f>20.6871 * CHOOSE(CONTROL!$C$15, $E$9, 100%, $G$9) + CHOOSE(CONTROL!$C$38, 0.0343, 0)</f>
        <v>20.721400000000003</v>
      </c>
      <c r="J132" s="45">
        <f>119.63</f>
        <v>119.63</v>
      </c>
    </row>
    <row r="133" spans="1:10" ht="15" x14ac:dyDescent="0.2">
      <c r="A133" s="16">
        <v>44958</v>
      </c>
      <c r="B133" s="17">
        <f>22.741 * CHOOSE(CONTROL!$C$15, $E$9, 100%, $G$9) + CHOOSE(CONTROL!$C$38, 0.0342, 0)</f>
        <v>22.775199999999998</v>
      </c>
      <c r="C133" s="17">
        <f>21.0155 * CHOOSE(CONTROL!$C$15, $E$9, 100%, $G$9) + CHOOSE(CONTROL!$C$38, 0.0343, 0)</f>
        <v>21.049799999999998</v>
      </c>
      <c r="D133" s="17">
        <f>21.0077 * CHOOSE(CONTROL!$C$15, $E$9, 100%, $G$9) + CHOOSE(CONTROL!$C$38, 0.0343, 0)</f>
        <v>21.042000000000002</v>
      </c>
      <c r="E133" s="17">
        <f>21.0077 * CHOOSE(CONTROL!$C$15, $E$9, 100%, $G$9) + CHOOSE(CONTROL!$C$38, 0.0343, 0)</f>
        <v>21.042000000000002</v>
      </c>
      <c r="F133" s="46">
        <f>22.741 * CHOOSE(CONTROL!$C$15, $E$9, 100%, $G$9) + CHOOSE(CONTROL!$C$38, 0.0342, 0)</f>
        <v>22.775199999999998</v>
      </c>
      <c r="G133" s="17">
        <f>21.0139 * CHOOSE(CONTROL!$C$15, $E$9, 100%, $G$9) + CHOOSE(CONTROL!$C$38, 0.0343, 0)</f>
        <v>21.048200000000001</v>
      </c>
      <c r="H133" s="17">
        <f>21.0139 * CHOOSE(CONTROL!$C$15, $E$9, 100%, $G$9) + CHOOSE(CONTROL!$C$38, 0.0343, 0)</f>
        <v>21.048200000000001</v>
      </c>
      <c r="I133" s="17">
        <f>21.0155 * CHOOSE(CONTROL!$C$15, $E$9, 100%, $G$9) + CHOOSE(CONTROL!$C$38, 0.0343, 0)</f>
        <v>21.049799999999998</v>
      </c>
      <c r="J133" s="45">
        <f>119.5432</f>
        <v>119.5432</v>
      </c>
    </row>
    <row r="134" spans="1:10" ht="15" x14ac:dyDescent="0.2">
      <c r="A134" s="16">
        <v>44986</v>
      </c>
      <c r="B134" s="17">
        <f>22.1216 * CHOOSE(CONTROL!$C$15, $E$9, 100%, $G$9) + CHOOSE(CONTROL!$C$38, 0.0342, 0)</f>
        <v>22.155799999999999</v>
      </c>
      <c r="C134" s="17">
        <f>20.3928 * CHOOSE(CONTROL!$C$15, $E$9, 100%, $G$9) + CHOOSE(CONTROL!$C$38, 0.0343, 0)</f>
        <v>20.427100000000003</v>
      </c>
      <c r="D134" s="17">
        <f>20.385 * CHOOSE(CONTROL!$C$15, $E$9, 100%, $G$9) + CHOOSE(CONTROL!$C$38, 0.0343, 0)</f>
        <v>20.4193</v>
      </c>
      <c r="E134" s="17">
        <f>20.385 * CHOOSE(CONTROL!$C$15, $E$9, 100%, $G$9) + CHOOSE(CONTROL!$C$38, 0.0343, 0)</f>
        <v>20.4193</v>
      </c>
      <c r="F134" s="46">
        <f>22.1216 * CHOOSE(CONTROL!$C$15, $E$9, 100%, $G$9) + CHOOSE(CONTROL!$C$38, 0.0342, 0)</f>
        <v>22.155799999999999</v>
      </c>
      <c r="G134" s="17">
        <f>20.3913 * CHOOSE(CONTROL!$C$15, $E$9, 100%, $G$9) + CHOOSE(CONTROL!$C$38, 0.0343, 0)</f>
        <v>20.425600000000003</v>
      </c>
      <c r="H134" s="17">
        <f>20.3913 * CHOOSE(CONTROL!$C$15, $E$9, 100%, $G$9) + CHOOSE(CONTROL!$C$38, 0.0343, 0)</f>
        <v>20.425600000000003</v>
      </c>
      <c r="I134" s="17">
        <f>20.3928 * CHOOSE(CONTROL!$C$15, $E$9, 100%, $G$9) + CHOOSE(CONTROL!$C$38, 0.0343, 0)</f>
        <v>20.427100000000003</v>
      </c>
      <c r="J134" s="45">
        <f>126.1031</f>
        <v>126.1031</v>
      </c>
    </row>
    <row r="135" spans="1:10" ht="15" x14ac:dyDescent="0.2">
      <c r="A135" s="16">
        <v>45017</v>
      </c>
      <c r="B135" s="17">
        <f>21.5202 * CHOOSE(CONTROL!$C$15, $E$9, 100%, $G$9) + CHOOSE(CONTROL!$C$38, 0.0342, 0)</f>
        <v>21.554399999999998</v>
      </c>
      <c r="C135" s="17">
        <f>19.7882 * CHOOSE(CONTROL!$C$15, $E$9, 100%, $G$9) + CHOOSE(CONTROL!$C$38, 0.0343, 0)</f>
        <v>19.822499999999998</v>
      </c>
      <c r="D135" s="17">
        <f>19.7803 * CHOOSE(CONTROL!$C$15, $E$9, 100%, $G$9) + CHOOSE(CONTROL!$C$38, 0.0343, 0)</f>
        <v>19.814599999999999</v>
      </c>
      <c r="E135" s="17">
        <f>19.7803 * CHOOSE(CONTROL!$C$15, $E$9, 100%, $G$9) + CHOOSE(CONTROL!$C$38, 0.0343, 0)</f>
        <v>19.814599999999999</v>
      </c>
      <c r="F135" s="46">
        <f>21.5202 * CHOOSE(CONTROL!$C$15, $E$9, 100%, $G$9) + CHOOSE(CONTROL!$C$38, 0.0342, 0)</f>
        <v>21.554399999999998</v>
      </c>
      <c r="G135" s="17">
        <f>19.7866 * CHOOSE(CONTROL!$C$15, $E$9, 100%, $G$9) + CHOOSE(CONTROL!$C$38, 0.0343, 0)</f>
        <v>19.820900000000002</v>
      </c>
      <c r="H135" s="17">
        <f>19.7866 * CHOOSE(CONTROL!$C$15, $E$9, 100%, $G$9) + CHOOSE(CONTROL!$C$38, 0.0343, 0)</f>
        <v>19.820900000000002</v>
      </c>
      <c r="I135" s="17">
        <f>19.7882 * CHOOSE(CONTROL!$C$15, $E$9, 100%, $G$9) + CHOOSE(CONTROL!$C$38, 0.0343, 0)</f>
        <v>19.822499999999998</v>
      </c>
      <c r="J135" s="45">
        <f>134.5669</f>
        <v>134.5669</v>
      </c>
    </row>
    <row r="136" spans="1:10" ht="15" x14ac:dyDescent="0.2">
      <c r="A136" s="16">
        <v>45047</v>
      </c>
      <c r="B136" s="17">
        <f>20.8888 * CHOOSE(CONTROL!$C$15, $E$9, 100%, $G$9) + CHOOSE(CONTROL!$C$38, 0.0355, 0)</f>
        <v>20.924299999999999</v>
      </c>
      <c r="C136" s="17">
        <f>19.1536 * CHOOSE(CONTROL!$C$15, $E$9, 100%, $G$9) + CHOOSE(CONTROL!$C$38, 0.0356, 0)</f>
        <v>19.1892</v>
      </c>
      <c r="D136" s="17">
        <f>19.1457 * CHOOSE(CONTROL!$C$15, $E$9, 100%, $G$9) + CHOOSE(CONTROL!$C$38, 0.0356, 0)</f>
        <v>19.1813</v>
      </c>
      <c r="E136" s="17">
        <f>19.1457 * CHOOSE(CONTROL!$C$15, $E$9, 100%, $G$9) + CHOOSE(CONTROL!$C$38, 0.0356, 0)</f>
        <v>19.1813</v>
      </c>
      <c r="F136" s="46">
        <f>20.8888 * CHOOSE(CONTROL!$C$15, $E$9, 100%, $G$9) + CHOOSE(CONTROL!$C$38, 0.0355, 0)</f>
        <v>20.924299999999999</v>
      </c>
      <c r="G136" s="17">
        <f>19.152 * CHOOSE(CONTROL!$C$15, $E$9, 100%, $G$9) + CHOOSE(CONTROL!$C$38, 0.0356, 0)</f>
        <v>19.1876</v>
      </c>
      <c r="H136" s="17">
        <f>19.152 * CHOOSE(CONTROL!$C$15, $E$9, 100%, $G$9) + CHOOSE(CONTROL!$C$38, 0.0356, 0)</f>
        <v>19.1876</v>
      </c>
      <c r="I136" s="17">
        <f>19.1536 * CHOOSE(CONTROL!$C$15, $E$9, 100%, $G$9) + CHOOSE(CONTROL!$C$38, 0.0356, 0)</f>
        <v>19.1892</v>
      </c>
      <c r="J136" s="45">
        <f>139.3692</f>
        <v>139.36920000000001</v>
      </c>
    </row>
    <row r="137" spans="1:10" ht="15" x14ac:dyDescent="0.2">
      <c r="A137" s="16">
        <v>45078</v>
      </c>
      <c r="B137" s="17">
        <f>20.4568 * CHOOSE(CONTROL!$C$15, $E$9, 100%, $G$9) + CHOOSE(CONTROL!$C$38, 0.0355, 0)</f>
        <v>20.4923</v>
      </c>
      <c r="C137" s="17">
        <f>18.7183 * CHOOSE(CONTROL!$C$15, $E$9, 100%, $G$9) + CHOOSE(CONTROL!$C$38, 0.0356, 0)</f>
        <v>18.753899999999998</v>
      </c>
      <c r="D137" s="17">
        <f>18.7105 * CHOOSE(CONTROL!$C$15, $E$9, 100%, $G$9) + CHOOSE(CONTROL!$C$38, 0.0356, 0)</f>
        <v>18.746099999999998</v>
      </c>
      <c r="E137" s="17">
        <f>18.7105 * CHOOSE(CONTROL!$C$15, $E$9, 100%, $G$9) + CHOOSE(CONTROL!$C$38, 0.0356, 0)</f>
        <v>18.746099999999998</v>
      </c>
      <c r="F137" s="46">
        <f>20.4568 * CHOOSE(CONTROL!$C$15, $E$9, 100%, $G$9) + CHOOSE(CONTROL!$C$38, 0.0355, 0)</f>
        <v>20.4923</v>
      </c>
      <c r="G137" s="17">
        <f>18.7167 * CHOOSE(CONTROL!$C$15, $E$9, 100%, $G$9) + CHOOSE(CONTROL!$C$38, 0.0356, 0)</f>
        <v>18.752299999999998</v>
      </c>
      <c r="H137" s="17">
        <f>18.7167 * CHOOSE(CONTROL!$C$15, $E$9, 100%, $G$9) + CHOOSE(CONTROL!$C$38, 0.0356, 0)</f>
        <v>18.752299999999998</v>
      </c>
      <c r="I137" s="17">
        <f>18.7183 * CHOOSE(CONTROL!$C$15, $E$9, 100%, $G$9) + CHOOSE(CONTROL!$C$38, 0.0356, 0)</f>
        <v>18.753899999999998</v>
      </c>
      <c r="J137" s="45">
        <f>141.6686</f>
        <v>141.6686</v>
      </c>
    </row>
    <row r="138" spans="1:10" ht="15" x14ac:dyDescent="0.2">
      <c r="A138" s="16">
        <v>45108</v>
      </c>
      <c r="B138" s="17">
        <f>20.2267 * CHOOSE(CONTROL!$C$15, $E$9, 100%, $G$9) + CHOOSE(CONTROL!$C$38, 0.0355, 0)</f>
        <v>20.2622</v>
      </c>
      <c r="C138" s="17">
        <f>18.485 * CHOOSE(CONTROL!$C$15, $E$9, 100%, $G$9) + CHOOSE(CONTROL!$C$38, 0.0356, 0)</f>
        <v>18.520599999999998</v>
      </c>
      <c r="D138" s="17">
        <f>18.4771 * CHOOSE(CONTROL!$C$15, $E$9, 100%, $G$9) + CHOOSE(CONTROL!$C$38, 0.0356, 0)</f>
        <v>18.512699999999999</v>
      </c>
      <c r="E138" s="17">
        <f>18.4771 * CHOOSE(CONTROL!$C$15, $E$9, 100%, $G$9) + CHOOSE(CONTROL!$C$38, 0.0356, 0)</f>
        <v>18.512699999999999</v>
      </c>
      <c r="F138" s="46">
        <f>20.2267 * CHOOSE(CONTROL!$C$15, $E$9, 100%, $G$9) + CHOOSE(CONTROL!$C$38, 0.0355, 0)</f>
        <v>20.2622</v>
      </c>
      <c r="G138" s="17">
        <f>18.4834 * CHOOSE(CONTROL!$C$15, $E$9, 100%, $G$9) + CHOOSE(CONTROL!$C$38, 0.0356, 0)</f>
        <v>18.518999999999998</v>
      </c>
      <c r="H138" s="17">
        <f>18.4834 * CHOOSE(CONTROL!$C$15, $E$9, 100%, $G$9) + CHOOSE(CONTROL!$C$38, 0.0356, 0)</f>
        <v>18.518999999999998</v>
      </c>
      <c r="I138" s="17">
        <f>18.485 * CHOOSE(CONTROL!$C$15, $E$9, 100%, $G$9) + CHOOSE(CONTROL!$C$38, 0.0356, 0)</f>
        <v>18.520599999999998</v>
      </c>
      <c r="J138" s="45">
        <f>141.2965</f>
        <v>141.29650000000001</v>
      </c>
    </row>
    <row r="139" spans="1:10" ht="15" x14ac:dyDescent="0.2">
      <c r="A139" s="16">
        <v>45139</v>
      </c>
      <c r="B139" s="17">
        <f>20.4011 * CHOOSE(CONTROL!$C$15, $E$9, 100%, $G$9) + CHOOSE(CONTROL!$C$38, 0.0355, 0)</f>
        <v>20.436599999999999</v>
      </c>
      <c r="C139" s="17">
        <f>18.7809 * CHOOSE(CONTROL!$C$15, $E$9, 100%, $G$9) + CHOOSE(CONTROL!$C$38, 0.0356, 0)</f>
        <v>18.816499999999998</v>
      </c>
      <c r="D139" s="17">
        <f>18.7731 * CHOOSE(CONTROL!$C$15, $E$9, 100%, $G$9) + CHOOSE(CONTROL!$C$38, 0.0356, 0)</f>
        <v>18.808699999999998</v>
      </c>
      <c r="E139" s="17">
        <f>18.7731 * CHOOSE(CONTROL!$C$15, $E$9, 100%, $G$9) + CHOOSE(CONTROL!$C$38, 0.0356, 0)</f>
        <v>18.808699999999998</v>
      </c>
      <c r="F139" s="46">
        <f>20.4011 * CHOOSE(CONTROL!$C$15, $E$9, 100%, $G$9) + CHOOSE(CONTROL!$C$38, 0.0355, 0)</f>
        <v>20.436599999999999</v>
      </c>
      <c r="G139" s="17">
        <f>18.7793 * CHOOSE(CONTROL!$C$15, $E$9, 100%, $G$9) + CHOOSE(CONTROL!$C$38, 0.0356, 0)</f>
        <v>18.814899999999998</v>
      </c>
      <c r="H139" s="17">
        <f>18.7793 * CHOOSE(CONTROL!$C$15, $E$9, 100%, $G$9) + CHOOSE(CONTROL!$C$38, 0.0356, 0)</f>
        <v>18.814899999999998</v>
      </c>
      <c r="I139" s="17">
        <f>18.7809 * CHOOSE(CONTROL!$C$15, $E$9, 100%, $G$9) + CHOOSE(CONTROL!$C$38, 0.0356, 0)</f>
        <v>18.816499999999998</v>
      </c>
      <c r="J139" s="45">
        <f>138.2914</f>
        <v>138.29140000000001</v>
      </c>
    </row>
    <row r="140" spans="1:10" ht="15" x14ac:dyDescent="0.2">
      <c r="A140" s="16">
        <v>45170</v>
      </c>
      <c r="B140" s="17">
        <f>20.8065 * CHOOSE(CONTROL!$C$15, $E$9, 100%, $G$9) + CHOOSE(CONTROL!$C$38, 0.0355, 0)</f>
        <v>20.841999999999999</v>
      </c>
      <c r="C140" s="17">
        <f>19.0582 * CHOOSE(CONTROL!$C$15, $E$9, 100%, $G$9) + CHOOSE(CONTROL!$C$38, 0.0356, 0)</f>
        <v>19.093799999999998</v>
      </c>
      <c r="D140" s="17">
        <f>19.0504 * CHOOSE(CONTROL!$C$15, $E$9, 100%, $G$9) + CHOOSE(CONTROL!$C$38, 0.0356, 0)</f>
        <v>19.085999999999999</v>
      </c>
      <c r="E140" s="17">
        <f>19.0504 * CHOOSE(CONTROL!$C$15, $E$9, 100%, $G$9) + CHOOSE(CONTROL!$C$38, 0.0356, 0)</f>
        <v>19.085999999999999</v>
      </c>
      <c r="F140" s="46">
        <f>20.8065 * CHOOSE(CONTROL!$C$15, $E$9, 100%, $G$9) + CHOOSE(CONTROL!$C$38, 0.0355, 0)</f>
        <v>20.841999999999999</v>
      </c>
      <c r="G140" s="17">
        <f>19.0567 * CHOOSE(CONTROL!$C$15, $E$9, 100%, $G$9) + CHOOSE(CONTROL!$C$38, 0.0356, 0)</f>
        <v>19.092299999999998</v>
      </c>
      <c r="H140" s="17">
        <f>19.0567 * CHOOSE(CONTROL!$C$15, $E$9, 100%, $G$9) + CHOOSE(CONTROL!$C$38, 0.0356, 0)</f>
        <v>19.092299999999998</v>
      </c>
      <c r="I140" s="17">
        <f>19.0582 * CHOOSE(CONTROL!$C$15, $E$9, 100%, $G$9) + CHOOSE(CONTROL!$C$38, 0.0356, 0)</f>
        <v>19.093799999999998</v>
      </c>
      <c r="J140" s="45">
        <f>133.9703</f>
        <v>133.97030000000001</v>
      </c>
    </row>
    <row r="141" spans="1:10" ht="15" x14ac:dyDescent="0.2">
      <c r="A141" s="16">
        <v>45200</v>
      </c>
      <c r="B141" s="17">
        <f>21.1542 * CHOOSE(CONTROL!$C$15, $E$9, 100%, $G$9) + CHOOSE(CONTROL!$C$38, 0.0342, 0)</f>
        <v>21.188399999999998</v>
      </c>
      <c r="C141" s="17">
        <f>19.4026 * CHOOSE(CONTROL!$C$15, $E$9, 100%, $G$9) + CHOOSE(CONTROL!$C$38, 0.0343, 0)</f>
        <v>19.436900000000001</v>
      </c>
      <c r="D141" s="17">
        <f>19.3948 * CHOOSE(CONTROL!$C$15, $E$9, 100%, $G$9) + CHOOSE(CONTROL!$C$38, 0.0343, 0)</f>
        <v>19.429099999999998</v>
      </c>
      <c r="E141" s="17">
        <f>19.3948 * CHOOSE(CONTROL!$C$15, $E$9, 100%, $G$9) + CHOOSE(CONTROL!$C$38, 0.0343, 0)</f>
        <v>19.429099999999998</v>
      </c>
      <c r="F141" s="46">
        <f>21.1542 * CHOOSE(CONTROL!$C$15, $E$9, 100%, $G$9) + CHOOSE(CONTROL!$C$38, 0.0342, 0)</f>
        <v>21.188399999999998</v>
      </c>
      <c r="G141" s="17">
        <f>19.401 * CHOOSE(CONTROL!$C$15, $E$9, 100%, $G$9) + CHOOSE(CONTROL!$C$38, 0.0343, 0)</f>
        <v>19.435299999999998</v>
      </c>
      <c r="H141" s="17">
        <f>19.401 * CHOOSE(CONTROL!$C$15, $E$9, 100%, $G$9) + CHOOSE(CONTROL!$C$38, 0.0343, 0)</f>
        <v>19.435299999999998</v>
      </c>
      <c r="I141" s="17">
        <f>19.4026 * CHOOSE(CONTROL!$C$15, $E$9, 100%, $G$9) + CHOOSE(CONTROL!$C$38, 0.0343, 0)</f>
        <v>19.436900000000001</v>
      </c>
      <c r="J141" s="45">
        <f>129.6038</f>
        <v>129.60380000000001</v>
      </c>
    </row>
    <row r="142" spans="1:10" ht="15" x14ac:dyDescent="0.2">
      <c r="A142" s="16">
        <v>45231</v>
      </c>
      <c r="B142" s="17">
        <f>21.4524 * CHOOSE(CONTROL!$C$15, $E$9, 100%, $G$9) + CHOOSE(CONTROL!$C$38, 0.0342, 0)</f>
        <v>21.486599999999999</v>
      </c>
      <c r="C142" s="17">
        <f>19.6975 * CHOOSE(CONTROL!$C$15, $E$9, 100%, $G$9) + CHOOSE(CONTROL!$C$38, 0.0343, 0)</f>
        <v>19.7318</v>
      </c>
      <c r="D142" s="17">
        <f>19.6897 * CHOOSE(CONTROL!$C$15, $E$9, 100%, $G$9) + CHOOSE(CONTROL!$C$38, 0.0343, 0)</f>
        <v>19.723999999999997</v>
      </c>
      <c r="E142" s="17">
        <f>19.6897 * CHOOSE(CONTROL!$C$15, $E$9, 100%, $G$9) + CHOOSE(CONTROL!$C$38, 0.0343, 0)</f>
        <v>19.723999999999997</v>
      </c>
      <c r="F142" s="46">
        <f>21.4524 * CHOOSE(CONTROL!$C$15, $E$9, 100%, $G$9) + CHOOSE(CONTROL!$C$38, 0.0342, 0)</f>
        <v>21.486599999999999</v>
      </c>
      <c r="G142" s="17">
        <f>19.696 * CHOOSE(CONTROL!$C$15, $E$9, 100%, $G$9) + CHOOSE(CONTROL!$C$38, 0.0343, 0)</f>
        <v>19.7303</v>
      </c>
      <c r="H142" s="17">
        <f>19.696 * CHOOSE(CONTROL!$C$15, $E$9, 100%, $G$9) + CHOOSE(CONTROL!$C$38, 0.0343, 0)</f>
        <v>19.7303</v>
      </c>
      <c r="I142" s="17">
        <f>19.6975 * CHOOSE(CONTROL!$C$15, $E$9, 100%, $G$9) + CHOOSE(CONTROL!$C$38, 0.0343, 0)</f>
        <v>19.7318</v>
      </c>
      <c r="J142" s="45">
        <f>128.9454</f>
        <v>128.94540000000001</v>
      </c>
    </row>
    <row r="143" spans="1:10" ht="15" x14ac:dyDescent="0.2">
      <c r="A143" s="16">
        <v>45261</v>
      </c>
      <c r="B143" s="17">
        <f>22.2855 * CHOOSE(CONTROL!$C$15, $E$9, 100%, $G$9) + CHOOSE(CONTROL!$C$38, 0.0342, 0)</f>
        <v>22.319699999999997</v>
      </c>
      <c r="C143" s="17">
        <f>20.5273 * CHOOSE(CONTROL!$C$15, $E$9, 100%, $G$9) + CHOOSE(CONTROL!$C$38, 0.0343, 0)</f>
        <v>20.561599999999999</v>
      </c>
      <c r="D143" s="17">
        <f>20.5195 * CHOOSE(CONTROL!$C$15, $E$9, 100%, $G$9) + CHOOSE(CONTROL!$C$38, 0.0343, 0)</f>
        <v>20.553800000000003</v>
      </c>
      <c r="E143" s="17">
        <f>20.5195 * CHOOSE(CONTROL!$C$15, $E$9, 100%, $G$9) + CHOOSE(CONTROL!$C$38, 0.0343, 0)</f>
        <v>20.553800000000003</v>
      </c>
      <c r="F143" s="46">
        <f>22.2855 * CHOOSE(CONTROL!$C$15, $E$9, 100%, $G$9) + CHOOSE(CONTROL!$C$38, 0.0342, 0)</f>
        <v>22.319699999999997</v>
      </c>
      <c r="G143" s="17">
        <f>20.5258 * CHOOSE(CONTROL!$C$15, $E$9, 100%, $G$9) + CHOOSE(CONTROL!$C$38, 0.0343, 0)</f>
        <v>20.560099999999998</v>
      </c>
      <c r="H143" s="17">
        <f>20.5258 * CHOOSE(CONTROL!$C$15, $E$9, 100%, $G$9) + CHOOSE(CONTROL!$C$38, 0.0343, 0)</f>
        <v>20.560099999999998</v>
      </c>
      <c r="I143" s="17">
        <f>20.5273 * CHOOSE(CONTROL!$C$15, $E$9, 100%, $G$9) + CHOOSE(CONTROL!$C$38, 0.0343, 0)</f>
        <v>20.561599999999999</v>
      </c>
      <c r="J143" s="45">
        <f>125.3767</f>
        <v>125.3767</v>
      </c>
    </row>
    <row r="144" spans="1:10" ht="15" x14ac:dyDescent="0.2">
      <c r="A144" s="16">
        <v>45292</v>
      </c>
      <c r="B144" s="17">
        <f>23.5709 * CHOOSE(CONTROL!$C$15, $E$9, 100%, $G$9) + CHOOSE(CONTROL!$C$38, 0.0342, 0)</f>
        <v>23.6051</v>
      </c>
      <c r="C144" s="17">
        <f>21.6474 * CHOOSE(CONTROL!$C$15, $E$9, 100%, $G$9) + CHOOSE(CONTROL!$C$38, 0.0343, 0)</f>
        <v>21.681699999999999</v>
      </c>
      <c r="D144" s="17">
        <f>21.6395 * CHOOSE(CONTROL!$C$15, $E$9, 100%, $G$9) + CHOOSE(CONTROL!$C$38, 0.0343, 0)</f>
        <v>21.6738</v>
      </c>
      <c r="E144" s="17">
        <f>21.6395 * CHOOSE(CONTROL!$C$15, $E$9, 100%, $G$9) + CHOOSE(CONTROL!$C$38, 0.0343, 0)</f>
        <v>21.6738</v>
      </c>
      <c r="F144" s="46">
        <f>23.5709 * CHOOSE(CONTROL!$C$15, $E$9, 100%, $G$9) + CHOOSE(CONTROL!$C$38, 0.0342, 0)</f>
        <v>23.6051</v>
      </c>
      <c r="G144" s="17">
        <f>21.6458 * CHOOSE(CONTROL!$C$15, $E$9, 100%, $G$9) + CHOOSE(CONTROL!$C$38, 0.0343, 0)</f>
        <v>21.680100000000003</v>
      </c>
      <c r="H144" s="17">
        <f>21.6458 * CHOOSE(CONTROL!$C$15, $E$9, 100%, $G$9) + CHOOSE(CONTROL!$C$38, 0.0343, 0)</f>
        <v>21.680100000000003</v>
      </c>
      <c r="I144" s="17">
        <f>21.6474 * CHOOSE(CONTROL!$C$15, $E$9, 100%, $G$9) + CHOOSE(CONTROL!$C$38, 0.0343, 0)</f>
        <v>21.681699999999999</v>
      </c>
      <c r="J144" s="45">
        <f>125.7248</f>
        <v>125.7248</v>
      </c>
    </row>
    <row r="145" spans="1:10" ht="15" x14ac:dyDescent="0.2">
      <c r="A145" s="16">
        <v>45323</v>
      </c>
      <c r="B145" s="17">
        <f>23.9121 * CHOOSE(CONTROL!$C$15, $E$9, 100%, $G$9) + CHOOSE(CONTROL!$C$38, 0.0342, 0)</f>
        <v>23.946299999999997</v>
      </c>
      <c r="C145" s="17">
        <f>21.9849 * CHOOSE(CONTROL!$C$15, $E$9, 100%, $G$9) + CHOOSE(CONTROL!$C$38, 0.0343, 0)</f>
        <v>22.019199999999998</v>
      </c>
      <c r="D145" s="17">
        <f>21.977 * CHOOSE(CONTROL!$C$15, $E$9, 100%, $G$9) + CHOOSE(CONTROL!$C$38, 0.0343, 0)</f>
        <v>22.011299999999999</v>
      </c>
      <c r="E145" s="17">
        <f>21.977 * CHOOSE(CONTROL!$C$15, $E$9, 100%, $G$9) + CHOOSE(CONTROL!$C$38, 0.0343, 0)</f>
        <v>22.011299999999999</v>
      </c>
      <c r="F145" s="46">
        <f>23.9121 * CHOOSE(CONTROL!$C$15, $E$9, 100%, $G$9) + CHOOSE(CONTROL!$C$38, 0.0342, 0)</f>
        <v>23.946299999999997</v>
      </c>
      <c r="G145" s="17">
        <f>21.9833 * CHOOSE(CONTROL!$C$15, $E$9, 100%, $G$9) + CHOOSE(CONTROL!$C$38, 0.0343, 0)</f>
        <v>22.017600000000002</v>
      </c>
      <c r="H145" s="17">
        <f>21.9833 * CHOOSE(CONTROL!$C$15, $E$9, 100%, $G$9) + CHOOSE(CONTROL!$C$38, 0.0343, 0)</f>
        <v>22.017600000000002</v>
      </c>
      <c r="I145" s="17">
        <f>21.9849 * CHOOSE(CONTROL!$C$15, $E$9, 100%, $G$9) + CHOOSE(CONTROL!$C$38, 0.0343, 0)</f>
        <v>22.019199999999998</v>
      </c>
      <c r="J145" s="45">
        <f>125.6336</f>
        <v>125.6336</v>
      </c>
    </row>
    <row r="146" spans="1:10" ht="15" x14ac:dyDescent="0.2">
      <c r="A146" s="16">
        <v>45352</v>
      </c>
      <c r="B146" s="17">
        <f>23.2784 * CHOOSE(CONTROL!$C$15, $E$9, 100%, $G$9) + CHOOSE(CONTROL!$C$38, 0.0342, 0)</f>
        <v>23.3126</v>
      </c>
      <c r="C146" s="17">
        <f>21.3475 * CHOOSE(CONTROL!$C$15, $E$9, 100%, $G$9) + CHOOSE(CONTROL!$C$38, 0.0343, 0)</f>
        <v>21.381799999999998</v>
      </c>
      <c r="D146" s="17">
        <f>21.3397 * CHOOSE(CONTROL!$C$15, $E$9, 100%, $G$9) + CHOOSE(CONTROL!$C$38, 0.0343, 0)</f>
        <v>21.374000000000002</v>
      </c>
      <c r="E146" s="17">
        <f>21.3397 * CHOOSE(CONTROL!$C$15, $E$9, 100%, $G$9) + CHOOSE(CONTROL!$C$38, 0.0343, 0)</f>
        <v>21.374000000000002</v>
      </c>
      <c r="F146" s="46">
        <f>23.2784 * CHOOSE(CONTROL!$C$15, $E$9, 100%, $G$9) + CHOOSE(CONTROL!$C$38, 0.0342, 0)</f>
        <v>23.3126</v>
      </c>
      <c r="G146" s="17">
        <f>21.346 * CHOOSE(CONTROL!$C$15, $E$9, 100%, $G$9) + CHOOSE(CONTROL!$C$38, 0.0343, 0)</f>
        <v>21.380299999999998</v>
      </c>
      <c r="H146" s="17">
        <f>21.346 * CHOOSE(CONTROL!$C$15, $E$9, 100%, $G$9) + CHOOSE(CONTROL!$C$38, 0.0343, 0)</f>
        <v>21.380299999999998</v>
      </c>
      <c r="I146" s="17">
        <f>21.3475 * CHOOSE(CONTROL!$C$15, $E$9, 100%, $G$9) + CHOOSE(CONTROL!$C$38, 0.0343, 0)</f>
        <v>21.381799999999998</v>
      </c>
      <c r="J146" s="45">
        <f>132.5276</f>
        <v>132.52760000000001</v>
      </c>
    </row>
    <row r="147" spans="1:10" ht="15" x14ac:dyDescent="0.2">
      <c r="A147" s="16">
        <v>45383</v>
      </c>
      <c r="B147" s="17">
        <f>22.6632 * CHOOSE(CONTROL!$C$15, $E$9, 100%, $G$9) + CHOOSE(CONTROL!$C$38, 0.0342, 0)</f>
        <v>22.697399999999998</v>
      </c>
      <c r="C147" s="17">
        <f>20.7287 * CHOOSE(CONTROL!$C$15, $E$9, 100%, $G$9) + CHOOSE(CONTROL!$C$38, 0.0343, 0)</f>
        <v>20.762999999999998</v>
      </c>
      <c r="D147" s="17">
        <f>20.7209 * CHOOSE(CONTROL!$C$15, $E$9, 100%, $G$9) + CHOOSE(CONTROL!$C$38, 0.0343, 0)</f>
        <v>20.755200000000002</v>
      </c>
      <c r="E147" s="17">
        <f>20.7209 * CHOOSE(CONTROL!$C$15, $E$9, 100%, $G$9) + CHOOSE(CONTROL!$C$38, 0.0343, 0)</f>
        <v>20.755200000000002</v>
      </c>
      <c r="F147" s="46">
        <f>22.6632 * CHOOSE(CONTROL!$C$15, $E$9, 100%, $G$9) + CHOOSE(CONTROL!$C$38, 0.0342, 0)</f>
        <v>22.697399999999998</v>
      </c>
      <c r="G147" s="17">
        <f>20.7271 * CHOOSE(CONTROL!$C$15, $E$9, 100%, $G$9) + CHOOSE(CONTROL!$C$38, 0.0343, 0)</f>
        <v>20.761400000000002</v>
      </c>
      <c r="H147" s="17">
        <f>20.7271 * CHOOSE(CONTROL!$C$15, $E$9, 100%, $G$9) + CHOOSE(CONTROL!$C$38, 0.0343, 0)</f>
        <v>20.761400000000002</v>
      </c>
      <c r="I147" s="17">
        <f>20.7287 * CHOOSE(CONTROL!$C$15, $E$9, 100%, $G$9) + CHOOSE(CONTROL!$C$38, 0.0343, 0)</f>
        <v>20.762999999999998</v>
      </c>
      <c r="J147" s="45">
        <f>141.4227</f>
        <v>141.42269999999999</v>
      </c>
    </row>
    <row r="148" spans="1:10" ht="15" x14ac:dyDescent="0.2">
      <c r="A148" s="16">
        <v>45413</v>
      </c>
      <c r="B148" s="17">
        <f>22.0174 * CHOOSE(CONTROL!$C$15, $E$9, 100%, $G$9) + CHOOSE(CONTROL!$C$38, 0.0355, 0)</f>
        <v>22.052899999999998</v>
      </c>
      <c r="C148" s="17">
        <f>20.0792 * CHOOSE(CONTROL!$C$15, $E$9, 100%, $G$9) + CHOOSE(CONTROL!$C$38, 0.0356, 0)</f>
        <v>20.114799999999999</v>
      </c>
      <c r="D148" s="17">
        <f>20.0714 * CHOOSE(CONTROL!$C$15, $E$9, 100%, $G$9) + CHOOSE(CONTROL!$C$38, 0.0356, 0)</f>
        <v>20.106999999999999</v>
      </c>
      <c r="E148" s="17">
        <f>20.0714 * CHOOSE(CONTROL!$C$15, $E$9, 100%, $G$9) + CHOOSE(CONTROL!$C$38, 0.0356, 0)</f>
        <v>20.106999999999999</v>
      </c>
      <c r="F148" s="46">
        <f>22.0174 * CHOOSE(CONTROL!$C$15, $E$9, 100%, $G$9) + CHOOSE(CONTROL!$C$38, 0.0355, 0)</f>
        <v>22.052899999999998</v>
      </c>
      <c r="G148" s="17">
        <f>20.0776 * CHOOSE(CONTROL!$C$15, $E$9, 100%, $G$9) + CHOOSE(CONTROL!$C$38, 0.0356, 0)</f>
        <v>20.113199999999999</v>
      </c>
      <c r="H148" s="17">
        <f>20.0776 * CHOOSE(CONTROL!$C$15, $E$9, 100%, $G$9) + CHOOSE(CONTROL!$C$38, 0.0356, 0)</f>
        <v>20.113199999999999</v>
      </c>
      <c r="I148" s="17">
        <f>20.0792 * CHOOSE(CONTROL!$C$15, $E$9, 100%, $G$9) + CHOOSE(CONTROL!$C$38, 0.0356, 0)</f>
        <v>20.114799999999999</v>
      </c>
      <c r="J148" s="45">
        <f>146.4696</f>
        <v>146.46960000000001</v>
      </c>
    </row>
    <row r="149" spans="1:10" ht="15" x14ac:dyDescent="0.2">
      <c r="A149" s="16">
        <v>45444</v>
      </c>
      <c r="B149" s="17">
        <f>21.5758 * CHOOSE(CONTROL!$C$15, $E$9, 100%, $G$9) + CHOOSE(CONTROL!$C$38, 0.0355, 0)</f>
        <v>21.6113</v>
      </c>
      <c r="C149" s="17">
        <f>19.634 * CHOOSE(CONTROL!$C$15, $E$9, 100%, $G$9) + CHOOSE(CONTROL!$C$38, 0.0356, 0)</f>
        <v>19.669599999999999</v>
      </c>
      <c r="D149" s="17">
        <f>19.6262 * CHOOSE(CONTROL!$C$15, $E$9, 100%, $G$9) + CHOOSE(CONTROL!$C$38, 0.0356, 0)</f>
        <v>19.661799999999999</v>
      </c>
      <c r="E149" s="17">
        <f>19.6262 * CHOOSE(CONTROL!$C$15, $E$9, 100%, $G$9) + CHOOSE(CONTROL!$C$38, 0.0356, 0)</f>
        <v>19.661799999999999</v>
      </c>
      <c r="F149" s="46">
        <f>21.5758 * CHOOSE(CONTROL!$C$15, $E$9, 100%, $G$9) + CHOOSE(CONTROL!$C$38, 0.0355, 0)</f>
        <v>21.6113</v>
      </c>
      <c r="G149" s="17">
        <f>19.6324 * CHOOSE(CONTROL!$C$15, $E$9, 100%, $G$9) + CHOOSE(CONTROL!$C$38, 0.0356, 0)</f>
        <v>19.667999999999999</v>
      </c>
      <c r="H149" s="17">
        <f>19.6324 * CHOOSE(CONTROL!$C$15, $E$9, 100%, $G$9) + CHOOSE(CONTROL!$C$38, 0.0356, 0)</f>
        <v>19.667999999999999</v>
      </c>
      <c r="I149" s="17">
        <f>19.634 * CHOOSE(CONTROL!$C$15, $E$9, 100%, $G$9) + CHOOSE(CONTROL!$C$38, 0.0356, 0)</f>
        <v>19.669599999999999</v>
      </c>
      <c r="J149" s="45">
        <f>148.8861</f>
        <v>148.8861</v>
      </c>
    </row>
    <row r="150" spans="1:10" ht="15" x14ac:dyDescent="0.2">
      <c r="A150" s="16">
        <v>45474</v>
      </c>
      <c r="B150" s="17">
        <f>21.3413 * CHOOSE(CONTROL!$C$15, $E$9, 100%, $G$9) + CHOOSE(CONTROL!$C$38, 0.0355, 0)</f>
        <v>21.376799999999999</v>
      </c>
      <c r="C150" s="17">
        <f>19.3958 * CHOOSE(CONTROL!$C$15, $E$9, 100%, $G$9) + CHOOSE(CONTROL!$C$38, 0.0356, 0)</f>
        <v>19.4314</v>
      </c>
      <c r="D150" s="17">
        <f>19.3879 * CHOOSE(CONTROL!$C$15, $E$9, 100%, $G$9) + CHOOSE(CONTROL!$C$38, 0.0356, 0)</f>
        <v>19.423499999999997</v>
      </c>
      <c r="E150" s="17">
        <f>19.3879 * CHOOSE(CONTROL!$C$15, $E$9, 100%, $G$9) + CHOOSE(CONTROL!$C$38, 0.0356, 0)</f>
        <v>19.423499999999997</v>
      </c>
      <c r="F150" s="46">
        <f>21.3413 * CHOOSE(CONTROL!$C$15, $E$9, 100%, $G$9) + CHOOSE(CONTROL!$C$38, 0.0355, 0)</f>
        <v>21.376799999999999</v>
      </c>
      <c r="G150" s="17">
        <f>19.3942 * CHOOSE(CONTROL!$C$15, $E$9, 100%, $G$9) + CHOOSE(CONTROL!$C$38, 0.0356, 0)</f>
        <v>19.4298</v>
      </c>
      <c r="H150" s="17">
        <f>19.3942 * CHOOSE(CONTROL!$C$15, $E$9, 100%, $G$9) + CHOOSE(CONTROL!$C$38, 0.0356, 0)</f>
        <v>19.4298</v>
      </c>
      <c r="I150" s="17">
        <f>19.3958 * CHOOSE(CONTROL!$C$15, $E$9, 100%, $G$9) + CHOOSE(CONTROL!$C$38, 0.0356, 0)</f>
        <v>19.4314</v>
      </c>
      <c r="J150" s="45">
        <f>148.4951</f>
        <v>148.49510000000001</v>
      </c>
    </row>
    <row r="151" spans="1:10" ht="15" x14ac:dyDescent="0.2">
      <c r="A151" s="16">
        <v>45505</v>
      </c>
      <c r="B151" s="17">
        <f>21.5213 * CHOOSE(CONTROL!$C$15, $E$9, 100%, $G$9) + CHOOSE(CONTROL!$C$38, 0.0355, 0)</f>
        <v>21.556799999999999</v>
      </c>
      <c r="C151" s="17">
        <f>19.5721 * CHOOSE(CONTROL!$C$15, $E$9, 100%, $G$9) + CHOOSE(CONTROL!$C$38, 0.0356, 0)</f>
        <v>19.607699999999998</v>
      </c>
      <c r="D151" s="17">
        <f>19.5643 * CHOOSE(CONTROL!$C$15, $E$9, 100%, $G$9) + CHOOSE(CONTROL!$C$38, 0.0356, 0)</f>
        <v>19.599899999999998</v>
      </c>
      <c r="E151" s="17">
        <f>19.5643 * CHOOSE(CONTROL!$C$15, $E$9, 100%, $G$9) + CHOOSE(CONTROL!$C$38, 0.0356, 0)</f>
        <v>19.599899999999998</v>
      </c>
      <c r="F151" s="46">
        <f>21.5213 * CHOOSE(CONTROL!$C$15, $E$9, 100%, $G$9) + CHOOSE(CONTROL!$C$38, 0.0355, 0)</f>
        <v>21.556799999999999</v>
      </c>
      <c r="G151" s="17">
        <f>19.5705 * CHOOSE(CONTROL!$C$15, $E$9, 100%, $G$9) + CHOOSE(CONTROL!$C$38, 0.0356, 0)</f>
        <v>19.606099999999998</v>
      </c>
      <c r="H151" s="17">
        <f>19.5705 * CHOOSE(CONTROL!$C$15, $E$9, 100%, $G$9) + CHOOSE(CONTROL!$C$38, 0.0356, 0)</f>
        <v>19.606099999999998</v>
      </c>
      <c r="I151" s="17">
        <f>19.5721 * CHOOSE(CONTROL!$C$15, $E$9, 100%, $G$9) + CHOOSE(CONTROL!$C$38, 0.0356, 0)</f>
        <v>19.607699999999998</v>
      </c>
      <c r="J151" s="45">
        <f>145.3369</f>
        <v>145.33690000000001</v>
      </c>
    </row>
    <row r="152" spans="1:10" ht="15" x14ac:dyDescent="0.2">
      <c r="A152" s="16">
        <v>45536</v>
      </c>
      <c r="B152" s="17">
        <f>21.9382 * CHOOSE(CONTROL!$C$15, $E$9, 100%, $G$9) + CHOOSE(CONTROL!$C$38, 0.0355, 0)</f>
        <v>21.973699999999997</v>
      </c>
      <c r="C152" s="17">
        <f>20.1218 * CHOOSE(CONTROL!$C$15, $E$9, 100%, $G$9) + CHOOSE(CONTROL!$C$38, 0.0356, 0)</f>
        <v>20.157399999999999</v>
      </c>
      <c r="D152" s="17">
        <f>20.1139 * CHOOSE(CONTROL!$C$15, $E$9, 100%, $G$9) + CHOOSE(CONTROL!$C$38, 0.0356, 0)</f>
        <v>20.1495</v>
      </c>
      <c r="E152" s="17">
        <f>20.1139 * CHOOSE(CONTROL!$C$15, $E$9, 100%, $G$9) + CHOOSE(CONTROL!$C$38, 0.0356, 0)</f>
        <v>20.1495</v>
      </c>
      <c r="F152" s="46">
        <f>21.9382 * CHOOSE(CONTROL!$C$15, $E$9, 100%, $G$9) + CHOOSE(CONTROL!$C$38, 0.0355, 0)</f>
        <v>21.973699999999997</v>
      </c>
      <c r="G152" s="17">
        <f>20.1202 * CHOOSE(CONTROL!$C$15, $E$9, 100%, $G$9) + CHOOSE(CONTROL!$C$38, 0.0356, 0)</f>
        <v>20.155799999999999</v>
      </c>
      <c r="H152" s="17">
        <f>20.1202 * CHOOSE(CONTROL!$C$15, $E$9, 100%, $G$9) + CHOOSE(CONTROL!$C$38, 0.0356, 0)</f>
        <v>20.155799999999999</v>
      </c>
      <c r="I152" s="17">
        <f>20.1218 * CHOOSE(CONTROL!$C$15, $E$9, 100%, $G$9) + CHOOSE(CONTROL!$C$38, 0.0356, 0)</f>
        <v>20.157399999999999</v>
      </c>
      <c r="J152" s="45">
        <f>140.7956</f>
        <v>140.79560000000001</v>
      </c>
    </row>
    <row r="153" spans="1:10" ht="15" x14ac:dyDescent="0.2">
      <c r="A153" s="16">
        <v>45566</v>
      </c>
      <c r="B153" s="17">
        <f>22.2958 * CHOOSE(CONTROL!$C$15, $E$9, 100%, $G$9) + CHOOSE(CONTROL!$C$38, 0.0342, 0)</f>
        <v>22.33</v>
      </c>
      <c r="C153" s="17">
        <f>20.3392 * CHOOSE(CONTROL!$C$15, $E$9, 100%, $G$9) + CHOOSE(CONTROL!$C$38, 0.0343, 0)</f>
        <v>20.3735</v>
      </c>
      <c r="D153" s="17">
        <f>20.3314 * CHOOSE(CONTROL!$C$15, $E$9, 100%, $G$9) + CHOOSE(CONTROL!$C$38, 0.0343, 0)</f>
        <v>20.365699999999997</v>
      </c>
      <c r="E153" s="17">
        <f>20.3314 * CHOOSE(CONTROL!$C$15, $E$9, 100%, $G$9) + CHOOSE(CONTROL!$C$38, 0.0343, 0)</f>
        <v>20.365699999999997</v>
      </c>
      <c r="F153" s="46">
        <f>22.2958 * CHOOSE(CONTROL!$C$15, $E$9, 100%, $G$9) + CHOOSE(CONTROL!$C$38, 0.0342, 0)</f>
        <v>22.33</v>
      </c>
      <c r="G153" s="17">
        <f>20.3376 * CHOOSE(CONTROL!$C$15, $E$9, 100%, $G$9) + CHOOSE(CONTROL!$C$38, 0.0343, 0)</f>
        <v>20.371899999999997</v>
      </c>
      <c r="H153" s="17">
        <f>20.3376 * CHOOSE(CONTROL!$C$15, $E$9, 100%, $G$9) + CHOOSE(CONTROL!$C$38, 0.0343, 0)</f>
        <v>20.371899999999997</v>
      </c>
      <c r="I153" s="17">
        <f>20.3392 * CHOOSE(CONTROL!$C$15, $E$9, 100%, $G$9) + CHOOSE(CONTROL!$C$38, 0.0343, 0)</f>
        <v>20.3735</v>
      </c>
      <c r="J153" s="45">
        <f>136.2067</f>
        <v>136.20670000000001</v>
      </c>
    </row>
    <row r="154" spans="1:10" ht="15" x14ac:dyDescent="0.2">
      <c r="A154" s="16">
        <v>45597</v>
      </c>
      <c r="B154" s="17">
        <f>22.6028 * CHOOSE(CONTROL!$C$15, $E$9, 100%, $G$9) + CHOOSE(CONTROL!$C$38, 0.0342, 0)</f>
        <v>22.636999999999997</v>
      </c>
      <c r="C154" s="17">
        <f>20.6424 * CHOOSE(CONTROL!$C$15, $E$9, 100%, $G$9) + CHOOSE(CONTROL!$C$38, 0.0343, 0)</f>
        <v>20.676699999999997</v>
      </c>
      <c r="D154" s="17">
        <f>20.6346 * CHOOSE(CONTROL!$C$15, $E$9, 100%, $G$9) + CHOOSE(CONTROL!$C$38, 0.0343, 0)</f>
        <v>20.668900000000001</v>
      </c>
      <c r="E154" s="17">
        <f>20.6346 * CHOOSE(CONTROL!$C$15, $E$9, 100%, $G$9) + CHOOSE(CONTROL!$C$38, 0.0343, 0)</f>
        <v>20.668900000000001</v>
      </c>
      <c r="F154" s="46">
        <f>22.6028 * CHOOSE(CONTROL!$C$15, $E$9, 100%, $G$9) + CHOOSE(CONTROL!$C$38, 0.0342, 0)</f>
        <v>22.636999999999997</v>
      </c>
      <c r="G154" s="17">
        <f>20.6409 * CHOOSE(CONTROL!$C$15, $E$9, 100%, $G$9) + CHOOSE(CONTROL!$C$38, 0.0343, 0)</f>
        <v>20.675199999999997</v>
      </c>
      <c r="H154" s="17">
        <f>20.6409 * CHOOSE(CONTROL!$C$15, $E$9, 100%, $G$9) + CHOOSE(CONTROL!$C$38, 0.0343, 0)</f>
        <v>20.675199999999997</v>
      </c>
      <c r="I154" s="17">
        <f>20.6424 * CHOOSE(CONTROL!$C$15, $E$9, 100%, $G$9) + CHOOSE(CONTROL!$C$38, 0.0343, 0)</f>
        <v>20.676699999999997</v>
      </c>
      <c r="J154" s="45">
        <f>135.5148</f>
        <v>135.51480000000001</v>
      </c>
    </row>
    <row r="155" spans="1:10" ht="15" x14ac:dyDescent="0.2">
      <c r="A155" s="16">
        <v>45627</v>
      </c>
      <c r="B155" s="17">
        <f>23.458 * CHOOSE(CONTROL!$C$15, $E$9, 100%, $G$9) + CHOOSE(CONTROL!$C$38, 0.0342, 0)</f>
        <v>23.492199999999997</v>
      </c>
      <c r="C155" s="17">
        <f>21.4939 * CHOOSE(CONTROL!$C$15, $E$9, 100%, $G$9) + CHOOSE(CONTROL!$C$38, 0.0343, 0)</f>
        <v>21.528199999999998</v>
      </c>
      <c r="D155" s="17">
        <f>21.4861 * CHOOSE(CONTROL!$C$15, $E$9, 100%, $G$9) + CHOOSE(CONTROL!$C$38, 0.0343, 0)</f>
        <v>21.520400000000002</v>
      </c>
      <c r="E155" s="17">
        <f>21.4861 * CHOOSE(CONTROL!$C$15, $E$9, 100%, $G$9) + CHOOSE(CONTROL!$C$38, 0.0343, 0)</f>
        <v>21.520400000000002</v>
      </c>
      <c r="F155" s="46">
        <f>23.458 * CHOOSE(CONTROL!$C$15, $E$9, 100%, $G$9) + CHOOSE(CONTROL!$C$38, 0.0342, 0)</f>
        <v>23.492199999999997</v>
      </c>
      <c r="G155" s="17">
        <f>21.4924 * CHOOSE(CONTROL!$C$15, $E$9, 100%, $G$9) + CHOOSE(CONTROL!$C$38, 0.0343, 0)</f>
        <v>21.526699999999998</v>
      </c>
      <c r="H155" s="17">
        <f>21.4924 * CHOOSE(CONTROL!$C$15, $E$9, 100%, $G$9) + CHOOSE(CONTROL!$C$38, 0.0343, 0)</f>
        <v>21.526699999999998</v>
      </c>
      <c r="I155" s="17">
        <f>21.4939 * CHOOSE(CONTROL!$C$15, $E$9, 100%, $G$9) + CHOOSE(CONTROL!$C$38, 0.0343, 0)</f>
        <v>21.528199999999998</v>
      </c>
      <c r="J155" s="45">
        <f>131.7642</f>
        <v>131.76419999999999</v>
      </c>
    </row>
    <row r="156" spans="1:10" ht="15" x14ac:dyDescent="0.2">
      <c r="A156" s="16">
        <v>45658</v>
      </c>
      <c r="B156" s="17">
        <f>24.7396 * CHOOSE(CONTROL!$C$15, $E$9, 100%, $G$9) + CHOOSE(CONTROL!$C$38, 0.0342, 0)</f>
        <v>24.773799999999998</v>
      </c>
      <c r="C156" s="17">
        <f>22.6217 * CHOOSE(CONTROL!$C$15, $E$9, 100%, $G$9) + CHOOSE(CONTROL!$C$38, 0.0343, 0)</f>
        <v>22.655999999999999</v>
      </c>
      <c r="D156" s="17">
        <f>22.6138 * CHOOSE(CONTROL!$C$15, $E$9, 100%, $G$9) + CHOOSE(CONTROL!$C$38, 0.0343, 0)</f>
        <v>22.648099999999999</v>
      </c>
      <c r="E156" s="17">
        <f>22.6138 * CHOOSE(CONTROL!$C$15, $E$9, 100%, $G$9) + CHOOSE(CONTROL!$C$38, 0.0343, 0)</f>
        <v>22.648099999999999</v>
      </c>
      <c r="F156" s="46">
        <f>24.7396 * CHOOSE(CONTROL!$C$15, $E$9, 100%, $G$9) + CHOOSE(CONTROL!$C$38, 0.0342, 0)</f>
        <v>24.773799999999998</v>
      </c>
      <c r="G156" s="17">
        <f>22.6201 * CHOOSE(CONTROL!$C$15, $E$9, 100%, $G$9) + CHOOSE(CONTROL!$C$38, 0.0343, 0)</f>
        <v>22.654400000000003</v>
      </c>
      <c r="H156" s="17">
        <f>22.6201 * CHOOSE(CONTROL!$C$15, $E$9, 100%, $G$9) + CHOOSE(CONTROL!$C$38, 0.0343, 0)</f>
        <v>22.654400000000003</v>
      </c>
      <c r="I156" s="17">
        <f>22.6217 * CHOOSE(CONTROL!$C$15, $E$9, 100%, $G$9) + CHOOSE(CONTROL!$C$38, 0.0343, 0)</f>
        <v>22.655999999999999</v>
      </c>
      <c r="J156" s="45">
        <f>132.1247</f>
        <v>132.12469999999999</v>
      </c>
    </row>
    <row r="157" spans="1:10" ht="15" x14ac:dyDescent="0.2">
      <c r="A157" s="16">
        <v>45689</v>
      </c>
      <c r="B157" s="17">
        <f>25.0905 * CHOOSE(CONTROL!$C$15, $E$9, 100%, $G$9) + CHOOSE(CONTROL!$C$38, 0.0342, 0)</f>
        <v>25.124699999999997</v>
      </c>
      <c r="C157" s="17">
        <f>22.9685 * CHOOSE(CONTROL!$C$15, $E$9, 100%, $G$9) + CHOOSE(CONTROL!$C$38, 0.0343, 0)</f>
        <v>23.002800000000001</v>
      </c>
      <c r="D157" s="17">
        <f>22.9607 * CHOOSE(CONTROL!$C$15, $E$9, 100%, $G$9) + CHOOSE(CONTROL!$C$38, 0.0343, 0)</f>
        <v>22.994999999999997</v>
      </c>
      <c r="E157" s="17">
        <f>22.9607 * CHOOSE(CONTROL!$C$15, $E$9, 100%, $G$9) + CHOOSE(CONTROL!$C$38, 0.0343, 0)</f>
        <v>22.994999999999997</v>
      </c>
      <c r="F157" s="46">
        <f>25.0905 * CHOOSE(CONTROL!$C$15, $E$9, 100%, $G$9) + CHOOSE(CONTROL!$C$38, 0.0342, 0)</f>
        <v>25.124699999999997</v>
      </c>
      <c r="G157" s="17">
        <f>22.967 * CHOOSE(CONTROL!$C$15, $E$9, 100%, $G$9) + CHOOSE(CONTROL!$C$38, 0.0343, 0)</f>
        <v>23.001300000000001</v>
      </c>
      <c r="H157" s="17">
        <f>22.967 * CHOOSE(CONTROL!$C$15, $E$9, 100%, $G$9) + CHOOSE(CONTROL!$C$38, 0.0343, 0)</f>
        <v>23.001300000000001</v>
      </c>
      <c r="I157" s="17">
        <f>22.9685 * CHOOSE(CONTROL!$C$15, $E$9, 100%, $G$9) + CHOOSE(CONTROL!$C$38, 0.0343, 0)</f>
        <v>23.002800000000001</v>
      </c>
      <c r="J157" s="45">
        <f>132.0288</f>
        <v>132.02879999999999</v>
      </c>
    </row>
    <row r="158" spans="1:10" ht="15" x14ac:dyDescent="0.2">
      <c r="A158" s="16">
        <v>45717</v>
      </c>
      <c r="B158" s="17">
        <f>24.4422 * CHOOSE(CONTROL!$C$15, $E$9, 100%, $G$9) + CHOOSE(CONTROL!$C$38, 0.0342, 0)</f>
        <v>24.476399999999998</v>
      </c>
      <c r="C158" s="17">
        <f>22.3162 * CHOOSE(CONTROL!$C$15, $E$9, 100%, $G$9) + CHOOSE(CONTROL!$C$38, 0.0343, 0)</f>
        <v>22.350499999999997</v>
      </c>
      <c r="D158" s="17">
        <f>22.3084 * CHOOSE(CONTROL!$C$15, $E$9, 100%, $G$9) + CHOOSE(CONTROL!$C$38, 0.0343, 0)</f>
        <v>22.342700000000001</v>
      </c>
      <c r="E158" s="17">
        <f>22.3084 * CHOOSE(CONTROL!$C$15, $E$9, 100%, $G$9) + CHOOSE(CONTROL!$C$38, 0.0343, 0)</f>
        <v>22.342700000000001</v>
      </c>
      <c r="F158" s="46">
        <f>24.4422 * CHOOSE(CONTROL!$C$15, $E$9, 100%, $G$9) + CHOOSE(CONTROL!$C$38, 0.0342, 0)</f>
        <v>24.476399999999998</v>
      </c>
      <c r="G158" s="17">
        <f>22.3146 * CHOOSE(CONTROL!$C$15, $E$9, 100%, $G$9) + CHOOSE(CONTROL!$C$38, 0.0343, 0)</f>
        <v>22.3489</v>
      </c>
      <c r="H158" s="17">
        <f>22.3146 * CHOOSE(CONTROL!$C$15, $E$9, 100%, $G$9) + CHOOSE(CONTROL!$C$38, 0.0343, 0)</f>
        <v>22.3489</v>
      </c>
      <c r="I158" s="17">
        <f>22.3162 * CHOOSE(CONTROL!$C$15, $E$9, 100%, $G$9) + CHOOSE(CONTROL!$C$38, 0.0343, 0)</f>
        <v>22.350499999999997</v>
      </c>
      <c r="J158" s="45">
        <f>139.2738</f>
        <v>139.27379999999999</v>
      </c>
    </row>
    <row r="159" spans="1:10" ht="15" x14ac:dyDescent="0.2">
      <c r="A159" s="16">
        <v>45748</v>
      </c>
      <c r="B159" s="17">
        <f>23.8129 * CHOOSE(CONTROL!$C$15, $E$9, 100%, $G$9) + CHOOSE(CONTROL!$C$38, 0.0342, 0)</f>
        <v>23.847099999999998</v>
      </c>
      <c r="C159" s="17">
        <f>21.6828 * CHOOSE(CONTROL!$C$15, $E$9, 100%, $G$9) + CHOOSE(CONTROL!$C$38, 0.0343, 0)</f>
        <v>21.717100000000002</v>
      </c>
      <c r="D159" s="17">
        <f>21.675 * CHOOSE(CONTROL!$C$15, $E$9, 100%, $G$9) + CHOOSE(CONTROL!$C$38, 0.0343, 0)</f>
        <v>21.709299999999999</v>
      </c>
      <c r="E159" s="17">
        <f>21.675 * CHOOSE(CONTROL!$C$15, $E$9, 100%, $G$9) + CHOOSE(CONTROL!$C$38, 0.0343, 0)</f>
        <v>21.709299999999999</v>
      </c>
      <c r="F159" s="46">
        <f>23.8129 * CHOOSE(CONTROL!$C$15, $E$9, 100%, $G$9) + CHOOSE(CONTROL!$C$38, 0.0342, 0)</f>
        <v>23.847099999999998</v>
      </c>
      <c r="G159" s="17">
        <f>21.6812 * CHOOSE(CONTROL!$C$15, $E$9, 100%, $G$9) + CHOOSE(CONTROL!$C$38, 0.0343, 0)</f>
        <v>21.715499999999999</v>
      </c>
      <c r="H159" s="17">
        <f>21.6812 * CHOOSE(CONTROL!$C$15, $E$9, 100%, $G$9) + CHOOSE(CONTROL!$C$38, 0.0343, 0)</f>
        <v>21.715499999999999</v>
      </c>
      <c r="I159" s="17">
        <f>21.6828 * CHOOSE(CONTROL!$C$15, $E$9, 100%, $G$9) + CHOOSE(CONTROL!$C$38, 0.0343, 0)</f>
        <v>21.717100000000002</v>
      </c>
      <c r="J159" s="45">
        <f>148.6216</f>
        <v>148.6216</v>
      </c>
    </row>
    <row r="160" spans="1:10" ht="15" x14ac:dyDescent="0.2">
      <c r="A160" s="16">
        <v>45778</v>
      </c>
      <c r="B160" s="17">
        <f>23.1521 * CHOOSE(CONTROL!$C$15, $E$9, 100%, $G$9) + CHOOSE(CONTROL!$C$38, 0.0355, 0)</f>
        <v>23.1876</v>
      </c>
      <c r="C160" s="17">
        <f>21.018 * CHOOSE(CONTROL!$C$15, $E$9, 100%, $G$9) + CHOOSE(CONTROL!$C$38, 0.0356, 0)</f>
        <v>21.053599999999999</v>
      </c>
      <c r="D160" s="17">
        <f>21.0102 * CHOOSE(CONTROL!$C$15, $E$9, 100%, $G$9) + CHOOSE(CONTROL!$C$38, 0.0356, 0)</f>
        <v>21.0458</v>
      </c>
      <c r="E160" s="17">
        <f>21.0102 * CHOOSE(CONTROL!$C$15, $E$9, 100%, $G$9) + CHOOSE(CONTROL!$C$38, 0.0356, 0)</f>
        <v>21.0458</v>
      </c>
      <c r="F160" s="46">
        <f>23.1521 * CHOOSE(CONTROL!$C$15, $E$9, 100%, $G$9) + CHOOSE(CONTROL!$C$38, 0.0355, 0)</f>
        <v>23.1876</v>
      </c>
      <c r="G160" s="17">
        <f>21.0164 * CHOOSE(CONTROL!$C$15, $E$9, 100%, $G$9) + CHOOSE(CONTROL!$C$38, 0.0356, 0)</f>
        <v>21.052</v>
      </c>
      <c r="H160" s="17">
        <f>21.0164 * CHOOSE(CONTROL!$C$15, $E$9, 100%, $G$9) + CHOOSE(CONTROL!$C$38, 0.0356, 0)</f>
        <v>21.052</v>
      </c>
      <c r="I160" s="17">
        <f>21.018 * CHOOSE(CONTROL!$C$15, $E$9, 100%, $G$9) + CHOOSE(CONTROL!$C$38, 0.0356, 0)</f>
        <v>21.053599999999999</v>
      </c>
      <c r="J160" s="45">
        <f>153.9255</f>
        <v>153.9255</v>
      </c>
    </row>
    <row r="161" spans="1:10" ht="15" x14ac:dyDescent="0.2">
      <c r="A161" s="16">
        <v>45809</v>
      </c>
      <c r="B161" s="17">
        <f>22.7008 * CHOOSE(CONTROL!$C$15, $E$9, 100%, $G$9) + CHOOSE(CONTROL!$C$38, 0.0355, 0)</f>
        <v>22.7363</v>
      </c>
      <c r="C161" s="17">
        <f>20.5625 * CHOOSE(CONTROL!$C$15, $E$9, 100%, $G$9) + CHOOSE(CONTROL!$C$38, 0.0356, 0)</f>
        <v>20.598099999999999</v>
      </c>
      <c r="D161" s="17">
        <f>20.5547 * CHOOSE(CONTROL!$C$15, $E$9, 100%, $G$9) + CHOOSE(CONTROL!$C$38, 0.0356, 0)</f>
        <v>20.590299999999999</v>
      </c>
      <c r="E161" s="17">
        <f>20.5547 * CHOOSE(CONTROL!$C$15, $E$9, 100%, $G$9) + CHOOSE(CONTROL!$C$38, 0.0356, 0)</f>
        <v>20.590299999999999</v>
      </c>
      <c r="F161" s="46">
        <f>22.7008 * CHOOSE(CONTROL!$C$15, $E$9, 100%, $G$9) + CHOOSE(CONTROL!$C$38, 0.0355, 0)</f>
        <v>22.7363</v>
      </c>
      <c r="G161" s="17">
        <f>20.561 * CHOOSE(CONTROL!$C$15, $E$9, 100%, $G$9) + CHOOSE(CONTROL!$C$38, 0.0356, 0)</f>
        <v>20.596599999999999</v>
      </c>
      <c r="H161" s="17">
        <f>20.561 * CHOOSE(CONTROL!$C$15, $E$9, 100%, $G$9) + CHOOSE(CONTROL!$C$38, 0.0356, 0)</f>
        <v>20.596599999999999</v>
      </c>
      <c r="I161" s="17">
        <f>20.5625 * CHOOSE(CONTROL!$C$15, $E$9, 100%, $G$9) + CHOOSE(CONTROL!$C$38, 0.0356, 0)</f>
        <v>20.598099999999999</v>
      </c>
      <c r="J161" s="45">
        <f>156.465</f>
        <v>156.465</v>
      </c>
    </row>
    <row r="162" spans="1:10" ht="15" x14ac:dyDescent="0.2">
      <c r="A162" s="16">
        <v>45839</v>
      </c>
      <c r="B162" s="17">
        <f>22.4616 * CHOOSE(CONTROL!$C$15, $E$9, 100%, $G$9) + CHOOSE(CONTROL!$C$38, 0.0355, 0)</f>
        <v>22.4971</v>
      </c>
      <c r="C162" s="17">
        <f>20.3193 * CHOOSE(CONTROL!$C$15, $E$9, 100%, $G$9) + CHOOSE(CONTROL!$C$38, 0.0356, 0)</f>
        <v>20.354899999999997</v>
      </c>
      <c r="D162" s="17">
        <f>20.3115 * CHOOSE(CONTROL!$C$15, $E$9, 100%, $G$9) + CHOOSE(CONTROL!$C$38, 0.0356, 0)</f>
        <v>20.347099999999998</v>
      </c>
      <c r="E162" s="17">
        <f>20.3115 * CHOOSE(CONTROL!$C$15, $E$9, 100%, $G$9) + CHOOSE(CONTROL!$C$38, 0.0356, 0)</f>
        <v>20.347099999999998</v>
      </c>
      <c r="F162" s="46">
        <f>22.4616 * CHOOSE(CONTROL!$C$15, $E$9, 100%, $G$9) + CHOOSE(CONTROL!$C$38, 0.0355, 0)</f>
        <v>22.4971</v>
      </c>
      <c r="G162" s="17">
        <f>20.3177 * CHOOSE(CONTROL!$C$15, $E$9, 100%, $G$9) + CHOOSE(CONTROL!$C$38, 0.0356, 0)</f>
        <v>20.353299999999997</v>
      </c>
      <c r="H162" s="17">
        <f>20.3177 * CHOOSE(CONTROL!$C$15, $E$9, 100%, $G$9) + CHOOSE(CONTROL!$C$38, 0.0356, 0)</f>
        <v>20.353299999999997</v>
      </c>
      <c r="I162" s="17">
        <f>20.3193 * CHOOSE(CONTROL!$C$15, $E$9, 100%, $G$9) + CHOOSE(CONTROL!$C$38, 0.0356, 0)</f>
        <v>20.354899999999997</v>
      </c>
      <c r="J162" s="45">
        <f>156.0541</f>
        <v>156.05410000000001</v>
      </c>
    </row>
    <row r="163" spans="1:10" ht="15" x14ac:dyDescent="0.2">
      <c r="A163" s="16">
        <v>45870</v>
      </c>
      <c r="B163" s="17">
        <f>22.6474 * CHOOSE(CONTROL!$C$15, $E$9, 100%, $G$9) + CHOOSE(CONTROL!$C$38, 0.0355, 0)</f>
        <v>22.6829</v>
      </c>
      <c r="C163" s="17">
        <f>20.501 * CHOOSE(CONTROL!$C$15, $E$9, 100%, $G$9) + CHOOSE(CONTROL!$C$38, 0.0356, 0)</f>
        <v>20.5366</v>
      </c>
      <c r="D163" s="17">
        <f>20.4932 * CHOOSE(CONTROL!$C$15, $E$9, 100%, $G$9) + CHOOSE(CONTROL!$C$38, 0.0356, 0)</f>
        <v>20.5288</v>
      </c>
      <c r="E163" s="17">
        <f>20.4932 * CHOOSE(CONTROL!$C$15, $E$9, 100%, $G$9) + CHOOSE(CONTROL!$C$38, 0.0356, 0)</f>
        <v>20.5288</v>
      </c>
      <c r="F163" s="46">
        <f>22.6474 * CHOOSE(CONTROL!$C$15, $E$9, 100%, $G$9) + CHOOSE(CONTROL!$C$38, 0.0355, 0)</f>
        <v>22.6829</v>
      </c>
      <c r="G163" s="17">
        <f>20.4994 * CHOOSE(CONTROL!$C$15, $E$9, 100%, $G$9) + CHOOSE(CONTROL!$C$38, 0.0356, 0)</f>
        <v>20.535</v>
      </c>
      <c r="H163" s="17">
        <f>20.4994 * CHOOSE(CONTROL!$C$15, $E$9, 100%, $G$9) + CHOOSE(CONTROL!$C$38, 0.0356, 0)</f>
        <v>20.535</v>
      </c>
      <c r="I163" s="17">
        <f>20.501 * CHOOSE(CONTROL!$C$15, $E$9, 100%, $G$9) + CHOOSE(CONTROL!$C$38, 0.0356, 0)</f>
        <v>20.5366</v>
      </c>
      <c r="J163" s="45">
        <f>152.7352</f>
        <v>152.73519999999999</v>
      </c>
    </row>
    <row r="164" spans="1:10" ht="15" x14ac:dyDescent="0.2">
      <c r="A164" s="16">
        <v>45901</v>
      </c>
      <c r="B164" s="17">
        <f>23.0759 * CHOOSE(CONTROL!$C$15, $E$9, 100%, $G$9) + CHOOSE(CONTROL!$C$38, 0.0355, 0)</f>
        <v>23.1114</v>
      </c>
      <c r="C164" s="17">
        <f>20.9254 * CHOOSE(CONTROL!$C$15, $E$9, 100%, $G$9) + CHOOSE(CONTROL!$C$38, 0.0356, 0)</f>
        <v>20.960999999999999</v>
      </c>
      <c r="D164" s="17">
        <f>20.9176 * CHOOSE(CONTROL!$C$15, $E$9, 100%, $G$9) + CHOOSE(CONTROL!$C$38, 0.0356, 0)</f>
        <v>20.953199999999999</v>
      </c>
      <c r="E164" s="17">
        <f>20.9176 * CHOOSE(CONTROL!$C$15, $E$9, 100%, $G$9) + CHOOSE(CONTROL!$C$38, 0.0356, 0)</f>
        <v>20.953199999999999</v>
      </c>
      <c r="F164" s="46">
        <f>23.0759 * CHOOSE(CONTROL!$C$15, $E$9, 100%, $G$9) + CHOOSE(CONTROL!$C$38, 0.0355, 0)</f>
        <v>23.1114</v>
      </c>
      <c r="G164" s="17">
        <f>20.9238 * CHOOSE(CONTROL!$C$15, $E$9, 100%, $G$9) + CHOOSE(CONTROL!$C$38, 0.0356, 0)</f>
        <v>20.959399999999999</v>
      </c>
      <c r="H164" s="17">
        <f>20.9238 * CHOOSE(CONTROL!$C$15, $E$9, 100%, $G$9) + CHOOSE(CONTROL!$C$38, 0.0356, 0)</f>
        <v>20.959399999999999</v>
      </c>
      <c r="I164" s="17">
        <f>20.9254 * CHOOSE(CONTROL!$C$15, $E$9, 100%, $G$9) + CHOOSE(CONTROL!$C$38, 0.0356, 0)</f>
        <v>20.960999999999999</v>
      </c>
      <c r="J164" s="45">
        <f>147.9627</f>
        <v>147.96270000000001</v>
      </c>
    </row>
    <row r="165" spans="1:10" ht="15" x14ac:dyDescent="0.2">
      <c r="A165" s="16">
        <v>45931</v>
      </c>
      <c r="B165" s="17">
        <f>23.4437 * CHOOSE(CONTROL!$C$15, $E$9, 100%, $G$9) + CHOOSE(CONTROL!$C$38, 0.0342, 0)</f>
        <v>23.477899999999998</v>
      </c>
      <c r="C165" s="17">
        <f>21.4285 * CHOOSE(CONTROL!$C$15, $E$9, 100%, $G$9) + CHOOSE(CONTROL!$C$38, 0.0343, 0)</f>
        <v>21.462800000000001</v>
      </c>
      <c r="D165" s="17">
        <f>21.4207 * CHOOSE(CONTROL!$C$15, $E$9, 100%, $G$9) + CHOOSE(CONTROL!$C$38, 0.0343, 0)</f>
        <v>21.454999999999998</v>
      </c>
      <c r="E165" s="17">
        <f>21.4207 * CHOOSE(CONTROL!$C$15, $E$9, 100%, $G$9) + CHOOSE(CONTROL!$C$38, 0.0343, 0)</f>
        <v>21.454999999999998</v>
      </c>
      <c r="F165" s="46">
        <f>23.4437 * CHOOSE(CONTROL!$C$15, $E$9, 100%, $G$9) + CHOOSE(CONTROL!$C$38, 0.0342, 0)</f>
        <v>23.477899999999998</v>
      </c>
      <c r="G165" s="17">
        <f>21.427 * CHOOSE(CONTROL!$C$15, $E$9, 100%, $G$9) + CHOOSE(CONTROL!$C$38, 0.0343, 0)</f>
        <v>21.461300000000001</v>
      </c>
      <c r="H165" s="17">
        <f>21.427 * CHOOSE(CONTROL!$C$15, $E$9, 100%, $G$9) + CHOOSE(CONTROL!$C$38, 0.0343, 0)</f>
        <v>21.461300000000001</v>
      </c>
      <c r="I165" s="17">
        <f>21.4285 * CHOOSE(CONTROL!$C$15, $E$9, 100%, $G$9) + CHOOSE(CONTROL!$C$38, 0.0343, 0)</f>
        <v>21.462800000000001</v>
      </c>
      <c r="J165" s="45">
        <f>143.1402</f>
        <v>143.14019999999999</v>
      </c>
    </row>
    <row r="166" spans="1:10" ht="15" x14ac:dyDescent="0.2">
      <c r="A166" s="16">
        <v>45962</v>
      </c>
      <c r="B166" s="17">
        <f>23.7596 * CHOOSE(CONTROL!$C$15, $E$9, 100%, $G$9) + CHOOSE(CONTROL!$C$38, 0.0342, 0)</f>
        <v>23.793799999999997</v>
      </c>
      <c r="C166" s="17">
        <f>21.6009 * CHOOSE(CONTROL!$C$15, $E$9, 100%, $G$9) + CHOOSE(CONTROL!$C$38, 0.0343, 0)</f>
        <v>21.635199999999998</v>
      </c>
      <c r="D166" s="17">
        <f>21.5931 * CHOOSE(CONTROL!$C$15, $E$9, 100%, $G$9) + CHOOSE(CONTROL!$C$38, 0.0343, 0)</f>
        <v>21.627400000000002</v>
      </c>
      <c r="E166" s="17">
        <f>21.5931 * CHOOSE(CONTROL!$C$15, $E$9, 100%, $G$9) + CHOOSE(CONTROL!$C$38, 0.0343, 0)</f>
        <v>21.627400000000002</v>
      </c>
      <c r="F166" s="46">
        <f>23.7596 * CHOOSE(CONTROL!$C$15, $E$9, 100%, $G$9) + CHOOSE(CONTROL!$C$38, 0.0342, 0)</f>
        <v>23.793799999999997</v>
      </c>
      <c r="G166" s="17">
        <f>21.5993 * CHOOSE(CONTROL!$C$15, $E$9, 100%, $G$9) + CHOOSE(CONTROL!$C$38, 0.0343, 0)</f>
        <v>21.633600000000001</v>
      </c>
      <c r="H166" s="17">
        <f>21.5993 * CHOOSE(CONTROL!$C$15, $E$9, 100%, $G$9) + CHOOSE(CONTROL!$C$38, 0.0343, 0)</f>
        <v>21.633600000000001</v>
      </c>
      <c r="I166" s="17">
        <f>21.6009 * CHOOSE(CONTROL!$C$15, $E$9, 100%, $G$9) + CHOOSE(CONTROL!$C$38, 0.0343, 0)</f>
        <v>21.635199999999998</v>
      </c>
      <c r="J166" s="45">
        <f>142.413</f>
        <v>142.41300000000001</v>
      </c>
    </row>
    <row r="167" spans="1:10" ht="15" x14ac:dyDescent="0.2">
      <c r="A167" s="16">
        <v>45992</v>
      </c>
      <c r="B167" s="17">
        <f>24.6375 * CHOOSE(CONTROL!$C$15, $E$9, 100%, $G$9) + CHOOSE(CONTROL!$C$38, 0.0342, 0)</f>
        <v>24.671699999999998</v>
      </c>
      <c r="C167" s="17">
        <f>22.4746 * CHOOSE(CONTROL!$C$15, $E$9, 100%, $G$9) + CHOOSE(CONTROL!$C$38, 0.0343, 0)</f>
        <v>22.508899999999997</v>
      </c>
      <c r="D167" s="17">
        <f>22.4668 * CHOOSE(CONTROL!$C$15, $E$9, 100%, $G$9) + CHOOSE(CONTROL!$C$38, 0.0343, 0)</f>
        <v>22.501100000000001</v>
      </c>
      <c r="E167" s="17">
        <f>22.4668 * CHOOSE(CONTROL!$C$15, $E$9, 100%, $G$9) + CHOOSE(CONTROL!$C$38, 0.0343, 0)</f>
        <v>22.501100000000001</v>
      </c>
      <c r="F167" s="46">
        <f>24.6375 * CHOOSE(CONTROL!$C$15, $E$9, 100%, $G$9) + CHOOSE(CONTROL!$C$38, 0.0342, 0)</f>
        <v>24.671699999999998</v>
      </c>
      <c r="G167" s="17">
        <f>22.473 * CHOOSE(CONTROL!$C$15, $E$9, 100%, $G$9) + CHOOSE(CONTROL!$C$38, 0.0343, 0)</f>
        <v>22.507300000000001</v>
      </c>
      <c r="H167" s="17">
        <f>22.473 * CHOOSE(CONTROL!$C$15, $E$9, 100%, $G$9) + CHOOSE(CONTROL!$C$38, 0.0343, 0)</f>
        <v>22.507300000000001</v>
      </c>
      <c r="I167" s="17">
        <f>22.4746 * CHOOSE(CONTROL!$C$15, $E$9, 100%, $G$9) + CHOOSE(CONTROL!$C$38, 0.0343, 0)</f>
        <v>22.508899999999997</v>
      </c>
      <c r="J167" s="45">
        <f>138.4716</f>
        <v>138.4716</v>
      </c>
    </row>
    <row r="168" spans="1:10" ht="15" x14ac:dyDescent="0.2">
      <c r="A168" s="16">
        <v>46023</v>
      </c>
      <c r="B168" s="17">
        <f>25.3155 * CHOOSE(CONTROL!$C$15, $E$9, 100%, $G$9) + CHOOSE(CONTROL!$C$38, 0.0342, 0)</f>
        <v>25.349699999999999</v>
      </c>
      <c r="C168" s="17">
        <f>23.1648 * CHOOSE(CONTROL!$C$15, $E$9, 100%, $G$9) + CHOOSE(CONTROL!$C$38, 0.0343, 0)</f>
        <v>23.199100000000001</v>
      </c>
      <c r="D168" s="17">
        <f>23.157 * CHOOSE(CONTROL!$C$15, $E$9, 100%, $G$9) + CHOOSE(CONTROL!$C$38, 0.0343, 0)</f>
        <v>23.191299999999998</v>
      </c>
      <c r="E168" s="17">
        <f>23.157 * CHOOSE(CONTROL!$C$15, $E$9, 100%, $G$9) + CHOOSE(CONTROL!$C$38, 0.0343, 0)</f>
        <v>23.191299999999998</v>
      </c>
      <c r="F168" s="46">
        <f>25.3155 * CHOOSE(CONTROL!$C$15, $E$9, 100%, $G$9) + CHOOSE(CONTROL!$C$38, 0.0342, 0)</f>
        <v>25.349699999999999</v>
      </c>
      <c r="G168" s="17">
        <f>23.1632 * CHOOSE(CONTROL!$C$15, $E$9, 100%, $G$9) + CHOOSE(CONTROL!$C$38, 0.0343, 0)</f>
        <v>23.197499999999998</v>
      </c>
      <c r="H168" s="17">
        <f>23.1632 * CHOOSE(CONTROL!$C$15, $E$9, 100%, $G$9) + CHOOSE(CONTROL!$C$38, 0.0343, 0)</f>
        <v>23.197499999999998</v>
      </c>
      <c r="I168" s="17">
        <f>23.1648 * CHOOSE(CONTROL!$C$15, $E$9, 100%, $G$9) + CHOOSE(CONTROL!$C$38, 0.0343, 0)</f>
        <v>23.199100000000001</v>
      </c>
      <c r="J168" s="45">
        <f>135.4535</f>
        <v>135.45349999999999</v>
      </c>
    </row>
    <row r="169" spans="1:10" ht="15" x14ac:dyDescent="0.2">
      <c r="A169" s="16">
        <v>46054</v>
      </c>
      <c r="B169" s="17">
        <f>25.6751 * CHOOSE(CONTROL!$C$15, $E$9, 100%, $G$9) + CHOOSE(CONTROL!$C$38, 0.0342, 0)</f>
        <v>25.709299999999999</v>
      </c>
      <c r="C169" s="17">
        <f>23.5203 * CHOOSE(CONTROL!$C$15, $E$9, 100%, $G$9) + CHOOSE(CONTROL!$C$38, 0.0343, 0)</f>
        <v>23.554600000000001</v>
      </c>
      <c r="D169" s="17">
        <f>23.5125 * CHOOSE(CONTROL!$C$15, $E$9, 100%, $G$9) + CHOOSE(CONTROL!$C$38, 0.0343, 0)</f>
        <v>23.546799999999998</v>
      </c>
      <c r="E169" s="17">
        <f>23.5125 * CHOOSE(CONTROL!$C$15, $E$9, 100%, $G$9) + CHOOSE(CONTROL!$C$38, 0.0343, 0)</f>
        <v>23.546799999999998</v>
      </c>
      <c r="F169" s="46">
        <f>25.6751 * CHOOSE(CONTROL!$C$15, $E$9, 100%, $G$9) + CHOOSE(CONTROL!$C$38, 0.0342, 0)</f>
        <v>25.709299999999999</v>
      </c>
      <c r="G169" s="17">
        <f>23.5187 * CHOOSE(CONTROL!$C$15, $E$9, 100%, $G$9) + CHOOSE(CONTROL!$C$38, 0.0343, 0)</f>
        <v>23.552999999999997</v>
      </c>
      <c r="H169" s="17">
        <f>23.5187 * CHOOSE(CONTROL!$C$15, $E$9, 100%, $G$9) + CHOOSE(CONTROL!$C$38, 0.0343, 0)</f>
        <v>23.552999999999997</v>
      </c>
      <c r="I169" s="17">
        <f>23.5203 * CHOOSE(CONTROL!$C$15, $E$9, 100%, $G$9) + CHOOSE(CONTROL!$C$38, 0.0343, 0)</f>
        <v>23.554600000000001</v>
      </c>
      <c r="J169" s="45">
        <f>135.3552</f>
        <v>135.3552</v>
      </c>
    </row>
    <row r="170" spans="1:10" ht="15" x14ac:dyDescent="0.2">
      <c r="A170" s="16">
        <v>46082</v>
      </c>
      <c r="B170" s="17">
        <f>25.0106 * CHOOSE(CONTROL!$C$15, $E$9, 100%, $G$9) + CHOOSE(CONTROL!$C$38, 0.0342, 0)</f>
        <v>25.044799999999999</v>
      </c>
      <c r="C170" s="17">
        <f>22.8516 * CHOOSE(CONTROL!$C$15, $E$9, 100%, $G$9) + CHOOSE(CONTROL!$C$38, 0.0343, 0)</f>
        <v>22.885899999999999</v>
      </c>
      <c r="D170" s="17">
        <f>22.8438 * CHOOSE(CONTROL!$C$15, $E$9, 100%, $G$9) + CHOOSE(CONTROL!$C$38, 0.0343, 0)</f>
        <v>22.878100000000003</v>
      </c>
      <c r="E170" s="17">
        <f>22.8438 * CHOOSE(CONTROL!$C$15, $E$9, 100%, $G$9) + CHOOSE(CONTROL!$C$38, 0.0343, 0)</f>
        <v>22.878100000000003</v>
      </c>
      <c r="F170" s="46">
        <f>25.0106 * CHOOSE(CONTROL!$C$15, $E$9, 100%, $G$9) + CHOOSE(CONTROL!$C$38, 0.0342, 0)</f>
        <v>25.044799999999999</v>
      </c>
      <c r="G170" s="17">
        <f>22.8501 * CHOOSE(CONTROL!$C$15, $E$9, 100%, $G$9) + CHOOSE(CONTROL!$C$38, 0.0343, 0)</f>
        <v>22.884399999999999</v>
      </c>
      <c r="H170" s="17">
        <f>22.8501 * CHOOSE(CONTROL!$C$15, $E$9, 100%, $G$9) + CHOOSE(CONTROL!$C$38, 0.0343, 0)</f>
        <v>22.884399999999999</v>
      </c>
      <c r="I170" s="17">
        <f>22.8516 * CHOOSE(CONTROL!$C$15, $E$9, 100%, $G$9) + CHOOSE(CONTROL!$C$38, 0.0343, 0)</f>
        <v>22.885899999999999</v>
      </c>
      <c r="J170" s="45">
        <f>142.7827</f>
        <v>142.78270000000001</v>
      </c>
    </row>
    <row r="171" spans="1:10" ht="15" x14ac:dyDescent="0.2">
      <c r="A171" s="16">
        <v>46113</v>
      </c>
      <c r="B171" s="17">
        <f>24.3654 * CHOOSE(CONTROL!$C$15, $E$9, 100%, $G$9) + CHOOSE(CONTROL!$C$38, 0.0342, 0)</f>
        <v>24.3996</v>
      </c>
      <c r="C171" s="17">
        <f>22.2024 * CHOOSE(CONTROL!$C$15, $E$9, 100%, $G$9) + CHOOSE(CONTROL!$C$38, 0.0343, 0)</f>
        <v>22.236699999999999</v>
      </c>
      <c r="D171" s="17">
        <f>22.1946 * CHOOSE(CONTROL!$C$15, $E$9, 100%, $G$9) + CHOOSE(CONTROL!$C$38, 0.0343, 0)</f>
        <v>22.228900000000003</v>
      </c>
      <c r="E171" s="17">
        <f>22.1946 * CHOOSE(CONTROL!$C$15, $E$9, 100%, $G$9) + CHOOSE(CONTROL!$C$38, 0.0343, 0)</f>
        <v>22.228900000000003</v>
      </c>
      <c r="F171" s="46">
        <f>24.3654 * CHOOSE(CONTROL!$C$15, $E$9, 100%, $G$9) + CHOOSE(CONTROL!$C$38, 0.0342, 0)</f>
        <v>24.3996</v>
      </c>
      <c r="G171" s="17">
        <f>22.2008 * CHOOSE(CONTROL!$C$15, $E$9, 100%, $G$9) + CHOOSE(CONTROL!$C$38, 0.0343, 0)</f>
        <v>22.235100000000003</v>
      </c>
      <c r="H171" s="17">
        <f>22.2008 * CHOOSE(CONTROL!$C$15, $E$9, 100%, $G$9) + CHOOSE(CONTROL!$C$38, 0.0343, 0)</f>
        <v>22.235100000000003</v>
      </c>
      <c r="I171" s="17">
        <f>22.2024 * CHOOSE(CONTROL!$C$15, $E$9, 100%, $G$9) + CHOOSE(CONTROL!$C$38, 0.0343, 0)</f>
        <v>22.236699999999999</v>
      </c>
      <c r="J171" s="45">
        <f>152.3661</f>
        <v>152.36609999999999</v>
      </c>
    </row>
    <row r="172" spans="1:10" ht="15" x14ac:dyDescent="0.2">
      <c r="A172" s="16">
        <v>46143</v>
      </c>
      <c r="B172" s="17">
        <f>23.6881 * CHOOSE(CONTROL!$C$15, $E$9, 100%, $G$9) + CHOOSE(CONTROL!$C$38, 0.0355, 0)</f>
        <v>23.723599999999998</v>
      </c>
      <c r="C172" s="17">
        <f>21.5209 * CHOOSE(CONTROL!$C$15, $E$9, 100%, $G$9) + CHOOSE(CONTROL!$C$38, 0.0356, 0)</f>
        <v>21.5565</v>
      </c>
      <c r="D172" s="17">
        <f>21.5131 * CHOOSE(CONTROL!$C$15, $E$9, 100%, $G$9) + CHOOSE(CONTROL!$C$38, 0.0356, 0)</f>
        <v>21.5487</v>
      </c>
      <c r="E172" s="17">
        <f>21.5131 * CHOOSE(CONTROL!$C$15, $E$9, 100%, $G$9) + CHOOSE(CONTROL!$C$38, 0.0356, 0)</f>
        <v>21.5487</v>
      </c>
      <c r="F172" s="46">
        <f>23.6881 * CHOOSE(CONTROL!$C$15, $E$9, 100%, $G$9) + CHOOSE(CONTROL!$C$38, 0.0355, 0)</f>
        <v>23.723599999999998</v>
      </c>
      <c r="G172" s="17">
        <f>21.5193 * CHOOSE(CONTROL!$C$15, $E$9, 100%, $G$9) + CHOOSE(CONTROL!$C$38, 0.0356, 0)</f>
        <v>21.5549</v>
      </c>
      <c r="H172" s="17">
        <f>21.5193 * CHOOSE(CONTROL!$C$15, $E$9, 100%, $G$9) + CHOOSE(CONTROL!$C$38, 0.0356, 0)</f>
        <v>21.5549</v>
      </c>
      <c r="I172" s="17">
        <f>21.5209 * CHOOSE(CONTROL!$C$15, $E$9, 100%, $G$9) + CHOOSE(CONTROL!$C$38, 0.0356, 0)</f>
        <v>21.5565</v>
      </c>
      <c r="J172" s="45">
        <f>157.8036</f>
        <v>157.80359999999999</v>
      </c>
    </row>
    <row r="173" spans="1:10" ht="15" x14ac:dyDescent="0.2">
      <c r="A173" s="16">
        <v>46174</v>
      </c>
      <c r="B173" s="17">
        <f>23.2254 * CHOOSE(CONTROL!$C$15, $E$9, 100%, $G$9) + CHOOSE(CONTROL!$C$38, 0.0355, 0)</f>
        <v>23.260899999999999</v>
      </c>
      <c r="C173" s="17">
        <f>21.0541 * CHOOSE(CONTROL!$C$15, $E$9, 100%, $G$9) + CHOOSE(CONTROL!$C$38, 0.0356, 0)</f>
        <v>21.089699999999997</v>
      </c>
      <c r="D173" s="17">
        <f>21.0463 * CHOOSE(CONTROL!$C$15, $E$9, 100%, $G$9) + CHOOSE(CONTROL!$C$38, 0.0356, 0)</f>
        <v>21.081899999999997</v>
      </c>
      <c r="E173" s="17">
        <f>21.0463 * CHOOSE(CONTROL!$C$15, $E$9, 100%, $G$9) + CHOOSE(CONTROL!$C$38, 0.0356, 0)</f>
        <v>21.081899999999997</v>
      </c>
      <c r="F173" s="46">
        <f>23.2254 * CHOOSE(CONTROL!$C$15, $E$9, 100%, $G$9) + CHOOSE(CONTROL!$C$38, 0.0355, 0)</f>
        <v>23.260899999999999</v>
      </c>
      <c r="G173" s="17">
        <f>21.0525 * CHOOSE(CONTROL!$C$15, $E$9, 100%, $G$9) + CHOOSE(CONTROL!$C$38, 0.0356, 0)</f>
        <v>21.088099999999997</v>
      </c>
      <c r="H173" s="17">
        <f>21.0525 * CHOOSE(CONTROL!$C$15, $E$9, 100%, $G$9) + CHOOSE(CONTROL!$C$38, 0.0356, 0)</f>
        <v>21.088099999999997</v>
      </c>
      <c r="I173" s="17">
        <f>21.0541 * CHOOSE(CONTROL!$C$15, $E$9, 100%, $G$9) + CHOOSE(CONTROL!$C$38, 0.0356, 0)</f>
        <v>21.089699999999997</v>
      </c>
      <c r="J173" s="45">
        <f>160.4071</f>
        <v>160.40710000000001</v>
      </c>
    </row>
    <row r="174" spans="1:10" ht="15" x14ac:dyDescent="0.2">
      <c r="A174" s="16">
        <v>46204</v>
      </c>
      <c r="B174" s="17">
        <f>22.9802 * CHOOSE(CONTROL!$C$15, $E$9, 100%, $G$9) + CHOOSE(CONTROL!$C$38, 0.0355, 0)</f>
        <v>23.015699999999999</v>
      </c>
      <c r="C174" s="17">
        <f>20.8047 * CHOOSE(CONTROL!$C$15, $E$9, 100%, $G$9) + CHOOSE(CONTROL!$C$38, 0.0356, 0)</f>
        <v>20.840299999999999</v>
      </c>
      <c r="D174" s="17">
        <f>20.7969 * CHOOSE(CONTROL!$C$15, $E$9, 100%, $G$9) + CHOOSE(CONTROL!$C$38, 0.0356, 0)</f>
        <v>20.8325</v>
      </c>
      <c r="E174" s="17">
        <f>20.7969 * CHOOSE(CONTROL!$C$15, $E$9, 100%, $G$9) + CHOOSE(CONTROL!$C$38, 0.0356, 0)</f>
        <v>20.8325</v>
      </c>
      <c r="F174" s="46">
        <f>22.9802 * CHOOSE(CONTROL!$C$15, $E$9, 100%, $G$9) + CHOOSE(CONTROL!$C$38, 0.0355, 0)</f>
        <v>23.015699999999999</v>
      </c>
      <c r="G174" s="17">
        <f>20.8032 * CHOOSE(CONTROL!$C$15, $E$9, 100%, $G$9) + CHOOSE(CONTROL!$C$38, 0.0356, 0)</f>
        <v>20.838799999999999</v>
      </c>
      <c r="H174" s="17">
        <f>20.8032 * CHOOSE(CONTROL!$C$15, $E$9, 100%, $G$9) + CHOOSE(CONTROL!$C$38, 0.0356, 0)</f>
        <v>20.838799999999999</v>
      </c>
      <c r="I174" s="17">
        <f>20.8047 * CHOOSE(CONTROL!$C$15, $E$9, 100%, $G$9) + CHOOSE(CONTROL!$C$38, 0.0356, 0)</f>
        <v>20.840299999999999</v>
      </c>
      <c r="J174" s="45">
        <f>159.9858</f>
        <v>159.98580000000001</v>
      </c>
    </row>
    <row r="175" spans="1:10" ht="15" x14ac:dyDescent="0.2">
      <c r="A175" s="16">
        <v>46235</v>
      </c>
      <c r="B175" s="17">
        <f>23.1706 * CHOOSE(CONTROL!$C$15, $E$9, 100%, $G$9) + CHOOSE(CONTROL!$C$38, 0.0355, 0)</f>
        <v>23.206099999999999</v>
      </c>
      <c r="C175" s="17">
        <f>20.9909 * CHOOSE(CONTROL!$C$15, $E$9, 100%, $G$9) + CHOOSE(CONTROL!$C$38, 0.0356, 0)</f>
        <v>21.026499999999999</v>
      </c>
      <c r="D175" s="17">
        <f>20.9831 * CHOOSE(CONTROL!$C$15, $E$9, 100%, $G$9) + CHOOSE(CONTROL!$C$38, 0.0356, 0)</f>
        <v>21.018699999999999</v>
      </c>
      <c r="E175" s="17">
        <f>20.9831 * CHOOSE(CONTROL!$C$15, $E$9, 100%, $G$9) + CHOOSE(CONTROL!$C$38, 0.0356, 0)</f>
        <v>21.018699999999999</v>
      </c>
      <c r="F175" s="46">
        <f>23.1706 * CHOOSE(CONTROL!$C$15, $E$9, 100%, $G$9) + CHOOSE(CONTROL!$C$38, 0.0355, 0)</f>
        <v>23.206099999999999</v>
      </c>
      <c r="G175" s="17">
        <f>20.9894 * CHOOSE(CONTROL!$C$15, $E$9, 100%, $G$9) + CHOOSE(CONTROL!$C$38, 0.0356, 0)</f>
        <v>21.024999999999999</v>
      </c>
      <c r="H175" s="17">
        <f>20.9894 * CHOOSE(CONTROL!$C$15, $E$9, 100%, $G$9) + CHOOSE(CONTROL!$C$38, 0.0356, 0)</f>
        <v>21.024999999999999</v>
      </c>
      <c r="I175" s="17">
        <f>20.9909 * CHOOSE(CONTROL!$C$15, $E$9, 100%, $G$9) + CHOOSE(CONTROL!$C$38, 0.0356, 0)</f>
        <v>21.026499999999999</v>
      </c>
      <c r="J175" s="45">
        <f>156.5832</f>
        <v>156.58320000000001</v>
      </c>
    </row>
    <row r="176" spans="1:10" ht="15" x14ac:dyDescent="0.2">
      <c r="A176" s="16">
        <v>46266</v>
      </c>
      <c r="B176" s="17">
        <f>23.6097 * CHOOSE(CONTROL!$C$15, $E$9, 100%, $G$9) + CHOOSE(CONTROL!$C$38, 0.0355, 0)</f>
        <v>23.645199999999999</v>
      </c>
      <c r="C176" s="17">
        <f>21.4259 * CHOOSE(CONTROL!$C$15, $E$9, 100%, $G$9) + CHOOSE(CONTROL!$C$38, 0.0356, 0)</f>
        <v>21.461499999999997</v>
      </c>
      <c r="D176" s="17">
        <f>21.4181 * CHOOSE(CONTROL!$C$15, $E$9, 100%, $G$9) + CHOOSE(CONTROL!$C$38, 0.0356, 0)</f>
        <v>21.453699999999998</v>
      </c>
      <c r="E176" s="17">
        <f>21.4181 * CHOOSE(CONTROL!$C$15, $E$9, 100%, $G$9) + CHOOSE(CONTROL!$C$38, 0.0356, 0)</f>
        <v>21.453699999999998</v>
      </c>
      <c r="F176" s="46">
        <f>23.6097 * CHOOSE(CONTROL!$C$15, $E$9, 100%, $G$9) + CHOOSE(CONTROL!$C$38, 0.0355, 0)</f>
        <v>23.645199999999999</v>
      </c>
      <c r="G176" s="17">
        <f>21.4244 * CHOOSE(CONTROL!$C$15, $E$9, 100%, $G$9) + CHOOSE(CONTROL!$C$38, 0.0356, 0)</f>
        <v>21.459999999999997</v>
      </c>
      <c r="H176" s="17">
        <f>21.4244 * CHOOSE(CONTROL!$C$15, $E$9, 100%, $G$9) + CHOOSE(CONTROL!$C$38, 0.0356, 0)</f>
        <v>21.459999999999997</v>
      </c>
      <c r="I176" s="17">
        <f>21.4259 * CHOOSE(CONTROL!$C$15, $E$9, 100%, $G$9) + CHOOSE(CONTROL!$C$38, 0.0356, 0)</f>
        <v>21.461499999999997</v>
      </c>
      <c r="J176" s="45">
        <f>151.6905</f>
        <v>151.69049999999999</v>
      </c>
    </row>
    <row r="177" spans="1:10" ht="15" x14ac:dyDescent="0.2">
      <c r="A177" s="16">
        <v>46296</v>
      </c>
      <c r="B177" s="17">
        <f>23.9867 * CHOOSE(CONTROL!$C$15, $E$9, 100%, $G$9) + CHOOSE(CONTROL!$C$38, 0.0342, 0)</f>
        <v>24.020899999999997</v>
      </c>
      <c r="C177" s="17">
        <f>21.7987 * CHOOSE(CONTROL!$C$15, $E$9, 100%, $G$9) + CHOOSE(CONTROL!$C$38, 0.0343, 0)</f>
        <v>21.832999999999998</v>
      </c>
      <c r="D177" s="17">
        <f>21.7909 * CHOOSE(CONTROL!$C$15, $E$9, 100%, $G$9) + CHOOSE(CONTROL!$C$38, 0.0343, 0)</f>
        <v>21.825200000000002</v>
      </c>
      <c r="E177" s="17">
        <f>21.7909 * CHOOSE(CONTROL!$C$15, $E$9, 100%, $G$9) + CHOOSE(CONTROL!$C$38, 0.0343, 0)</f>
        <v>21.825200000000002</v>
      </c>
      <c r="F177" s="46">
        <f>23.9867 * CHOOSE(CONTROL!$C$15, $E$9, 100%, $G$9) + CHOOSE(CONTROL!$C$38, 0.0342, 0)</f>
        <v>24.020899999999997</v>
      </c>
      <c r="G177" s="17">
        <f>21.7971 * CHOOSE(CONTROL!$C$15, $E$9, 100%, $G$9) + CHOOSE(CONTROL!$C$38, 0.0343, 0)</f>
        <v>21.831400000000002</v>
      </c>
      <c r="H177" s="17">
        <f>21.7971 * CHOOSE(CONTROL!$C$15, $E$9, 100%, $G$9) + CHOOSE(CONTROL!$C$38, 0.0343, 0)</f>
        <v>21.831400000000002</v>
      </c>
      <c r="I177" s="17">
        <f>21.7987 * CHOOSE(CONTROL!$C$15, $E$9, 100%, $G$9) + CHOOSE(CONTROL!$C$38, 0.0343, 0)</f>
        <v>21.832999999999998</v>
      </c>
      <c r="J177" s="45">
        <f>146.7465</f>
        <v>146.7465</v>
      </c>
    </row>
    <row r="178" spans="1:10" ht="15" x14ac:dyDescent="0.2">
      <c r="A178" s="16">
        <v>46327</v>
      </c>
      <c r="B178" s="17">
        <f>24.3104 * CHOOSE(CONTROL!$C$15, $E$9, 100%, $G$9) + CHOOSE(CONTROL!$C$38, 0.0342, 0)</f>
        <v>24.3446</v>
      </c>
      <c r="C178" s="17">
        <f>22.2715 * CHOOSE(CONTROL!$C$15, $E$9, 100%, $G$9) + CHOOSE(CONTROL!$C$38, 0.0343, 0)</f>
        <v>22.305799999999998</v>
      </c>
      <c r="D178" s="17">
        <f>22.2637 * CHOOSE(CONTROL!$C$15, $E$9, 100%, $G$9) + CHOOSE(CONTROL!$C$38, 0.0343, 0)</f>
        <v>22.298000000000002</v>
      </c>
      <c r="E178" s="17">
        <f>22.2637 * CHOOSE(CONTROL!$C$15, $E$9, 100%, $G$9) + CHOOSE(CONTROL!$C$38, 0.0343, 0)</f>
        <v>22.298000000000002</v>
      </c>
      <c r="F178" s="46">
        <f>24.3104 * CHOOSE(CONTROL!$C$15, $E$9, 100%, $G$9) + CHOOSE(CONTROL!$C$38, 0.0342, 0)</f>
        <v>24.3446</v>
      </c>
      <c r="G178" s="17">
        <f>22.27 * CHOOSE(CONTROL!$C$15, $E$9, 100%, $G$9) + CHOOSE(CONTROL!$C$38, 0.0343, 0)</f>
        <v>22.304299999999998</v>
      </c>
      <c r="H178" s="17">
        <f>22.27 * CHOOSE(CONTROL!$C$15, $E$9, 100%, $G$9) + CHOOSE(CONTROL!$C$38, 0.0343, 0)</f>
        <v>22.304299999999998</v>
      </c>
      <c r="I178" s="17">
        <f>22.2715 * CHOOSE(CONTROL!$C$15, $E$9, 100%, $G$9) + CHOOSE(CONTROL!$C$38, 0.0343, 0)</f>
        <v>22.305799999999998</v>
      </c>
      <c r="J178" s="45">
        <f>146.001</f>
        <v>146.001</v>
      </c>
    </row>
    <row r="179" spans="1:10" ht="15" x14ac:dyDescent="0.2">
      <c r="A179" s="16">
        <v>46357</v>
      </c>
      <c r="B179" s="17">
        <f>25.2101 * CHOOSE(CONTROL!$C$15, $E$9, 100%, $G$9) + CHOOSE(CONTROL!$C$38, 0.0342, 0)</f>
        <v>25.244299999999999</v>
      </c>
      <c r="C179" s="17">
        <f>23.0138 * CHOOSE(CONTROL!$C$15, $E$9, 100%, $G$9) + CHOOSE(CONTROL!$C$38, 0.0343, 0)</f>
        <v>23.048099999999998</v>
      </c>
      <c r="D179" s="17">
        <f>23.006 * CHOOSE(CONTROL!$C$15, $E$9, 100%, $G$9) + CHOOSE(CONTROL!$C$38, 0.0343, 0)</f>
        <v>23.040300000000002</v>
      </c>
      <c r="E179" s="17">
        <f>23.006 * CHOOSE(CONTROL!$C$15, $E$9, 100%, $G$9) + CHOOSE(CONTROL!$C$38, 0.0343, 0)</f>
        <v>23.040300000000002</v>
      </c>
      <c r="F179" s="46">
        <f>25.2101 * CHOOSE(CONTROL!$C$15, $E$9, 100%, $G$9) + CHOOSE(CONTROL!$C$38, 0.0342, 0)</f>
        <v>25.244299999999999</v>
      </c>
      <c r="G179" s="17">
        <f>23.0122 * CHOOSE(CONTROL!$C$15, $E$9, 100%, $G$9) + CHOOSE(CONTROL!$C$38, 0.0343, 0)</f>
        <v>23.046500000000002</v>
      </c>
      <c r="H179" s="17">
        <f>23.0122 * CHOOSE(CONTROL!$C$15, $E$9, 100%, $G$9) + CHOOSE(CONTROL!$C$38, 0.0343, 0)</f>
        <v>23.046500000000002</v>
      </c>
      <c r="I179" s="17">
        <f>23.0138 * CHOOSE(CONTROL!$C$15, $E$9, 100%, $G$9) + CHOOSE(CONTROL!$C$38, 0.0343, 0)</f>
        <v>23.048099999999998</v>
      </c>
      <c r="J179" s="45">
        <f>141.9603</f>
        <v>141.96029999999999</v>
      </c>
    </row>
    <row r="180" spans="1:10" ht="15" x14ac:dyDescent="0.2">
      <c r="A180" s="16">
        <v>46388</v>
      </c>
      <c r="B180" s="17">
        <f>25.9487 * CHOOSE(CONTROL!$C$15, $E$9, 100%, $G$9) + CHOOSE(CONTROL!$C$38, 0.0342, 0)</f>
        <v>25.982899999999997</v>
      </c>
      <c r="C180" s="17">
        <f>23.7637 * CHOOSE(CONTROL!$C$15, $E$9, 100%, $G$9) + CHOOSE(CONTROL!$C$38, 0.0343, 0)</f>
        <v>23.798000000000002</v>
      </c>
      <c r="D180" s="17">
        <f>23.7559 * CHOOSE(CONTROL!$C$15, $E$9, 100%, $G$9) + CHOOSE(CONTROL!$C$38, 0.0343, 0)</f>
        <v>23.790199999999999</v>
      </c>
      <c r="E180" s="17">
        <f>23.7559 * CHOOSE(CONTROL!$C$15, $E$9, 100%, $G$9) + CHOOSE(CONTROL!$C$38, 0.0343, 0)</f>
        <v>23.790199999999999</v>
      </c>
      <c r="F180" s="46">
        <f>25.9487 * CHOOSE(CONTROL!$C$15, $E$9, 100%, $G$9) + CHOOSE(CONTROL!$C$38, 0.0342, 0)</f>
        <v>25.982899999999997</v>
      </c>
      <c r="G180" s="17">
        <f>23.7621 * CHOOSE(CONTROL!$C$15, $E$9, 100%, $G$9) + CHOOSE(CONTROL!$C$38, 0.0343, 0)</f>
        <v>23.796399999999998</v>
      </c>
      <c r="H180" s="17">
        <f>23.7621 * CHOOSE(CONTROL!$C$15, $E$9, 100%, $G$9) + CHOOSE(CONTROL!$C$38, 0.0343, 0)</f>
        <v>23.796399999999998</v>
      </c>
      <c r="I180" s="17">
        <f>23.7637 * CHOOSE(CONTROL!$C$15, $E$9, 100%, $G$9) + CHOOSE(CONTROL!$C$38, 0.0343, 0)</f>
        <v>23.798000000000002</v>
      </c>
      <c r="J180" s="45">
        <f>138.8661</f>
        <v>138.86609999999999</v>
      </c>
    </row>
    <row r="181" spans="1:10" ht="15" x14ac:dyDescent="0.2">
      <c r="A181" s="16">
        <v>46419</v>
      </c>
      <c r="B181" s="17">
        <f>26.3173 * CHOOSE(CONTROL!$C$15, $E$9, 100%, $G$9) + CHOOSE(CONTROL!$C$38, 0.0342, 0)</f>
        <v>26.351499999999998</v>
      </c>
      <c r="C181" s="17">
        <f>24.1281 * CHOOSE(CONTROL!$C$15, $E$9, 100%, $G$9) + CHOOSE(CONTROL!$C$38, 0.0343, 0)</f>
        <v>24.162399999999998</v>
      </c>
      <c r="D181" s="17">
        <f>24.1203 * CHOOSE(CONTROL!$C$15, $E$9, 100%, $G$9) + CHOOSE(CONTROL!$C$38, 0.0343, 0)</f>
        <v>24.154600000000002</v>
      </c>
      <c r="E181" s="17">
        <f>24.1203 * CHOOSE(CONTROL!$C$15, $E$9, 100%, $G$9) + CHOOSE(CONTROL!$C$38, 0.0343, 0)</f>
        <v>24.154600000000002</v>
      </c>
      <c r="F181" s="46">
        <f>26.3173 * CHOOSE(CONTROL!$C$15, $E$9, 100%, $G$9) + CHOOSE(CONTROL!$C$38, 0.0342, 0)</f>
        <v>26.351499999999998</v>
      </c>
      <c r="G181" s="17">
        <f>24.1266 * CHOOSE(CONTROL!$C$15, $E$9, 100%, $G$9) + CHOOSE(CONTROL!$C$38, 0.0343, 0)</f>
        <v>24.160899999999998</v>
      </c>
      <c r="H181" s="17">
        <f>24.1266 * CHOOSE(CONTROL!$C$15, $E$9, 100%, $G$9) + CHOOSE(CONTROL!$C$38, 0.0343, 0)</f>
        <v>24.160899999999998</v>
      </c>
      <c r="I181" s="17">
        <f>24.1281 * CHOOSE(CONTROL!$C$15, $E$9, 100%, $G$9) + CHOOSE(CONTROL!$C$38, 0.0343, 0)</f>
        <v>24.162399999999998</v>
      </c>
      <c r="J181" s="45">
        <f>138.7654</f>
        <v>138.7654</v>
      </c>
    </row>
    <row r="182" spans="1:10" ht="15" x14ac:dyDescent="0.2">
      <c r="A182" s="16">
        <v>46447</v>
      </c>
      <c r="B182" s="17">
        <f>25.6362 * CHOOSE(CONTROL!$C$15, $E$9, 100%, $G$9) + CHOOSE(CONTROL!$C$38, 0.0342, 0)</f>
        <v>25.670399999999997</v>
      </c>
      <c r="C182" s="17">
        <f>23.4428 * CHOOSE(CONTROL!$C$15, $E$9, 100%, $G$9) + CHOOSE(CONTROL!$C$38, 0.0343, 0)</f>
        <v>23.4771</v>
      </c>
      <c r="D182" s="17">
        <f>23.435 * CHOOSE(CONTROL!$C$15, $E$9, 100%, $G$9) + CHOOSE(CONTROL!$C$38, 0.0343, 0)</f>
        <v>23.469299999999997</v>
      </c>
      <c r="E182" s="17">
        <f>23.435 * CHOOSE(CONTROL!$C$15, $E$9, 100%, $G$9) + CHOOSE(CONTROL!$C$38, 0.0343, 0)</f>
        <v>23.469299999999997</v>
      </c>
      <c r="F182" s="46">
        <f>25.6362 * CHOOSE(CONTROL!$C$15, $E$9, 100%, $G$9) + CHOOSE(CONTROL!$C$38, 0.0342, 0)</f>
        <v>25.670399999999997</v>
      </c>
      <c r="G182" s="17">
        <f>23.4413 * CHOOSE(CONTROL!$C$15, $E$9, 100%, $G$9) + CHOOSE(CONTROL!$C$38, 0.0343, 0)</f>
        <v>23.4756</v>
      </c>
      <c r="H182" s="17">
        <f>23.4413 * CHOOSE(CONTROL!$C$15, $E$9, 100%, $G$9) + CHOOSE(CONTROL!$C$38, 0.0343, 0)</f>
        <v>23.4756</v>
      </c>
      <c r="I182" s="17">
        <f>23.4428 * CHOOSE(CONTROL!$C$15, $E$9, 100%, $G$9) + CHOOSE(CONTROL!$C$38, 0.0343, 0)</f>
        <v>23.4771</v>
      </c>
      <c r="J182" s="45">
        <f>146.38</f>
        <v>146.38</v>
      </c>
    </row>
    <row r="183" spans="1:10" ht="15" x14ac:dyDescent="0.2">
      <c r="A183" s="16">
        <v>46478</v>
      </c>
      <c r="B183" s="17">
        <f>24.975 * CHOOSE(CONTROL!$C$15, $E$9, 100%, $G$9) + CHOOSE(CONTROL!$C$38, 0.0342, 0)</f>
        <v>25.0092</v>
      </c>
      <c r="C183" s="17">
        <f>22.7774 * CHOOSE(CONTROL!$C$15, $E$9, 100%, $G$9) + CHOOSE(CONTROL!$C$38, 0.0343, 0)</f>
        <v>22.811700000000002</v>
      </c>
      <c r="D183" s="17">
        <f>22.7696 * CHOOSE(CONTROL!$C$15, $E$9, 100%, $G$9) + CHOOSE(CONTROL!$C$38, 0.0343, 0)</f>
        <v>22.803899999999999</v>
      </c>
      <c r="E183" s="17">
        <f>22.7696 * CHOOSE(CONTROL!$C$15, $E$9, 100%, $G$9) + CHOOSE(CONTROL!$C$38, 0.0343, 0)</f>
        <v>22.803899999999999</v>
      </c>
      <c r="F183" s="46">
        <f>24.975 * CHOOSE(CONTROL!$C$15, $E$9, 100%, $G$9) + CHOOSE(CONTROL!$C$38, 0.0342, 0)</f>
        <v>25.0092</v>
      </c>
      <c r="G183" s="17">
        <f>22.7758 * CHOOSE(CONTROL!$C$15, $E$9, 100%, $G$9) + CHOOSE(CONTROL!$C$38, 0.0343, 0)</f>
        <v>22.810099999999998</v>
      </c>
      <c r="H183" s="17">
        <f>22.7758 * CHOOSE(CONTROL!$C$15, $E$9, 100%, $G$9) + CHOOSE(CONTROL!$C$38, 0.0343, 0)</f>
        <v>22.810099999999998</v>
      </c>
      <c r="I183" s="17">
        <f>22.7774 * CHOOSE(CONTROL!$C$15, $E$9, 100%, $G$9) + CHOOSE(CONTROL!$C$38, 0.0343, 0)</f>
        <v>22.811700000000002</v>
      </c>
      <c r="J183" s="45">
        <f>156.2048</f>
        <v>156.20480000000001</v>
      </c>
    </row>
    <row r="184" spans="1:10" ht="15" x14ac:dyDescent="0.2">
      <c r="A184" s="16">
        <v>46508</v>
      </c>
      <c r="B184" s="17">
        <f>24.2808 * CHOOSE(CONTROL!$C$15, $E$9, 100%, $G$9) + CHOOSE(CONTROL!$C$38, 0.0355, 0)</f>
        <v>24.316299999999998</v>
      </c>
      <c r="C184" s="17">
        <f>22.0789 * CHOOSE(CONTROL!$C$15, $E$9, 100%, $G$9) + CHOOSE(CONTROL!$C$38, 0.0356, 0)</f>
        <v>22.1145</v>
      </c>
      <c r="D184" s="17">
        <f>22.0711 * CHOOSE(CONTROL!$C$15, $E$9, 100%, $G$9) + CHOOSE(CONTROL!$C$38, 0.0356, 0)</f>
        <v>22.1067</v>
      </c>
      <c r="E184" s="17">
        <f>22.0711 * CHOOSE(CONTROL!$C$15, $E$9, 100%, $G$9) + CHOOSE(CONTROL!$C$38, 0.0356, 0)</f>
        <v>22.1067</v>
      </c>
      <c r="F184" s="46">
        <f>24.2808 * CHOOSE(CONTROL!$C$15, $E$9, 100%, $G$9) + CHOOSE(CONTROL!$C$38, 0.0355, 0)</f>
        <v>24.316299999999998</v>
      </c>
      <c r="G184" s="17">
        <f>22.0774 * CHOOSE(CONTROL!$C$15, $E$9, 100%, $G$9) + CHOOSE(CONTROL!$C$38, 0.0356, 0)</f>
        <v>22.113</v>
      </c>
      <c r="H184" s="17">
        <f>22.0774 * CHOOSE(CONTROL!$C$15, $E$9, 100%, $G$9) + CHOOSE(CONTROL!$C$38, 0.0356, 0)</f>
        <v>22.113</v>
      </c>
      <c r="I184" s="17">
        <f>22.0789 * CHOOSE(CONTROL!$C$15, $E$9, 100%, $G$9) + CHOOSE(CONTROL!$C$38, 0.0356, 0)</f>
        <v>22.1145</v>
      </c>
      <c r="J184" s="45">
        <f>161.7793</f>
        <v>161.77930000000001</v>
      </c>
    </row>
    <row r="185" spans="1:10" ht="15" x14ac:dyDescent="0.2">
      <c r="A185" s="16">
        <v>46539</v>
      </c>
      <c r="B185" s="17">
        <f>23.8065 * CHOOSE(CONTROL!$C$15, $E$9, 100%, $G$9) + CHOOSE(CONTROL!$C$38, 0.0355, 0)</f>
        <v>23.841999999999999</v>
      </c>
      <c r="C185" s="17">
        <f>21.6005 * CHOOSE(CONTROL!$C$15, $E$9, 100%, $G$9) + CHOOSE(CONTROL!$C$38, 0.0356, 0)</f>
        <v>21.636099999999999</v>
      </c>
      <c r="D185" s="17">
        <f>21.5927 * CHOOSE(CONTROL!$C$15, $E$9, 100%, $G$9) + CHOOSE(CONTROL!$C$38, 0.0356, 0)</f>
        <v>21.628299999999999</v>
      </c>
      <c r="E185" s="17">
        <f>21.5927 * CHOOSE(CONTROL!$C$15, $E$9, 100%, $G$9) + CHOOSE(CONTROL!$C$38, 0.0356, 0)</f>
        <v>21.628299999999999</v>
      </c>
      <c r="F185" s="46">
        <f>23.8065 * CHOOSE(CONTROL!$C$15, $E$9, 100%, $G$9) + CHOOSE(CONTROL!$C$38, 0.0355, 0)</f>
        <v>23.841999999999999</v>
      </c>
      <c r="G185" s="17">
        <f>21.5989 * CHOOSE(CONTROL!$C$15, $E$9, 100%, $G$9) + CHOOSE(CONTROL!$C$38, 0.0356, 0)</f>
        <v>21.634499999999999</v>
      </c>
      <c r="H185" s="17">
        <f>21.5989 * CHOOSE(CONTROL!$C$15, $E$9, 100%, $G$9) + CHOOSE(CONTROL!$C$38, 0.0356, 0)</f>
        <v>21.634499999999999</v>
      </c>
      <c r="I185" s="17">
        <f>21.6005 * CHOOSE(CONTROL!$C$15, $E$9, 100%, $G$9) + CHOOSE(CONTROL!$C$38, 0.0356, 0)</f>
        <v>21.636099999999999</v>
      </c>
      <c r="J185" s="45">
        <f>164.4484</f>
        <v>164.44839999999999</v>
      </c>
    </row>
    <row r="186" spans="1:10" ht="15" x14ac:dyDescent="0.2">
      <c r="A186" s="16">
        <v>46569</v>
      </c>
      <c r="B186" s="17">
        <f>23.5552 * CHOOSE(CONTROL!$C$15, $E$9, 100%, $G$9) + CHOOSE(CONTROL!$C$38, 0.0355, 0)</f>
        <v>23.590699999999998</v>
      </c>
      <c r="C186" s="17">
        <f>21.345 * CHOOSE(CONTROL!$C$15, $E$9, 100%, $G$9) + CHOOSE(CONTROL!$C$38, 0.0356, 0)</f>
        <v>21.380599999999998</v>
      </c>
      <c r="D186" s="17">
        <f>21.3372 * CHOOSE(CONTROL!$C$15, $E$9, 100%, $G$9) + CHOOSE(CONTROL!$C$38, 0.0356, 0)</f>
        <v>21.372799999999998</v>
      </c>
      <c r="E186" s="17">
        <f>21.3372 * CHOOSE(CONTROL!$C$15, $E$9, 100%, $G$9) + CHOOSE(CONTROL!$C$38, 0.0356, 0)</f>
        <v>21.372799999999998</v>
      </c>
      <c r="F186" s="46">
        <f>23.5552 * CHOOSE(CONTROL!$C$15, $E$9, 100%, $G$9) + CHOOSE(CONTROL!$C$38, 0.0355, 0)</f>
        <v>23.590699999999998</v>
      </c>
      <c r="G186" s="17">
        <f>21.3434 * CHOOSE(CONTROL!$C$15, $E$9, 100%, $G$9) + CHOOSE(CONTROL!$C$38, 0.0356, 0)</f>
        <v>21.378999999999998</v>
      </c>
      <c r="H186" s="17">
        <f>21.3434 * CHOOSE(CONTROL!$C$15, $E$9, 100%, $G$9) + CHOOSE(CONTROL!$C$38, 0.0356, 0)</f>
        <v>21.378999999999998</v>
      </c>
      <c r="I186" s="17">
        <f>21.345 * CHOOSE(CONTROL!$C$15, $E$9, 100%, $G$9) + CHOOSE(CONTROL!$C$38, 0.0356, 0)</f>
        <v>21.380599999999998</v>
      </c>
      <c r="J186" s="45">
        <f>164.0165</f>
        <v>164.01650000000001</v>
      </c>
    </row>
    <row r="187" spans="1:10" ht="15" x14ac:dyDescent="0.2">
      <c r="A187" s="16">
        <v>46600</v>
      </c>
      <c r="B187" s="17">
        <f>23.7504 * CHOOSE(CONTROL!$C$15, $E$9, 100%, $G$9) + CHOOSE(CONTROL!$C$38, 0.0355, 0)</f>
        <v>23.785899999999998</v>
      </c>
      <c r="C187" s="17">
        <f>21.5359 * CHOOSE(CONTROL!$C$15, $E$9, 100%, $G$9) + CHOOSE(CONTROL!$C$38, 0.0356, 0)</f>
        <v>21.5715</v>
      </c>
      <c r="D187" s="17">
        <f>21.5281 * CHOOSE(CONTROL!$C$15, $E$9, 100%, $G$9) + CHOOSE(CONTROL!$C$38, 0.0356, 0)</f>
        <v>21.563699999999997</v>
      </c>
      <c r="E187" s="17">
        <f>21.5281 * CHOOSE(CONTROL!$C$15, $E$9, 100%, $G$9) + CHOOSE(CONTROL!$C$38, 0.0356, 0)</f>
        <v>21.563699999999997</v>
      </c>
      <c r="F187" s="46">
        <f>23.7504 * CHOOSE(CONTROL!$C$15, $E$9, 100%, $G$9) + CHOOSE(CONTROL!$C$38, 0.0355, 0)</f>
        <v>23.785899999999998</v>
      </c>
      <c r="G187" s="17">
        <f>21.5344 * CHOOSE(CONTROL!$C$15, $E$9, 100%, $G$9) + CHOOSE(CONTROL!$C$38, 0.0356, 0)</f>
        <v>21.57</v>
      </c>
      <c r="H187" s="17">
        <f>21.5344 * CHOOSE(CONTROL!$C$15, $E$9, 100%, $G$9) + CHOOSE(CONTROL!$C$38, 0.0356, 0)</f>
        <v>21.57</v>
      </c>
      <c r="I187" s="17">
        <f>21.5359 * CHOOSE(CONTROL!$C$15, $E$9, 100%, $G$9) + CHOOSE(CONTROL!$C$38, 0.0356, 0)</f>
        <v>21.5715</v>
      </c>
      <c r="J187" s="45">
        <f>160.5282</f>
        <v>160.5282</v>
      </c>
    </row>
    <row r="188" spans="1:10" ht="15" x14ac:dyDescent="0.2">
      <c r="A188" s="16">
        <v>46631</v>
      </c>
      <c r="B188" s="17">
        <f>24.2006 * CHOOSE(CONTROL!$C$15, $E$9, 100%, $G$9) + CHOOSE(CONTROL!$C$38, 0.0355, 0)</f>
        <v>24.2361</v>
      </c>
      <c r="C188" s="17">
        <f>21.9819 * CHOOSE(CONTROL!$C$15, $E$9, 100%, $G$9) + CHOOSE(CONTROL!$C$38, 0.0356, 0)</f>
        <v>22.017499999999998</v>
      </c>
      <c r="D188" s="17">
        <f>21.9741 * CHOOSE(CONTROL!$C$15, $E$9, 100%, $G$9) + CHOOSE(CONTROL!$C$38, 0.0356, 0)</f>
        <v>22.009699999999999</v>
      </c>
      <c r="E188" s="17">
        <f>21.9741 * CHOOSE(CONTROL!$C$15, $E$9, 100%, $G$9) + CHOOSE(CONTROL!$C$38, 0.0356, 0)</f>
        <v>22.009699999999999</v>
      </c>
      <c r="F188" s="46">
        <f>24.2006 * CHOOSE(CONTROL!$C$15, $E$9, 100%, $G$9) + CHOOSE(CONTROL!$C$38, 0.0355, 0)</f>
        <v>24.2361</v>
      </c>
      <c r="G188" s="17">
        <f>21.9803 * CHOOSE(CONTROL!$C$15, $E$9, 100%, $G$9) + CHOOSE(CONTROL!$C$38, 0.0356, 0)</f>
        <v>22.015899999999998</v>
      </c>
      <c r="H188" s="17">
        <f>21.9803 * CHOOSE(CONTROL!$C$15, $E$9, 100%, $G$9) + CHOOSE(CONTROL!$C$38, 0.0356, 0)</f>
        <v>22.015899999999998</v>
      </c>
      <c r="I188" s="17">
        <f>21.9819 * CHOOSE(CONTROL!$C$15, $E$9, 100%, $G$9) + CHOOSE(CONTROL!$C$38, 0.0356, 0)</f>
        <v>22.017499999999998</v>
      </c>
      <c r="J188" s="45">
        <f>155.5122</f>
        <v>155.51220000000001</v>
      </c>
    </row>
    <row r="189" spans="1:10" ht="15" x14ac:dyDescent="0.2">
      <c r="A189" s="16">
        <v>46661</v>
      </c>
      <c r="B189" s="17">
        <f>24.587 * CHOOSE(CONTROL!$C$15, $E$9, 100%, $G$9) + CHOOSE(CONTROL!$C$38, 0.0342, 0)</f>
        <v>24.621199999999998</v>
      </c>
      <c r="C189" s="17">
        <f>22.364 * CHOOSE(CONTROL!$C$15, $E$9, 100%, $G$9) + CHOOSE(CONTROL!$C$38, 0.0343, 0)</f>
        <v>22.398299999999999</v>
      </c>
      <c r="D189" s="17">
        <f>22.3562 * CHOOSE(CONTROL!$C$15, $E$9, 100%, $G$9) + CHOOSE(CONTROL!$C$38, 0.0343, 0)</f>
        <v>22.390500000000003</v>
      </c>
      <c r="E189" s="17">
        <f>22.3562 * CHOOSE(CONTROL!$C$15, $E$9, 100%, $G$9) + CHOOSE(CONTROL!$C$38, 0.0343, 0)</f>
        <v>22.390500000000003</v>
      </c>
      <c r="F189" s="46">
        <f>24.587 * CHOOSE(CONTROL!$C$15, $E$9, 100%, $G$9) + CHOOSE(CONTROL!$C$38, 0.0342, 0)</f>
        <v>24.621199999999998</v>
      </c>
      <c r="G189" s="17">
        <f>22.3625 * CHOOSE(CONTROL!$C$15, $E$9, 100%, $G$9) + CHOOSE(CONTROL!$C$38, 0.0343, 0)</f>
        <v>22.396799999999999</v>
      </c>
      <c r="H189" s="17">
        <f>22.3625 * CHOOSE(CONTROL!$C$15, $E$9, 100%, $G$9) + CHOOSE(CONTROL!$C$38, 0.0343, 0)</f>
        <v>22.396799999999999</v>
      </c>
      <c r="I189" s="17">
        <f>22.364 * CHOOSE(CONTROL!$C$15, $E$9, 100%, $G$9) + CHOOSE(CONTROL!$C$38, 0.0343, 0)</f>
        <v>22.398299999999999</v>
      </c>
      <c r="J189" s="45">
        <f>150.4437</f>
        <v>150.44370000000001</v>
      </c>
    </row>
    <row r="190" spans="1:10" ht="15" x14ac:dyDescent="0.2">
      <c r="A190" s="16">
        <v>46692</v>
      </c>
      <c r="B190" s="17">
        <f>24.9188 * CHOOSE(CONTROL!$C$15, $E$9, 100%, $G$9) + CHOOSE(CONTROL!$C$38, 0.0342, 0)</f>
        <v>24.952999999999999</v>
      </c>
      <c r="C190" s="17">
        <f>22.6916 * CHOOSE(CONTROL!$C$15, $E$9, 100%, $G$9) + CHOOSE(CONTROL!$C$38, 0.0343, 0)</f>
        <v>22.725900000000003</v>
      </c>
      <c r="D190" s="17">
        <f>22.6838 * CHOOSE(CONTROL!$C$15, $E$9, 100%, $G$9) + CHOOSE(CONTROL!$C$38, 0.0343, 0)</f>
        <v>22.7181</v>
      </c>
      <c r="E190" s="17">
        <f>22.6838 * CHOOSE(CONTROL!$C$15, $E$9, 100%, $G$9) + CHOOSE(CONTROL!$C$38, 0.0343, 0)</f>
        <v>22.7181</v>
      </c>
      <c r="F190" s="46">
        <f>24.9188 * CHOOSE(CONTROL!$C$15, $E$9, 100%, $G$9) + CHOOSE(CONTROL!$C$38, 0.0342, 0)</f>
        <v>24.952999999999999</v>
      </c>
      <c r="G190" s="17">
        <f>22.6901 * CHOOSE(CONTROL!$C$15, $E$9, 100%, $G$9) + CHOOSE(CONTROL!$C$38, 0.0343, 0)</f>
        <v>22.724400000000003</v>
      </c>
      <c r="H190" s="17">
        <f>22.6901 * CHOOSE(CONTROL!$C$15, $E$9, 100%, $G$9) + CHOOSE(CONTROL!$C$38, 0.0343, 0)</f>
        <v>22.724400000000003</v>
      </c>
      <c r="I190" s="17">
        <f>22.6916 * CHOOSE(CONTROL!$C$15, $E$9, 100%, $G$9) + CHOOSE(CONTROL!$C$38, 0.0343, 0)</f>
        <v>22.725900000000003</v>
      </c>
      <c r="J190" s="45">
        <f>149.6794</f>
        <v>149.67939999999999</v>
      </c>
    </row>
    <row r="191" spans="1:10" ht="15" x14ac:dyDescent="0.2">
      <c r="A191" s="16">
        <v>46722</v>
      </c>
      <c r="B191" s="17">
        <f>25.8411 * CHOOSE(CONTROL!$C$15, $E$9, 100%, $G$9) + CHOOSE(CONTROL!$C$38, 0.0342, 0)</f>
        <v>25.875299999999999</v>
      </c>
      <c r="C191" s="17">
        <f>23.777 * CHOOSE(CONTROL!$C$15, $E$9, 100%, $G$9) + CHOOSE(CONTROL!$C$38, 0.0343, 0)</f>
        <v>23.811300000000003</v>
      </c>
      <c r="D191" s="17">
        <f>23.7692 * CHOOSE(CONTROL!$C$15, $E$9, 100%, $G$9) + CHOOSE(CONTROL!$C$38, 0.0343, 0)</f>
        <v>23.8035</v>
      </c>
      <c r="E191" s="17">
        <f>23.7692 * CHOOSE(CONTROL!$C$15, $E$9, 100%, $G$9) + CHOOSE(CONTROL!$C$38, 0.0343, 0)</f>
        <v>23.8035</v>
      </c>
      <c r="F191" s="46">
        <f>25.8411 * CHOOSE(CONTROL!$C$15, $E$9, 100%, $G$9) + CHOOSE(CONTROL!$C$38, 0.0342, 0)</f>
        <v>25.875299999999999</v>
      </c>
      <c r="G191" s="17">
        <f>23.7755 * CHOOSE(CONTROL!$C$15, $E$9, 100%, $G$9) + CHOOSE(CONTROL!$C$38, 0.0343, 0)</f>
        <v>23.809800000000003</v>
      </c>
      <c r="H191" s="17">
        <f>23.7755 * CHOOSE(CONTROL!$C$15, $E$9, 100%, $G$9) + CHOOSE(CONTROL!$C$38, 0.0343, 0)</f>
        <v>23.809800000000003</v>
      </c>
      <c r="I191" s="17">
        <f>23.777 * CHOOSE(CONTROL!$C$15, $E$9, 100%, $G$9) + CHOOSE(CONTROL!$C$38, 0.0343, 0)</f>
        <v>23.811300000000003</v>
      </c>
      <c r="J191" s="45">
        <f>145.5369</f>
        <v>145.5369</v>
      </c>
    </row>
    <row r="192" spans="1:10" ht="15" x14ac:dyDescent="0.2">
      <c r="A192" s="16">
        <v>46753</v>
      </c>
      <c r="B192" s="17">
        <f>26.5331 * CHOOSE(CONTROL!$C$15, $E$9, 100%, $G$9) + CHOOSE(CONTROL!$C$38, 0.0342, 0)</f>
        <v>26.567299999999999</v>
      </c>
      <c r="C192" s="17">
        <f>24.3164 * CHOOSE(CONTROL!$C$15, $E$9, 100%, $G$9) + CHOOSE(CONTROL!$C$38, 0.0343, 0)</f>
        <v>24.350700000000003</v>
      </c>
      <c r="D192" s="17">
        <f>24.3086 * CHOOSE(CONTROL!$C$15, $E$9, 100%, $G$9) + CHOOSE(CONTROL!$C$38, 0.0343, 0)</f>
        <v>24.3429</v>
      </c>
      <c r="E192" s="17">
        <f>24.3086 * CHOOSE(CONTROL!$C$15, $E$9, 100%, $G$9) + CHOOSE(CONTROL!$C$38, 0.0343, 0)</f>
        <v>24.3429</v>
      </c>
      <c r="F192" s="46">
        <f>26.5331 * CHOOSE(CONTROL!$C$15, $E$9, 100%, $G$9) + CHOOSE(CONTROL!$C$38, 0.0342, 0)</f>
        <v>26.567299999999999</v>
      </c>
      <c r="G192" s="17">
        <f>24.3149 * CHOOSE(CONTROL!$C$15, $E$9, 100%, $G$9) + CHOOSE(CONTROL!$C$38, 0.0343, 0)</f>
        <v>24.349200000000003</v>
      </c>
      <c r="H192" s="17">
        <f>24.3149 * CHOOSE(CONTROL!$C$15, $E$9, 100%, $G$9) + CHOOSE(CONTROL!$C$38, 0.0343, 0)</f>
        <v>24.349200000000003</v>
      </c>
      <c r="I192" s="17">
        <f>24.3164 * CHOOSE(CONTROL!$C$15, $E$9, 100%, $G$9) + CHOOSE(CONTROL!$C$38, 0.0343, 0)</f>
        <v>24.350700000000003</v>
      </c>
      <c r="J192" s="45">
        <f>142.3648</f>
        <v>142.3648</v>
      </c>
    </row>
    <row r="193" spans="1:10" ht="15" x14ac:dyDescent="0.2">
      <c r="A193" s="16">
        <v>46784</v>
      </c>
      <c r="B193" s="17">
        <f>26.9109 * CHOOSE(CONTROL!$C$15, $E$9, 100%, $G$9) + CHOOSE(CONTROL!$C$38, 0.0342, 0)</f>
        <v>26.9451</v>
      </c>
      <c r="C193" s="17">
        <f>24.69 * CHOOSE(CONTROL!$C$15, $E$9, 100%, $G$9) + CHOOSE(CONTROL!$C$38, 0.0343, 0)</f>
        <v>24.724299999999999</v>
      </c>
      <c r="D193" s="17">
        <f>24.6821 * CHOOSE(CONTROL!$C$15, $E$9, 100%, $G$9) + CHOOSE(CONTROL!$C$38, 0.0343, 0)</f>
        <v>24.7164</v>
      </c>
      <c r="E193" s="17">
        <f>24.6821 * CHOOSE(CONTROL!$C$15, $E$9, 100%, $G$9) + CHOOSE(CONTROL!$C$38, 0.0343, 0)</f>
        <v>24.7164</v>
      </c>
      <c r="F193" s="46">
        <f>26.9109 * CHOOSE(CONTROL!$C$15, $E$9, 100%, $G$9) + CHOOSE(CONTROL!$C$38, 0.0342, 0)</f>
        <v>26.9451</v>
      </c>
      <c r="G193" s="17">
        <f>24.6884 * CHOOSE(CONTROL!$C$15, $E$9, 100%, $G$9) + CHOOSE(CONTROL!$C$38, 0.0343, 0)</f>
        <v>24.722700000000003</v>
      </c>
      <c r="H193" s="17">
        <f>24.6884 * CHOOSE(CONTROL!$C$15, $E$9, 100%, $G$9) + CHOOSE(CONTROL!$C$38, 0.0343, 0)</f>
        <v>24.722700000000003</v>
      </c>
      <c r="I193" s="17">
        <f>24.69 * CHOOSE(CONTROL!$C$15, $E$9, 100%, $G$9) + CHOOSE(CONTROL!$C$38, 0.0343, 0)</f>
        <v>24.724299999999999</v>
      </c>
      <c r="J193" s="45">
        <f>142.2615</f>
        <v>142.26150000000001</v>
      </c>
    </row>
    <row r="194" spans="1:10" ht="15" x14ac:dyDescent="0.2">
      <c r="A194" s="16">
        <v>46813</v>
      </c>
      <c r="B194" s="17">
        <f>26.2126 * CHOOSE(CONTROL!$C$15, $E$9, 100%, $G$9) + CHOOSE(CONTROL!$C$38, 0.0342, 0)</f>
        <v>26.246799999999997</v>
      </c>
      <c r="C194" s="17">
        <f>23.9875 * CHOOSE(CONTROL!$C$15, $E$9, 100%, $G$9) + CHOOSE(CONTROL!$C$38, 0.0343, 0)</f>
        <v>24.021799999999999</v>
      </c>
      <c r="D194" s="17">
        <f>23.9796 * CHOOSE(CONTROL!$C$15, $E$9, 100%, $G$9) + CHOOSE(CONTROL!$C$38, 0.0343, 0)</f>
        <v>24.0139</v>
      </c>
      <c r="E194" s="17">
        <f>23.9796 * CHOOSE(CONTROL!$C$15, $E$9, 100%, $G$9) + CHOOSE(CONTROL!$C$38, 0.0343, 0)</f>
        <v>24.0139</v>
      </c>
      <c r="F194" s="46">
        <f>26.2126 * CHOOSE(CONTROL!$C$15, $E$9, 100%, $G$9) + CHOOSE(CONTROL!$C$38, 0.0342, 0)</f>
        <v>26.246799999999997</v>
      </c>
      <c r="G194" s="17">
        <f>23.9859 * CHOOSE(CONTROL!$C$15, $E$9, 100%, $G$9) + CHOOSE(CONTROL!$C$38, 0.0343, 0)</f>
        <v>24.020200000000003</v>
      </c>
      <c r="H194" s="17">
        <f>23.9859 * CHOOSE(CONTROL!$C$15, $E$9, 100%, $G$9) + CHOOSE(CONTROL!$C$38, 0.0343, 0)</f>
        <v>24.020200000000003</v>
      </c>
      <c r="I194" s="17">
        <f>23.9875 * CHOOSE(CONTROL!$C$15, $E$9, 100%, $G$9) + CHOOSE(CONTROL!$C$38, 0.0343, 0)</f>
        <v>24.021799999999999</v>
      </c>
      <c r="J194" s="45">
        <f>150.068</f>
        <v>150.06800000000001</v>
      </c>
    </row>
    <row r="195" spans="1:10" ht="15" x14ac:dyDescent="0.2">
      <c r="A195" s="16">
        <v>46844</v>
      </c>
      <c r="B195" s="17">
        <f>25.5348 * CHOOSE(CONTROL!$C$15, $E$9, 100%, $G$9) + CHOOSE(CONTROL!$C$38, 0.0342, 0)</f>
        <v>25.568999999999999</v>
      </c>
      <c r="C195" s="17">
        <f>23.3053 * CHOOSE(CONTROL!$C$15, $E$9, 100%, $G$9) + CHOOSE(CONTROL!$C$38, 0.0343, 0)</f>
        <v>23.339599999999997</v>
      </c>
      <c r="D195" s="17">
        <f>23.2975 * CHOOSE(CONTROL!$C$15, $E$9, 100%, $G$9) + CHOOSE(CONTROL!$C$38, 0.0343, 0)</f>
        <v>23.331800000000001</v>
      </c>
      <c r="E195" s="17">
        <f>23.2975 * CHOOSE(CONTROL!$C$15, $E$9, 100%, $G$9) + CHOOSE(CONTROL!$C$38, 0.0343, 0)</f>
        <v>23.331800000000001</v>
      </c>
      <c r="F195" s="46">
        <f>25.5348 * CHOOSE(CONTROL!$C$15, $E$9, 100%, $G$9) + CHOOSE(CONTROL!$C$38, 0.0342, 0)</f>
        <v>25.568999999999999</v>
      </c>
      <c r="G195" s="17">
        <f>23.3038 * CHOOSE(CONTROL!$C$15, $E$9, 100%, $G$9) + CHOOSE(CONTROL!$C$38, 0.0343, 0)</f>
        <v>23.338099999999997</v>
      </c>
      <c r="H195" s="17">
        <f>23.3038 * CHOOSE(CONTROL!$C$15, $E$9, 100%, $G$9) + CHOOSE(CONTROL!$C$38, 0.0343, 0)</f>
        <v>23.338099999999997</v>
      </c>
      <c r="I195" s="17">
        <f>23.3053 * CHOOSE(CONTROL!$C$15, $E$9, 100%, $G$9) + CHOOSE(CONTROL!$C$38, 0.0343, 0)</f>
        <v>23.339599999999997</v>
      </c>
      <c r="J195" s="45">
        <f>160.1403</f>
        <v>160.1403</v>
      </c>
    </row>
    <row r="196" spans="1:10" ht="15" x14ac:dyDescent="0.2">
      <c r="A196" s="16">
        <v>46874</v>
      </c>
      <c r="B196" s="17">
        <f>24.8231 * CHOOSE(CONTROL!$C$15, $E$9, 100%, $G$9) + CHOOSE(CONTROL!$C$38, 0.0355, 0)</f>
        <v>24.858599999999999</v>
      </c>
      <c r="C196" s="17">
        <f>22.5894 * CHOOSE(CONTROL!$C$15, $E$9, 100%, $G$9) + CHOOSE(CONTROL!$C$38, 0.0356, 0)</f>
        <v>22.625</v>
      </c>
      <c r="D196" s="17">
        <f>22.5816 * CHOOSE(CONTROL!$C$15, $E$9, 100%, $G$9) + CHOOSE(CONTROL!$C$38, 0.0356, 0)</f>
        <v>22.6172</v>
      </c>
      <c r="E196" s="17">
        <f>22.5816 * CHOOSE(CONTROL!$C$15, $E$9, 100%, $G$9) + CHOOSE(CONTROL!$C$38, 0.0356, 0)</f>
        <v>22.6172</v>
      </c>
      <c r="F196" s="46">
        <f>24.8231 * CHOOSE(CONTROL!$C$15, $E$9, 100%, $G$9) + CHOOSE(CONTROL!$C$38, 0.0355, 0)</f>
        <v>24.858599999999999</v>
      </c>
      <c r="G196" s="17">
        <f>22.5878 * CHOOSE(CONTROL!$C$15, $E$9, 100%, $G$9) + CHOOSE(CONTROL!$C$38, 0.0356, 0)</f>
        <v>22.6234</v>
      </c>
      <c r="H196" s="17">
        <f>22.5878 * CHOOSE(CONTROL!$C$15, $E$9, 100%, $G$9) + CHOOSE(CONTROL!$C$38, 0.0356, 0)</f>
        <v>22.6234</v>
      </c>
      <c r="I196" s="17">
        <f>22.5894 * CHOOSE(CONTROL!$C$15, $E$9, 100%, $G$9) + CHOOSE(CONTROL!$C$38, 0.0356, 0)</f>
        <v>22.625</v>
      </c>
      <c r="J196" s="45">
        <f>165.8552</f>
        <v>165.8552</v>
      </c>
    </row>
    <row r="197" spans="1:10" ht="15" x14ac:dyDescent="0.2">
      <c r="A197" s="16">
        <v>46905</v>
      </c>
      <c r="B197" s="17">
        <f>24.3369 * CHOOSE(CONTROL!$C$15, $E$9, 100%, $G$9) + CHOOSE(CONTROL!$C$38, 0.0355, 0)</f>
        <v>24.372399999999999</v>
      </c>
      <c r="C197" s="17">
        <f>22.0989 * CHOOSE(CONTROL!$C$15, $E$9, 100%, $G$9) + CHOOSE(CONTROL!$C$38, 0.0356, 0)</f>
        <v>22.134499999999999</v>
      </c>
      <c r="D197" s="17">
        <f>22.0911 * CHOOSE(CONTROL!$C$15, $E$9, 100%, $G$9) + CHOOSE(CONTROL!$C$38, 0.0356, 0)</f>
        <v>22.1267</v>
      </c>
      <c r="E197" s="17">
        <f>22.0911 * CHOOSE(CONTROL!$C$15, $E$9, 100%, $G$9) + CHOOSE(CONTROL!$C$38, 0.0356, 0)</f>
        <v>22.1267</v>
      </c>
      <c r="F197" s="46">
        <f>24.3369 * CHOOSE(CONTROL!$C$15, $E$9, 100%, $G$9) + CHOOSE(CONTROL!$C$38, 0.0355, 0)</f>
        <v>24.372399999999999</v>
      </c>
      <c r="G197" s="17">
        <f>22.0973 * CHOOSE(CONTROL!$C$15, $E$9, 100%, $G$9) + CHOOSE(CONTROL!$C$38, 0.0356, 0)</f>
        <v>22.132899999999999</v>
      </c>
      <c r="H197" s="17">
        <f>22.0973 * CHOOSE(CONTROL!$C$15, $E$9, 100%, $G$9) + CHOOSE(CONTROL!$C$38, 0.0356, 0)</f>
        <v>22.132899999999999</v>
      </c>
      <c r="I197" s="17">
        <f>22.0989 * CHOOSE(CONTROL!$C$15, $E$9, 100%, $G$9) + CHOOSE(CONTROL!$C$38, 0.0356, 0)</f>
        <v>22.134499999999999</v>
      </c>
      <c r="J197" s="45">
        <f>168.5916</f>
        <v>168.5916</v>
      </c>
    </row>
    <row r="198" spans="1:10" ht="15" x14ac:dyDescent="0.2">
      <c r="A198" s="16">
        <v>46935</v>
      </c>
      <c r="B198" s="17">
        <f>24.0792 * CHOOSE(CONTROL!$C$15, $E$9, 100%, $G$9) + CHOOSE(CONTROL!$C$38, 0.0355, 0)</f>
        <v>24.114699999999999</v>
      </c>
      <c r="C198" s="17">
        <f>21.8369 * CHOOSE(CONTROL!$C$15, $E$9, 100%, $G$9) + CHOOSE(CONTROL!$C$38, 0.0356, 0)</f>
        <v>21.872499999999999</v>
      </c>
      <c r="D198" s="17">
        <f>21.8291 * CHOOSE(CONTROL!$C$15, $E$9, 100%, $G$9) + CHOOSE(CONTROL!$C$38, 0.0356, 0)</f>
        <v>21.864699999999999</v>
      </c>
      <c r="E198" s="17">
        <f>21.8291 * CHOOSE(CONTROL!$C$15, $E$9, 100%, $G$9) + CHOOSE(CONTROL!$C$38, 0.0356, 0)</f>
        <v>21.864699999999999</v>
      </c>
      <c r="F198" s="46">
        <f>24.0792 * CHOOSE(CONTROL!$C$15, $E$9, 100%, $G$9) + CHOOSE(CONTROL!$C$38, 0.0355, 0)</f>
        <v>24.114699999999999</v>
      </c>
      <c r="G198" s="17">
        <f>21.8354 * CHOOSE(CONTROL!$C$15, $E$9, 100%, $G$9) + CHOOSE(CONTROL!$C$38, 0.0356, 0)</f>
        <v>21.870999999999999</v>
      </c>
      <c r="H198" s="17">
        <f>21.8354 * CHOOSE(CONTROL!$C$15, $E$9, 100%, $G$9) + CHOOSE(CONTROL!$C$38, 0.0356, 0)</f>
        <v>21.870999999999999</v>
      </c>
      <c r="I198" s="17">
        <f>21.8369 * CHOOSE(CONTROL!$C$15, $E$9, 100%, $G$9) + CHOOSE(CONTROL!$C$38, 0.0356, 0)</f>
        <v>21.872499999999999</v>
      </c>
      <c r="J198" s="45">
        <f>168.1488</f>
        <v>168.14879999999999</v>
      </c>
    </row>
    <row r="199" spans="1:10" ht="15" x14ac:dyDescent="0.2">
      <c r="A199" s="16">
        <v>46966</v>
      </c>
      <c r="B199" s="17">
        <f>24.2791 * CHOOSE(CONTROL!$C$15, $E$9, 100%, $G$9) + CHOOSE(CONTROL!$C$38, 0.0355, 0)</f>
        <v>24.314599999999999</v>
      </c>
      <c r="C199" s="17">
        <f>22.0326 * CHOOSE(CONTROL!$C$15, $E$9, 100%, $G$9) + CHOOSE(CONTROL!$C$38, 0.0356, 0)</f>
        <v>22.068199999999997</v>
      </c>
      <c r="D199" s="17">
        <f>22.0248 * CHOOSE(CONTROL!$C$15, $E$9, 100%, $G$9) + CHOOSE(CONTROL!$C$38, 0.0356, 0)</f>
        <v>22.060399999999998</v>
      </c>
      <c r="E199" s="17">
        <f>22.0248 * CHOOSE(CONTROL!$C$15, $E$9, 100%, $G$9) + CHOOSE(CONTROL!$C$38, 0.0356, 0)</f>
        <v>22.060399999999998</v>
      </c>
      <c r="F199" s="46">
        <f>24.2791 * CHOOSE(CONTROL!$C$15, $E$9, 100%, $G$9) + CHOOSE(CONTROL!$C$38, 0.0355, 0)</f>
        <v>24.314599999999999</v>
      </c>
      <c r="G199" s="17">
        <f>22.031 * CHOOSE(CONTROL!$C$15, $E$9, 100%, $G$9) + CHOOSE(CONTROL!$C$38, 0.0356, 0)</f>
        <v>22.066599999999998</v>
      </c>
      <c r="H199" s="17">
        <f>22.031 * CHOOSE(CONTROL!$C$15, $E$9, 100%, $G$9) + CHOOSE(CONTROL!$C$38, 0.0356, 0)</f>
        <v>22.066599999999998</v>
      </c>
      <c r="I199" s="17">
        <f>22.0326 * CHOOSE(CONTROL!$C$15, $E$9, 100%, $G$9) + CHOOSE(CONTROL!$C$38, 0.0356, 0)</f>
        <v>22.068199999999997</v>
      </c>
      <c r="J199" s="45">
        <f>164.5726</f>
        <v>164.57259999999999</v>
      </c>
    </row>
    <row r="200" spans="1:10" ht="15" x14ac:dyDescent="0.2">
      <c r="A200" s="16">
        <v>46997</v>
      </c>
      <c r="B200" s="17">
        <f>24.7405 * CHOOSE(CONTROL!$C$15, $E$9, 100%, $G$9) + CHOOSE(CONTROL!$C$38, 0.0355, 0)</f>
        <v>24.776</v>
      </c>
      <c r="C200" s="17">
        <f>22.4896 * CHOOSE(CONTROL!$C$15, $E$9, 100%, $G$9) + CHOOSE(CONTROL!$C$38, 0.0356, 0)</f>
        <v>22.525199999999998</v>
      </c>
      <c r="D200" s="17">
        <f>22.4818 * CHOOSE(CONTROL!$C$15, $E$9, 100%, $G$9) + CHOOSE(CONTROL!$C$38, 0.0356, 0)</f>
        <v>22.517399999999999</v>
      </c>
      <c r="E200" s="17">
        <f>22.4818 * CHOOSE(CONTROL!$C$15, $E$9, 100%, $G$9) + CHOOSE(CONTROL!$C$38, 0.0356, 0)</f>
        <v>22.517399999999999</v>
      </c>
      <c r="F200" s="46">
        <f>24.7405 * CHOOSE(CONTROL!$C$15, $E$9, 100%, $G$9) + CHOOSE(CONTROL!$C$38, 0.0355, 0)</f>
        <v>24.776</v>
      </c>
      <c r="G200" s="17">
        <f>22.488 * CHOOSE(CONTROL!$C$15, $E$9, 100%, $G$9) + CHOOSE(CONTROL!$C$38, 0.0356, 0)</f>
        <v>22.523599999999998</v>
      </c>
      <c r="H200" s="17">
        <f>22.488 * CHOOSE(CONTROL!$C$15, $E$9, 100%, $G$9) + CHOOSE(CONTROL!$C$38, 0.0356, 0)</f>
        <v>22.523599999999998</v>
      </c>
      <c r="I200" s="17">
        <f>22.4896 * CHOOSE(CONTROL!$C$15, $E$9, 100%, $G$9) + CHOOSE(CONTROL!$C$38, 0.0356, 0)</f>
        <v>22.525199999999998</v>
      </c>
      <c r="J200" s="45">
        <f>159.4302</f>
        <v>159.43020000000001</v>
      </c>
    </row>
    <row r="201" spans="1:10" ht="15" x14ac:dyDescent="0.2">
      <c r="A201" s="16">
        <v>47027</v>
      </c>
      <c r="B201" s="17">
        <f>25.1364 * CHOOSE(CONTROL!$C$15, $E$9, 100%, $G$9) + CHOOSE(CONTROL!$C$38, 0.0342, 0)</f>
        <v>25.170599999999997</v>
      </c>
      <c r="C201" s="17">
        <f>22.8813 * CHOOSE(CONTROL!$C$15, $E$9, 100%, $G$9) + CHOOSE(CONTROL!$C$38, 0.0343, 0)</f>
        <v>22.915599999999998</v>
      </c>
      <c r="D201" s="17">
        <f>22.8734 * CHOOSE(CONTROL!$C$15, $E$9, 100%, $G$9) + CHOOSE(CONTROL!$C$38, 0.0343, 0)</f>
        <v>22.907699999999998</v>
      </c>
      <c r="E201" s="17">
        <f>22.8734 * CHOOSE(CONTROL!$C$15, $E$9, 100%, $G$9) + CHOOSE(CONTROL!$C$38, 0.0343, 0)</f>
        <v>22.907699999999998</v>
      </c>
      <c r="F201" s="46">
        <f>25.1364 * CHOOSE(CONTROL!$C$15, $E$9, 100%, $G$9) + CHOOSE(CONTROL!$C$38, 0.0342, 0)</f>
        <v>25.170599999999997</v>
      </c>
      <c r="G201" s="17">
        <f>22.8797 * CHOOSE(CONTROL!$C$15, $E$9, 100%, $G$9) + CHOOSE(CONTROL!$C$38, 0.0343, 0)</f>
        <v>22.914000000000001</v>
      </c>
      <c r="H201" s="17">
        <f>22.8797 * CHOOSE(CONTROL!$C$15, $E$9, 100%, $G$9) + CHOOSE(CONTROL!$C$38, 0.0343, 0)</f>
        <v>22.914000000000001</v>
      </c>
      <c r="I201" s="17">
        <f>22.8813 * CHOOSE(CONTROL!$C$15, $E$9, 100%, $G$9) + CHOOSE(CONTROL!$C$38, 0.0343, 0)</f>
        <v>22.915599999999998</v>
      </c>
      <c r="J201" s="45">
        <f>154.234</f>
        <v>154.23400000000001</v>
      </c>
    </row>
    <row r="202" spans="1:10" ht="15" x14ac:dyDescent="0.2">
      <c r="A202" s="16">
        <v>47058</v>
      </c>
      <c r="B202" s="17">
        <f>25.4765 * CHOOSE(CONTROL!$C$15, $E$9, 100%, $G$9) + CHOOSE(CONTROL!$C$38, 0.0342, 0)</f>
        <v>25.5107</v>
      </c>
      <c r="C202" s="17">
        <f>23.217 * CHOOSE(CONTROL!$C$15, $E$9, 100%, $G$9) + CHOOSE(CONTROL!$C$38, 0.0343, 0)</f>
        <v>23.251300000000001</v>
      </c>
      <c r="D202" s="17">
        <f>23.2092 * CHOOSE(CONTROL!$C$15, $E$9, 100%, $G$9) + CHOOSE(CONTROL!$C$38, 0.0343, 0)</f>
        <v>23.243499999999997</v>
      </c>
      <c r="E202" s="17">
        <f>23.2092 * CHOOSE(CONTROL!$C$15, $E$9, 100%, $G$9) + CHOOSE(CONTROL!$C$38, 0.0343, 0)</f>
        <v>23.243499999999997</v>
      </c>
      <c r="F202" s="46">
        <f>25.4765 * CHOOSE(CONTROL!$C$15, $E$9, 100%, $G$9) + CHOOSE(CONTROL!$C$38, 0.0342, 0)</f>
        <v>25.5107</v>
      </c>
      <c r="G202" s="17">
        <f>23.2154 * CHOOSE(CONTROL!$C$15, $E$9, 100%, $G$9) + CHOOSE(CONTROL!$C$38, 0.0343, 0)</f>
        <v>23.249699999999997</v>
      </c>
      <c r="H202" s="17">
        <f>23.2154 * CHOOSE(CONTROL!$C$15, $E$9, 100%, $G$9) + CHOOSE(CONTROL!$C$38, 0.0343, 0)</f>
        <v>23.249699999999997</v>
      </c>
      <c r="I202" s="17">
        <f>23.217 * CHOOSE(CONTROL!$C$15, $E$9, 100%, $G$9) + CHOOSE(CONTROL!$C$38, 0.0343, 0)</f>
        <v>23.251300000000001</v>
      </c>
      <c r="J202" s="45">
        <f>153.4505</f>
        <v>153.45050000000001</v>
      </c>
    </row>
    <row r="203" spans="1:10" ht="15" x14ac:dyDescent="0.2">
      <c r="A203" s="16">
        <v>47088</v>
      </c>
      <c r="B203" s="17">
        <f>26.4217 * CHOOSE(CONTROL!$C$15, $E$9, 100%, $G$9) + CHOOSE(CONTROL!$C$38, 0.0342, 0)</f>
        <v>26.4559</v>
      </c>
      <c r="C203" s="17">
        <f>24.1579 * CHOOSE(CONTROL!$C$15, $E$9, 100%, $G$9) + CHOOSE(CONTROL!$C$38, 0.0343, 0)</f>
        <v>24.1922</v>
      </c>
      <c r="D203" s="17">
        <f>24.1501 * CHOOSE(CONTROL!$C$15, $E$9, 100%, $G$9) + CHOOSE(CONTROL!$C$38, 0.0343, 0)</f>
        <v>24.184399999999997</v>
      </c>
      <c r="E203" s="17">
        <f>24.1501 * CHOOSE(CONTROL!$C$15, $E$9, 100%, $G$9) + CHOOSE(CONTROL!$C$38, 0.0343, 0)</f>
        <v>24.184399999999997</v>
      </c>
      <c r="F203" s="46">
        <f>26.4217 * CHOOSE(CONTROL!$C$15, $E$9, 100%, $G$9) + CHOOSE(CONTROL!$C$38, 0.0342, 0)</f>
        <v>26.4559</v>
      </c>
      <c r="G203" s="17">
        <f>24.1563 * CHOOSE(CONTROL!$C$15, $E$9, 100%, $G$9) + CHOOSE(CONTROL!$C$38, 0.0343, 0)</f>
        <v>24.190600000000003</v>
      </c>
      <c r="H203" s="17">
        <f>24.1563 * CHOOSE(CONTROL!$C$15, $E$9, 100%, $G$9) + CHOOSE(CONTROL!$C$38, 0.0343, 0)</f>
        <v>24.190600000000003</v>
      </c>
      <c r="I203" s="17">
        <f>24.1579 * CHOOSE(CONTROL!$C$15, $E$9, 100%, $G$9) + CHOOSE(CONTROL!$C$38, 0.0343, 0)</f>
        <v>24.1922</v>
      </c>
      <c r="J203" s="45">
        <f>149.2035</f>
        <v>149.20349999999999</v>
      </c>
    </row>
    <row r="204" spans="1:10" ht="15" x14ac:dyDescent="0.2">
      <c r="A204" s="16">
        <v>47119</v>
      </c>
      <c r="B204" s="17">
        <f>27.2009 * CHOOSE(CONTROL!$C$15, $E$9, 100%, $G$9) + CHOOSE(CONTROL!$C$38, 0.0342, 0)</f>
        <v>27.235099999999999</v>
      </c>
      <c r="C204" s="17">
        <f>25.1381 * CHOOSE(CONTROL!$C$15, $E$9, 100%, $G$9) + CHOOSE(CONTROL!$C$38, 0.0343, 0)</f>
        <v>25.172400000000003</v>
      </c>
      <c r="D204" s="17">
        <f>25.1302 * CHOOSE(CONTROL!$C$15, $E$9, 100%, $G$9) + CHOOSE(CONTROL!$C$38, 0.0343, 0)</f>
        <v>25.164499999999997</v>
      </c>
      <c r="E204" s="17">
        <f>25.1302 * CHOOSE(CONTROL!$C$15, $E$9, 100%, $G$9) + CHOOSE(CONTROL!$C$38, 0.0343, 0)</f>
        <v>25.164499999999997</v>
      </c>
      <c r="F204" s="46">
        <f>27.2009 * CHOOSE(CONTROL!$C$15, $E$9, 100%, $G$9) + CHOOSE(CONTROL!$C$38, 0.0342, 0)</f>
        <v>27.235099999999999</v>
      </c>
      <c r="G204" s="17">
        <f>25.1365 * CHOOSE(CONTROL!$C$15, $E$9, 100%, $G$9) + CHOOSE(CONTROL!$C$38, 0.0343, 0)</f>
        <v>25.1708</v>
      </c>
      <c r="H204" s="17">
        <f>25.1365 * CHOOSE(CONTROL!$C$15, $E$9, 100%, $G$9) + CHOOSE(CONTROL!$C$38, 0.0343, 0)</f>
        <v>25.1708</v>
      </c>
      <c r="I204" s="17">
        <f>25.1381 * CHOOSE(CONTROL!$C$15, $E$9, 100%, $G$9) + CHOOSE(CONTROL!$C$38, 0.0343, 0)</f>
        <v>25.172400000000003</v>
      </c>
      <c r="J204" s="45">
        <f>145.9515</f>
        <v>145.95150000000001</v>
      </c>
    </row>
    <row r="205" spans="1:10" ht="15" x14ac:dyDescent="0.2">
      <c r="A205" s="16">
        <v>47150</v>
      </c>
      <c r="B205" s="17">
        <f>27.5881 * CHOOSE(CONTROL!$C$15, $E$9, 100%, $G$9) + CHOOSE(CONTROL!$C$38, 0.0342, 0)</f>
        <v>27.622299999999999</v>
      </c>
      <c r="C205" s="17">
        <f>25.331 * CHOOSE(CONTROL!$C$15, $E$9, 100%, $G$9) + CHOOSE(CONTROL!$C$38, 0.0343, 0)</f>
        <v>25.365299999999998</v>
      </c>
      <c r="D205" s="17">
        <f>25.3232 * CHOOSE(CONTROL!$C$15, $E$9, 100%, $G$9) + CHOOSE(CONTROL!$C$38, 0.0343, 0)</f>
        <v>25.357500000000002</v>
      </c>
      <c r="E205" s="17">
        <f>25.3232 * CHOOSE(CONTROL!$C$15, $E$9, 100%, $G$9) + CHOOSE(CONTROL!$C$38, 0.0343, 0)</f>
        <v>25.357500000000002</v>
      </c>
      <c r="F205" s="46">
        <f>27.5881 * CHOOSE(CONTROL!$C$15, $E$9, 100%, $G$9) + CHOOSE(CONTROL!$C$38, 0.0342, 0)</f>
        <v>27.622299999999999</v>
      </c>
      <c r="G205" s="17">
        <f>25.3294 * CHOOSE(CONTROL!$C$15, $E$9, 100%, $G$9) + CHOOSE(CONTROL!$C$38, 0.0343, 0)</f>
        <v>25.363700000000001</v>
      </c>
      <c r="H205" s="17">
        <f>25.3294 * CHOOSE(CONTROL!$C$15, $E$9, 100%, $G$9) + CHOOSE(CONTROL!$C$38, 0.0343, 0)</f>
        <v>25.363700000000001</v>
      </c>
      <c r="I205" s="17">
        <f>25.331 * CHOOSE(CONTROL!$C$15, $E$9, 100%, $G$9) + CHOOSE(CONTROL!$C$38, 0.0343, 0)</f>
        <v>25.365299999999998</v>
      </c>
      <c r="J205" s="45">
        <f>145.8457</f>
        <v>145.84569999999999</v>
      </c>
    </row>
    <row r="206" spans="1:10" ht="15" x14ac:dyDescent="0.2">
      <c r="A206" s="16">
        <v>47178</v>
      </c>
      <c r="B206" s="17">
        <f>26.8724 * CHOOSE(CONTROL!$C$15, $E$9, 100%, $G$9) + CHOOSE(CONTROL!$C$38, 0.0342, 0)</f>
        <v>26.906599999999997</v>
      </c>
      <c r="C206" s="17">
        <f>24.611 * CHOOSE(CONTROL!$C$15, $E$9, 100%, $G$9) + CHOOSE(CONTROL!$C$38, 0.0343, 0)</f>
        <v>24.645299999999999</v>
      </c>
      <c r="D206" s="17">
        <f>24.6032 * CHOOSE(CONTROL!$C$15, $E$9, 100%, $G$9) + CHOOSE(CONTROL!$C$38, 0.0343, 0)</f>
        <v>24.637500000000003</v>
      </c>
      <c r="E206" s="17">
        <f>24.6032 * CHOOSE(CONTROL!$C$15, $E$9, 100%, $G$9) + CHOOSE(CONTROL!$C$38, 0.0343, 0)</f>
        <v>24.637500000000003</v>
      </c>
      <c r="F206" s="46">
        <f>26.8724 * CHOOSE(CONTROL!$C$15, $E$9, 100%, $G$9) + CHOOSE(CONTROL!$C$38, 0.0342, 0)</f>
        <v>26.906599999999997</v>
      </c>
      <c r="G206" s="17">
        <f>24.6094 * CHOOSE(CONTROL!$C$15, $E$9, 100%, $G$9) + CHOOSE(CONTROL!$C$38, 0.0343, 0)</f>
        <v>24.643700000000003</v>
      </c>
      <c r="H206" s="17">
        <f>24.6094 * CHOOSE(CONTROL!$C$15, $E$9, 100%, $G$9) + CHOOSE(CONTROL!$C$38, 0.0343, 0)</f>
        <v>24.643700000000003</v>
      </c>
      <c r="I206" s="17">
        <f>24.611 * CHOOSE(CONTROL!$C$15, $E$9, 100%, $G$9) + CHOOSE(CONTROL!$C$38, 0.0343, 0)</f>
        <v>24.645299999999999</v>
      </c>
      <c r="J206" s="45">
        <f>153.8488</f>
        <v>153.84880000000001</v>
      </c>
    </row>
    <row r="207" spans="1:10" ht="15" x14ac:dyDescent="0.2">
      <c r="A207" s="16">
        <v>47209</v>
      </c>
      <c r="B207" s="17">
        <f>26.1777 * CHOOSE(CONTROL!$C$15, $E$9, 100%, $G$9) + CHOOSE(CONTROL!$C$38, 0.0342, 0)</f>
        <v>26.2119</v>
      </c>
      <c r="C207" s="17">
        <f>23.9119 * CHOOSE(CONTROL!$C$15, $E$9, 100%, $G$9) + CHOOSE(CONTROL!$C$38, 0.0343, 0)</f>
        <v>23.946199999999997</v>
      </c>
      <c r="D207" s="17">
        <f>23.9041 * CHOOSE(CONTROL!$C$15, $E$9, 100%, $G$9) + CHOOSE(CONTROL!$C$38, 0.0343, 0)</f>
        <v>23.938400000000001</v>
      </c>
      <c r="E207" s="17">
        <f>23.9041 * CHOOSE(CONTROL!$C$15, $E$9, 100%, $G$9) + CHOOSE(CONTROL!$C$38, 0.0343, 0)</f>
        <v>23.938400000000001</v>
      </c>
      <c r="F207" s="46">
        <f>26.1777 * CHOOSE(CONTROL!$C$15, $E$9, 100%, $G$9) + CHOOSE(CONTROL!$C$38, 0.0342, 0)</f>
        <v>26.2119</v>
      </c>
      <c r="G207" s="17">
        <f>23.9103 * CHOOSE(CONTROL!$C$15, $E$9, 100%, $G$9) + CHOOSE(CONTROL!$C$38, 0.0343, 0)</f>
        <v>23.944600000000001</v>
      </c>
      <c r="H207" s="17">
        <f>23.9103 * CHOOSE(CONTROL!$C$15, $E$9, 100%, $G$9) + CHOOSE(CONTROL!$C$38, 0.0343, 0)</f>
        <v>23.944600000000001</v>
      </c>
      <c r="I207" s="17">
        <f>23.9119 * CHOOSE(CONTROL!$C$15, $E$9, 100%, $G$9) + CHOOSE(CONTROL!$C$38, 0.0343, 0)</f>
        <v>23.946199999999997</v>
      </c>
      <c r="J207" s="45">
        <f>164.1749</f>
        <v>164.17490000000001</v>
      </c>
    </row>
    <row r="208" spans="1:10" ht="15" x14ac:dyDescent="0.2">
      <c r="A208" s="16">
        <v>47239</v>
      </c>
      <c r="B208" s="17">
        <f>25.4482 * CHOOSE(CONTROL!$C$15, $E$9, 100%, $G$9) + CHOOSE(CONTROL!$C$38, 0.0355, 0)</f>
        <v>25.483699999999999</v>
      </c>
      <c r="C208" s="17">
        <f>23.1781 * CHOOSE(CONTROL!$C$15, $E$9, 100%, $G$9) + CHOOSE(CONTROL!$C$38, 0.0356, 0)</f>
        <v>23.213699999999999</v>
      </c>
      <c r="D208" s="17">
        <f>23.1703 * CHOOSE(CONTROL!$C$15, $E$9, 100%, $G$9) + CHOOSE(CONTROL!$C$38, 0.0356, 0)</f>
        <v>23.2059</v>
      </c>
      <c r="E208" s="17">
        <f>23.1703 * CHOOSE(CONTROL!$C$15, $E$9, 100%, $G$9) + CHOOSE(CONTROL!$C$38, 0.0356, 0)</f>
        <v>23.2059</v>
      </c>
      <c r="F208" s="46">
        <f>25.4482 * CHOOSE(CONTROL!$C$15, $E$9, 100%, $G$9) + CHOOSE(CONTROL!$C$38, 0.0355, 0)</f>
        <v>25.483699999999999</v>
      </c>
      <c r="G208" s="17">
        <f>23.1765 * CHOOSE(CONTROL!$C$15, $E$9, 100%, $G$9) + CHOOSE(CONTROL!$C$38, 0.0356, 0)</f>
        <v>23.2121</v>
      </c>
      <c r="H208" s="17">
        <f>23.1765 * CHOOSE(CONTROL!$C$15, $E$9, 100%, $G$9) + CHOOSE(CONTROL!$C$38, 0.0356, 0)</f>
        <v>23.2121</v>
      </c>
      <c r="I208" s="17">
        <f>23.1781 * CHOOSE(CONTROL!$C$15, $E$9, 100%, $G$9) + CHOOSE(CONTROL!$C$38, 0.0356, 0)</f>
        <v>23.213699999999999</v>
      </c>
      <c r="J208" s="45">
        <f>170.0338</f>
        <v>170.03380000000001</v>
      </c>
    </row>
    <row r="209" spans="1:10" ht="15" x14ac:dyDescent="0.2">
      <c r="A209" s="16">
        <v>47270</v>
      </c>
      <c r="B209" s="17">
        <f>24.9499 * CHOOSE(CONTROL!$C$15, $E$9, 100%, $G$9) + CHOOSE(CONTROL!$C$38, 0.0355, 0)</f>
        <v>24.985399999999998</v>
      </c>
      <c r="C209" s="17">
        <f>22.6754 * CHOOSE(CONTROL!$C$15, $E$9, 100%, $G$9) + CHOOSE(CONTROL!$C$38, 0.0356, 0)</f>
        <v>22.710999999999999</v>
      </c>
      <c r="D209" s="17">
        <f>22.6676 * CHOOSE(CONTROL!$C$15, $E$9, 100%, $G$9) + CHOOSE(CONTROL!$C$38, 0.0356, 0)</f>
        <v>22.703199999999999</v>
      </c>
      <c r="E209" s="17">
        <f>22.6676 * CHOOSE(CONTROL!$C$15, $E$9, 100%, $G$9) + CHOOSE(CONTROL!$C$38, 0.0356, 0)</f>
        <v>22.703199999999999</v>
      </c>
      <c r="F209" s="46">
        <f>24.9499 * CHOOSE(CONTROL!$C$15, $E$9, 100%, $G$9) + CHOOSE(CONTROL!$C$38, 0.0355, 0)</f>
        <v>24.985399999999998</v>
      </c>
      <c r="G209" s="17">
        <f>22.6739 * CHOOSE(CONTROL!$C$15, $E$9, 100%, $G$9) + CHOOSE(CONTROL!$C$38, 0.0356, 0)</f>
        <v>22.709499999999998</v>
      </c>
      <c r="H209" s="17">
        <f>22.6739 * CHOOSE(CONTROL!$C$15, $E$9, 100%, $G$9) + CHOOSE(CONTROL!$C$38, 0.0356, 0)</f>
        <v>22.709499999999998</v>
      </c>
      <c r="I209" s="17">
        <f>22.6754 * CHOOSE(CONTROL!$C$15, $E$9, 100%, $G$9) + CHOOSE(CONTROL!$C$38, 0.0356, 0)</f>
        <v>22.710999999999999</v>
      </c>
      <c r="J209" s="45">
        <f>172.8391</f>
        <v>172.8391</v>
      </c>
    </row>
    <row r="210" spans="1:10" ht="15" x14ac:dyDescent="0.2">
      <c r="A210" s="16">
        <v>47300</v>
      </c>
      <c r="B210" s="17">
        <f>24.6858 * CHOOSE(CONTROL!$C$15, $E$9, 100%, $G$9) + CHOOSE(CONTROL!$C$38, 0.0355, 0)</f>
        <v>24.721299999999999</v>
      </c>
      <c r="C210" s="17">
        <f>22.407 * CHOOSE(CONTROL!$C$15, $E$9, 100%, $G$9) + CHOOSE(CONTROL!$C$38, 0.0356, 0)</f>
        <v>22.442599999999999</v>
      </c>
      <c r="D210" s="17">
        <f>22.3992 * CHOOSE(CONTROL!$C$15, $E$9, 100%, $G$9) + CHOOSE(CONTROL!$C$38, 0.0356, 0)</f>
        <v>22.434799999999999</v>
      </c>
      <c r="E210" s="17">
        <f>22.3992 * CHOOSE(CONTROL!$C$15, $E$9, 100%, $G$9) + CHOOSE(CONTROL!$C$38, 0.0356, 0)</f>
        <v>22.434799999999999</v>
      </c>
      <c r="F210" s="46">
        <f>24.6858 * CHOOSE(CONTROL!$C$15, $E$9, 100%, $G$9) + CHOOSE(CONTROL!$C$38, 0.0355, 0)</f>
        <v>24.721299999999999</v>
      </c>
      <c r="G210" s="17">
        <f>22.4054 * CHOOSE(CONTROL!$C$15, $E$9, 100%, $G$9) + CHOOSE(CONTROL!$C$38, 0.0356, 0)</f>
        <v>22.440999999999999</v>
      </c>
      <c r="H210" s="17">
        <f>22.4054 * CHOOSE(CONTROL!$C$15, $E$9, 100%, $G$9) + CHOOSE(CONTROL!$C$38, 0.0356, 0)</f>
        <v>22.440999999999999</v>
      </c>
      <c r="I210" s="17">
        <f>22.407 * CHOOSE(CONTROL!$C$15, $E$9, 100%, $G$9) + CHOOSE(CONTROL!$C$38, 0.0356, 0)</f>
        <v>22.442599999999999</v>
      </c>
      <c r="J210" s="45">
        <f>172.3851</f>
        <v>172.38509999999999</v>
      </c>
    </row>
    <row r="211" spans="1:10" ht="15" x14ac:dyDescent="0.2">
      <c r="A211" s="16">
        <v>47331</v>
      </c>
      <c r="B211" s="17">
        <f>24.8908 * CHOOSE(CONTROL!$C$15, $E$9, 100%, $G$9) + CHOOSE(CONTROL!$C$38, 0.0355, 0)</f>
        <v>24.926299999999998</v>
      </c>
      <c r="C211" s="17">
        <f>22.6076 * CHOOSE(CONTROL!$C$15, $E$9, 100%, $G$9) + CHOOSE(CONTROL!$C$38, 0.0356, 0)</f>
        <v>22.6432</v>
      </c>
      <c r="D211" s="17">
        <f>22.5998 * CHOOSE(CONTROL!$C$15, $E$9, 100%, $G$9) + CHOOSE(CONTROL!$C$38, 0.0356, 0)</f>
        <v>22.635399999999997</v>
      </c>
      <c r="E211" s="17">
        <f>22.5998 * CHOOSE(CONTROL!$C$15, $E$9, 100%, $G$9) + CHOOSE(CONTROL!$C$38, 0.0356, 0)</f>
        <v>22.635399999999997</v>
      </c>
      <c r="F211" s="46">
        <f>24.8908 * CHOOSE(CONTROL!$C$15, $E$9, 100%, $G$9) + CHOOSE(CONTROL!$C$38, 0.0355, 0)</f>
        <v>24.926299999999998</v>
      </c>
      <c r="G211" s="17">
        <f>22.606 * CHOOSE(CONTROL!$C$15, $E$9, 100%, $G$9) + CHOOSE(CONTROL!$C$38, 0.0356, 0)</f>
        <v>22.6416</v>
      </c>
      <c r="H211" s="17">
        <f>22.606 * CHOOSE(CONTROL!$C$15, $E$9, 100%, $G$9) + CHOOSE(CONTROL!$C$38, 0.0356, 0)</f>
        <v>22.6416</v>
      </c>
      <c r="I211" s="17">
        <f>22.6076 * CHOOSE(CONTROL!$C$15, $E$9, 100%, $G$9) + CHOOSE(CONTROL!$C$38, 0.0356, 0)</f>
        <v>22.6432</v>
      </c>
      <c r="J211" s="45">
        <f>168.7189</f>
        <v>168.71889999999999</v>
      </c>
    </row>
    <row r="212" spans="1:10" ht="15" x14ac:dyDescent="0.2">
      <c r="A212" s="16">
        <v>47362</v>
      </c>
      <c r="B212" s="17">
        <f>25.3637 * CHOOSE(CONTROL!$C$15, $E$9, 100%, $G$9) + CHOOSE(CONTROL!$C$38, 0.0355, 0)</f>
        <v>25.3992</v>
      </c>
      <c r="C212" s="17">
        <f>23.0761 * CHOOSE(CONTROL!$C$15, $E$9, 100%, $G$9) + CHOOSE(CONTROL!$C$38, 0.0356, 0)</f>
        <v>23.111699999999999</v>
      </c>
      <c r="D212" s="17">
        <f>23.0683 * CHOOSE(CONTROL!$C$15, $E$9, 100%, $G$9) + CHOOSE(CONTROL!$C$38, 0.0356, 0)</f>
        <v>23.103899999999999</v>
      </c>
      <c r="E212" s="17">
        <f>23.0683 * CHOOSE(CONTROL!$C$15, $E$9, 100%, $G$9) + CHOOSE(CONTROL!$C$38, 0.0356, 0)</f>
        <v>23.103899999999999</v>
      </c>
      <c r="F212" s="46">
        <f>25.3637 * CHOOSE(CONTROL!$C$15, $E$9, 100%, $G$9) + CHOOSE(CONTROL!$C$38, 0.0355, 0)</f>
        <v>25.3992</v>
      </c>
      <c r="G212" s="17">
        <f>23.0746 * CHOOSE(CONTROL!$C$15, $E$9, 100%, $G$9) + CHOOSE(CONTROL!$C$38, 0.0356, 0)</f>
        <v>23.110199999999999</v>
      </c>
      <c r="H212" s="17">
        <f>23.0746 * CHOOSE(CONTROL!$C$15, $E$9, 100%, $G$9) + CHOOSE(CONTROL!$C$38, 0.0356, 0)</f>
        <v>23.110199999999999</v>
      </c>
      <c r="I212" s="17">
        <f>23.0761 * CHOOSE(CONTROL!$C$15, $E$9, 100%, $G$9) + CHOOSE(CONTROL!$C$38, 0.0356, 0)</f>
        <v>23.111699999999999</v>
      </c>
      <c r="J212" s="45">
        <f>163.447</f>
        <v>163.447</v>
      </c>
    </row>
    <row r="213" spans="1:10" ht="15" x14ac:dyDescent="0.2">
      <c r="A213" s="16">
        <v>47392</v>
      </c>
      <c r="B213" s="17">
        <f>25.7696 * CHOOSE(CONTROL!$C$15, $E$9, 100%, $G$9) + CHOOSE(CONTROL!$C$38, 0.0342, 0)</f>
        <v>25.803799999999999</v>
      </c>
      <c r="C213" s="17">
        <f>23.4776 * CHOOSE(CONTROL!$C$15, $E$9, 100%, $G$9) + CHOOSE(CONTROL!$C$38, 0.0343, 0)</f>
        <v>23.511899999999997</v>
      </c>
      <c r="D213" s="17">
        <f>23.4698 * CHOOSE(CONTROL!$C$15, $E$9, 100%, $G$9) + CHOOSE(CONTROL!$C$38, 0.0343, 0)</f>
        <v>23.504100000000001</v>
      </c>
      <c r="E213" s="17">
        <f>23.4698 * CHOOSE(CONTROL!$C$15, $E$9, 100%, $G$9) + CHOOSE(CONTROL!$C$38, 0.0343, 0)</f>
        <v>23.504100000000001</v>
      </c>
      <c r="F213" s="46">
        <f>25.7696 * CHOOSE(CONTROL!$C$15, $E$9, 100%, $G$9) + CHOOSE(CONTROL!$C$38, 0.0342, 0)</f>
        <v>25.803799999999999</v>
      </c>
      <c r="G213" s="17">
        <f>23.4761 * CHOOSE(CONTROL!$C$15, $E$9, 100%, $G$9) + CHOOSE(CONTROL!$C$38, 0.0343, 0)</f>
        <v>23.510399999999997</v>
      </c>
      <c r="H213" s="17">
        <f>23.4761 * CHOOSE(CONTROL!$C$15, $E$9, 100%, $G$9) + CHOOSE(CONTROL!$C$38, 0.0343, 0)</f>
        <v>23.510399999999997</v>
      </c>
      <c r="I213" s="17">
        <f>23.4776 * CHOOSE(CONTROL!$C$15, $E$9, 100%, $G$9) + CHOOSE(CONTROL!$C$38, 0.0343, 0)</f>
        <v>23.511899999999997</v>
      </c>
      <c r="J213" s="45">
        <f>158.1198</f>
        <v>158.1198</v>
      </c>
    </row>
    <row r="214" spans="1:10" ht="15" x14ac:dyDescent="0.2">
      <c r="A214" s="16">
        <v>47423</v>
      </c>
      <c r="B214" s="17">
        <f>26.1182 * CHOOSE(CONTROL!$C$15, $E$9, 100%, $G$9) + CHOOSE(CONTROL!$C$38, 0.0342, 0)</f>
        <v>26.1524</v>
      </c>
      <c r="C214" s="17">
        <f>23.8218 * CHOOSE(CONTROL!$C$15, $E$9, 100%, $G$9) + CHOOSE(CONTROL!$C$38, 0.0343, 0)</f>
        <v>23.856099999999998</v>
      </c>
      <c r="D214" s="17">
        <f>23.814 * CHOOSE(CONTROL!$C$15, $E$9, 100%, $G$9) + CHOOSE(CONTROL!$C$38, 0.0343, 0)</f>
        <v>23.848300000000002</v>
      </c>
      <c r="E214" s="17">
        <f>23.814 * CHOOSE(CONTROL!$C$15, $E$9, 100%, $G$9) + CHOOSE(CONTROL!$C$38, 0.0343, 0)</f>
        <v>23.848300000000002</v>
      </c>
      <c r="F214" s="46">
        <f>26.1182 * CHOOSE(CONTROL!$C$15, $E$9, 100%, $G$9) + CHOOSE(CONTROL!$C$38, 0.0342, 0)</f>
        <v>26.1524</v>
      </c>
      <c r="G214" s="17">
        <f>23.8203 * CHOOSE(CONTROL!$C$15, $E$9, 100%, $G$9) + CHOOSE(CONTROL!$C$38, 0.0343, 0)</f>
        <v>23.854599999999998</v>
      </c>
      <c r="H214" s="17">
        <f>23.8203 * CHOOSE(CONTROL!$C$15, $E$9, 100%, $G$9) + CHOOSE(CONTROL!$C$38, 0.0343, 0)</f>
        <v>23.854599999999998</v>
      </c>
      <c r="I214" s="17">
        <f>23.8218 * CHOOSE(CONTROL!$C$15, $E$9, 100%, $G$9) + CHOOSE(CONTROL!$C$38, 0.0343, 0)</f>
        <v>23.856099999999998</v>
      </c>
      <c r="J214" s="45">
        <f>157.3166</f>
        <v>157.31659999999999</v>
      </c>
    </row>
    <row r="215" spans="1:10" ht="15" x14ac:dyDescent="0.2">
      <c r="A215" s="16">
        <v>47453</v>
      </c>
      <c r="B215" s="17">
        <f>27.0871 * CHOOSE(CONTROL!$C$15, $E$9, 100%, $G$9) + CHOOSE(CONTROL!$C$38, 0.0342, 0)</f>
        <v>27.121299999999998</v>
      </c>
      <c r="C215" s="17">
        <f>24.7863 * CHOOSE(CONTROL!$C$15, $E$9, 100%, $G$9) + CHOOSE(CONTROL!$C$38, 0.0343, 0)</f>
        <v>24.820599999999999</v>
      </c>
      <c r="D215" s="17">
        <f>24.7785 * CHOOSE(CONTROL!$C$15, $E$9, 100%, $G$9) + CHOOSE(CONTROL!$C$38, 0.0343, 0)</f>
        <v>24.812800000000003</v>
      </c>
      <c r="E215" s="17">
        <f>24.7785 * CHOOSE(CONTROL!$C$15, $E$9, 100%, $G$9) + CHOOSE(CONTROL!$C$38, 0.0343, 0)</f>
        <v>24.812800000000003</v>
      </c>
      <c r="F215" s="46">
        <f>27.0871 * CHOOSE(CONTROL!$C$15, $E$9, 100%, $G$9) + CHOOSE(CONTROL!$C$38, 0.0342, 0)</f>
        <v>27.121299999999998</v>
      </c>
      <c r="G215" s="17">
        <f>24.7848 * CHOOSE(CONTROL!$C$15, $E$9, 100%, $G$9) + CHOOSE(CONTROL!$C$38, 0.0343, 0)</f>
        <v>24.819099999999999</v>
      </c>
      <c r="H215" s="17">
        <f>24.7848 * CHOOSE(CONTROL!$C$15, $E$9, 100%, $G$9) + CHOOSE(CONTROL!$C$38, 0.0343, 0)</f>
        <v>24.819099999999999</v>
      </c>
      <c r="I215" s="17">
        <f>24.7863 * CHOOSE(CONTROL!$C$15, $E$9, 100%, $G$9) + CHOOSE(CONTROL!$C$38, 0.0343, 0)</f>
        <v>24.820599999999999</v>
      </c>
      <c r="J215" s="45">
        <f>152.9626</f>
        <v>152.96260000000001</v>
      </c>
    </row>
    <row r="216" spans="1:10" ht="15" x14ac:dyDescent="0.2">
      <c r="A216" s="16">
        <v>47484</v>
      </c>
      <c r="B216" s="17">
        <f>27.7509 * CHOOSE(CONTROL!$C$15, $E$9, 100%, $G$9) + CHOOSE(CONTROL!$C$38, 0.0342, 0)</f>
        <v>27.7851</v>
      </c>
      <c r="C216" s="17">
        <f>25.5482 * CHOOSE(CONTROL!$C$15, $E$9, 100%, $G$9) + CHOOSE(CONTROL!$C$38, 0.0343, 0)</f>
        <v>25.582500000000003</v>
      </c>
      <c r="D216" s="17">
        <f>25.5404 * CHOOSE(CONTROL!$C$15, $E$9, 100%, $G$9) + CHOOSE(CONTROL!$C$38, 0.0343, 0)</f>
        <v>25.5747</v>
      </c>
      <c r="E216" s="17">
        <f>25.5404 * CHOOSE(CONTROL!$C$15, $E$9, 100%, $G$9) + CHOOSE(CONTROL!$C$38, 0.0343, 0)</f>
        <v>25.5747</v>
      </c>
      <c r="F216" s="46">
        <f>27.7509 * CHOOSE(CONTROL!$C$15, $E$9, 100%, $G$9) + CHOOSE(CONTROL!$C$38, 0.0342, 0)</f>
        <v>27.7851</v>
      </c>
      <c r="G216" s="17">
        <f>25.5466 * CHOOSE(CONTROL!$C$15, $E$9, 100%, $G$9) + CHOOSE(CONTROL!$C$38, 0.0343, 0)</f>
        <v>25.5809</v>
      </c>
      <c r="H216" s="17">
        <f>25.5466 * CHOOSE(CONTROL!$C$15, $E$9, 100%, $G$9) + CHOOSE(CONTROL!$C$38, 0.0343, 0)</f>
        <v>25.5809</v>
      </c>
      <c r="I216" s="17">
        <f>25.5482 * CHOOSE(CONTROL!$C$15, $E$9, 100%, $G$9) + CHOOSE(CONTROL!$C$38, 0.0343, 0)</f>
        <v>25.582500000000003</v>
      </c>
      <c r="J216" s="45">
        <f>149.6287</f>
        <v>149.62870000000001</v>
      </c>
    </row>
    <row r="217" spans="1:10" ht="15" x14ac:dyDescent="0.2">
      <c r="A217" s="16">
        <v>47515</v>
      </c>
      <c r="B217" s="17">
        <f>28.1476 * CHOOSE(CONTROL!$C$15, $E$9, 100%, $G$9) + CHOOSE(CONTROL!$C$38, 0.0342, 0)</f>
        <v>28.181799999999999</v>
      </c>
      <c r="C217" s="17">
        <f>26.062 * CHOOSE(CONTROL!$C$15, $E$9, 100%, $G$9) + CHOOSE(CONTROL!$C$38, 0.0343, 0)</f>
        <v>26.096299999999999</v>
      </c>
      <c r="D217" s="17">
        <f>26.0542 * CHOOSE(CONTROL!$C$15, $E$9, 100%, $G$9) + CHOOSE(CONTROL!$C$38, 0.0343, 0)</f>
        <v>26.088500000000003</v>
      </c>
      <c r="E217" s="17">
        <f>26.0542 * CHOOSE(CONTROL!$C$15, $E$9, 100%, $G$9) + CHOOSE(CONTROL!$C$38, 0.0343, 0)</f>
        <v>26.088500000000003</v>
      </c>
      <c r="F217" s="46">
        <f>28.1476 * CHOOSE(CONTROL!$C$15, $E$9, 100%, $G$9) + CHOOSE(CONTROL!$C$38, 0.0342, 0)</f>
        <v>28.181799999999999</v>
      </c>
      <c r="G217" s="17">
        <f>26.0604 * CHOOSE(CONTROL!$C$15, $E$9, 100%, $G$9) + CHOOSE(CONTROL!$C$38, 0.0343, 0)</f>
        <v>26.094700000000003</v>
      </c>
      <c r="H217" s="17">
        <f>26.0604 * CHOOSE(CONTROL!$C$15, $E$9, 100%, $G$9) + CHOOSE(CONTROL!$C$38, 0.0343, 0)</f>
        <v>26.094700000000003</v>
      </c>
      <c r="I217" s="17">
        <f>26.062 * CHOOSE(CONTROL!$C$15, $E$9, 100%, $G$9) + CHOOSE(CONTROL!$C$38, 0.0343, 0)</f>
        <v>26.096299999999999</v>
      </c>
      <c r="J217" s="45">
        <f>149.5201</f>
        <v>149.52010000000001</v>
      </c>
    </row>
    <row r="218" spans="1:10" ht="15" x14ac:dyDescent="0.2">
      <c r="A218" s="16">
        <v>47543</v>
      </c>
      <c r="B218" s="17">
        <f>27.4138 * CHOOSE(CONTROL!$C$15, $E$9, 100%, $G$9) + CHOOSE(CONTROL!$C$38, 0.0342, 0)</f>
        <v>27.447999999999997</v>
      </c>
      <c r="C218" s="17">
        <f>25.2027 * CHOOSE(CONTROL!$C$15, $E$9, 100%, $G$9) + CHOOSE(CONTROL!$C$38, 0.0343, 0)</f>
        <v>25.237000000000002</v>
      </c>
      <c r="D218" s="17">
        <f>25.1948 * CHOOSE(CONTROL!$C$15, $E$9, 100%, $G$9) + CHOOSE(CONTROL!$C$38, 0.0343, 0)</f>
        <v>25.229100000000003</v>
      </c>
      <c r="E218" s="17">
        <f>25.1948 * CHOOSE(CONTROL!$C$15, $E$9, 100%, $G$9) + CHOOSE(CONTROL!$C$38, 0.0343, 0)</f>
        <v>25.229100000000003</v>
      </c>
      <c r="F218" s="46">
        <f>27.4138 * CHOOSE(CONTROL!$C$15, $E$9, 100%, $G$9) + CHOOSE(CONTROL!$C$38, 0.0342, 0)</f>
        <v>27.447999999999997</v>
      </c>
      <c r="G218" s="17">
        <f>25.2011 * CHOOSE(CONTROL!$C$15, $E$9, 100%, $G$9) + CHOOSE(CONTROL!$C$38, 0.0343, 0)</f>
        <v>25.235399999999998</v>
      </c>
      <c r="H218" s="17">
        <f>25.2011 * CHOOSE(CONTROL!$C$15, $E$9, 100%, $G$9) + CHOOSE(CONTROL!$C$38, 0.0343, 0)</f>
        <v>25.235399999999998</v>
      </c>
      <c r="I218" s="17">
        <f>25.2027 * CHOOSE(CONTROL!$C$15, $E$9, 100%, $G$9) + CHOOSE(CONTROL!$C$38, 0.0343, 0)</f>
        <v>25.237000000000002</v>
      </c>
      <c r="J218" s="45">
        <f>157.7249</f>
        <v>157.72489999999999</v>
      </c>
    </row>
    <row r="219" spans="1:10" ht="15" x14ac:dyDescent="0.2">
      <c r="A219" s="16">
        <v>47574</v>
      </c>
      <c r="B219" s="17">
        <f>26.7015 * CHOOSE(CONTROL!$C$15, $E$9, 100%, $G$9) + CHOOSE(CONTROL!$C$38, 0.0342, 0)</f>
        <v>26.735699999999998</v>
      </c>
      <c r="C219" s="17">
        <f>24.4861 * CHOOSE(CONTROL!$C$15, $E$9, 100%, $G$9) + CHOOSE(CONTROL!$C$38, 0.0343, 0)</f>
        <v>24.520400000000002</v>
      </c>
      <c r="D219" s="17">
        <f>24.4782 * CHOOSE(CONTROL!$C$15, $E$9, 100%, $G$9) + CHOOSE(CONTROL!$C$38, 0.0343, 0)</f>
        <v>24.512500000000003</v>
      </c>
      <c r="E219" s="17">
        <f>24.4782 * CHOOSE(CONTROL!$C$15, $E$9, 100%, $G$9) + CHOOSE(CONTROL!$C$38, 0.0343, 0)</f>
        <v>24.512500000000003</v>
      </c>
      <c r="F219" s="46">
        <f>26.7015 * CHOOSE(CONTROL!$C$15, $E$9, 100%, $G$9) + CHOOSE(CONTROL!$C$38, 0.0342, 0)</f>
        <v>26.735699999999998</v>
      </c>
      <c r="G219" s="17">
        <f>24.4845 * CHOOSE(CONTROL!$C$15, $E$9, 100%, $G$9) + CHOOSE(CONTROL!$C$38, 0.0343, 0)</f>
        <v>24.518799999999999</v>
      </c>
      <c r="H219" s="17">
        <f>24.4845 * CHOOSE(CONTROL!$C$15, $E$9, 100%, $G$9) + CHOOSE(CONTROL!$C$38, 0.0343, 0)</f>
        <v>24.518799999999999</v>
      </c>
      <c r="I219" s="17">
        <f>24.4861 * CHOOSE(CONTROL!$C$15, $E$9, 100%, $G$9) + CHOOSE(CONTROL!$C$38, 0.0343, 0)</f>
        <v>24.520400000000002</v>
      </c>
      <c r="J219" s="45">
        <f>168.3112</f>
        <v>168.31120000000001</v>
      </c>
    </row>
    <row r="220" spans="1:10" ht="15" x14ac:dyDescent="0.2">
      <c r="A220" s="16">
        <v>47604</v>
      </c>
      <c r="B220" s="17">
        <f>25.9535 * CHOOSE(CONTROL!$C$15, $E$9, 100%, $G$9) + CHOOSE(CONTROL!$C$38, 0.0355, 0)</f>
        <v>25.988999999999997</v>
      </c>
      <c r="C220" s="17">
        <f>23.7339 * CHOOSE(CONTROL!$C$15, $E$9, 100%, $G$9) + CHOOSE(CONTROL!$C$38, 0.0356, 0)</f>
        <v>23.769499999999997</v>
      </c>
      <c r="D220" s="17">
        <f>23.7261 * CHOOSE(CONTROL!$C$15, $E$9, 100%, $G$9) + CHOOSE(CONTROL!$C$38, 0.0356, 0)</f>
        <v>23.761699999999998</v>
      </c>
      <c r="E220" s="17">
        <f>23.7261 * CHOOSE(CONTROL!$C$15, $E$9, 100%, $G$9) + CHOOSE(CONTROL!$C$38, 0.0356, 0)</f>
        <v>23.761699999999998</v>
      </c>
      <c r="F220" s="46">
        <f>25.9535 * CHOOSE(CONTROL!$C$15, $E$9, 100%, $G$9) + CHOOSE(CONTROL!$C$38, 0.0355, 0)</f>
        <v>25.988999999999997</v>
      </c>
      <c r="G220" s="17">
        <f>23.7323 * CHOOSE(CONTROL!$C$15, $E$9, 100%, $G$9) + CHOOSE(CONTROL!$C$38, 0.0356, 0)</f>
        <v>23.767899999999997</v>
      </c>
      <c r="H220" s="17">
        <f>23.7323 * CHOOSE(CONTROL!$C$15, $E$9, 100%, $G$9) + CHOOSE(CONTROL!$C$38, 0.0356, 0)</f>
        <v>23.767899999999997</v>
      </c>
      <c r="I220" s="17">
        <f>23.7339 * CHOOSE(CONTROL!$C$15, $E$9, 100%, $G$9) + CHOOSE(CONTROL!$C$38, 0.0356, 0)</f>
        <v>23.769499999999997</v>
      </c>
      <c r="J220" s="45">
        <f>174.3177</f>
        <v>174.3177</v>
      </c>
    </row>
    <row r="221" spans="1:10" ht="15" x14ac:dyDescent="0.2">
      <c r="A221" s="16">
        <v>47635</v>
      </c>
      <c r="B221" s="17">
        <f>25.4425 * CHOOSE(CONTROL!$C$15, $E$9, 100%, $G$9) + CHOOSE(CONTROL!$C$38, 0.0355, 0)</f>
        <v>25.477999999999998</v>
      </c>
      <c r="C221" s="17">
        <f>23.2187 * CHOOSE(CONTROL!$C$15, $E$9, 100%, $G$9) + CHOOSE(CONTROL!$C$38, 0.0356, 0)</f>
        <v>23.254299999999997</v>
      </c>
      <c r="D221" s="17">
        <f>23.2108 * CHOOSE(CONTROL!$C$15, $E$9, 100%, $G$9) + CHOOSE(CONTROL!$C$38, 0.0356, 0)</f>
        <v>23.246399999999998</v>
      </c>
      <c r="E221" s="17">
        <f>23.2108 * CHOOSE(CONTROL!$C$15, $E$9, 100%, $G$9) + CHOOSE(CONTROL!$C$38, 0.0356, 0)</f>
        <v>23.246399999999998</v>
      </c>
      <c r="F221" s="46">
        <f>25.4425 * CHOOSE(CONTROL!$C$15, $E$9, 100%, $G$9) + CHOOSE(CONTROL!$C$38, 0.0355, 0)</f>
        <v>25.477999999999998</v>
      </c>
      <c r="G221" s="17">
        <f>23.2171 * CHOOSE(CONTROL!$C$15, $E$9, 100%, $G$9) + CHOOSE(CONTROL!$C$38, 0.0356, 0)</f>
        <v>23.252699999999997</v>
      </c>
      <c r="H221" s="17">
        <f>23.2171 * CHOOSE(CONTROL!$C$15, $E$9, 100%, $G$9) + CHOOSE(CONTROL!$C$38, 0.0356, 0)</f>
        <v>23.252699999999997</v>
      </c>
      <c r="I221" s="17">
        <f>23.2187 * CHOOSE(CONTROL!$C$15, $E$9, 100%, $G$9) + CHOOSE(CONTROL!$C$38, 0.0356, 0)</f>
        <v>23.254299999999997</v>
      </c>
      <c r="J221" s="45">
        <f>177.1937</f>
        <v>177.19370000000001</v>
      </c>
    </row>
    <row r="222" spans="1:10" ht="15" x14ac:dyDescent="0.2">
      <c r="A222" s="16">
        <v>47665</v>
      </c>
      <c r="B222" s="17">
        <f>25.1716 * CHOOSE(CONTROL!$C$15, $E$9, 100%, $G$9) + CHOOSE(CONTROL!$C$38, 0.0355, 0)</f>
        <v>25.207100000000001</v>
      </c>
      <c r="C222" s="17">
        <f>22.9435 * CHOOSE(CONTROL!$C$15, $E$9, 100%, $G$9) + CHOOSE(CONTROL!$C$38, 0.0356, 0)</f>
        <v>22.979099999999999</v>
      </c>
      <c r="D222" s="17">
        <f>22.9357 * CHOOSE(CONTROL!$C$15, $E$9, 100%, $G$9) + CHOOSE(CONTROL!$C$38, 0.0356, 0)</f>
        <v>22.971299999999999</v>
      </c>
      <c r="E222" s="17">
        <f>22.9357 * CHOOSE(CONTROL!$C$15, $E$9, 100%, $G$9) + CHOOSE(CONTROL!$C$38, 0.0356, 0)</f>
        <v>22.971299999999999</v>
      </c>
      <c r="F222" s="46">
        <f>25.1716 * CHOOSE(CONTROL!$C$15, $E$9, 100%, $G$9) + CHOOSE(CONTROL!$C$38, 0.0355, 0)</f>
        <v>25.207100000000001</v>
      </c>
      <c r="G222" s="17">
        <f>22.9419 * CHOOSE(CONTROL!$C$15, $E$9, 100%, $G$9) + CHOOSE(CONTROL!$C$38, 0.0356, 0)</f>
        <v>22.977499999999999</v>
      </c>
      <c r="H222" s="17">
        <f>22.9419 * CHOOSE(CONTROL!$C$15, $E$9, 100%, $G$9) + CHOOSE(CONTROL!$C$38, 0.0356, 0)</f>
        <v>22.977499999999999</v>
      </c>
      <c r="I222" s="17">
        <f>22.9435 * CHOOSE(CONTROL!$C$15, $E$9, 100%, $G$9) + CHOOSE(CONTROL!$C$38, 0.0356, 0)</f>
        <v>22.979099999999999</v>
      </c>
      <c r="J222" s="45">
        <f>176.7283</f>
        <v>176.72829999999999</v>
      </c>
    </row>
    <row r="223" spans="1:10" ht="15" x14ac:dyDescent="0.2">
      <c r="A223" s="16">
        <v>47696</v>
      </c>
      <c r="B223" s="17">
        <f>25.3306 * CHOOSE(CONTROL!$C$15, $E$9, 100%, $G$9) + CHOOSE(CONTROL!$C$38, 0.0355, 0)</f>
        <v>25.366099999999999</v>
      </c>
      <c r="C223" s="17">
        <f>23.1024 * CHOOSE(CONTROL!$C$15, $E$9, 100%, $G$9) + CHOOSE(CONTROL!$C$38, 0.0356, 0)</f>
        <v>23.137999999999998</v>
      </c>
      <c r="D223" s="17">
        <f>23.0946 * CHOOSE(CONTROL!$C$15, $E$9, 100%, $G$9) + CHOOSE(CONTROL!$C$38, 0.0356, 0)</f>
        <v>23.130199999999999</v>
      </c>
      <c r="E223" s="17">
        <f>23.0946 * CHOOSE(CONTROL!$C$15, $E$9, 100%, $G$9) + CHOOSE(CONTROL!$C$38, 0.0356, 0)</f>
        <v>23.130199999999999</v>
      </c>
      <c r="F223" s="46">
        <f>25.3306 * CHOOSE(CONTROL!$C$15, $E$9, 100%, $G$9) + CHOOSE(CONTROL!$C$38, 0.0355, 0)</f>
        <v>25.366099999999999</v>
      </c>
      <c r="G223" s="17">
        <f>23.1009 * CHOOSE(CONTROL!$C$15, $E$9, 100%, $G$9) + CHOOSE(CONTROL!$C$38, 0.0356, 0)</f>
        <v>23.136499999999998</v>
      </c>
      <c r="H223" s="17">
        <f>23.1009 * CHOOSE(CONTROL!$C$15, $E$9, 100%, $G$9) + CHOOSE(CONTROL!$C$38, 0.0356, 0)</f>
        <v>23.136499999999998</v>
      </c>
      <c r="I223" s="17">
        <f>23.1024 * CHOOSE(CONTROL!$C$15, $E$9, 100%, $G$9) + CHOOSE(CONTROL!$C$38, 0.0356, 0)</f>
        <v>23.137999999999998</v>
      </c>
      <c r="J223" s="45">
        <f>172.6141</f>
        <v>172.61410000000001</v>
      </c>
    </row>
    <row r="224" spans="1:10" ht="15" x14ac:dyDescent="0.2">
      <c r="A224" s="16">
        <v>47727</v>
      </c>
      <c r="B224" s="17">
        <f>25.7623 * CHOOSE(CONTROL!$C$15, $E$9, 100%, $G$9) + CHOOSE(CONTROL!$C$38, 0.0355, 0)</f>
        <v>25.797799999999999</v>
      </c>
      <c r="C224" s="17">
        <f>23.5341 * CHOOSE(CONTROL!$C$15, $E$9, 100%, $G$9) + CHOOSE(CONTROL!$C$38, 0.0356, 0)</f>
        <v>23.569699999999997</v>
      </c>
      <c r="D224" s="17">
        <f>23.5263 * CHOOSE(CONTROL!$C$15, $E$9, 100%, $G$9) + CHOOSE(CONTROL!$C$38, 0.0356, 0)</f>
        <v>23.561899999999998</v>
      </c>
      <c r="E224" s="17">
        <f>23.5263 * CHOOSE(CONTROL!$C$15, $E$9, 100%, $G$9) + CHOOSE(CONTROL!$C$38, 0.0356, 0)</f>
        <v>23.561899999999998</v>
      </c>
      <c r="F224" s="46">
        <f>25.7623 * CHOOSE(CONTROL!$C$15, $E$9, 100%, $G$9) + CHOOSE(CONTROL!$C$38, 0.0355, 0)</f>
        <v>25.797799999999999</v>
      </c>
      <c r="G224" s="17">
        <f>23.5326 * CHOOSE(CONTROL!$C$15, $E$9, 100%, $G$9) + CHOOSE(CONTROL!$C$38, 0.0356, 0)</f>
        <v>23.568199999999997</v>
      </c>
      <c r="H224" s="17">
        <f>23.5326 * CHOOSE(CONTROL!$C$15, $E$9, 100%, $G$9) + CHOOSE(CONTROL!$C$38, 0.0356, 0)</f>
        <v>23.568199999999997</v>
      </c>
      <c r="I224" s="17">
        <f>23.5341 * CHOOSE(CONTROL!$C$15, $E$9, 100%, $G$9) + CHOOSE(CONTROL!$C$38, 0.0356, 0)</f>
        <v>23.569699999999997</v>
      </c>
      <c r="J224" s="45">
        <f>166.8767</f>
        <v>166.8767</v>
      </c>
    </row>
    <row r="225" spans="1:10" ht="15" x14ac:dyDescent="0.2">
      <c r="A225" s="16">
        <v>47757</v>
      </c>
      <c r="B225" s="17">
        <f>26.1238 * CHOOSE(CONTROL!$C$15, $E$9, 100%, $G$9) + CHOOSE(CONTROL!$C$38, 0.0342, 0)</f>
        <v>26.157999999999998</v>
      </c>
      <c r="C225" s="17">
        <f>23.8957 * CHOOSE(CONTROL!$C$15, $E$9, 100%, $G$9) + CHOOSE(CONTROL!$C$38, 0.0343, 0)</f>
        <v>23.93</v>
      </c>
      <c r="D225" s="17">
        <f>23.8879 * CHOOSE(CONTROL!$C$15, $E$9, 100%, $G$9) + CHOOSE(CONTROL!$C$38, 0.0343, 0)</f>
        <v>23.922199999999997</v>
      </c>
      <c r="E225" s="17">
        <f>23.8879 * CHOOSE(CONTROL!$C$15, $E$9, 100%, $G$9) + CHOOSE(CONTROL!$C$38, 0.0343, 0)</f>
        <v>23.922199999999997</v>
      </c>
      <c r="F225" s="46">
        <f>26.1238 * CHOOSE(CONTROL!$C$15, $E$9, 100%, $G$9) + CHOOSE(CONTROL!$C$38, 0.0342, 0)</f>
        <v>26.157999999999998</v>
      </c>
      <c r="G225" s="17">
        <f>23.8941 * CHOOSE(CONTROL!$C$15, $E$9, 100%, $G$9) + CHOOSE(CONTROL!$C$38, 0.0343, 0)</f>
        <v>23.928400000000003</v>
      </c>
      <c r="H225" s="17">
        <f>23.8941 * CHOOSE(CONTROL!$C$15, $E$9, 100%, $G$9) + CHOOSE(CONTROL!$C$38, 0.0343, 0)</f>
        <v>23.928400000000003</v>
      </c>
      <c r="I225" s="17">
        <f>23.8957 * CHOOSE(CONTROL!$C$15, $E$9, 100%, $G$9) + CHOOSE(CONTROL!$C$38, 0.0343, 0)</f>
        <v>23.93</v>
      </c>
      <c r="J225" s="45">
        <f>161.1059</f>
        <v>161.10589999999999</v>
      </c>
    </row>
    <row r="226" spans="1:10" ht="15" x14ac:dyDescent="0.2">
      <c r="A226" s="16">
        <v>47788</v>
      </c>
      <c r="B226" s="17">
        <f>26.4256 * CHOOSE(CONTROL!$C$15, $E$9, 100%, $G$9) + CHOOSE(CONTROL!$C$38, 0.0342, 0)</f>
        <v>26.459799999999998</v>
      </c>
      <c r="C226" s="17">
        <f>24.1974 * CHOOSE(CONTROL!$C$15, $E$9, 100%, $G$9) + CHOOSE(CONTROL!$C$38, 0.0343, 0)</f>
        <v>24.231699999999996</v>
      </c>
      <c r="D226" s="17">
        <f>24.1896 * CHOOSE(CONTROL!$C$15, $E$9, 100%, $G$9) + CHOOSE(CONTROL!$C$38, 0.0343, 0)</f>
        <v>24.2239</v>
      </c>
      <c r="E226" s="17">
        <f>24.1896 * CHOOSE(CONTROL!$C$15, $E$9, 100%, $G$9) + CHOOSE(CONTROL!$C$38, 0.0343, 0)</f>
        <v>24.2239</v>
      </c>
      <c r="F226" s="46">
        <f>26.4256 * CHOOSE(CONTROL!$C$15, $E$9, 100%, $G$9) + CHOOSE(CONTROL!$C$38, 0.0342, 0)</f>
        <v>26.459799999999998</v>
      </c>
      <c r="G226" s="17">
        <f>24.1958 * CHOOSE(CONTROL!$C$15, $E$9, 100%, $G$9) + CHOOSE(CONTROL!$C$38, 0.0343, 0)</f>
        <v>24.2301</v>
      </c>
      <c r="H226" s="17">
        <f>24.1958 * CHOOSE(CONTROL!$C$15, $E$9, 100%, $G$9) + CHOOSE(CONTROL!$C$38, 0.0343, 0)</f>
        <v>24.2301</v>
      </c>
      <c r="I226" s="17">
        <f>24.1974 * CHOOSE(CONTROL!$C$15, $E$9, 100%, $G$9) + CHOOSE(CONTROL!$C$38, 0.0343, 0)</f>
        <v>24.231699999999996</v>
      </c>
      <c r="J226" s="45">
        <f>159.958</f>
        <v>159.958</v>
      </c>
    </row>
    <row r="227" spans="1:10" ht="15" x14ac:dyDescent="0.2">
      <c r="A227" s="16">
        <v>47818</v>
      </c>
      <c r="B227" s="17">
        <f>27.3552 * CHOOSE(CONTROL!$C$15, $E$9, 100%, $G$9) + CHOOSE(CONTROL!$C$38, 0.0342, 0)</f>
        <v>27.389399999999998</v>
      </c>
      <c r="C227" s="17">
        <f>25.1271 * CHOOSE(CONTROL!$C$15, $E$9, 100%, $G$9) + CHOOSE(CONTROL!$C$38, 0.0343, 0)</f>
        <v>25.1614</v>
      </c>
      <c r="D227" s="17">
        <f>25.1192 * CHOOSE(CONTROL!$C$15, $E$9, 100%, $G$9) + CHOOSE(CONTROL!$C$38, 0.0343, 0)</f>
        <v>25.153500000000001</v>
      </c>
      <c r="E227" s="17">
        <f>25.1192 * CHOOSE(CONTROL!$C$15, $E$9, 100%, $G$9) + CHOOSE(CONTROL!$C$38, 0.0343, 0)</f>
        <v>25.153500000000001</v>
      </c>
      <c r="F227" s="46">
        <f>27.3552 * CHOOSE(CONTROL!$C$15, $E$9, 100%, $G$9) + CHOOSE(CONTROL!$C$38, 0.0342, 0)</f>
        <v>27.389399999999998</v>
      </c>
      <c r="G227" s="17">
        <f>25.1255 * CHOOSE(CONTROL!$C$15, $E$9, 100%, $G$9) + CHOOSE(CONTROL!$C$38, 0.0343, 0)</f>
        <v>25.159799999999997</v>
      </c>
      <c r="H227" s="17">
        <f>25.1255 * CHOOSE(CONTROL!$C$15, $E$9, 100%, $G$9) + CHOOSE(CONTROL!$C$38, 0.0343, 0)</f>
        <v>25.159799999999997</v>
      </c>
      <c r="I227" s="17">
        <f>25.1271 * CHOOSE(CONTROL!$C$15, $E$9, 100%, $G$9) + CHOOSE(CONTROL!$C$38, 0.0343, 0)</f>
        <v>25.1614</v>
      </c>
      <c r="J227" s="45">
        <f>155.2112</f>
        <v>155.21119999999999</v>
      </c>
    </row>
    <row r="228" spans="1:10" ht="15" x14ac:dyDescent="0.2">
      <c r="A228" s="16">
        <v>47849</v>
      </c>
      <c r="B228" s="17">
        <f>28.5239 * CHOOSE(CONTROL!$C$15, $E$9, 100%, $G$9) + CHOOSE(CONTROL!$C$38, 0.0342, 0)</f>
        <v>28.5581</v>
      </c>
      <c r="C228" s="17">
        <f>26.2609 * CHOOSE(CONTROL!$C$15, $E$9, 100%, $G$9) + CHOOSE(CONTROL!$C$38, 0.0343, 0)</f>
        <v>26.295200000000001</v>
      </c>
      <c r="D228" s="17">
        <f>26.2531 * CHOOSE(CONTROL!$C$15, $E$9, 100%, $G$9) + CHOOSE(CONTROL!$C$38, 0.0343, 0)</f>
        <v>26.287399999999998</v>
      </c>
      <c r="E228" s="17">
        <f>26.2531 * CHOOSE(CONTROL!$C$15, $E$9, 100%, $G$9) + CHOOSE(CONTROL!$C$38, 0.0343, 0)</f>
        <v>26.287399999999998</v>
      </c>
      <c r="F228" s="46">
        <f>28.5239 * CHOOSE(CONTROL!$C$15, $E$9, 100%, $G$9) + CHOOSE(CONTROL!$C$38, 0.0342, 0)</f>
        <v>28.5581</v>
      </c>
      <c r="G228" s="17">
        <f>26.2594 * CHOOSE(CONTROL!$C$15, $E$9, 100%, $G$9) + CHOOSE(CONTROL!$C$38, 0.0343, 0)</f>
        <v>26.293700000000001</v>
      </c>
      <c r="H228" s="17">
        <f>26.2594 * CHOOSE(CONTROL!$C$15, $E$9, 100%, $G$9) + CHOOSE(CONTROL!$C$38, 0.0343, 0)</f>
        <v>26.293700000000001</v>
      </c>
      <c r="I228" s="17">
        <f>26.2609 * CHOOSE(CONTROL!$C$15, $E$9, 100%, $G$9) + CHOOSE(CONTROL!$C$38, 0.0343, 0)</f>
        <v>26.295200000000001</v>
      </c>
      <c r="J228" s="45">
        <f>155.0992</f>
        <v>155.0992</v>
      </c>
    </row>
    <row r="229" spans="1:10" ht="15" x14ac:dyDescent="0.2">
      <c r="A229" s="16">
        <v>47880</v>
      </c>
      <c r="B229" s="17">
        <f>28.8682 * CHOOSE(CONTROL!$C$15, $E$9, 100%, $G$9) + CHOOSE(CONTROL!$C$38, 0.0342, 0)</f>
        <v>28.9024</v>
      </c>
      <c r="C229" s="17">
        <f>26.6052 * CHOOSE(CONTROL!$C$15, $E$9, 100%, $G$9) + CHOOSE(CONTROL!$C$38, 0.0343, 0)</f>
        <v>26.639499999999998</v>
      </c>
      <c r="D229" s="17">
        <f>26.5974 * CHOOSE(CONTROL!$C$15, $E$9, 100%, $G$9) + CHOOSE(CONTROL!$C$38, 0.0343, 0)</f>
        <v>26.631700000000002</v>
      </c>
      <c r="E229" s="17">
        <f>26.5974 * CHOOSE(CONTROL!$C$15, $E$9, 100%, $G$9) + CHOOSE(CONTROL!$C$38, 0.0343, 0)</f>
        <v>26.631700000000002</v>
      </c>
      <c r="F229" s="46">
        <f>28.8682 * CHOOSE(CONTROL!$C$15, $E$9, 100%, $G$9) + CHOOSE(CONTROL!$C$38, 0.0342, 0)</f>
        <v>28.9024</v>
      </c>
      <c r="G229" s="17">
        <f>26.6037 * CHOOSE(CONTROL!$C$15, $E$9, 100%, $G$9) + CHOOSE(CONTROL!$C$38, 0.0343, 0)</f>
        <v>26.637999999999998</v>
      </c>
      <c r="H229" s="17">
        <f>26.6037 * CHOOSE(CONTROL!$C$15, $E$9, 100%, $G$9) + CHOOSE(CONTROL!$C$38, 0.0343, 0)</f>
        <v>26.637999999999998</v>
      </c>
      <c r="I229" s="17">
        <f>26.6052 * CHOOSE(CONTROL!$C$15, $E$9, 100%, $G$9) + CHOOSE(CONTROL!$C$38, 0.0343, 0)</f>
        <v>26.639499999999998</v>
      </c>
      <c r="J229" s="45">
        <f>154.6681</f>
        <v>154.66810000000001</v>
      </c>
    </row>
    <row r="230" spans="1:10" ht="15" x14ac:dyDescent="0.2">
      <c r="A230" s="16">
        <v>47908</v>
      </c>
      <c r="B230" s="17">
        <f>28.0712 * CHOOSE(CONTROL!$C$15, $E$9, 100%, $G$9) + CHOOSE(CONTROL!$C$38, 0.0342, 0)</f>
        <v>28.105399999999999</v>
      </c>
      <c r="C230" s="17">
        <f>25.9328 * CHOOSE(CONTROL!$C$15, $E$9, 100%, $G$9) + CHOOSE(CONTROL!$C$38, 0.0343, 0)</f>
        <v>25.967100000000002</v>
      </c>
      <c r="D230" s="17">
        <f>25.925 * CHOOSE(CONTROL!$C$15, $E$9, 100%, $G$9) + CHOOSE(CONTROL!$C$38, 0.0343, 0)</f>
        <v>25.959299999999999</v>
      </c>
      <c r="E230" s="17">
        <f>25.925 * CHOOSE(CONTROL!$C$15, $E$9, 100%, $G$9) + CHOOSE(CONTROL!$C$38, 0.0343, 0)</f>
        <v>25.959299999999999</v>
      </c>
      <c r="F230" s="46">
        <f>28.0712 * CHOOSE(CONTROL!$C$15, $E$9, 100%, $G$9) + CHOOSE(CONTROL!$C$38, 0.0342, 0)</f>
        <v>28.105399999999999</v>
      </c>
      <c r="G230" s="17">
        <f>25.9313 * CHOOSE(CONTROL!$C$15, $E$9, 100%, $G$9) + CHOOSE(CONTROL!$C$38, 0.0343, 0)</f>
        <v>25.965600000000002</v>
      </c>
      <c r="H230" s="17">
        <f>25.9313 * CHOOSE(CONTROL!$C$15, $E$9, 100%, $G$9) + CHOOSE(CONTROL!$C$38, 0.0343, 0)</f>
        <v>25.965600000000002</v>
      </c>
      <c r="I230" s="17">
        <f>25.9328 * CHOOSE(CONTROL!$C$15, $E$9, 100%, $G$9) + CHOOSE(CONTROL!$C$38, 0.0343, 0)</f>
        <v>25.967100000000002</v>
      </c>
      <c r="J230" s="45">
        <f>162.82</f>
        <v>162.82</v>
      </c>
    </row>
    <row r="231" spans="1:10" ht="15" x14ac:dyDescent="0.2">
      <c r="A231" s="16">
        <v>47939</v>
      </c>
      <c r="B231" s="17">
        <f>27.2988 * CHOOSE(CONTROL!$C$15, $E$9, 100%, $G$9) + CHOOSE(CONTROL!$C$38, 0.0342, 0)</f>
        <v>27.332999999999998</v>
      </c>
      <c r="C231" s="17">
        <f>25.0359 * CHOOSE(CONTROL!$C$15, $E$9, 100%, $G$9) + CHOOSE(CONTROL!$C$38, 0.0343, 0)</f>
        <v>25.0702</v>
      </c>
      <c r="D231" s="17">
        <f>25.0281 * CHOOSE(CONTROL!$C$15, $E$9, 100%, $G$9) + CHOOSE(CONTROL!$C$38, 0.0343, 0)</f>
        <v>25.062399999999997</v>
      </c>
      <c r="E231" s="17">
        <f>25.0281 * CHOOSE(CONTROL!$C$15, $E$9, 100%, $G$9) + CHOOSE(CONTROL!$C$38, 0.0343, 0)</f>
        <v>25.062399999999997</v>
      </c>
      <c r="F231" s="46">
        <f>27.2988 * CHOOSE(CONTROL!$C$15, $E$9, 100%, $G$9) + CHOOSE(CONTROL!$C$38, 0.0342, 0)</f>
        <v>27.332999999999998</v>
      </c>
      <c r="G231" s="17">
        <f>25.0343 * CHOOSE(CONTROL!$C$15, $E$9, 100%, $G$9) + CHOOSE(CONTROL!$C$38, 0.0343, 0)</f>
        <v>25.068600000000004</v>
      </c>
      <c r="H231" s="17">
        <f>25.0343 * CHOOSE(CONTROL!$C$15, $E$9, 100%, $G$9) + CHOOSE(CONTROL!$C$38, 0.0343, 0)</f>
        <v>25.068600000000004</v>
      </c>
      <c r="I231" s="17">
        <f>25.0359 * CHOOSE(CONTROL!$C$15, $E$9, 100%, $G$9) + CHOOSE(CONTROL!$C$38, 0.0343, 0)</f>
        <v>25.0702</v>
      </c>
      <c r="J231" s="45">
        <f>173.391</f>
        <v>173.39099999999999</v>
      </c>
    </row>
    <row r="232" spans="1:10" ht="15" x14ac:dyDescent="0.2">
      <c r="A232" s="16">
        <v>47969</v>
      </c>
      <c r="B232" s="17">
        <f>26.4939 * CHOOSE(CONTROL!$C$15, $E$9, 100%, $G$9) + CHOOSE(CONTROL!$C$38, 0.0355, 0)</f>
        <v>26.529399999999999</v>
      </c>
      <c r="C232" s="17">
        <f>24.2309 * CHOOSE(CONTROL!$C$15, $E$9, 100%, $G$9) + CHOOSE(CONTROL!$C$38, 0.0356, 0)</f>
        <v>24.266499999999997</v>
      </c>
      <c r="D232" s="17">
        <f>24.2231 * CHOOSE(CONTROL!$C$15, $E$9, 100%, $G$9) + CHOOSE(CONTROL!$C$38, 0.0356, 0)</f>
        <v>24.258699999999997</v>
      </c>
      <c r="E232" s="17">
        <f>24.2231 * CHOOSE(CONTROL!$C$15, $E$9, 100%, $G$9) + CHOOSE(CONTROL!$C$38, 0.0356, 0)</f>
        <v>24.258699999999997</v>
      </c>
      <c r="F232" s="46">
        <f>26.4939 * CHOOSE(CONTROL!$C$15, $E$9, 100%, $G$9) + CHOOSE(CONTROL!$C$38, 0.0355, 0)</f>
        <v>26.529399999999999</v>
      </c>
      <c r="G232" s="17">
        <f>24.2294 * CHOOSE(CONTROL!$C$15, $E$9, 100%, $G$9) + CHOOSE(CONTROL!$C$38, 0.0356, 0)</f>
        <v>24.264999999999997</v>
      </c>
      <c r="H232" s="17">
        <f>24.2294 * CHOOSE(CONTROL!$C$15, $E$9, 100%, $G$9) + CHOOSE(CONTROL!$C$38, 0.0356, 0)</f>
        <v>24.264999999999997</v>
      </c>
      <c r="I232" s="17">
        <f>24.2309 * CHOOSE(CONTROL!$C$15, $E$9, 100%, $G$9) + CHOOSE(CONTROL!$C$38, 0.0356, 0)</f>
        <v>24.266499999999997</v>
      </c>
      <c r="J232" s="45">
        <f>179.2097</f>
        <v>179.2097</v>
      </c>
    </row>
    <row r="233" spans="1:10" ht="15" x14ac:dyDescent="0.2">
      <c r="A233" s="16">
        <v>48000</v>
      </c>
      <c r="B233" s="17">
        <f>25.9295 * CHOOSE(CONTROL!$C$15, $E$9, 100%, $G$9) + CHOOSE(CONTROL!$C$38, 0.0355, 0)</f>
        <v>25.965</v>
      </c>
      <c r="C233" s="17">
        <f>23.6666 * CHOOSE(CONTROL!$C$15, $E$9, 100%, $G$9) + CHOOSE(CONTROL!$C$38, 0.0356, 0)</f>
        <v>23.702199999999998</v>
      </c>
      <c r="D233" s="17">
        <f>23.6588 * CHOOSE(CONTROL!$C$15, $E$9, 100%, $G$9) + CHOOSE(CONTROL!$C$38, 0.0356, 0)</f>
        <v>23.694399999999998</v>
      </c>
      <c r="E233" s="17">
        <f>23.6588 * CHOOSE(CONTROL!$C$15, $E$9, 100%, $G$9) + CHOOSE(CONTROL!$C$38, 0.0356, 0)</f>
        <v>23.694399999999998</v>
      </c>
      <c r="F233" s="46">
        <f>25.9295 * CHOOSE(CONTROL!$C$15, $E$9, 100%, $G$9) + CHOOSE(CONTROL!$C$38, 0.0355, 0)</f>
        <v>25.965</v>
      </c>
      <c r="G233" s="17">
        <f>23.665 * CHOOSE(CONTROL!$C$15, $E$9, 100%, $G$9) + CHOOSE(CONTROL!$C$38, 0.0356, 0)</f>
        <v>23.700599999999998</v>
      </c>
      <c r="H233" s="17">
        <f>23.665 * CHOOSE(CONTROL!$C$15, $E$9, 100%, $G$9) + CHOOSE(CONTROL!$C$38, 0.0356, 0)</f>
        <v>23.700599999999998</v>
      </c>
      <c r="I233" s="17">
        <f>23.6666 * CHOOSE(CONTROL!$C$15, $E$9, 100%, $G$9) + CHOOSE(CONTROL!$C$38, 0.0356, 0)</f>
        <v>23.702199999999998</v>
      </c>
      <c r="J233" s="45">
        <f>181.7919</f>
        <v>181.7919</v>
      </c>
    </row>
    <row r="234" spans="1:10" ht="15" x14ac:dyDescent="0.2">
      <c r="A234" s="16">
        <v>48030</v>
      </c>
      <c r="B234" s="17">
        <f>25.6075 * CHOOSE(CONTROL!$C$15, $E$9, 100%, $G$9) + CHOOSE(CONTROL!$C$38, 0.0355, 0)</f>
        <v>25.643000000000001</v>
      </c>
      <c r="C234" s="17">
        <f>23.3445 * CHOOSE(CONTROL!$C$15, $E$9, 100%, $G$9) + CHOOSE(CONTROL!$C$38, 0.0356, 0)</f>
        <v>23.380099999999999</v>
      </c>
      <c r="D234" s="17">
        <f>23.3367 * CHOOSE(CONTROL!$C$15, $E$9, 100%, $G$9) + CHOOSE(CONTROL!$C$38, 0.0356, 0)</f>
        <v>23.372299999999999</v>
      </c>
      <c r="E234" s="17">
        <f>23.3367 * CHOOSE(CONTROL!$C$15, $E$9, 100%, $G$9) + CHOOSE(CONTROL!$C$38, 0.0356, 0)</f>
        <v>23.372299999999999</v>
      </c>
      <c r="F234" s="46">
        <f>25.6075 * CHOOSE(CONTROL!$C$15, $E$9, 100%, $G$9) + CHOOSE(CONTROL!$C$38, 0.0355, 0)</f>
        <v>25.643000000000001</v>
      </c>
      <c r="G234" s="17">
        <f>23.343 * CHOOSE(CONTROL!$C$15, $E$9, 100%, $G$9) + CHOOSE(CONTROL!$C$38, 0.0356, 0)</f>
        <v>23.378599999999999</v>
      </c>
      <c r="H234" s="17">
        <f>23.343 * CHOOSE(CONTROL!$C$15, $E$9, 100%, $G$9) + CHOOSE(CONTROL!$C$38, 0.0356, 0)</f>
        <v>23.378599999999999</v>
      </c>
      <c r="I234" s="17">
        <f>23.3445 * CHOOSE(CONTROL!$C$15, $E$9, 100%, $G$9) + CHOOSE(CONTROL!$C$38, 0.0356, 0)</f>
        <v>23.380099999999999</v>
      </c>
      <c r="J234" s="45">
        <f>180.9417</f>
        <v>180.9417</v>
      </c>
    </row>
    <row r="235" spans="1:10" ht="15" x14ac:dyDescent="0.2">
      <c r="A235" s="16">
        <v>48061</v>
      </c>
      <c r="B235" s="17">
        <f>25.7664 * CHOOSE(CONTROL!$C$15, $E$9, 100%, $G$9) + CHOOSE(CONTROL!$C$38, 0.0355, 0)</f>
        <v>25.8019</v>
      </c>
      <c r="C235" s="17">
        <f>23.5035 * CHOOSE(CONTROL!$C$15, $E$9, 100%, $G$9) + CHOOSE(CONTROL!$C$38, 0.0356, 0)</f>
        <v>23.539099999999998</v>
      </c>
      <c r="D235" s="17">
        <f>23.4957 * CHOOSE(CONTROL!$C$15, $E$9, 100%, $G$9) + CHOOSE(CONTROL!$C$38, 0.0356, 0)</f>
        <v>23.531299999999998</v>
      </c>
      <c r="E235" s="17">
        <f>23.4957 * CHOOSE(CONTROL!$C$15, $E$9, 100%, $G$9) + CHOOSE(CONTROL!$C$38, 0.0356, 0)</f>
        <v>23.531299999999998</v>
      </c>
      <c r="F235" s="46">
        <f>25.7664 * CHOOSE(CONTROL!$C$15, $E$9, 100%, $G$9) + CHOOSE(CONTROL!$C$38, 0.0355, 0)</f>
        <v>25.8019</v>
      </c>
      <c r="G235" s="17">
        <f>23.5019 * CHOOSE(CONTROL!$C$15, $E$9, 100%, $G$9) + CHOOSE(CONTROL!$C$38, 0.0356, 0)</f>
        <v>23.537499999999998</v>
      </c>
      <c r="H235" s="17">
        <f>23.5019 * CHOOSE(CONTROL!$C$15, $E$9, 100%, $G$9) + CHOOSE(CONTROL!$C$38, 0.0356, 0)</f>
        <v>23.537499999999998</v>
      </c>
      <c r="I235" s="17">
        <f>23.5035 * CHOOSE(CONTROL!$C$15, $E$9, 100%, $G$9) + CHOOSE(CONTROL!$C$38, 0.0356, 0)</f>
        <v>23.539099999999998</v>
      </c>
      <c r="J235" s="45">
        <f>176.7295</f>
        <v>176.7295</v>
      </c>
    </row>
    <row r="236" spans="1:10" ht="15" x14ac:dyDescent="0.2">
      <c r="A236" s="16">
        <v>48092</v>
      </c>
      <c r="B236" s="17">
        <f>26.1981 * CHOOSE(CONTROL!$C$15, $E$9, 100%, $G$9) + CHOOSE(CONTROL!$C$38, 0.0355, 0)</f>
        <v>26.233599999999999</v>
      </c>
      <c r="C236" s="17">
        <f>23.9352 * CHOOSE(CONTROL!$C$15, $E$9, 100%, $G$9) + CHOOSE(CONTROL!$C$38, 0.0356, 0)</f>
        <v>23.970799999999997</v>
      </c>
      <c r="D236" s="17">
        <f>23.9274 * CHOOSE(CONTROL!$C$15, $E$9, 100%, $G$9) + CHOOSE(CONTROL!$C$38, 0.0356, 0)</f>
        <v>23.962999999999997</v>
      </c>
      <c r="E236" s="17">
        <f>23.9274 * CHOOSE(CONTROL!$C$15, $E$9, 100%, $G$9) + CHOOSE(CONTROL!$C$38, 0.0356, 0)</f>
        <v>23.962999999999997</v>
      </c>
      <c r="F236" s="46">
        <f>26.1981 * CHOOSE(CONTROL!$C$15, $E$9, 100%, $G$9) + CHOOSE(CONTROL!$C$38, 0.0355, 0)</f>
        <v>26.233599999999999</v>
      </c>
      <c r="G236" s="17">
        <f>23.9336 * CHOOSE(CONTROL!$C$15, $E$9, 100%, $G$9) + CHOOSE(CONTROL!$C$38, 0.0356, 0)</f>
        <v>23.969199999999997</v>
      </c>
      <c r="H236" s="17">
        <f>23.9336 * CHOOSE(CONTROL!$C$15, $E$9, 100%, $G$9) + CHOOSE(CONTROL!$C$38, 0.0356, 0)</f>
        <v>23.969199999999997</v>
      </c>
      <c r="I236" s="17">
        <f>23.9352 * CHOOSE(CONTROL!$C$15, $E$9, 100%, $G$9) + CHOOSE(CONTROL!$C$38, 0.0356, 0)</f>
        <v>23.970799999999997</v>
      </c>
      <c r="J236" s="45">
        <f>170.8553</f>
        <v>170.8553</v>
      </c>
    </row>
    <row r="237" spans="1:10" ht="15" x14ac:dyDescent="0.2">
      <c r="A237" s="16">
        <v>48122</v>
      </c>
      <c r="B237" s="17">
        <f>26.5597 * CHOOSE(CONTROL!$C$15, $E$9, 100%, $G$9) + CHOOSE(CONTROL!$C$38, 0.0342, 0)</f>
        <v>26.593899999999998</v>
      </c>
      <c r="C237" s="17">
        <f>24.2967 * CHOOSE(CONTROL!$C$15, $E$9, 100%, $G$9) + CHOOSE(CONTROL!$C$38, 0.0343, 0)</f>
        <v>24.331000000000003</v>
      </c>
      <c r="D237" s="17">
        <f>24.2889 * CHOOSE(CONTROL!$C$15, $E$9, 100%, $G$9) + CHOOSE(CONTROL!$C$38, 0.0343, 0)</f>
        <v>24.3232</v>
      </c>
      <c r="E237" s="17">
        <f>24.2889 * CHOOSE(CONTROL!$C$15, $E$9, 100%, $G$9) + CHOOSE(CONTROL!$C$38, 0.0343, 0)</f>
        <v>24.3232</v>
      </c>
      <c r="F237" s="46">
        <f>26.5597 * CHOOSE(CONTROL!$C$15, $E$9, 100%, $G$9) + CHOOSE(CONTROL!$C$38, 0.0342, 0)</f>
        <v>26.593899999999998</v>
      </c>
      <c r="G237" s="17">
        <f>24.2952 * CHOOSE(CONTROL!$C$15, $E$9, 100%, $G$9) + CHOOSE(CONTROL!$C$38, 0.0343, 0)</f>
        <v>24.329500000000003</v>
      </c>
      <c r="H237" s="17">
        <f>24.2952 * CHOOSE(CONTROL!$C$15, $E$9, 100%, $G$9) + CHOOSE(CONTROL!$C$38, 0.0343, 0)</f>
        <v>24.329500000000003</v>
      </c>
      <c r="I237" s="17">
        <f>24.2967 * CHOOSE(CONTROL!$C$15, $E$9, 100%, $G$9) + CHOOSE(CONTROL!$C$38, 0.0343, 0)</f>
        <v>24.331000000000003</v>
      </c>
      <c r="J237" s="45">
        <f>164.9469</f>
        <v>164.9469</v>
      </c>
    </row>
    <row r="238" spans="1:10" ht="15" x14ac:dyDescent="0.2">
      <c r="A238" s="16">
        <v>48153</v>
      </c>
      <c r="B238" s="17">
        <f>26.8614 * CHOOSE(CONTROL!$C$15, $E$9, 100%, $G$9) + CHOOSE(CONTROL!$C$38, 0.0342, 0)</f>
        <v>26.895599999999998</v>
      </c>
      <c r="C238" s="17">
        <f>24.5984 * CHOOSE(CONTROL!$C$15, $E$9, 100%, $G$9) + CHOOSE(CONTROL!$C$38, 0.0343, 0)</f>
        <v>24.6327</v>
      </c>
      <c r="D238" s="17">
        <f>24.5906 * CHOOSE(CONTROL!$C$15, $E$9, 100%, $G$9) + CHOOSE(CONTROL!$C$38, 0.0343, 0)</f>
        <v>24.624899999999997</v>
      </c>
      <c r="E238" s="17">
        <f>24.5906 * CHOOSE(CONTROL!$C$15, $E$9, 100%, $G$9) + CHOOSE(CONTROL!$C$38, 0.0343, 0)</f>
        <v>24.624899999999997</v>
      </c>
      <c r="F238" s="46">
        <f>26.8614 * CHOOSE(CONTROL!$C$15, $E$9, 100%, $G$9) + CHOOSE(CONTROL!$C$38, 0.0342, 0)</f>
        <v>26.895599999999998</v>
      </c>
      <c r="G238" s="17">
        <f>24.5969 * CHOOSE(CONTROL!$C$15, $E$9, 100%, $G$9) + CHOOSE(CONTROL!$C$38, 0.0343, 0)</f>
        <v>24.6312</v>
      </c>
      <c r="H238" s="17">
        <f>24.5969 * CHOOSE(CONTROL!$C$15, $E$9, 100%, $G$9) + CHOOSE(CONTROL!$C$38, 0.0343, 0)</f>
        <v>24.6312</v>
      </c>
      <c r="I238" s="17">
        <f>24.5984 * CHOOSE(CONTROL!$C$15, $E$9, 100%, $G$9) + CHOOSE(CONTROL!$C$38, 0.0343, 0)</f>
        <v>24.6327</v>
      </c>
      <c r="J238" s="45">
        <f>163.7716</f>
        <v>163.77160000000001</v>
      </c>
    </row>
    <row r="239" spans="1:10" ht="15" x14ac:dyDescent="0.2">
      <c r="A239" s="16">
        <v>48183</v>
      </c>
      <c r="B239" s="17">
        <f>27.7911 * CHOOSE(CONTROL!$C$15, $E$9, 100%, $G$9) + CHOOSE(CONTROL!$C$38, 0.0342, 0)</f>
        <v>27.825299999999999</v>
      </c>
      <c r="C239" s="17">
        <f>25.5281 * CHOOSE(CONTROL!$C$15, $E$9, 100%, $G$9) + CHOOSE(CONTROL!$C$38, 0.0343, 0)</f>
        <v>25.562399999999997</v>
      </c>
      <c r="D239" s="17">
        <f>25.5203 * CHOOSE(CONTROL!$C$15, $E$9, 100%, $G$9) + CHOOSE(CONTROL!$C$38, 0.0343, 0)</f>
        <v>25.554600000000001</v>
      </c>
      <c r="E239" s="17">
        <f>25.5203 * CHOOSE(CONTROL!$C$15, $E$9, 100%, $G$9) + CHOOSE(CONTROL!$C$38, 0.0343, 0)</f>
        <v>25.554600000000001</v>
      </c>
      <c r="F239" s="46">
        <f>27.7911 * CHOOSE(CONTROL!$C$15, $E$9, 100%, $G$9) + CHOOSE(CONTROL!$C$38, 0.0342, 0)</f>
        <v>27.825299999999999</v>
      </c>
      <c r="G239" s="17">
        <f>25.5265 * CHOOSE(CONTROL!$C$15, $E$9, 100%, $G$9) + CHOOSE(CONTROL!$C$38, 0.0343, 0)</f>
        <v>25.5608</v>
      </c>
      <c r="H239" s="17">
        <f>25.5265 * CHOOSE(CONTROL!$C$15, $E$9, 100%, $G$9) + CHOOSE(CONTROL!$C$38, 0.0343, 0)</f>
        <v>25.5608</v>
      </c>
      <c r="I239" s="17">
        <f>25.5281 * CHOOSE(CONTROL!$C$15, $E$9, 100%, $G$9) + CHOOSE(CONTROL!$C$38, 0.0343, 0)</f>
        <v>25.562399999999997</v>
      </c>
      <c r="J239" s="45">
        <f>158.9117</f>
        <v>158.9117</v>
      </c>
    </row>
    <row r="240" spans="1:10" ht="15" x14ac:dyDescent="0.2">
      <c r="A240" s="16">
        <v>48214</v>
      </c>
      <c r="B240" s="17">
        <f>28.9671 * CHOOSE(CONTROL!$C$15, $E$9, 100%, $G$9) + CHOOSE(CONTROL!$C$38, 0.0342, 0)</f>
        <v>29.001299999999997</v>
      </c>
      <c r="C240" s="17">
        <f>26.6687 * CHOOSE(CONTROL!$C$15, $E$9, 100%, $G$9) + CHOOSE(CONTROL!$C$38, 0.0343, 0)</f>
        <v>26.703000000000003</v>
      </c>
      <c r="D240" s="17">
        <f>26.6609 * CHOOSE(CONTROL!$C$15, $E$9, 100%, $G$9) + CHOOSE(CONTROL!$C$38, 0.0343, 0)</f>
        <v>26.6952</v>
      </c>
      <c r="E240" s="17">
        <f>26.6609 * CHOOSE(CONTROL!$C$15, $E$9, 100%, $G$9) + CHOOSE(CONTROL!$C$38, 0.0343, 0)</f>
        <v>26.6952</v>
      </c>
      <c r="F240" s="46">
        <f>28.9671 * CHOOSE(CONTROL!$C$15, $E$9, 100%, $G$9) + CHOOSE(CONTROL!$C$38, 0.0342, 0)</f>
        <v>29.001299999999997</v>
      </c>
      <c r="G240" s="17">
        <f>26.6671 * CHOOSE(CONTROL!$C$15, $E$9, 100%, $G$9) + CHOOSE(CONTROL!$C$38, 0.0343, 0)</f>
        <v>26.7014</v>
      </c>
      <c r="H240" s="17">
        <f>26.6671 * CHOOSE(CONTROL!$C$15, $E$9, 100%, $G$9) + CHOOSE(CONTROL!$C$38, 0.0343, 0)</f>
        <v>26.7014</v>
      </c>
      <c r="I240" s="17">
        <f>26.6687 * CHOOSE(CONTROL!$C$15, $E$9, 100%, $G$9) + CHOOSE(CONTROL!$C$38, 0.0343, 0)</f>
        <v>26.703000000000003</v>
      </c>
      <c r="J240" s="45">
        <f>158.797</f>
        <v>158.797</v>
      </c>
    </row>
    <row r="241" spans="1:10" ht="15" x14ac:dyDescent="0.2">
      <c r="A241" s="16">
        <v>48245</v>
      </c>
      <c r="B241" s="17">
        <f>29.3114 * CHOOSE(CONTROL!$C$15, $E$9, 100%, $G$9) + CHOOSE(CONTROL!$C$38, 0.0342, 0)</f>
        <v>29.345599999999997</v>
      </c>
      <c r="C241" s="17">
        <f>27.013 * CHOOSE(CONTROL!$C$15, $E$9, 100%, $G$9) + CHOOSE(CONTROL!$C$38, 0.0343, 0)</f>
        <v>27.0473</v>
      </c>
      <c r="D241" s="17">
        <f>27.0052 * CHOOSE(CONTROL!$C$15, $E$9, 100%, $G$9) + CHOOSE(CONTROL!$C$38, 0.0343, 0)</f>
        <v>27.039499999999997</v>
      </c>
      <c r="E241" s="17">
        <f>27.0052 * CHOOSE(CONTROL!$C$15, $E$9, 100%, $G$9) + CHOOSE(CONTROL!$C$38, 0.0343, 0)</f>
        <v>27.039499999999997</v>
      </c>
      <c r="F241" s="46">
        <f>29.3114 * CHOOSE(CONTROL!$C$15, $E$9, 100%, $G$9) + CHOOSE(CONTROL!$C$38, 0.0342, 0)</f>
        <v>29.345599999999997</v>
      </c>
      <c r="G241" s="17">
        <f>27.0115 * CHOOSE(CONTROL!$C$15, $E$9, 100%, $G$9) + CHOOSE(CONTROL!$C$38, 0.0343, 0)</f>
        <v>27.0458</v>
      </c>
      <c r="H241" s="17">
        <f>27.0115 * CHOOSE(CONTROL!$C$15, $E$9, 100%, $G$9) + CHOOSE(CONTROL!$C$38, 0.0343, 0)</f>
        <v>27.0458</v>
      </c>
      <c r="I241" s="17">
        <f>27.013 * CHOOSE(CONTROL!$C$15, $E$9, 100%, $G$9) + CHOOSE(CONTROL!$C$38, 0.0343, 0)</f>
        <v>27.0473</v>
      </c>
      <c r="J241" s="45">
        <f>158.3556</f>
        <v>158.35560000000001</v>
      </c>
    </row>
    <row r="242" spans="1:10" ht="15" x14ac:dyDescent="0.2">
      <c r="A242" s="16">
        <v>48274</v>
      </c>
      <c r="B242" s="17">
        <f>28.5143 * CHOOSE(CONTROL!$C$15, $E$9, 100%, $G$9) + CHOOSE(CONTROL!$C$38, 0.0342, 0)</f>
        <v>28.548499999999997</v>
      </c>
      <c r="C242" s="17">
        <f>26.216 * CHOOSE(CONTROL!$C$15, $E$9, 100%, $G$9) + CHOOSE(CONTROL!$C$38, 0.0343, 0)</f>
        <v>26.250300000000003</v>
      </c>
      <c r="D242" s="17">
        <f>26.2082 * CHOOSE(CONTROL!$C$15, $E$9, 100%, $G$9) + CHOOSE(CONTROL!$C$38, 0.0343, 0)</f>
        <v>26.2425</v>
      </c>
      <c r="E242" s="17">
        <f>26.2082 * CHOOSE(CONTROL!$C$15, $E$9, 100%, $G$9) + CHOOSE(CONTROL!$C$38, 0.0343, 0)</f>
        <v>26.2425</v>
      </c>
      <c r="F242" s="46">
        <f>28.5143 * CHOOSE(CONTROL!$C$15, $E$9, 100%, $G$9) + CHOOSE(CONTROL!$C$38, 0.0342, 0)</f>
        <v>28.548499999999997</v>
      </c>
      <c r="G242" s="17">
        <f>26.2144 * CHOOSE(CONTROL!$C$15, $E$9, 100%, $G$9) + CHOOSE(CONTROL!$C$38, 0.0343, 0)</f>
        <v>26.248699999999999</v>
      </c>
      <c r="H242" s="17">
        <f>26.2144 * CHOOSE(CONTROL!$C$15, $E$9, 100%, $G$9) + CHOOSE(CONTROL!$C$38, 0.0343, 0)</f>
        <v>26.248699999999999</v>
      </c>
      <c r="I242" s="17">
        <f>26.216 * CHOOSE(CONTROL!$C$15, $E$9, 100%, $G$9) + CHOOSE(CONTROL!$C$38, 0.0343, 0)</f>
        <v>26.250300000000003</v>
      </c>
      <c r="J242" s="45">
        <f>166.7018</f>
        <v>166.70179999999999</v>
      </c>
    </row>
    <row r="243" spans="1:10" ht="15" x14ac:dyDescent="0.2">
      <c r="A243" s="16">
        <v>48305</v>
      </c>
      <c r="B243" s="17">
        <f>27.742 * CHOOSE(CONTROL!$C$15, $E$9, 100%, $G$9) + CHOOSE(CONTROL!$C$38, 0.0342, 0)</f>
        <v>27.776199999999999</v>
      </c>
      <c r="C243" s="17">
        <f>25.5704 * CHOOSE(CONTROL!$C$15, $E$9, 100%, $G$9) + CHOOSE(CONTROL!$C$38, 0.0343, 0)</f>
        <v>25.604700000000001</v>
      </c>
      <c r="D243" s="17">
        <f>25.5626 * CHOOSE(CONTROL!$C$15, $E$9, 100%, $G$9) + CHOOSE(CONTROL!$C$38, 0.0343, 0)</f>
        <v>25.596899999999998</v>
      </c>
      <c r="E243" s="17">
        <f>25.5626 * CHOOSE(CONTROL!$C$15, $E$9, 100%, $G$9) + CHOOSE(CONTROL!$C$38, 0.0343, 0)</f>
        <v>25.596899999999998</v>
      </c>
      <c r="F243" s="46">
        <f>27.742 * CHOOSE(CONTROL!$C$15, $E$9, 100%, $G$9) + CHOOSE(CONTROL!$C$38, 0.0342, 0)</f>
        <v>27.776199999999999</v>
      </c>
      <c r="G243" s="17">
        <f>25.5688 * CHOOSE(CONTROL!$C$15, $E$9, 100%, $G$9) + CHOOSE(CONTROL!$C$38, 0.0343, 0)</f>
        <v>25.603099999999998</v>
      </c>
      <c r="H243" s="17">
        <f>25.5688 * CHOOSE(CONTROL!$C$15, $E$9, 100%, $G$9) + CHOOSE(CONTROL!$C$38, 0.0343, 0)</f>
        <v>25.603099999999998</v>
      </c>
      <c r="I243" s="17">
        <f>25.5704 * CHOOSE(CONTROL!$C$15, $E$9, 100%, $G$9) + CHOOSE(CONTROL!$C$38, 0.0343, 0)</f>
        <v>25.604700000000001</v>
      </c>
      <c r="J243" s="45">
        <f>177.5249</f>
        <v>177.5249</v>
      </c>
    </row>
    <row r="244" spans="1:10" ht="15" x14ac:dyDescent="0.2">
      <c r="A244" s="16">
        <v>48335</v>
      </c>
      <c r="B244" s="17">
        <f>26.9371 * CHOOSE(CONTROL!$C$15, $E$9, 100%, $G$9) + CHOOSE(CONTROL!$C$38, 0.0355, 0)</f>
        <v>26.9726</v>
      </c>
      <c r="C244" s="17">
        <f>24.6387 * CHOOSE(CONTROL!$C$15, $E$9, 100%, $G$9) + CHOOSE(CONTROL!$C$38, 0.0356, 0)</f>
        <v>24.674299999999999</v>
      </c>
      <c r="D244" s="17">
        <f>24.6309 * CHOOSE(CONTROL!$C$15, $E$9, 100%, $G$9) + CHOOSE(CONTROL!$C$38, 0.0356, 0)</f>
        <v>24.666499999999999</v>
      </c>
      <c r="E244" s="17">
        <f>24.6309 * CHOOSE(CONTROL!$C$15, $E$9, 100%, $G$9) + CHOOSE(CONTROL!$C$38, 0.0356, 0)</f>
        <v>24.666499999999999</v>
      </c>
      <c r="F244" s="46">
        <f>26.9371 * CHOOSE(CONTROL!$C$15, $E$9, 100%, $G$9) + CHOOSE(CONTROL!$C$38, 0.0355, 0)</f>
        <v>26.9726</v>
      </c>
      <c r="G244" s="17">
        <f>24.6371 * CHOOSE(CONTROL!$C$15, $E$9, 100%, $G$9) + CHOOSE(CONTROL!$C$38, 0.0356, 0)</f>
        <v>24.672699999999999</v>
      </c>
      <c r="H244" s="17">
        <f>24.6371 * CHOOSE(CONTROL!$C$15, $E$9, 100%, $G$9) + CHOOSE(CONTROL!$C$38, 0.0356, 0)</f>
        <v>24.672699999999999</v>
      </c>
      <c r="I244" s="17">
        <f>24.6387 * CHOOSE(CONTROL!$C$15, $E$9, 100%, $G$9) + CHOOSE(CONTROL!$C$38, 0.0356, 0)</f>
        <v>24.674299999999999</v>
      </c>
      <c r="J244" s="45">
        <f>183.4823</f>
        <v>183.48230000000001</v>
      </c>
    </row>
    <row r="245" spans="1:10" ht="15" x14ac:dyDescent="0.2">
      <c r="A245" s="16">
        <v>48366</v>
      </c>
      <c r="B245" s="17">
        <f>26.3727 * CHOOSE(CONTROL!$C$15, $E$9, 100%, $G$9) + CHOOSE(CONTROL!$C$38, 0.0355, 0)</f>
        <v>26.408199999999997</v>
      </c>
      <c r="C245" s="17">
        <f>24.0744 * CHOOSE(CONTROL!$C$15, $E$9, 100%, $G$9) + CHOOSE(CONTROL!$C$38, 0.0356, 0)</f>
        <v>24.11</v>
      </c>
      <c r="D245" s="17">
        <f>24.0666 * CHOOSE(CONTROL!$C$15, $E$9, 100%, $G$9) + CHOOSE(CONTROL!$C$38, 0.0356, 0)</f>
        <v>24.1022</v>
      </c>
      <c r="E245" s="17">
        <f>24.0666 * CHOOSE(CONTROL!$C$15, $E$9, 100%, $G$9) + CHOOSE(CONTROL!$C$38, 0.0356, 0)</f>
        <v>24.1022</v>
      </c>
      <c r="F245" s="46">
        <f>26.3727 * CHOOSE(CONTROL!$C$15, $E$9, 100%, $G$9) + CHOOSE(CONTROL!$C$38, 0.0355, 0)</f>
        <v>26.408199999999997</v>
      </c>
      <c r="G245" s="17">
        <f>24.0728 * CHOOSE(CONTROL!$C$15, $E$9, 100%, $G$9) + CHOOSE(CONTROL!$C$38, 0.0356, 0)</f>
        <v>24.1084</v>
      </c>
      <c r="H245" s="17">
        <f>24.0728 * CHOOSE(CONTROL!$C$15, $E$9, 100%, $G$9) + CHOOSE(CONTROL!$C$38, 0.0356, 0)</f>
        <v>24.1084</v>
      </c>
      <c r="I245" s="17">
        <f>24.0744 * CHOOSE(CONTROL!$C$15, $E$9, 100%, $G$9) + CHOOSE(CONTROL!$C$38, 0.0356, 0)</f>
        <v>24.11</v>
      </c>
      <c r="J245" s="45">
        <f>186.1261</f>
        <v>186.12610000000001</v>
      </c>
    </row>
    <row r="246" spans="1:10" ht="15" x14ac:dyDescent="0.2">
      <c r="A246" s="16">
        <v>48396</v>
      </c>
      <c r="B246" s="17">
        <f>26.0507 * CHOOSE(CONTROL!$C$15, $E$9, 100%, $G$9) + CHOOSE(CONTROL!$C$38, 0.0355, 0)</f>
        <v>26.086199999999998</v>
      </c>
      <c r="C246" s="17">
        <f>23.7523 * CHOOSE(CONTROL!$C$15, $E$9, 100%, $G$9) + CHOOSE(CONTROL!$C$38, 0.0356, 0)</f>
        <v>23.7879</v>
      </c>
      <c r="D246" s="17">
        <f>23.7445 * CHOOSE(CONTROL!$C$15, $E$9, 100%, $G$9) + CHOOSE(CONTROL!$C$38, 0.0356, 0)</f>
        <v>23.780099999999997</v>
      </c>
      <c r="E246" s="17">
        <f>23.7445 * CHOOSE(CONTROL!$C$15, $E$9, 100%, $G$9) + CHOOSE(CONTROL!$C$38, 0.0356, 0)</f>
        <v>23.780099999999997</v>
      </c>
      <c r="F246" s="46">
        <f>26.0507 * CHOOSE(CONTROL!$C$15, $E$9, 100%, $G$9) + CHOOSE(CONTROL!$C$38, 0.0355, 0)</f>
        <v>26.086199999999998</v>
      </c>
      <c r="G246" s="17">
        <f>23.7508 * CHOOSE(CONTROL!$C$15, $E$9, 100%, $G$9) + CHOOSE(CONTROL!$C$38, 0.0356, 0)</f>
        <v>23.7864</v>
      </c>
      <c r="H246" s="17">
        <f>23.7508 * CHOOSE(CONTROL!$C$15, $E$9, 100%, $G$9) + CHOOSE(CONTROL!$C$38, 0.0356, 0)</f>
        <v>23.7864</v>
      </c>
      <c r="I246" s="17">
        <f>23.7523 * CHOOSE(CONTROL!$C$15, $E$9, 100%, $G$9) + CHOOSE(CONTROL!$C$38, 0.0356, 0)</f>
        <v>23.7879</v>
      </c>
      <c r="J246" s="45">
        <f>185.2556</f>
        <v>185.25559999999999</v>
      </c>
    </row>
    <row r="247" spans="1:10" ht="15" x14ac:dyDescent="0.2">
      <c r="A247" s="16">
        <v>48427</v>
      </c>
      <c r="B247" s="17">
        <f>26.2096 * CHOOSE(CONTROL!$C$15, $E$9, 100%, $G$9) + CHOOSE(CONTROL!$C$38, 0.0355, 0)</f>
        <v>26.245099999999997</v>
      </c>
      <c r="C247" s="17">
        <f>23.9113 * CHOOSE(CONTROL!$C$15, $E$9, 100%, $G$9) + CHOOSE(CONTROL!$C$38, 0.0356, 0)</f>
        <v>23.946899999999999</v>
      </c>
      <c r="D247" s="17">
        <f>23.9034 * CHOOSE(CONTROL!$C$15, $E$9, 100%, $G$9) + CHOOSE(CONTROL!$C$38, 0.0356, 0)</f>
        <v>23.939</v>
      </c>
      <c r="E247" s="17">
        <f>23.9034 * CHOOSE(CONTROL!$C$15, $E$9, 100%, $G$9) + CHOOSE(CONTROL!$C$38, 0.0356, 0)</f>
        <v>23.939</v>
      </c>
      <c r="F247" s="46">
        <f>26.2096 * CHOOSE(CONTROL!$C$15, $E$9, 100%, $G$9) + CHOOSE(CONTROL!$C$38, 0.0355, 0)</f>
        <v>26.245099999999997</v>
      </c>
      <c r="G247" s="17">
        <f>23.9097 * CHOOSE(CONTROL!$C$15, $E$9, 100%, $G$9) + CHOOSE(CONTROL!$C$38, 0.0356, 0)</f>
        <v>23.9453</v>
      </c>
      <c r="H247" s="17">
        <f>23.9097 * CHOOSE(CONTROL!$C$15, $E$9, 100%, $G$9) + CHOOSE(CONTROL!$C$38, 0.0356, 0)</f>
        <v>23.9453</v>
      </c>
      <c r="I247" s="17">
        <f>23.9113 * CHOOSE(CONTROL!$C$15, $E$9, 100%, $G$9) + CHOOSE(CONTROL!$C$38, 0.0356, 0)</f>
        <v>23.946899999999999</v>
      </c>
      <c r="J247" s="45">
        <f>180.943</f>
        <v>180.94300000000001</v>
      </c>
    </row>
    <row r="248" spans="1:10" ht="15" x14ac:dyDescent="0.2">
      <c r="A248" s="16">
        <v>48458</v>
      </c>
      <c r="B248" s="17">
        <f>26.6413 * CHOOSE(CONTROL!$C$15, $E$9, 100%, $G$9) + CHOOSE(CONTROL!$C$38, 0.0355, 0)</f>
        <v>26.6768</v>
      </c>
      <c r="C248" s="17">
        <f>24.343 * CHOOSE(CONTROL!$C$15, $E$9, 100%, $G$9) + CHOOSE(CONTROL!$C$38, 0.0356, 0)</f>
        <v>24.378599999999999</v>
      </c>
      <c r="D248" s="17">
        <f>24.3352 * CHOOSE(CONTROL!$C$15, $E$9, 100%, $G$9) + CHOOSE(CONTROL!$C$38, 0.0356, 0)</f>
        <v>24.370799999999999</v>
      </c>
      <c r="E248" s="17">
        <f>24.3352 * CHOOSE(CONTROL!$C$15, $E$9, 100%, $G$9) + CHOOSE(CONTROL!$C$38, 0.0356, 0)</f>
        <v>24.370799999999999</v>
      </c>
      <c r="F248" s="46">
        <f>26.6413 * CHOOSE(CONTROL!$C$15, $E$9, 100%, $G$9) + CHOOSE(CONTROL!$C$38, 0.0355, 0)</f>
        <v>26.6768</v>
      </c>
      <c r="G248" s="17">
        <f>24.3414 * CHOOSE(CONTROL!$C$15, $E$9, 100%, $G$9) + CHOOSE(CONTROL!$C$38, 0.0356, 0)</f>
        <v>24.376999999999999</v>
      </c>
      <c r="H248" s="17">
        <f>24.3414 * CHOOSE(CONTROL!$C$15, $E$9, 100%, $G$9) + CHOOSE(CONTROL!$C$38, 0.0356, 0)</f>
        <v>24.376999999999999</v>
      </c>
      <c r="I248" s="17">
        <f>24.343 * CHOOSE(CONTROL!$C$15, $E$9, 100%, $G$9) + CHOOSE(CONTROL!$C$38, 0.0356, 0)</f>
        <v>24.378599999999999</v>
      </c>
      <c r="J248" s="45">
        <f>174.9287</f>
        <v>174.92869999999999</v>
      </c>
    </row>
    <row r="249" spans="1:10" ht="15" x14ac:dyDescent="0.2">
      <c r="A249" s="16">
        <v>48488</v>
      </c>
      <c r="B249" s="17">
        <f>27.0029 * CHOOSE(CONTROL!$C$15, $E$9, 100%, $G$9) + CHOOSE(CONTROL!$C$38, 0.0342, 0)</f>
        <v>27.037099999999999</v>
      </c>
      <c r="C249" s="17">
        <f>24.7045 * CHOOSE(CONTROL!$C$15, $E$9, 100%, $G$9) + CHOOSE(CONTROL!$C$38, 0.0343, 0)</f>
        <v>24.738799999999998</v>
      </c>
      <c r="D249" s="17">
        <f>24.6967 * CHOOSE(CONTROL!$C$15, $E$9, 100%, $G$9) + CHOOSE(CONTROL!$C$38, 0.0343, 0)</f>
        <v>24.731000000000002</v>
      </c>
      <c r="E249" s="17">
        <f>24.6967 * CHOOSE(CONTROL!$C$15, $E$9, 100%, $G$9) + CHOOSE(CONTROL!$C$38, 0.0343, 0)</f>
        <v>24.731000000000002</v>
      </c>
      <c r="F249" s="46">
        <f>27.0029 * CHOOSE(CONTROL!$C$15, $E$9, 100%, $G$9) + CHOOSE(CONTROL!$C$38, 0.0342, 0)</f>
        <v>27.037099999999999</v>
      </c>
      <c r="G249" s="17">
        <f>24.703 * CHOOSE(CONTROL!$C$15, $E$9, 100%, $G$9) + CHOOSE(CONTROL!$C$38, 0.0343, 0)</f>
        <v>24.737299999999998</v>
      </c>
      <c r="H249" s="17">
        <f>24.703 * CHOOSE(CONTROL!$C$15, $E$9, 100%, $G$9) + CHOOSE(CONTROL!$C$38, 0.0343, 0)</f>
        <v>24.737299999999998</v>
      </c>
      <c r="I249" s="17">
        <f>24.7045 * CHOOSE(CONTROL!$C$15, $E$9, 100%, $G$9) + CHOOSE(CONTROL!$C$38, 0.0343, 0)</f>
        <v>24.738799999999998</v>
      </c>
      <c r="J249" s="45">
        <f>168.8795</f>
        <v>168.87950000000001</v>
      </c>
    </row>
    <row r="250" spans="1:10" ht="15" x14ac:dyDescent="0.2">
      <c r="A250" s="16">
        <v>48519</v>
      </c>
      <c r="B250" s="17">
        <f>27.3046 * CHOOSE(CONTROL!$C$15, $E$9, 100%, $G$9) + CHOOSE(CONTROL!$C$38, 0.0342, 0)</f>
        <v>27.338799999999999</v>
      </c>
      <c r="C250" s="17">
        <f>25.0062 * CHOOSE(CONTROL!$C$15, $E$9, 100%, $G$9) + CHOOSE(CONTROL!$C$38, 0.0343, 0)</f>
        <v>25.040500000000002</v>
      </c>
      <c r="D250" s="17">
        <f>24.9984 * CHOOSE(CONTROL!$C$15, $E$9, 100%, $G$9) + CHOOSE(CONTROL!$C$38, 0.0343, 0)</f>
        <v>25.032699999999998</v>
      </c>
      <c r="E250" s="17">
        <f>24.9984 * CHOOSE(CONTROL!$C$15, $E$9, 100%, $G$9) + CHOOSE(CONTROL!$C$38, 0.0343, 0)</f>
        <v>25.032699999999998</v>
      </c>
      <c r="F250" s="46">
        <f>27.3046 * CHOOSE(CONTROL!$C$15, $E$9, 100%, $G$9) + CHOOSE(CONTROL!$C$38, 0.0342, 0)</f>
        <v>27.338799999999999</v>
      </c>
      <c r="G250" s="17">
        <f>25.0047 * CHOOSE(CONTROL!$C$15, $E$9, 100%, $G$9) + CHOOSE(CONTROL!$C$38, 0.0343, 0)</f>
        <v>25.039000000000001</v>
      </c>
      <c r="H250" s="17">
        <f>25.0047 * CHOOSE(CONTROL!$C$15, $E$9, 100%, $G$9) + CHOOSE(CONTROL!$C$38, 0.0343, 0)</f>
        <v>25.039000000000001</v>
      </c>
      <c r="I250" s="17">
        <f>25.0062 * CHOOSE(CONTROL!$C$15, $E$9, 100%, $G$9) + CHOOSE(CONTROL!$C$38, 0.0343, 0)</f>
        <v>25.040500000000002</v>
      </c>
      <c r="J250" s="45">
        <f>167.6762</f>
        <v>167.67619999999999</v>
      </c>
    </row>
    <row r="251" spans="1:10" ht="15" x14ac:dyDescent="0.2">
      <c r="A251" s="16">
        <v>48549</v>
      </c>
      <c r="B251" s="17">
        <f>28.2343 * CHOOSE(CONTROL!$C$15, $E$9, 100%, $G$9) + CHOOSE(CONTROL!$C$38, 0.0342, 0)</f>
        <v>28.2685</v>
      </c>
      <c r="C251" s="17">
        <f>25.9359 * CHOOSE(CONTROL!$C$15, $E$9, 100%, $G$9) + CHOOSE(CONTROL!$C$38, 0.0343, 0)</f>
        <v>25.970199999999998</v>
      </c>
      <c r="D251" s="17">
        <f>25.9281 * CHOOSE(CONTROL!$C$15, $E$9, 100%, $G$9) + CHOOSE(CONTROL!$C$38, 0.0343, 0)</f>
        <v>25.962400000000002</v>
      </c>
      <c r="E251" s="17">
        <f>25.9281 * CHOOSE(CONTROL!$C$15, $E$9, 100%, $G$9) + CHOOSE(CONTROL!$C$38, 0.0343, 0)</f>
        <v>25.962400000000002</v>
      </c>
      <c r="F251" s="46">
        <f>28.2343 * CHOOSE(CONTROL!$C$15, $E$9, 100%, $G$9) + CHOOSE(CONTROL!$C$38, 0.0342, 0)</f>
        <v>28.2685</v>
      </c>
      <c r="G251" s="17">
        <f>25.9343 * CHOOSE(CONTROL!$C$15, $E$9, 100%, $G$9) + CHOOSE(CONTROL!$C$38, 0.0343, 0)</f>
        <v>25.968600000000002</v>
      </c>
      <c r="H251" s="17">
        <f>25.9343 * CHOOSE(CONTROL!$C$15, $E$9, 100%, $G$9) + CHOOSE(CONTROL!$C$38, 0.0343, 0)</f>
        <v>25.968600000000002</v>
      </c>
      <c r="I251" s="17">
        <f>25.9359 * CHOOSE(CONTROL!$C$15, $E$9, 100%, $G$9) + CHOOSE(CONTROL!$C$38, 0.0343, 0)</f>
        <v>25.970199999999998</v>
      </c>
      <c r="J251" s="45">
        <f>162.7004</f>
        <v>162.7004</v>
      </c>
    </row>
    <row r="252" spans="1:10" ht="15" x14ac:dyDescent="0.2">
      <c r="A252" s="16">
        <v>48580</v>
      </c>
      <c r="B252" s="17">
        <f>29.4177 * CHOOSE(CONTROL!$C$15, $E$9, 100%, $G$9) + CHOOSE(CONTROL!$C$38, 0.0342, 0)</f>
        <v>29.451899999999998</v>
      </c>
      <c r="C252" s="17">
        <f>27.0833 * CHOOSE(CONTROL!$C$15, $E$9, 100%, $G$9) + CHOOSE(CONTROL!$C$38, 0.0343, 0)</f>
        <v>27.117600000000003</v>
      </c>
      <c r="D252" s="17">
        <f>27.0755 * CHOOSE(CONTROL!$C$15, $E$9, 100%, $G$9) + CHOOSE(CONTROL!$C$38, 0.0343, 0)</f>
        <v>27.1098</v>
      </c>
      <c r="E252" s="17">
        <f>27.0755 * CHOOSE(CONTROL!$C$15, $E$9, 100%, $G$9) + CHOOSE(CONTROL!$C$38, 0.0343, 0)</f>
        <v>27.1098</v>
      </c>
      <c r="F252" s="46">
        <f>29.4177 * CHOOSE(CONTROL!$C$15, $E$9, 100%, $G$9) + CHOOSE(CONTROL!$C$38, 0.0342, 0)</f>
        <v>29.451899999999998</v>
      </c>
      <c r="G252" s="17">
        <f>27.0818 * CHOOSE(CONTROL!$C$15, $E$9, 100%, $G$9) + CHOOSE(CONTROL!$C$38, 0.0343, 0)</f>
        <v>27.116100000000003</v>
      </c>
      <c r="H252" s="17">
        <f>27.0818 * CHOOSE(CONTROL!$C$15, $E$9, 100%, $G$9) + CHOOSE(CONTROL!$C$38, 0.0343, 0)</f>
        <v>27.116100000000003</v>
      </c>
      <c r="I252" s="17">
        <f>27.0833 * CHOOSE(CONTROL!$C$15, $E$9, 100%, $G$9) + CHOOSE(CONTROL!$C$38, 0.0343, 0)</f>
        <v>27.117600000000003</v>
      </c>
      <c r="J252" s="45">
        <f>162.5829</f>
        <v>162.5829</v>
      </c>
    </row>
    <row r="253" spans="1:10" ht="15" x14ac:dyDescent="0.2">
      <c r="A253" s="16">
        <v>48611</v>
      </c>
      <c r="B253" s="17">
        <f>29.762 * CHOOSE(CONTROL!$C$15, $E$9, 100%, $G$9) + CHOOSE(CONTROL!$C$38, 0.0342, 0)</f>
        <v>29.796199999999999</v>
      </c>
      <c r="C253" s="17">
        <f>27.4277 * CHOOSE(CONTROL!$C$15, $E$9, 100%, $G$9) + CHOOSE(CONTROL!$C$38, 0.0343, 0)</f>
        <v>27.462000000000003</v>
      </c>
      <c r="D253" s="17">
        <f>27.4198 * CHOOSE(CONTROL!$C$15, $E$9, 100%, $G$9) + CHOOSE(CONTROL!$C$38, 0.0343, 0)</f>
        <v>27.454099999999997</v>
      </c>
      <c r="E253" s="17">
        <f>27.4198 * CHOOSE(CONTROL!$C$15, $E$9, 100%, $G$9) + CHOOSE(CONTROL!$C$38, 0.0343, 0)</f>
        <v>27.454099999999997</v>
      </c>
      <c r="F253" s="46">
        <f>29.762 * CHOOSE(CONTROL!$C$15, $E$9, 100%, $G$9) + CHOOSE(CONTROL!$C$38, 0.0342, 0)</f>
        <v>29.796199999999999</v>
      </c>
      <c r="G253" s="17">
        <f>27.4261 * CHOOSE(CONTROL!$C$15, $E$9, 100%, $G$9) + CHOOSE(CONTROL!$C$38, 0.0343, 0)</f>
        <v>27.4604</v>
      </c>
      <c r="H253" s="17">
        <f>27.4261 * CHOOSE(CONTROL!$C$15, $E$9, 100%, $G$9) + CHOOSE(CONTROL!$C$38, 0.0343, 0)</f>
        <v>27.4604</v>
      </c>
      <c r="I253" s="17">
        <f>27.4277 * CHOOSE(CONTROL!$C$15, $E$9, 100%, $G$9) + CHOOSE(CONTROL!$C$38, 0.0343, 0)</f>
        <v>27.462000000000003</v>
      </c>
      <c r="J253" s="45">
        <f>162.131</f>
        <v>162.131</v>
      </c>
    </row>
    <row r="254" spans="1:10" ht="15" x14ac:dyDescent="0.2">
      <c r="A254" s="16">
        <v>48639</v>
      </c>
      <c r="B254" s="17">
        <f>28.965 * CHOOSE(CONTROL!$C$15, $E$9, 100%, $G$9) + CHOOSE(CONTROL!$C$38, 0.0342, 0)</f>
        <v>28.999199999999998</v>
      </c>
      <c r="C254" s="17">
        <f>26.6306 * CHOOSE(CONTROL!$C$15, $E$9, 100%, $G$9) + CHOOSE(CONTROL!$C$38, 0.0343, 0)</f>
        <v>26.664900000000003</v>
      </c>
      <c r="D254" s="17">
        <f>26.6228 * CHOOSE(CONTROL!$C$15, $E$9, 100%, $G$9) + CHOOSE(CONTROL!$C$38, 0.0343, 0)</f>
        <v>26.6571</v>
      </c>
      <c r="E254" s="17">
        <f>26.6228 * CHOOSE(CONTROL!$C$15, $E$9, 100%, $G$9) + CHOOSE(CONTROL!$C$38, 0.0343, 0)</f>
        <v>26.6571</v>
      </c>
      <c r="F254" s="46">
        <f>28.965 * CHOOSE(CONTROL!$C$15, $E$9, 100%, $G$9) + CHOOSE(CONTROL!$C$38, 0.0342, 0)</f>
        <v>28.999199999999998</v>
      </c>
      <c r="G254" s="17">
        <f>26.6291 * CHOOSE(CONTROL!$C$15, $E$9, 100%, $G$9) + CHOOSE(CONTROL!$C$38, 0.0343, 0)</f>
        <v>26.663400000000003</v>
      </c>
      <c r="H254" s="17">
        <f>26.6291 * CHOOSE(CONTROL!$C$15, $E$9, 100%, $G$9) + CHOOSE(CONTROL!$C$38, 0.0343, 0)</f>
        <v>26.663400000000003</v>
      </c>
      <c r="I254" s="17">
        <f>26.6306 * CHOOSE(CONTROL!$C$15, $E$9, 100%, $G$9) + CHOOSE(CONTROL!$C$38, 0.0343, 0)</f>
        <v>26.664900000000003</v>
      </c>
      <c r="J254" s="45">
        <f>170.6763</f>
        <v>170.6763</v>
      </c>
    </row>
    <row r="255" spans="1:10" ht="15" x14ac:dyDescent="0.2">
      <c r="A255" s="16">
        <v>48670</v>
      </c>
      <c r="B255" s="17">
        <f>28.1927 * CHOOSE(CONTROL!$C$15, $E$9, 100%, $G$9) + CHOOSE(CONTROL!$C$38, 0.0342, 0)</f>
        <v>28.226899999999997</v>
      </c>
      <c r="C255" s="17">
        <f>25.8583 * CHOOSE(CONTROL!$C$15, $E$9, 100%, $G$9) + CHOOSE(CONTROL!$C$38, 0.0343, 0)</f>
        <v>25.892600000000002</v>
      </c>
      <c r="D255" s="17">
        <f>25.8505 * CHOOSE(CONTROL!$C$15, $E$9, 100%, $G$9) + CHOOSE(CONTROL!$C$38, 0.0343, 0)</f>
        <v>25.884799999999998</v>
      </c>
      <c r="E255" s="17">
        <f>25.8505 * CHOOSE(CONTROL!$C$15, $E$9, 100%, $G$9) + CHOOSE(CONTROL!$C$38, 0.0343, 0)</f>
        <v>25.884799999999998</v>
      </c>
      <c r="F255" s="46">
        <f>28.1927 * CHOOSE(CONTROL!$C$15, $E$9, 100%, $G$9) + CHOOSE(CONTROL!$C$38, 0.0342, 0)</f>
        <v>28.226899999999997</v>
      </c>
      <c r="G255" s="17">
        <f>25.8567 * CHOOSE(CONTROL!$C$15, $E$9, 100%, $G$9) + CHOOSE(CONTROL!$C$38, 0.0343, 0)</f>
        <v>25.890999999999998</v>
      </c>
      <c r="H255" s="17">
        <f>25.8567 * CHOOSE(CONTROL!$C$15, $E$9, 100%, $G$9) + CHOOSE(CONTROL!$C$38, 0.0343, 0)</f>
        <v>25.890999999999998</v>
      </c>
      <c r="I255" s="17">
        <f>25.8583 * CHOOSE(CONTROL!$C$15, $E$9, 100%, $G$9) + CHOOSE(CONTROL!$C$38, 0.0343, 0)</f>
        <v>25.892600000000002</v>
      </c>
      <c r="J255" s="45">
        <f>181.7574</f>
        <v>181.75739999999999</v>
      </c>
    </row>
    <row r="256" spans="1:10" ht="15" x14ac:dyDescent="0.2">
      <c r="A256" s="16">
        <v>48700</v>
      </c>
      <c r="B256" s="17">
        <f>27.3877 * CHOOSE(CONTROL!$C$15, $E$9, 100%, $G$9) + CHOOSE(CONTROL!$C$38, 0.0355, 0)</f>
        <v>27.423199999999998</v>
      </c>
      <c r="C256" s="17">
        <f>25.1822 * CHOOSE(CONTROL!$C$15, $E$9, 100%, $G$9) + CHOOSE(CONTROL!$C$38, 0.0356, 0)</f>
        <v>25.2178</v>
      </c>
      <c r="D256" s="17">
        <f>25.1744 * CHOOSE(CONTROL!$C$15, $E$9, 100%, $G$9) + CHOOSE(CONTROL!$C$38, 0.0356, 0)</f>
        <v>25.209999999999997</v>
      </c>
      <c r="E256" s="17">
        <f>25.1744 * CHOOSE(CONTROL!$C$15, $E$9, 100%, $G$9) + CHOOSE(CONTROL!$C$38, 0.0356, 0)</f>
        <v>25.209999999999997</v>
      </c>
      <c r="F256" s="46">
        <f>27.3877 * CHOOSE(CONTROL!$C$15, $E$9, 100%, $G$9) + CHOOSE(CONTROL!$C$38, 0.0355, 0)</f>
        <v>27.423199999999998</v>
      </c>
      <c r="G256" s="17">
        <f>25.1806 * CHOOSE(CONTROL!$C$15, $E$9, 100%, $G$9) + CHOOSE(CONTROL!$C$38, 0.0356, 0)</f>
        <v>25.216199999999997</v>
      </c>
      <c r="H256" s="17">
        <f>25.1806 * CHOOSE(CONTROL!$C$15, $E$9, 100%, $G$9) + CHOOSE(CONTROL!$C$38, 0.0356, 0)</f>
        <v>25.216199999999997</v>
      </c>
      <c r="I256" s="17">
        <f>25.1822 * CHOOSE(CONTROL!$C$15, $E$9, 100%, $G$9) + CHOOSE(CONTROL!$C$38, 0.0356, 0)</f>
        <v>25.2178</v>
      </c>
      <c r="J256" s="45">
        <f>187.8568</f>
        <v>187.85679999999999</v>
      </c>
    </row>
    <row r="257" spans="1:10" ht="15" x14ac:dyDescent="0.2">
      <c r="A257" s="16">
        <v>48731</v>
      </c>
      <c r="B257" s="17">
        <f>26.8234 * CHOOSE(CONTROL!$C$15, $E$9, 100%, $G$9) + CHOOSE(CONTROL!$C$38, 0.0355, 0)</f>
        <v>26.858899999999998</v>
      </c>
      <c r="C257" s="17">
        <f>24.489 * CHOOSE(CONTROL!$C$15, $E$9, 100%, $G$9) + CHOOSE(CONTROL!$C$38, 0.0356, 0)</f>
        <v>24.5246</v>
      </c>
      <c r="D257" s="17">
        <f>24.4812 * CHOOSE(CONTROL!$C$15, $E$9, 100%, $G$9) + CHOOSE(CONTROL!$C$38, 0.0356, 0)</f>
        <v>24.5168</v>
      </c>
      <c r="E257" s="17">
        <f>24.4812 * CHOOSE(CONTROL!$C$15, $E$9, 100%, $G$9) + CHOOSE(CONTROL!$C$38, 0.0356, 0)</f>
        <v>24.5168</v>
      </c>
      <c r="F257" s="46">
        <f>26.8234 * CHOOSE(CONTROL!$C$15, $E$9, 100%, $G$9) + CHOOSE(CONTROL!$C$38, 0.0355, 0)</f>
        <v>26.858899999999998</v>
      </c>
      <c r="G257" s="17">
        <f>24.4874 * CHOOSE(CONTROL!$C$15, $E$9, 100%, $G$9) + CHOOSE(CONTROL!$C$38, 0.0356, 0)</f>
        <v>24.523</v>
      </c>
      <c r="H257" s="17">
        <f>24.4874 * CHOOSE(CONTROL!$C$15, $E$9, 100%, $G$9) + CHOOSE(CONTROL!$C$38, 0.0356, 0)</f>
        <v>24.523</v>
      </c>
      <c r="I257" s="17">
        <f>24.489 * CHOOSE(CONTROL!$C$15, $E$9, 100%, $G$9) + CHOOSE(CONTROL!$C$38, 0.0356, 0)</f>
        <v>24.5246</v>
      </c>
      <c r="J257" s="45">
        <f>190.5636</f>
        <v>190.56360000000001</v>
      </c>
    </row>
    <row r="258" spans="1:10" ht="15" x14ac:dyDescent="0.2">
      <c r="A258" s="16">
        <v>48761</v>
      </c>
      <c r="B258" s="17">
        <f>26.5013 * CHOOSE(CONTROL!$C$15, $E$9, 100%, $G$9) + CHOOSE(CONTROL!$C$38, 0.0355, 0)</f>
        <v>26.536799999999999</v>
      </c>
      <c r="C258" s="17">
        <f>24.167 * CHOOSE(CONTROL!$C$15, $E$9, 100%, $G$9) + CHOOSE(CONTROL!$C$38, 0.0356, 0)</f>
        <v>24.2026</v>
      </c>
      <c r="D258" s="17">
        <f>24.1591 * CHOOSE(CONTROL!$C$15, $E$9, 100%, $G$9) + CHOOSE(CONTROL!$C$38, 0.0356, 0)</f>
        <v>24.194699999999997</v>
      </c>
      <c r="E258" s="17">
        <f>24.1591 * CHOOSE(CONTROL!$C$15, $E$9, 100%, $G$9) + CHOOSE(CONTROL!$C$38, 0.0356, 0)</f>
        <v>24.194699999999997</v>
      </c>
      <c r="F258" s="46">
        <f>26.5013 * CHOOSE(CONTROL!$C$15, $E$9, 100%, $G$9) + CHOOSE(CONTROL!$C$38, 0.0355, 0)</f>
        <v>26.536799999999999</v>
      </c>
      <c r="G258" s="17">
        <f>24.1654 * CHOOSE(CONTROL!$C$15, $E$9, 100%, $G$9) + CHOOSE(CONTROL!$C$38, 0.0356, 0)</f>
        <v>24.201000000000001</v>
      </c>
      <c r="H258" s="17">
        <f>24.1654 * CHOOSE(CONTROL!$C$15, $E$9, 100%, $G$9) + CHOOSE(CONTROL!$C$38, 0.0356, 0)</f>
        <v>24.201000000000001</v>
      </c>
      <c r="I258" s="17">
        <f>24.167 * CHOOSE(CONTROL!$C$15, $E$9, 100%, $G$9) + CHOOSE(CONTROL!$C$38, 0.0356, 0)</f>
        <v>24.2026</v>
      </c>
      <c r="J258" s="45">
        <f>189.6724</f>
        <v>189.67240000000001</v>
      </c>
    </row>
    <row r="259" spans="1:10" ht="15" x14ac:dyDescent="0.2">
      <c r="A259" s="16">
        <v>48792</v>
      </c>
      <c r="B259" s="17">
        <f>26.6602 * CHOOSE(CONTROL!$C$15, $E$9, 100%, $G$9) + CHOOSE(CONTROL!$C$38, 0.0355, 0)</f>
        <v>26.695699999999999</v>
      </c>
      <c r="C259" s="17">
        <f>24.3259 * CHOOSE(CONTROL!$C$15, $E$9, 100%, $G$9) + CHOOSE(CONTROL!$C$38, 0.0356, 0)</f>
        <v>24.361499999999999</v>
      </c>
      <c r="D259" s="17">
        <f>24.3181 * CHOOSE(CONTROL!$C$15, $E$9, 100%, $G$9) + CHOOSE(CONTROL!$C$38, 0.0356, 0)</f>
        <v>24.3537</v>
      </c>
      <c r="E259" s="17">
        <f>24.3181 * CHOOSE(CONTROL!$C$15, $E$9, 100%, $G$9) + CHOOSE(CONTROL!$C$38, 0.0356, 0)</f>
        <v>24.3537</v>
      </c>
      <c r="F259" s="46">
        <f>26.6602 * CHOOSE(CONTROL!$C$15, $E$9, 100%, $G$9) + CHOOSE(CONTROL!$C$38, 0.0355, 0)</f>
        <v>26.695699999999999</v>
      </c>
      <c r="G259" s="17">
        <f>24.3243 * CHOOSE(CONTROL!$C$15, $E$9, 100%, $G$9) + CHOOSE(CONTROL!$C$38, 0.0356, 0)</f>
        <v>24.3599</v>
      </c>
      <c r="H259" s="17">
        <f>24.3243 * CHOOSE(CONTROL!$C$15, $E$9, 100%, $G$9) + CHOOSE(CONTROL!$C$38, 0.0356, 0)</f>
        <v>24.3599</v>
      </c>
      <c r="I259" s="17">
        <f>24.3259 * CHOOSE(CONTROL!$C$15, $E$9, 100%, $G$9) + CHOOSE(CONTROL!$C$38, 0.0356, 0)</f>
        <v>24.361499999999999</v>
      </c>
      <c r="J259" s="45">
        <f>185.2569</f>
        <v>185.2569</v>
      </c>
    </row>
    <row r="260" spans="1:10" ht="15" x14ac:dyDescent="0.2">
      <c r="A260" s="16">
        <v>48823</v>
      </c>
      <c r="B260" s="17">
        <f>27.092 * CHOOSE(CONTROL!$C$15, $E$9, 100%, $G$9) + CHOOSE(CONTROL!$C$38, 0.0355, 0)</f>
        <v>27.127499999999998</v>
      </c>
      <c r="C260" s="17">
        <f>24.7576 * CHOOSE(CONTROL!$C$15, $E$9, 100%, $G$9) + CHOOSE(CONTROL!$C$38, 0.0356, 0)</f>
        <v>24.793199999999999</v>
      </c>
      <c r="D260" s="17">
        <f>24.7498 * CHOOSE(CONTROL!$C$15, $E$9, 100%, $G$9) + CHOOSE(CONTROL!$C$38, 0.0356, 0)</f>
        <v>24.785399999999999</v>
      </c>
      <c r="E260" s="17">
        <f>24.7498 * CHOOSE(CONTROL!$C$15, $E$9, 100%, $G$9) + CHOOSE(CONTROL!$C$38, 0.0356, 0)</f>
        <v>24.785399999999999</v>
      </c>
      <c r="F260" s="46">
        <f>27.092 * CHOOSE(CONTROL!$C$15, $E$9, 100%, $G$9) + CHOOSE(CONTROL!$C$38, 0.0355, 0)</f>
        <v>27.127499999999998</v>
      </c>
      <c r="G260" s="17">
        <f>24.756 * CHOOSE(CONTROL!$C$15, $E$9, 100%, $G$9) + CHOOSE(CONTROL!$C$38, 0.0356, 0)</f>
        <v>24.791599999999999</v>
      </c>
      <c r="H260" s="17">
        <f>24.756 * CHOOSE(CONTROL!$C$15, $E$9, 100%, $G$9) + CHOOSE(CONTROL!$C$38, 0.0356, 0)</f>
        <v>24.791599999999999</v>
      </c>
      <c r="I260" s="17">
        <f>24.7576 * CHOOSE(CONTROL!$C$15, $E$9, 100%, $G$9) + CHOOSE(CONTROL!$C$38, 0.0356, 0)</f>
        <v>24.793199999999999</v>
      </c>
      <c r="J260" s="45">
        <f>179.0993</f>
        <v>179.0993</v>
      </c>
    </row>
    <row r="261" spans="1:10" ht="15" x14ac:dyDescent="0.2">
      <c r="A261" s="16">
        <v>48853</v>
      </c>
      <c r="B261" s="17">
        <f>27.4535 * CHOOSE(CONTROL!$C$15, $E$9, 100%, $G$9) + CHOOSE(CONTROL!$C$38, 0.0342, 0)</f>
        <v>27.487699999999997</v>
      </c>
      <c r="C261" s="17">
        <f>25.1192 * CHOOSE(CONTROL!$C$15, $E$9, 100%, $G$9) + CHOOSE(CONTROL!$C$38, 0.0343, 0)</f>
        <v>25.153500000000001</v>
      </c>
      <c r="D261" s="17">
        <f>25.1114 * CHOOSE(CONTROL!$C$15, $E$9, 100%, $G$9) + CHOOSE(CONTROL!$C$38, 0.0343, 0)</f>
        <v>25.145699999999998</v>
      </c>
      <c r="E261" s="17">
        <f>25.1114 * CHOOSE(CONTROL!$C$15, $E$9, 100%, $G$9) + CHOOSE(CONTROL!$C$38, 0.0343, 0)</f>
        <v>25.145699999999998</v>
      </c>
      <c r="F261" s="46">
        <f>27.4535 * CHOOSE(CONTROL!$C$15, $E$9, 100%, $G$9) + CHOOSE(CONTROL!$C$38, 0.0342, 0)</f>
        <v>27.487699999999997</v>
      </c>
      <c r="G261" s="17">
        <f>25.1176 * CHOOSE(CONTROL!$C$15, $E$9, 100%, $G$9) + CHOOSE(CONTROL!$C$38, 0.0343, 0)</f>
        <v>25.151899999999998</v>
      </c>
      <c r="H261" s="17">
        <f>25.1176 * CHOOSE(CONTROL!$C$15, $E$9, 100%, $G$9) + CHOOSE(CONTROL!$C$38, 0.0343, 0)</f>
        <v>25.151899999999998</v>
      </c>
      <c r="I261" s="17">
        <f>25.1192 * CHOOSE(CONTROL!$C$15, $E$9, 100%, $G$9) + CHOOSE(CONTROL!$C$38, 0.0343, 0)</f>
        <v>25.153500000000001</v>
      </c>
      <c r="J261" s="45">
        <f>172.9059</f>
        <v>172.9059</v>
      </c>
    </row>
    <row r="262" spans="1:10" ht="15" x14ac:dyDescent="0.2">
      <c r="A262" s="16">
        <v>48884</v>
      </c>
      <c r="B262" s="17">
        <f>27.7552 * CHOOSE(CONTROL!$C$15, $E$9, 100%, $G$9) + CHOOSE(CONTROL!$C$38, 0.0342, 0)</f>
        <v>27.789399999999997</v>
      </c>
      <c r="C262" s="17">
        <f>25.4209 * CHOOSE(CONTROL!$C$15, $E$9, 100%, $G$9) + CHOOSE(CONTROL!$C$38, 0.0343, 0)</f>
        <v>25.455199999999998</v>
      </c>
      <c r="D262" s="17">
        <f>25.4131 * CHOOSE(CONTROL!$C$15, $E$9, 100%, $G$9) + CHOOSE(CONTROL!$C$38, 0.0343, 0)</f>
        <v>25.447400000000002</v>
      </c>
      <c r="E262" s="17">
        <f>25.4131 * CHOOSE(CONTROL!$C$15, $E$9, 100%, $G$9) + CHOOSE(CONTROL!$C$38, 0.0343, 0)</f>
        <v>25.447400000000002</v>
      </c>
      <c r="F262" s="46">
        <f>27.7552 * CHOOSE(CONTROL!$C$15, $E$9, 100%, $G$9) + CHOOSE(CONTROL!$C$38, 0.0342, 0)</f>
        <v>27.789399999999997</v>
      </c>
      <c r="G262" s="17">
        <f>25.4193 * CHOOSE(CONTROL!$C$15, $E$9, 100%, $G$9) + CHOOSE(CONTROL!$C$38, 0.0343, 0)</f>
        <v>25.453600000000002</v>
      </c>
      <c r="H262" s="17">
        <f>25.4193 * CHOOSE(CONTROL!$C$15, $E$9, 100%, $G$9) + CHOOSE(CONTROL!$C$38, 0.0343, 0)</f>
        <v>25.453600000000002</v>
      </c>
      <c r="I262" s="17">
        <f>25.4209 * CHOOSE(CONTROL!$C$15, $E$9, 100%, $G$9) + CHOOSE(CONTROL!$C$38, 0.0343, 0)</f>
        <v>25.455199999999998</v>
      </c>
      <c r="J262" s="45">
        <f>171.6739</f>
        <v>171.6739</v>
      </c>
    </row>
    <row r="263" spans="1:10" ht="15" x14ac:dyDescent="0.2">
      <c r="A263" s="16">
        <v>48914</v>
      </c>
      <c r="B263" s="17">
        <f>28.6849 * CHOOSE(CONTROL!$C$15, $E$9, 100%, $G$9) + CHOOSE(CONTROL!$C$38, 0.0342, 0)</f>
        <v>28.719099999999997</v>
      </c>
      <c r="C263" s="17">
        <f>26.3505 * CHOOSE(CONTROL!$C$15, $E$9, 100%, $G$9) + CHOOSE(CONTROL!$C$38, 0.0343, 0)</f>
        <v>26.384799999999998</v>
      </c>
      <c r="D263" s="17">
        <f>26.3427 * CHOOSE(CONTROL!$C$15, $E$9, 100%, $G$9) + CHOOSE(CONTROL!$C$38, 0.0343, 0)</f>
        <v>26.377000000000002</v>
      </c>
      <c r="E263" s="17">
        <f>26.3427 * CHOOSE(CONTROL!$C$15, $E$9, 100%, $G$9) + CHOOSE(CONTROL!$C$38, 0.0343, 0)</f>
        <v>26.377000000000002</v>
      </c>
      <c r="F263" s="46">
        <f>28.6849 * CHOOSE(CONTROL!$C$15, $E$9, 100%, $G$9) + CHOOSE(CONTROL!$C$38, 0.0342, 0)</f>
        <v>28.719099999999997</v>
      </c>
      <c r="G263" s="17">
        <f>26.349 * CHOOSE(CONTROL!$C$15, $E$9, 100%, $G$9) + CHOOSE(CONTROL!$C$38, 0.0343, 0)</f>
        <v>26.383299999999998</v>
      </c>
      <c r="H263" s="17">
        <f>26.349 * CHOOSE(CONTROL!$C$15, $E$9, 100%, $G$9) + CHOOSE(CONTROL!$C$38, 0.0343, 0)</f>
        <v>26.383299999999998</v>
      </c>
      <c r="I263" s="17">
        <f>26.3505 * CHOOSE(CONTROL!$C$15, $E$9, 100%, $G$9) + CHOOSE(CONTROL!$C$38, 0.0343, 0)</f>
        <v>26.384799999999998</v>
      </c>
      <c r="J263" s="45">
        <f>166.5794</f>
        <v>166.57939999999999</v>
      </c>
    </row>
    <row r="264" spans="1:10" ht="15" x14ac:dyDescent="0.2">
      <c r="A264" s="16">
        <v>48945</v>
      </c>
      <c r="B264" s="17">
        <f>29.8759 * CHOOSE(CONTROL!$C$15, $E$9, 100%, $G$9) + CHOOSE(CONTROL!$C$38, 0.0342, 0)</f>
        <v>29.9101</v>
      </c>
      <c r="C264" s="17">
        <f>27.505 * CHOOSE(CONTROL!$C$15, $E$9, 100%, $G$9) + CHOOSE(CONTROL!$C$38, 0.0343, 0)</f>
        <v>27.539299999999997</v>
      </c>
      <c r="D264" s="17">
        <f>27.4971 * CHOOSE(CONTROL!$C$15, $E$9, 100%, $G$9) + CHOOSE(CONTROL!$C$38, 0.0343, 0)</f>
        <v>27.531399999999998</v>
      </c>
      <c r="E264" s="17">
        <f>27.4971 * CHOOSE(CONTROL!$C$15, $E$9, 100%, $G$9) + CHOOSE(CONTROL!$C$38, 0.0343, 0)</f>
        <v>27.531399999999998</v>
      </c>
      <c r="F264" s="46">
        <f>29.8759 * CHOOSE(CONTROL!$C$15, $E$9, 100%, $G$9) + CHOOSE(CONTROL!$C$38, 0.0342, 0)</f>
        <v>29.9101</v>
      </c>
      <c r="G264" s="17">
        <f>27.5034 * CHOOSE(CONTROL!$C$15, $E$9, 100%, $G$9) + CHOOSE(CONTROL!$C$38, 0.0343, 0)</f>
        <v>27.537700000000001</v>
      </c>
      <c r="H264" s="17">
        <f>27.5034 * CHOOSE(CONTROL!$C$15, $E$9, 100%, $G$9) + CHOOSE(CONTROL!$C$38, 0.0343, 0)</f>
        <v>27.537700000000001</v>
      </c>
      <c r="I264" s="17">
        <f>27.505 * CHOOSE(CONTROL!$C$15, $E$9, 100%, $G$9) + CHOOSE(CONTROL!$C$38, 0.0343, 0)</f>
        <v>27.539299999999997</v>
      </c>
      <c r="J264" s="45">
        <f>166.4592</f>
        <v>166.45920000000001</v>
      </c>
    </row>
    <row r="265" spans="1:10" ht="15" x14ac:dyDescent="0.2">
      <c r="A265" s="16">
        <v>48976</v>
      </c>
      <c r="B265" s="17">
        <f>30.2202 * CHOOSE(CONTROL!$C$15, $E$9, 100%, $G$9) + CHOOSE(CONTROL!$C$38, 0.0342, 0)</f>
        <v>30.254399999999997</v>
      </c>
      <c r="C265" s="17">
        <f>27.8493 * CHOOSE(CONTROL!$C$15, $E$9, 100%, $G$9) + CHOOSE(CONTROL!$C$38, 0.0343, 0)</f>
        <v>27.883600000000001</v>
      </c>
      <c r="D265" s="17">
        <f>27.8415 * CHOOSE(CONTROL!$C$15, $E$9, 100%, $G$9) + CHOOSE(CONTROL!$C$38, 0.0343, 0)</f>
        <v>27.875799999999998</v>
      </c>
      <c r="E265" s="17">
        <f>27.8415 * CHOOSE(CONTROL!$C$15, $E$9, 100%, $G$9) + CHOOSE(CONTROL!$C$38, 0.0343, 0)</f>
        <v>27.875799999999998</v>
      </c>
      <c r="F265" s="46">
        <f>30.2202 * CHOOSE(CONTROL!$C$15, $E$9, 100%, $G$9) + CHOOSE(CONTROL!$C$38, 0.0342, 0)</f>
        <v>30.254399999999997</v>
      </c>
      <c r="G265" s="17">
        <f>27.8477 * CHOOSE(CONTROL!$C$15, $E$9, 100%, $G$9) + CHOOSE(CONTROL!$C$38, 0.0343, 0)</f>
        <v>27.881999999999998</v>
      </c>
      <c r="H265" s="17">
        <f>27.8477 * CHOOSE(CONTROL!$C$15, $E$9, 100%, $G$9) + CHOOSE(CONTROL!$C$38, 0.0343, 0)</f>
        <v>27.881999999999998</v>
      </c>
      <c r="I265" s="17">
        <f>27.8493 * CHOOSE(CONTROL!$C$15, $E$9, 100%, $G$9) + CHOOSE(CONTROL!$C$38, 0.0343, 0)</f>
        <v>27.883600000000001</v>
      </c>
      <c r="J265" s="45">
        <f>165.9965</f>
        <v>165.9965</v>
      </c>
    </row>
    <row r="266" spans="1:10" ht="15" x14ac:dyDescent="0.2">
      <c r="A266" s="16">
        <v>49004</v>
      </c>
      <c r="B266" s="17">
        <f>29.4232 * CHOOSE(CONTROL!$C$15, $E$9, 100%, $G$9) + CHOOSE(CONTROL!$C$38, 0.0342, 0)</f>
        <v>29.4574</v>
      </c>
      <c r="C266" s="17">
        <f>27.0522 * CHOOSE(CONTROL!$C$15, $E$9, 100%, $G$9) + CHOOSE(CONTROL!$C$38, 0.0343, 0)</f>
        <v>27.086500000000001</v>
      </c>
      <c r="D266" s="17">
        <f>27.0444 * CHOOSE(CONTROL!$C$15, $E$9, 100%, $G$9) + CHOOSE(CONTROL!$C$38, 0.0343, 0)</f>
        <v>27.078699999999998</v>
      </c>
      <c r="E266" s="17">
        <f>27.0444 * CHOOSE(CONTROL!$C$15, $E$9, 100%, $G$9) + CHOOSE(CONTROL!$C$38, 0.0343, 0)</f>
        <v>27.078699999999998</v>
      </c>
      <c r="F266" s="46">
        <f>29.4232 * CHOOSE(CONTROL!$C$15, $E$9, 100%, $G$9) + CHOOSE(CONTROL!$C$38, 0.0342, 0)</f>
        <v>29.4574</v>
      </c>
      <c r="G266" s="17">
        <f>27.0507 * CHOOSE(CONTROL!$C$15, $E$9, 100%, $G$9) + CHOOSE(CONTROL!$C$38, 0.0343, 0)</f>
        <v>27.085000000000001</v>
      </c>
      <c r="H266" s="17">
        <f>27.0507 * CHOOSE(CONTROL!$C$15, $E$9, 100%, $G$9) + CHOOSE(CONTROL!$C$38, 0.0343, 0)</f>
        <v>27.085000000000001</v>
      </c>
      <c r="I266" s="17">
        <f>27.0522 * CHOOSE(CONTROL!$C$15, $E$9, 100%, $G$9) + CHOOSE(CONTROL!$C$38, 0.0343, 0)</f>
        <v>27.086500000000001</v>
      </c>
      <c r="J266" s="45">
        <f>174.7454</f>
        <v>174.74539999999999</v>
      </c>
    </row>
    <row r="267" spans="1:10" ht="15" x14ac:dyDescent="0.2">
      <c r="A267" s="16">
        <v>49035</v>
      </c>
      <c r="B267" s="17">
        <f>28.6509 * CHOOSE(CONTROL!$C$15, $E$9, 100%, $G$9) + CHOOSE(CONTROL!$C$38, 0.0342, 0)</f>
        <v>28.685099999999998</v>
      </c>
      <c r="C267" s="17">
        <f>26.2799 * CHOOSE(CONTROL!$C$15, $E$9, 100%, $G$9) + CHOOSE(CONTROL!$C$38, 0.0343, 0)</f>
        <v>26.3142</v>
      </c>
      <c r="D267" s="17">
        <f>26.2721 * CHOOSE(CONTROL!$C$15, $E$9, 100%, $G$9) + CHOOSE(CONTROL!$C$38, 0.0343, 0)</f>
        <v>26.306399999999996</v>
      </c>
      <c r="E267" s="17">
        <f>26.2721 * CHOOSE(CONTROL!$C$15, $E$9, 100%, $G$9) + CHOOSE(CONTROL!$C$38, 0.0343, 0)</f>
        <v>26.306399999999996</v>
      </c>
      <c r="F267" s="46">
        <f>28.6509 * CHOOSE(CONTROL!$C$15, $E$9, 100%, $G$9) + CHOOSE(CONTROL!$C$38, 0.0342, 0)</f>
        <v>28.685099999999998</v>
      </c>
      <c r="G267" s="17">
        <f>26.2784 * CHOOSE(CONTROL!$C$15, $E$9, 100%, $G$9) + CHOOSE(CONTROL!$C$38, 0.0343, 0)</f>
        <v>26.3127</v>
      </c>
      <c r="H267" s="17">
        <f>26.2784 * CHOOSE(CONTROL!$C$15, $E$9, 100%, $G$9) + CHOOSE(CONTROL!$C$38, 0.0343, 0)</f>
        <v>26.3127</v>
      </c>
      <c r="I267" s="17">
        <f>26.2799 * CHOOSE(CONTROL!$C$15, $E$9, 100%, $G$9) + CHOOSE(CONTROL!$C$38, 0.0343, 0)</f>
        <v>26.3142</v>
      </c>
      <c r="J267" s="45">
        <f>186.0908</f>
        <v>186.0908</v>
      </c>
    </row>
    <row r="268" spans="1:10" ht="15" x14ac:dyDescent="0.2">
      <c r="A268" s="16">
        <v>49065</v>
      </c>
      <c r="B268" s="17">
        <f>27.8459 * CHOOSE(CONTROL!$C$15, $E$9, 100%, $G$9) + CHOOSE(CONTROL!$C$38, 0.0355, 0)</f>
        <v>27.881399999999999</v>
      </c>
      <c r="C268" s="17">
        <f>25.475 * CHOOSE(CONTROL!$C$15, $E$9, 100%, $G$9) + CHOOSE(CONTROL!$C$38, 0.0356, 0)</f>
        <v>25.5106</v>
      </c>
      <c r="D268" s="17">
        <f>25.4671 * CHOOSE(CONTROL!$C$15, $E$9, 100%, $G$9) + CHOOSE(CONTROL!$C$38, 0.0356, 0)</f>
        <v>25.502699999999997</v>
      </c>
      <c r="E268" s="17">
        <f>25.4671 * CHOOSE(CONTROL!$C$15, $E$9, 100%, $G$9) + CHOOSE(CONTROL!$C$38, 0.0356, 0)</f>
        <v>25.502699999999997</v>
      </c>
      <c r="F268" s="46">
        <f>27.8459 * CHOOSE(CONTROL!$C$15, $E$9, 100%, $G$9) + CHOOSE(CONTROL!$C$38, 0.0355, 0)</f>
        <v>27.881399999999999</v>
      </c>
      <c r="G268" s="17">
        <f>25.4734 * CHOOSE(CONTROL!$C$15, $E$9, 100%, $G$9) + CHOOSE(CONTROL!$C$38, 0.0356, 0)</f>
        <v>25.509</v>
      </c>
      <c r="H268" s="17">
        <f>25.4734 * CHOOSE(CONTROL!$C$15, $E$9, 100%, $G$9) + CHOOSE(CONTROL!$C$38, 0.0356, 0)</f>
        <v>25.509</v>
      </c>
      <c r="I268" s="17">
        <f>25.475 * CHOOSE(CONTROL!$C$15, $E$9, 100%, $G$9) + CHOOSE(CONTROL!$C$38, 0.0356, 0)</f>
        <v>25.5106</v>
      </c>
      <c r="J268" s="45">
        <f>192.3356</f>
        <v>192.3356</v>
      </c>
    </row>
    <row r="269" spans="1:10" ht="15" x14ac:dyDescent="0.2">
      <c r="A269" s="16">
        <v>49096</v>
      </c>
      <c r="B269" s="17">
        <f>27.2816 * CHOOSE(CONTROL!$C$15, $E$9, 100%, $G$9) + CHOOSE(CONTROL!$C$38, 0.0355, 0)</f>
        <v>27.3171</v>
      </c>
      <c r="C269" s="17">
        <f>25.0416 * CHOOSE(CONTROL!$C$15, $E$9, 100%, $G$9) + CHOOSE(CONTROL!$C$38, 0.0356, 0)</f>
        <v>25.077199999999998</v>
      </c>
      <c r="D269" s="17">
        <f>25.0338 * CHOOSE(CONTROL!$C$15, $E$9, 100%, $G$9) + CHOOSE(CONTROL!$C$38, 0.0356, 0)</f>
        <v>25.069399999999998</v>
      </c>
      <c r="E269" s="17">
        <f>25.0338 * CHOOSE(CONTROL!$C$15, $E$9, 100%, $G$9) + CHOOSE(CONTROL!$C$38, 0.0356, 0)</f>
        <v>25.069399999999998</v>
      </c>
      <c r="F269" s="46">
        <f>27.2816 * CHOOSE(CONTROL!$C$15, $E$9, 100%, $G$9) + CHOOSE(CONTROL!$C$38, 0.0355, 0)</f>
        <v>27.3171</v>
      </c>
      <c r="G269" s="17">
        <f>25.0401 * CHOOSE(CONTROL!$C$15, $E$9, 100%, $G$9) + CHOOSE(CONTROL!$C$38, 0.0356, 0)</f>
        <v>25.075699999999998</v>
      </c>
      <c r="H269" s="17">
        <f>25.0401 * CHOOSE(CONTROL!$C$15, $E$9, 100%, $G$9) + CHOOSE(CONTROL!$C$38, 0.0356, 0)</f>
        <v>25.075699999999998</v>
      </c>
      <c r="I269" s="17">
        <f>25.0416 * CHOOSE(CONTROL!$C$15, $E$9, 100%, $G$9) + CHOOSE(CONTROL!$C$38, 0.0356, 0)</f>
        <v>25.077199999999998</v>
      </c>
      <c r="J269" s="45">
        <f>195.1069</f>
        <v>195.1069</v>
      </c>
    </row>
    <row r="270" spans="1:10" ht="15" x14ac:dyDescent="0.2">
      <c r="A270" s="16">
        <v>49126</v>
      </c>
      <c r="B270" s="17">
        <f>26.9595 * CHOOSE(CONTROL!$C$15, $E$9, 100%, $G$9) + CHOOSE(CONTROL!$C$38, 0.0355, 0)</f>
        <v>26.994999999999997</v>
      </c>
      <c r="C270" s="17">
        <f>24.5886 * CHOOSE(CONTROL!$C$15, $E$9, 100%, $G$9) + CHOOSE(CONTROL!$C$38, 0.0356, 0)</f>
        <v>24.624199999999998</v>
      </c>
      <c r="D270" s="17">
        <f>24.5808 * CHOOSE(CONTROL!$C$15, $E$9, 100%, $G$9) + CHOOSE(CONTROL!$C$38, 0.0356, 0)</f>
        <v>24.616399999999999</v>
      </c>
      <c r="E270" s="17">
        <f>24.5808 * CHOOSE(CONTROL!$C$15, $E$9, 100%, $G$9) + CHOOSE(CONTROL!$C$38, 0.0356, 0)</f>
        <v>24.616399999999999</v>
      </c>
      <c r="F270" s="46">
        <f>26.9595 * CHOOSE(CONTROL!$C$15, $E$9, 100%, $G$9) + CHOOSE(CONTROL!$C$38, 0.0355, 0)</f>
        <v>26.994999999999997</v>
      </c>
      <c r="G270" s="17">
        <f>24.587 * CHOOSE(CONTROL!$C$15, $E$9, 100%, $G$9) + CHOOSE(CONTROL!$C$38, 0.0356, 0)</f>
        <v>24.622599999999998</v>
      </c>
      <c r="H270" s="17">
        <f>24.587 * CHOOSE(CONTROL!$C$15, $E$9, 100%, $G$9) + CHOOSE(CONTROL!$C$38, 0.0356, 0)</f>
        <v>24.622599999999998</v>
      </c>
      <c r="I270" s="17">
        <f>24.5886 * CHOOSE(CONTROL!$C$15, $E$9, 100%, $G$9) + CHOOSE(CONTROL!$C$38, 0.0356, 0)</f>
        <v>24.624199999999998</v>
      </c>
      <c r="J270" s="45">
        <f>194.1945</f>
        <v>194.19450000000001</v>
      </c>
    </row>
    <row r="271" spans="1:10" ht="15" x14ac:dyDescent="0.2">
      <c r="A271" s="16">
        <v>49157</v>
      </c>
      <c r="B271" s="17">
        <f>27.1184 * CHOOSE(CONTROL!$C$15, $E$9, 100%, $G$9) + CHOOSE(CONTROL!$C$38, 0.0355, 0)</f>
        <v>27.1539</v>
      </c>
      <c r="C271" s="17">
        <f>24.7475 * CHOOSE(CONTROL!$C$15, $E$9, 100%, $G$9) + CHOOSE(CONTROL!$C$38, 0.0356, 0)</f>
        <v>24.783099999999997</v>
      </c>
      <c r="D271" s="17">
        <f>24.7397 * CHOOSE(CONTROL!$C$15, $E$9, 100%, $G$9) + CHOOSE(CONTROL!$C$38, 0.0356, 0)</f>
        <v>24.775299999999998</v>
      </c>
      <c r="E271" s="17">
        <f>24.7397 * CHOOSE(CONTROL!$C$15, $E$9, 100%, $G$9) + CHOOSE(CONTROL!$C$38, 0.0356, 0)</f>
        <v>24.775299999999998</v>
      </c>
      <c r="F271" s="46">
        <f>27.1184 * CHOOSE(CONTROL!$C$15, $E$9, 100%, $G$9) + CHOOSE(CONTROL!$C$38, 0.0355, 0)</f>
        <v>27.1539</v>
      </c>
      <c r="G271" s="17">
        <f>24.7459 * CHOOSE(CONTROL!$C$15, $E$9, 100%, $G$9) + CHOOSE(CONTROL!$C$38, 0.0356, 0)</f>
        <v>24.781499999999998</v>
      </c>
      <c r="H271" s="17">
        <f>24.7459 * CHOOSE(CONTROL!$C$15, $E$9, 100%, $G$9) + CHOOSE(CONTROL!$C$38, 0.0356, 0)</f>
        <v>24.781499999999998</v>
      </c>
      <c r="I271" s="17">
        <f>24.7475 * CHOOSE(CONTROL!$C$15, $E$9, 100%, $G$9) + CHOOSE(CONTROL!$C$38, 0.0356, 0)</f>
        <v>24.783099999999997</v>
      </c>
      <c r="J271" s="45">
        <f>189.6737</f>
        <v>189.6737</v>
      </c>
    </row>
    <row r="272" spans="1:10" ht="15" x14ac:dyDescent="0.2">
      <c r="A272" s="16">
        <v>49188</v>
      </c>
      <c r="B272" s="17">
        <f>27.5502 * CHOOSE(CONTROL!$C$15, $E$9, 100%, $G$9) + CHOOSE(CONTROL!$C$38, 0.0355, 0)</f>
        <v>27.585699999999999</v>
      </c>
      <c r="C272" s="17">
        <f>25.1792 * CHOOSE(CONTROL!$C$15, $E$9, 100%, $G$9) + CHOOSE(CONTROL!$C$38, 0.0356, 0)</f>
        <v>25.2148</v>
      </c>
      <c r="D272" s="17">
        <f>25.1714 * CHOOSE(CONTROL!$C$15, $E$9, 100%, $G$9) + CHOOSE(CONTROL!$C$38, 0.0356, 0)</f>
        <v>25.206999999999997</v>
      </c>
      <c r="E272" s="17">
        <f>25.1714 * CHOOSE(CONTROL!$C$15, $E$9, 100%, $G$9) + CHOOSE(CONTROL!$C$38, 0.0356, 0)</f>
        <v>25.206999999999997</v>
      </c>
      <c r="F272" s="46">
        <f>27.5502 * CHOOSE(CONTROL!$C$15, $E$9, 100%, $G$9) + CHOOSE(CONTROL!$C$38, 0.0355, 0)</f>
        <v>27.585699999999999</v>
      </c>
      <c r="G272" s="17">
        <f>25.1777 * CHOOSE(CONTROL!$C$15, $E$9, 100%, $G$9) + CHOOSE(CONTROL!$C$38, 0.0356, 0)</f>
        <v>25.2133</v>
      </c>
      <c r="H272" s="17">
        <f>25.1777 * CHOOSE(CONTROL!$C$15, $E$9, 100%, $G$9) + CHOOSE(CONTROL!$C$38, 0.0356, 0)</f>
        <v>25.2133</v>
      </c>
      <c r="I272" s="17">
        <f>25.1792 * CHOOSE(CONTROL!$C$15, $E$9, 100%, $G$9) + CHOOSE(CONTROL!$C$38, 0.0356, 0)</f>
        <v>25.2148</v>
      </c>
      <c r="J272" s="45">
        <f>183.3693</f>
        <v>183.36930000000001</v>
      </c>
    </row>
    <row r="273" spans="1:10" ht="15" x14ac:dyDescent="0.2">
      <c r="A273" s="16">
        <v>49218</v>
      </c>
      <c r="B273" s="17">
        <f>27.9117 * CHOOSE(CONTROL!$C$15, $E$9, 100%, $G$9) + CHOOSE(CONTROL!$C$38, 0.0342, 0)</f>
        <v>27.945899999999998</v>
      </c>
      <c r="C273" s="17">
        <f>25.5408 * CHOOSE(CONTROL!$C$15, $E$9, 100%, $G$9) + CHOOSE(CONTROL!$C$38, 0.0343, 0)</f>
        <v>25.575099999999999</v>
      </c>
      <c r="D273" s="17">
        <f>25.533 * CHOOSE(CONTROL!$C$15, $E$9, 100%, $G$9) + CHOOSE(CONTROL!$C$38, 0.0343, 0)</f>
        <v>25.567300000000003</v>
      </c>
      <c r="E273" s="17">
        <f>25.533 * CHOOSE(CONTROL!$C$15, $E$9, 100%, $G$9) + CHOOSE(CONTROL!$C$38, 0.0343, 0)</f>
        <v>25.567300000000003</v>
      </c>
      <c r="F273" s="46">
        <f>27.9117 * CHOOSE(CONTROL!$C$15, $E$9, 100%, $G$9) + CHOOSE(CONTROL!$C$38, 0.0342, 0)</f>
        <v>27.945899999999998</v>
      </c>
      <c r="G273" s="17">
        <f>25.5392 * CHOOSE(CONTROL!$C$15, $E$9, 100%, $G$9) + CHOOSE(CONTROL!$C$38, 0.0343, 0)</f>
        <v>25.573500000000003</v>
      </c>
      <c r="H273" s="17">
        <f>25.5392 * CHOOSE(CONTROL!$C$15, $E$9, 100%, $G$9) + CHOOSE(CONTROL!$C$38, 0.0343, 0)</f>
        <v>25.573500000000003</v>
      </c>
      <c r="I273" s="17">
        <f>25.5408 * CHOOSE(CONTROL!$C$15, $E$9, 100%, $G$9) + CHOOSE(CONTROL!$C$38, 0.0343, 0)</f>
        <v>25.575099999999999</v>
      </c>
      <c r="J273" s="45">
        <f>177.0282</f>
        <v>177.0282</v>
      </c>
    </row>
    <row r="274" spans="1:10" ht="15" x14ac:dyDescent="0.2">
      <c r="A274" s="16">
        <v>49249</v>
      </c>
      <c r="B274" s="17">
        <f>28.2134 * CHOOSE(CONTROL!$C$15, $E$9, 100%, $G$9) + CHOOSE(CONTROL!$C$38, 0.0342, 0)</f>
        <v>28.247599999999998</v>
      </c>
      <c r="C274" s="17">
        <f>25.8425 * CHOOSE(CONTROL!$C$15, $E$9, 100%, $G$9) + CHOOSE(CONTROL!$C$38, 0.0343, 0)</f>
        <v>25.876800000000003</v>
      </c>
      <c r="D274" s="17">
        <f>25.8347 * CHOOSE(CONTROL!$C$15, $E$9, 100%, $G$9) + CHOOSE(CONTROL!$C$38, 0.0343, 0)</f>
        <v>25.869</v>
      </c>
      <c r="E274" s="17">
        <f>25.8347 * CHOOSE(CONTROL!$C$15, $E$9, 100%, $G$9) + CHOOSE(CONTROL!$C$38, 0.0343, 0)</f>
        <v>25.869</v>
      </c>
      <c r="F274" s="46">
        <f>28.2134 * CHOOSE(CONTROL!$C$15, $E$9, 100%, $G$9) + CHOOSE(CONTROL!$C$38, 0.0342, 0)</f>
        <v>28.247599999999998</v>
      </c>
      <c r="G274" s="17">
        <f>25.8409 * CHOOSE(CONTROL!$C$15, $E$9, 100%, $G$9) + CHOOSE(CONTROL!$C$38, 0.0343, 0)</f>
        <v>25.8752</v>
      </c>
      <c r="H274" s="17">
        <f>25.8409 * CHOOSE(CONTROL!$C$15, $E$9, 100%, $G$9) + CHOOSE(CONTROL!$C$38, 0.0343, 0)</f>
        <v>25.8752</v>
      </c>
      <c r="I274" s="17">
        <f>25.8425 * CHOOSE(CONTROL!$C$15, $E$9, 100%, $G$9) + CHOOSE(CONTROL!$C$38, 0.0343, 0)</f>
        <v>25.876800000000003</v>
      </c>
      <c r="J274" s="45">
        <f>175.7668</f>
        <v>175.76679999999999</v>
      </c>
    </row>
    <row r="275" spans="1:10" ht="15" x14ac:dyDescent="0.2">
      <c r="A275" s="16">
        <v>49279</v>
      </c>
      <c r="B275" s="17">
        <f>29.1431 * CHOOSE(CONTROL!$C$15, $E$9, 100%, $G$9) + CHOOSE(CONTROL!$C$38, 0.0342, 0)</f>
        <v>29.177299999999999</v>
      </c>
      <c r="C275" s="17">
        <f>26.7721 * CHOOSE(CONTROL!$C$15, $E$9, 100%, $G$9) + CHOOSE(CONTROL!$C$38, 0.0343, 0)</f>
        <v>26.806399999999996</v>
      </c>
      <c r="D275" s="17">
        <f>26.7643 * CHOOSE(CONTROL!$C$15, $E$9, 100%, $G$9) + CHOOSE(CONTROL!$C$38, 0.0343, 0)</f>
        <v>26.7986</v>
      </c>
      <c r="E275" s="17">
        <f>26.7643 * CHOOSE(CONTROL!$C$15, $E$9, 100%, $G$9) + CHOOSE(CONTROL!$C$38, 0.0343, 0)</f>
        <v>26.7986</v>
      </c>
      <c r="F275" s="46">
        <f>29.1431 * CHOOSE(CONTROL!$C$15, $E$9, 100%, $G$9) + CHOOSE(CONTROL!$C$38, 0.0342, 0)</f>
        <v>29.177299999999999</v>
      </c>
      <c r="G275" s="17">
        <f>26.7706 * CHOOSE(CONTROL!$C$15, $E$9, 100%, $G$9) + CHOOSE(CONTROL!$C$38, 0.0343, 0)</f>
        <v>26.804900000000004</v>
      </c>
      <c r="H275" s="17">
        <f>26.7706 * CHOOSE(CONTROL!$C$15, $E$9, 100%, $G$9) + CHOOSE(CONTROL!$C$38, 0.0343, 0)</f>
        <v>26.804900000000004</v>
      </c>
      <c r="I275" s="17">
        <f>26.7721 * CHOOSE(CONTROL!$C$15, $E$9, 100%, $G$9) + CHOOSE(CONTROL!$C$38, 0.0343, 0)</f>
        <v>26.806399999999996</v>
      </c>
      <c r="J275" s="45">
        <f>170.5509</f>
        <v>170.55090000000001</v>
      </c>
    </row>
    <row r="276" spans="1:10" ht="15" x14ac:dyDescent="0.2">
      <c r="A276" s="16">
        <v>49310</v>
      </c>
      <c r="B276" s="17">
        <f>30.3418 * CHOOSE(CONTROL!$C$15, $E$9, 100%, $G$9) + CHOOSE(CONTROL!$C$38, 0.0342, 0)</f>
        <v>30.375999999999998</v>
      </c>
      <c r="C276" s="17">
        <f>27.9336 * CHOOSE(CONTROL!$C$15, $E$9, 100%, $G$9) + CHOOSE(CONTROL!$C$38, 0.0343, 0)</f>
        <v>27.9679</v>
      </c>
      <c r="D276" s="17">
        <f>27.9258 * CHOOSE(CONTROL!$C$15, $E$9, 100%, $G$9) + CHOOSE(CONTROL!$C$38, 0.0343, 0)</f>
        <v>27.960099999999997</v>
      </c>
      <c r="E276" s="17">
        <f>27.9258 * CHOOSE(CONTROL!$C$15, $E$9, 100%, $G$9) + CHOOSE(CONTROL!$C$38, 0.0343, 0)</f>
        <v>27.960099999999997</v>
      </c>
      <c r="F276" s="46">
        <f>30.3418 * CHOOSE(CONTROL!$C$15, $E$9, 100%, $G$9) + CHOOSE(CONTROL!$C$38, 0.0342, 0)</f>
        <v>30.375999999999998</v>
      </c>
      <c r="G276" s="17">
        <f>27.9321 * CHOOSE(CONTROL!$C$15, $E$9, 100%, $G$9) + CHOOSE(CONTROL!$C$38, 0.0343, 0)</f>
        <v>27.9664</v>
      </c>
      <c r="H276" s="17">
        <f>27.9321 * CHOOSE(CONTROL!$C$15, $E$9, 100%, $G$9) + CHOOSE(CONTROL!$C$38, 0.0343, 0)</f>
        <v>27.9664</v>
      </c>
      <c r="I276" s="17">
        <f>27.9336 * CHOOSE(CONTROL!$C$15, $E$9, 100%, $G$9) + CHOOSE(CONTROL!$C$38, 0.0343, 0)</f>
        <v>27.9679</v>
      </c>
      <c r="J276" s="45">
        <f>170.4278</f>
        <v>170.42779999999999</v>
      </c>
    </row>
    <row r="277" spans="1:10" ht="15" x14ac:dyDescent="0.2">
      <c r="A277" s="16">
        <v>49341</v>
      </c>
      <c r="B277" s="17">
        <f>30.6861 * CHOOSE(CONTROL!$C$15, $E$9, 100%, $G$9) + CHOOSE(CONTROL!$C$38, 0.0342, 0)</f>
        <v>30.720299999999998</v>
      </c>
      <c r="C277" s="17">
        <f>28.278 * CHOOSE(CONTROL!$C$15, $E$9, 100%, $G$9) + CHOOSE(CONTROL!$C$38, 0.0343, 0)</f>
        <v>28.3123</v>
      </c>
      <c r="D277" s="17">
        <f>28.2701 * CHOOSE(CONTROL!$C$15, $E$9, 100%, $G$9) + CHOOSE(CONTROL!$C$38, 0.0343, 0)</f>
        <v>28.304400000000001</v>
      </c>
      <c r="E277" s="17">
        <f>28.2701 * CHOOSE(CONTROL!$C$15, $E$9, 100%, $G$9) + CHOOSE(CONTROL!$C$38, 0.0343, 0)</f>
        <v>28.304400000000001</v>
      </c>
      <c r="F277" s="46">
        <f>30.6861 * CHOOSE(CONTROL!$C$15, $E$9, 100%, $G$9) + CHOOSE(CONTROL!$C$38, 0.0342, 0)</f>
        <v>30.720299999999998</v>
      </c>
      <c r="G277" s="17">
        <f>28.2764 * CHOOSE(CONTROL!$C$15, $E$9, 100%, $G$9) + CHOOSE(CONTROL!$C$38, 0.0343, 0)</f>
        <v>28.310699999999997</v>
      </c>
      <c r="H277" s="17">
        <f>28.2764 * CHOOSE(CONTROL!$C$15, $E$9, 100%, $G$9) + CHOOSE(CONTROL!$C$38, 0.0343, 0)</f>
        <v>28.310699999999997</v>
      </c>
      <c r="I277" s="17">
        <f>28.278 * CHOOSE(CONTROL!$C$15, $E$9, 100%, $G$9) + CHOOSE(CONTROL!$C$38, 0.0343, 0)</f>
        <v>28.3123</v>
      </c>
      <c r="J277" s="45">
        <f>169.9541</f>
        <v>169.95410000000001</v>
      </c>
    </row>
    <row r="278" spans="1:10" ht="15" x14ac:dyDescent="0.2">
      <c r="A278" s="16">
        <v>49369</v>
      </c>
      <c r="B278" s="17">
        <f>29.8891 * CHOOSE(CONTROL!$C$15, $E$9, 100%, $G$9) + CHOOSE(CONTROL!$C$38, 0.0342, 0)</f>
        <v>29.923299999999998</v>
      </c>
      <c r="C278" s="17">
        <f>27.4809 * CHOOSE(CONTROL!$C$15, $E$9, 100%, $G$9) + CHOOSE(CONTROL!$C$38, 0.0343, 0)</f>
        <v>27.5152</v>
      </c>
      <c r="D278" s="17">
        <f>27.4731 * CHOOSE(CONTROL!$C$15, $E$9, 100%, $G$9) + CHOOSE(CONTROL!$C$38, 0.0343, 0)</f>
        <v>27.507399999999997</v>
      </c>
      <c r="E278" s="17">
        <f>27.4731 * CHOOSE(CONTROL!$C$15, $E$9, 100%, $G$9) + CHOOSE(CONTROL!$C$38, 0.0343, 0)</f>
        <v>27.507399999999997</v>
      </c>
      <c r="F278" s="46">
        <f>29.8891 * CHOOSE(CONTROL!$C$15, $E$9, 100%, $G$9) + CHOOSE(CONTROL!$C$38, 0.0342, 0)</f>
        <v>29.923299999999998</v>
      </c>
      <c r="G278" s="17">
        <f>27.4794 * CHOOSE(CONTROL!$C$15, $E$9, 100%, $G$9) + CHOOSE(CONTROL!$C$38, 0.0343, 0)</f>
        <v>27.5137</v>
      </c>
      <c r="H278" s="17">
        <f>27.4794 * CHOOSE(CONTROL!$C$15, $E$9, 100%, $G$9) + CHOOSE(CONTROL!$C$38, 0.0343, 0)</f>
        <v>27.5137</v>
      </c>
      <c r="I278" s="17">
        <f>27.4809 * CHOOSE(CONTROL!$C$15, $E$9, 100%, $G$9) + CHOOSE(CONTROL!$C$38, 0.0343, 0)</f>
        <v>27.5152</v>
      </c>
      <c r="J278" s="45">
        <f>178.9116</f>
        <v>178.91159999999999</v>
      </c>
    </row>
    <row r="279" spans="1:10" ht="15" x14ac:dyDescent="0.2">
      <c r="A279" s="16">
        <v>49400</v>
      </c>
      <c r="B279" s="17">
        <f>29.1167 * CHOOSE(CONTROL!$C$15, $E$9, 100%, $G$9) + CHOOSE(CONTROL!$C$38, 0.0342, 0)</f>
        <v>29.1509</v>
      </c>
      <c r="C279" s="17">
        <f>26.7086 * CHOOSE(CONTROL!$C$15, $E$9, 100%, $G$9) + CHOOSE(CONTROL!$C$38, 0.0343, 0)</f>
        <v>26.742899999999999</v>
      </c>
      <c r="D279" s="17">
        <f>26.7008 * CHOOSE(CONTROL!$C$15, $E$9, 100%, $G$9) + CHOOSE(CONTROL!$C$38, 0.0343, 0)</f>
        <v>26.735100000000003</v>
      </c>
      <c r="E279" s="17">
        <f>26.7008 * CHOOSE(CONTROL!$C$15, $E$9, 100%, $G$9) + CHOOSE(CONTROL!$C$38, 0.0343, 0)</f>
        <v>26.735100000000003</v>
      </c>
      <c r="F279" s="46">
        <f>29.1167 * CHOOSE(CONTROL!$C$15, $E$9, 100%, $G$9) + CHOOSE(CONTROL!$C$38, 0.0342, 0)</f>
        <v>29.1509</v>
      </c>
      <c r="G279" s="17">
        <f>26.707 * CHOOSE(CONTROL!$C$15, $E$9, 100%, $G$9) + CHOOSE(CONTROL!$C$38, 0.0343, 0)</f>
        <v>26.741300000000003</v>
      </c>
      <c r="H279" s="17">
        <f>26.707 * CHOOSE(CONTROL!$C$15, $E$9, 100%, $G$9) + CHOOSE(CONTROL!$C$38, 0.0343, 0)</f>
        <v>26.741300000000003</v>
      </c>
      <c r="I279" s="17">
        <f>26.7086 * CHOOSE(CONTROL!$C$15, $E$9, 100%, $G$9) + CHOOSE(CONTROL!$C$38, 0.0343, 0)</f>
        <v>26.742899999999999</v>
      </c>
      <c r="J279" s="45">
        <f>190.5274</f>
        <v>190.5274</v>
      </c>
    </row>
    <row r="280" spans="1:10" ht="15" x14ac:dyDescent="0.2">
      <c r="A280" s="16">
        <v>49430</v>
      </c>
      <c r="B280" s="17">
        <f>28.3118 * CHOOSE(CONTROL!$C$15, $E$9, 100%, $G$9) + CHOOSE(CONTROL!$C$38, 0.0355, 0)</f>
        <v>28.347300000000001</v>
      </c>
      <c r="C280" s="17">
        <f>25.9036 * CHOOSE(CONTROL!$C$15, $E$9, 100%, $G$9) + CHOOSE(CONTROL!$C$38, 0.0356, 0)</f>
        <v>25.9392</v>
      </c>
      <c r="D280" s="17">
        <f>25.8958 * CHOOSE(CONTROL!$C$15, $E$9, 100%, $G$9) + CHOOSE(CONTROL!$C$38, 0.0356, 0)</f>
        <v>25.9314</v>
      </c>
      <c r="E280" s="17">
        <f>25.8958 * CHOOSE(CONTROL!$C$15, $E$9, 100%, $G$9) + CHOOSE(CONTROL!$C$38, 0.0356, 0)</f>
        <v>25.9314</v>
      </c>
      <c r="F280" s="46">
        <f>28.3118 * CHOOSE(CONTROL!$C$15, $E$9, 100%, $G$9) + CHOOSE(CONTROL!$C$38, 0.0355, 0)</f>
        <v>28.347300000000001</v>
      </c>
      <c r="G280" s="17">
        <f>25.9021 * CHOOSE(CONTROL!$C$15, $E$9, 100%, $G$9) + CHOOSE(CONTROL!$C$38, 0.0356, 0)</f>
        <v>25.9377</v>
      </c>
      <c r="H280" s="17">
        <f>25.9021 * CHOOSE(CONTROL!$C$15, $E$9, 100%, $G$9) + CHOOSE(CONTROL!$C$38, 0.0356, 0)</f>
        <v>25.9377</v>
      </c>
      <c r="I280" s="17">
        <f>25.9036 * CHOOSE(CONTROL!$C$15, $E$9, 100%, $G$9) + CHOOSE(CONTROL!$C$38, 0.0356, 0)</f>
        <v>25.9392</v>
      </c>
      <c r="J280" s="45">
        <f>196.9212</f>
        <v>196.9212</v>
      </c>
    </row>
    <row r="281" spans="1:10" ht="15" x14ac:dyDescent="0.2">
      <c r="A281" s="15">
        <v>49461</v>
      </c>
      <c r="B281" s="17">
        <f>27.7474 * CHOOSE(CONTROL!$C$15, $E$9, 100%, $G$9) + CHOOSE(CONTROL!$C$38, 0.0355, 0)</f>
        <v>27.782899999999998</v>
      </c>
      <c r="C281" s="17">
        <f>25.3393 * CHOOSE(CONTROL!$C$15, $E$9, 100%, $G$9) + CHOOSE(CONTROL!$C$38, 0.0356, 0)</f>
        <v>25.3749</v>
      </c>
      <c r="D281" s="17">
        <f>25.3315 * CHOOSE(CONTROL!$C$15, $E$9, 100%, $G$9) + CHOOSE(CONTROL!$C$38, 0.0356, 0)</f>
        <v>25.367099999999997</v>
      </c>
      <c r="E281" s="17">
        <f>25.3315 * CHOOSE(CONTROL!$C$15, $E$9, 100%, $G$9) + CHOOSE(CONTROL!$C$38, 0.0356, 0)</f>
        <v>25.367099999999997</v>
      </c>
      <c r="F281" s="46">
        <f>27.7474 * CHOOSE(CONTROL!$C$15, $E$9, 100%, $G$9) + CHOOSE(CONTROL!$C$38, 0.0355, 0)</f>
        <v>27.782899999999998</v>
      </c>
      <c r="G281" s="17">
        <f>25.3377 * CHOOSE(CONTROL!$C$15, $E$9, 100%, $G$9) + CHOOSE(CONTROL!$C$38, 0.0356, 0)</f>
        <v>25.3733</v>
      </c>
      <c r="H281" s="17">
        <f>25.3377 * CHOOSE(CONTROL!$C$15, $E$9, 100%, $G$9) + CHOOSE(CONTROL!$C$38, 0.0356, 0)</f>
        <v>25.3733</v>
      </c>
      <c r="I281" s="17">
        <f>25.3393 * CHOOSE(CONTROL!$C$15, $E$9, 100%, $G$9) + CHOOSE(CONTROL!$C$38, 0.0356, 0)</f>
        <v>25.3749</v>
      </c>
      <c r="J281" s="45">
        <f>199.7586</f>
        <v>199.7586</v>
      </c>
    </row>
    <row r="282" spans="1:10" ht="15" x14ac:dyDescent="0.2">
      <c r="A282" s="15">
        <v>49491</v>
      </c>
      <c r="B282" s="17">
        <f>27.4254 * CHOOSE(CONTROL!$C$15, $E$9, 100%, $G$9) + CHOOSE(CONTROL!$C$38, 0.0355, 0)</f>
        <v>27.460899999999999</v>
      </c>
      <c r="C282" s="17">
        <f>25.1505 * CHOOSE(CONTROL!$C$15, $E$9, 100%, $G$9) + CHOOSE(CONTROL!$C$38, 0.0356, 0)</f>
        <v>25.1861</v>
      </c>
      <c r="D282" s="17">
        <f>25.1427 * CHOOSE(CONTROL!$C$15, $E$9, 100%, $G$9) + CHOOSE(CONTROL!$C$38, 0.0356, 0)</f>
        <v>25.1783</v>
      </c>
      <c r="E282" s="17">
        <f>25.1427 * CHOOSE(CONTROL!$C$15, $E$9, 100%, $G$9) + CHOOSE(CONTROL!$C$38, 0.0356, 0)</f>
        <v>25.1783</v>
      </c>
      <c r="F282" s="46">
        <f>27.4254 * CHOOSE(CONTROL!$C$15, $E$9, 100%, $G$9) + CHOOSE(CONTROL!$C$38, 0.0355, 0)</f>
        <v>27.460899999999999</v>
      </c>
      <c r="G282" s="17">
        <f>25.1489 * CHOOSE(CONTROL!$C$15, $E$9, 100%, $G$9) + CHOOSE(CONTROL!$C$38, 0.0356, 0)</f>
        <v>25.1845</v>
      </c>
      <c r="H282" s="17">
        <f>25.1489 * CHOOSE(CONTROL!$C$15, $E$9, 100%, $G$9) + CHOOSE(CONTROL!$C$38, 0.0356, 0)</f>
        <v>25.1845</v>
      </c>
      <c r="I282" s="17">
        <f>25.1505 * CHOOSE(CONTROL!$C$15, $E$9, 100%, $G$9) + CHOOSE(CONTROL!$C$38, 0.0356, 0)</f>
        <v>25.1861</v>
      </c>
      <c r="J282" s="45">
        <f>198.8244</f>
        <v>198.8244</v>
      </c>
    </row>
    <row r="283" spans="1:10" ht="15" x14ac:dyDescent="0.2">
      <c r="A283" s="15">
        <v>49522</v>
      </c>
      <c r="B283" s="17">
        <f>27.5843 * CHOOSE(CONTROL!$C$15, $E$9, 100%, $G$9) + CHOOSE(CONTROL!$C$38, 0.0355, 0)</f>
        <v>27.619799999999998</v>
      </c>
      <c r="C283" s="17">
        <f>25.1762 * CHOOSE(CONTROL!$C$15, $E$9, 100%, $G$9) + CHOOSE(CONTROL!$C$38, 0.0356, 0)</f>
        <v>25.2118</v>
      </c>
      <c r="D283" s="17">
        <f>25.1684 * CHOOSE(CONTROL!$C$15, $E$9, 100%, $G$9) + CHOOSE(CONTROL!$C$38, 0.0356, 0)</f>
        <v>25.203999999999997</v>
      </c>
      <c r="E283" s="17">
        <f>25.1684 * CHOOSE(CONTROL!$C$15, $E$9, 100%, $G$9) + CHOOSE(CONTROL!$C$38, 0.0356, 0)</f>
        <v>25.203999999999997</v>
      </c>
      <c r="F283" s="46">
        <f>27.5843 * CHOOSE(CONTROL!$C$15, $E$9, 100%, $G$9) + CHOOSE(CONTROL!$C$38, 0.0355, 0)</f>
        <v>27.619799999999998</v>
      </c>
      <c r="G283" s="17">
        <f>25.1746 * CHOOSE(CONTROL!$C$15, $E$9, 100%, $G$9) + CHOOSE(CONTROL!$C$38, 0.0356, 0)</f>
        <v>25.2102</v>
      </c>
      <c r="H283" s="17">
        <f>25.1746 * CHOOSE(CONTROL!$C$15, $E$9, 100%, $G$9) + CHOOSE(CONTROL!$C$38, 0.0356, 0)</f>
        <v>25.2102</v>
      </c>
      <c r="I283" s="17">
        <f>25.1762 * CHOOSE(CONTROL!$C$15, $E$9, 100%, $G$9) + CHOOSE(CONTROL!$C$38, 0.0356, 0)</f>
        <v>25.2118</v>
      </c>
      <c r="J283" s="45">
        <f>194.1958</f>
        <v>194.19579999999999</v>
      </c>
    </row>
    <row r="284" spans="1:10" ht="15" x14ac:dyDescent="0.2">
      <c r="A284" s="15">
        <v>49553</v>
      </c>
      <c r="B284" s="17">
        <f>28.016 * CHOOSE(CONTROL!$C$15, $E$9, 100%, $G$9) + CHOOSE(CONTROL!$C$38, 0.0355, 0)</f>
        <v>28.051499999999997</v>
      </c>
      <c r="C284" s="17">
        <f>25.6079 * CHOOSE(CONTROL!$C$15, $E$9, 100%, $G$9) + CHOOSE(CONTROL!$C$38, 0.0356, 0)</f>
        <v>25.6435</v>
      </c>
      <c r="D284" s="17">
        <f>25.6001 * CHOOSE(CONTROL!$C$15, $E$9, 100%, $G$9) + CHOOSE(CONTROL!$C$38, 0.0356, 0)</f>
        <v>25.6357</v>
      </c>
      <c r="E284" s="17">
        <f>25.6001 * CHOOSE(CONTROL!$C$15, $E$9, 100%, $G$9) + CHOOSE(CONTROL!$C$38, 0.0356, 0)</f>
        <v>25.6357</v>
      </c>
      <c r="F284" s="46">
        <f>28.016 * CHOOSE(CONTROL!$C$15, $E$9, 100%, $G$9) + CHOOSE(CONTROL!$C$38, 0.0355, 0)</f>
        <v>28.051499999999997</v>
      </c>
      <c r="G284" s="17">
        <f>25.6063 * CHOOSE(CONTROL!$C$15, $E$9, 100%, $G$9) + CHOOSE(CONTROL!$C$38, 0.0356, 0)</f>
        <v>25.6419</v>
      </c>
      <c r="H284" s="17">
        <f>25.6063 * CHOOSE(CONTROL!$C$15, $E$9, 100%, $G$9) + CHOOSE(CONTROL!$C$38, 0.0356, 0)</f>
        <v>25.6419</v>
      </c>
      <c r="I284" s="17">
        <f>25.6079 * CHOOSE(CONTROL!$C$15, $E$9, 100%, $G$9) + CHOOSE(CONTROL!$C$38, 0.0356, 0)</f>
        <v>25.6435</v>
      </c>
      <c r="J284" s="45">
        <f>187.7411</f>
        <v>187.74109999999999</v>
      </c>
    </row>
    <row r="285" spans="1:10" ht="15" x14ac:dyDescent="0.2">
      <c r="A285" s="15">
        <v>49583</v>
      </c>
      <c r="B285" s="17">
        <f>28.3776 * CHOOSE(CONTROL!$C$15, $E$9, 100%, $G$9) + CHOOSE(CONTROL!$C$38, 0.0342, 0)</f>
        <v>28.411799999999999</v>
      </c>
      <c r="C285" s="17">
        <f>25.9695 * CHOOSE(CONTROL!$C$15, $E$9, 100%, $G$9) + CHOOSE(CONTROL!$C$38, 0.0343, 0)</f>
        <v>26.003799999999998</v>
      </c>
      <c r="D285" s="17">
        <f>25.9617 * CHOOSE(CONTROL!$C$15, $E$9, 100%, $G$9) + CHOOSE(CONTROL!$C$38, 0.0343, 0)</f>
        <v>25.996000000000002</v>
      </c>
      <c r="E285" s="17">
        <f>25.9617 * CHOOSE(CONTROL!$C$15, $E$9, 100%, $G$9) + CHOOSE(CONTROL!$C$38, 0.0343, 0)</f>
        <v>25.996000000000002</v>
      </c>
      <c r="F285" s="46">
        <f>28.3776 * CHOOSE(CONTROL!$C$15, $E$9, 100%, $G$9) + CHOOSE(CONTROL!$C$38, 0.0342, 0)</f>
        <v>28.411799999999999</v>
      </c>
      <c r="G285" s="17">
        <f>25.9679 * CHOOSE(CONTROL!$C$15, $E$9, 100%, $G$9) + CHOOSE(CONTROL!$C$38, 0.0343, 0)</f>
        <v>26.002200000000002</v>
      </c>
      <c r="H285" s="17">
        <f>25.9679 * CHOOSE(CONTROL!$C$15, $E$9, 100%, $G$9) + CHOOSE(CONTROL!$C$38, 0.0343, 0)</f>
        <v>26.002200000000002</v>
      </c>
      <c r="I285" s="17">
        <f>25.9695 * CHOOSE(CONTROL!$C$15, $E$9, 100%, $G$9) + CHOOSE(CONTROL!$C$38, 0.0343, 0)</f>
        <v>26.003799999999998</v>
      </c>
      <c r="J285" s="45">
        <f>181.2488</f>
        <v>181.24879999999999</v>
      </c>
    </row>
    <row r="286" spans="1:10" ht="15" x14ac:dyDescent="0.2">
      <c r="A286" s="15">
        <v>49614</v>
      </c>
      <c r="B286" s="17">
        <f>28.6793 * CHOOSE(CONTROL!$C$15, $E$9, 100%, $G$9) + CHOOSE(CONTROL!$C$38, 0.0342, 0)</f>
        <v>28.7135</v>
      </c>
      <c r="C286" s="17">
        <f>26.2712 * CHOOSE(CONTROL!$C$15, $E$9, 100%, $G$9) + CHOOSE(CONTROL!$C$38, 0.0343, 0)</f>
        <v>26.305500000000002</v>
      </c>
      <c r="D286" s="17">
        <f>26.2634 * CHOOSE(CONTROL!$C$15, $E$9, 100%, $G$9) + CHOOSE(CONTROL!$C$38, 0.0343, 0)</f>
        <v>26.297699999999999</v>
      </c>
      <c r="E286" s="17">
        <f>26.2634 * CHOOSE(CONTROL!$C$15, $E$9, 100%, $G$9) + CHOOSE(CONTROL!$C$38, 0.0343, 0)</f>
        <v>26.297699999999999</v>
      </c>
      <c r="F286" s="46">
        <f>28.6793 * CHOOSE(CONTROL!$C$15, $E$9, 100%, $G$9) + CHOOSE(CONTROL!$C$38, 0.0342, 0)</f>
        <v>28.7135</v>
      </c>
      <c r="G286" s="17">
        <f>26.2696 * CHOOSE(CONTROL!$C$15, $E$9, 100%, $G$9) + CHOOSE(CONTROL!$C$38, 0.0343, 0)</f>
        <v>26.303899999999999</v>
      </c>
      <c r="H286" s="17">
        <f>26.2696 * CHOOSE(CONTROL!$C$15, $E$9, 100%, $G$9) + CHOOSE(CONTROL!$C$38, 0.0343, 0)</f>
        <v>26.303899999999999</v>
      </c>
      <c r="I286" s="17">
        <f>26.2712 * CHOOSE(CONTROL!$C$15, $E$9, 100%, $G$9) + CHOOSE(CONTROL!$C$38, 0.0343, 0)</f>
        <v>26.305500000000002</v>
      </c>
      <c r="J286" s="45">
        <f>179.9574</f>
        <v>179.95740000000001</v>
      </c>
    </row>
    <row r="287" spans="1:10" ht="15" x14ac:dyDescent="0.2">
      <c r="A287" s="15">
        <v>49644</v>
      </c>
      <c r="B287" s="17">
        <f>29.609 * CHOOSE(CONTROL!$C$15, $E$9, 100%, $G$9) + CHOOSE(CONTROL!$C$38, 0.0342, 0)</f>
        <v>29.6432</v>
      </c>
      <c r="C287" s="17">
        <f>27.2008 * CHOOSE(CONTROL!$C$15, $E$9, 100%, $G$9) + CHOOSE(CONTROL!$C$38, 0.0343, 0)</f>
        <v>27.235100000000003</v>
      </c>
      <c r="D287" s="17">
        <f>27.193 * CHOOSE(CONTROL!$C$15, $E$9, 100%, $G$9) + CHOOSE(CONTROL!$C$38, 0.0343, 0)</f>
        <v>27.2273</v>
      </c>
      <c r="E287" s="17">
        <f>27.193 * CHOOSE(CONTROL!$C$15, $E$9, 100%, $G$9) + CHOOSE(CONTROL!$C$38, 0.0343, 0)</f>
        <v>27.2273</v>
      </c>
      <c r="F287" s="46">
        <f>29.609 * CHOOSE(CONTROL!$C$15, $E$9, 100%, $G$9) + CHOOSE(CONTROL!$C$38, 0.0342, 0)</f>
        <v>29.6432</v>
      </c>
      <c r="G287" s="17">
        <f>27.1993 * CHOOSE(CONTROL!$C$15, $E$9, 100%, $G$9) + CHOOSE(CONTROL!$C$38, 0.0343, 0)</f>
        <v>27.233600000000003</v>
      </c>
      <c r="H287" s="17">
        <f>27.1993 * CHOOSE(CONTROL!$C$15, $E$9, 100%, $G$9) + CHOOSE(CONTROL!$C$38, 0.0343, 0)</f>
        <v>27.233600000000003</v>
      </c>
      <c r="I287" s="17">
        <f>27.2008 * CHOOSE(CONTROL!$C$15, $E$9, 100%, $G$9) + CHOOSE(CONTROL!$C$38, 0.0343, 0)</f>
        <v>27.235100000000003</v>
      </c>
      <c r="J287" s="45">
        <f>174.6171</f>
        <v>174.61709999999999</v>
      </c>
    </row>
    <row r="288" spans="1:10" ht="15" x14ac:dyDescent="0.2">
      <c r="A288" s="15">
        <v>49675</v>
      </c>
      <c r="B288" s="17">
        <f>30.8155 * CHOOSE(CONTROL!$C$15, $E$9, 100%, $G$9) + CHOOSE(CONTROL!$C$38, 0.0342, 0)</f>
        <v>30.849699999999999</v>
      </c>
      <c r="C288" s="17">
        <f>28.3695 * CHOOSE(CONTROL!$C$15, $E$9, 100%, $G$9) + CHOOSE(CONTROL!$C$38, 0.0343, 0)</f>
        <v>28.403799999999997</v>
      </c>
      <c r="D288" s="17">
        <f>28.3617 * CHOOSE(CONTROL!$C$15, $E$9, 100%, $G$9) + CHOOSE(CONTROL!$C$38, 0.0343, 0)</f>
        <v>28.396000000000001</v>
      </c>
      <c r="E288" s="17">
        <f>28.3617 * CHOOSE(CONTROL!$C$15, $E$9, 100%, $G$9) + CHOOSE(CONTROL!$C$38, 0.0343, 0)</f>
        <v>28.396000000000001</v>
      </c>
      <c r="F288" s="46">
        <f>30.8155 * CHOOSE(CONTROL!$C$15, $E$9, 100%, $G$9) + CHOOSE(CONTROL!$C$38, 0.0342, 0)</f>
        <v>30.849699999999999</v>
      </c>
      <c r="G288" s="17">
        <f>28.368 * CHOOSE(CONTROL!$C$15, $E$9, 100%, $G$9) + CHOOSE(CONTROL!$C$38, 0.0343, 0)</f>
        <v>28.402299999999997</v>
      </c>
      <c r="H288" s="17">
        <f>28.368 * CHOOSE(CONTROL!$C$15, $E$9, 100%, $G$9) + CHOOSE(CONTROL!$C$38, 0.0343, 0)</f>
        <v>28.402299999999997</v>
      </c>
      <c r="I288" s="17">
        <f>28.3695 * CHOOSE(CONTROL!$C$15, $E$9, 100%, $G$9) + CHOOSE(CONTROL!$C$38, 0.0343, 0)</f>
        <v>28.403799999999997</v>
      </c>
      <c r="J288" s="45">
        <f>174.4911</f>
        <v>174.49109999999999</v>
      </c>
    </row>
    <row r="289" spans="1:10" ht="15" x14ac:dyDescent="0.2">
      <c r="A289" s="15">
        <v>49706</v>
      </c>
      <c r="B289" s="17">
        <f>31.1598 * CHOOSE(CONTROL!$C$15, $E$9, 100%, $G$9) + CHOOSE(CONTROL!$C$38, 0.0342, 0)</f>
        <v>31.193999999999999</v>
      </c>
      <c r="C289" s="17">
        <f>28.7138 * CHOOSE(CONTROL!$C$15, $E$9, 100%, $G$9) + CHOOSE(CONTROL!$C$38, 0.0343, 0)</f>
        <v>28.748100000000001</v>
      </c>
      <c r="D289" s="17">
        <f>28.706 * CHOOSE(CONTROL!$C$15, $E$9, 100%, $G$9) + CHOOSE(CONTROL!$C$38, 0.0343, 0)</f>
        <v>28.740299999999998</v>
      </c>
      <c r="E289" s="17">
        <f>28.706 * CHOOSE(CONTROL!$C$15, $E$9, 100%, $G$9) + CHOOSE(CONTROL!$C$38, 0.0343, 0)</f>
        <v>28.740299999999998</v>
      </c>
      <c r="F289" s="46">
        <f>31.1598 * CHOOSE(CONTROL!$C$15, $E$9, 100%, $G$9) + CHOOSE(CONTROL!$C$38, 0.0342, 0)</f>
        <v>31.193999999999999</v>
      </c>
      <c r="G289" s="17">
        <f>28.7123 * CHOOSE(CONTROL!$C$15, $E$9, 100%, $G$9) + CHOOSE(CONTROL!$C$38, 0.0343, 0)</f>
        <v>28.746600000000001</v>
      </c>
      <c r="H289" s="17">
        <f>28.7123 * CHOOSE(CONTROL!$C$15, $E$9, 100%, $G$9) + CHOOSE(CONTROL!$C$38, 0.0343, 0)</f>
        <v>28.746600000000001</v>
      </c>
      <c r="I289" s="17">
        <f>28.7138 * CHOOSE(CONTROL!$C$15, $E$9, 100%, $G$9) + CHOOSE(CONTROL!$C$38, 0.0343, 0)</f>
        <v>28.748100000000001</v>
      </c>
      <c r="J289" s="45">
        <f>174.006</f>
        <v>174.006</v>
      </c>
    </row>
    <row r="290" spans="1:10" ht="15" x14ac:dyDescent="0.2">
      <c r="A290" s="15">
        <v>49735</v>
      </c>
      <c r="B290" s="17">
        <f>30.3628 * CHOOSE(CONTROL!$C$15, $E$9, 100%, $G$9) + CHOOSE(CONTROL!$C$38, 0.0342, 0)</f>
        <v>30.396999999999998</v>
      </c>
      <c r="C290" s="17">
        <f>27.9168 * CHOOSE(CONTROL!$C$15, $E$9, 100%, $G$9) + CHOOSE(CONTROL!$C$38, 0.0343, 0)</f>
        <v>27.951099999999997</v>
      </c>
      <c r="D290" s="17">
        <f>27.909 * CHOOSE(CONTROL!$C$15, $E$9, 100%, $G$9) + CHOOSE(CONTROL!$C$38, 0.0343, 0)</f>
        <v>27.943300000000001</v>
      </c>
      <c r="E290" s="17">
        <f>27.909 * CHOOSE(CONTROL!$C$15, $E$9, 100%, $G$9) + CHOOSE(CONTROL!$C$38, 0.0343, 0)</f>
        <v>27.943300000000001</v>
      </c>
      <c r="F290" s="46">
        <f>30.3628 * CHOOSE(CONTROL!$C$15, $E$9, 100%, $G$9) + CHOOSE(CONTROL!$C$38, 0.0342, 0)</f>
        <v>30.396999999999998</v>
      </c>
      <c r="G290" s="17">
        <f>27.9152 * CHOOSE(CONTROL!$C$15, $E$9, 100%, $G$9) + CHOOSE(CONTROL!$C$38, 0.0343, 0)</f>
        <v>27.9495</v>
      </c>
      <c r="H290" s="17">
        <f>27.9152 * CHOOSE(CONTROL!$C$15, $E$9, 100%, $G$9) + CHOOSE(CONTROL!$C$38, 0.0343, 0)</f>
        <v>27.9495</v>
      </c>
      <c r="I290" s="17">
        <f>27.9168 * CHOOSE(CONTROL!$C$15, $E$9, 100%, $G$9) + CHOOSE(CONTROL!$C$38, 0.0343, 0)</f>
        <v>27.951099999999997</v>
      </c>
      <c r="J290" s="45">
        <f>183.1771</f>
        <v>183.1771</v>
      </c>
    </row>
    <row r="291" spans="1:10" ht="15" x14ac:dyDescent="0.2">
      <c r="A291" s="15">
        <v>49766</v>
      </c>
      <c r="B291" s="17">
        <f>29.5905 * CHOOSE(CONTROL!$C$15, $E$9, 100%, $G$9) + CHOOSE(CONTROL!$C$38, 0.0342, 0)</f>
        <v>29.624699999999997</v>
      </c>
      <c r="C291" s="17">
        <f>27.1445 * CHOOSE(CONTROL!$C$15, $E$9, 100%, $G$9) + CHOOSE(CONTROL!$C$38, 0.0343, 0)</f>
        <v>27.178800000000003</v>
      </c>
      <c r="D291" s="17">
        <f>27.1367 * CHOOSE(CONTROL!$C$15, $E$9, 100%, $G$9) + CHOOSE(CONTROL!$C$38, 0.0343, 0)</f>
        <v>27.170999999999999</v>
      </c>
      <c r="E291" s="17">
        <f>27.1367 * CHOOSE(CONTROL!$C$15, $E$9, 100%, $G$9) + CHOOSE(CONTROL!$C$38, 0.0343, 0)</f>
        <v>27.170999999999999</v>
      </c>
      <c r="F291" s="46">
        <f>29.5905 * CHOOSE(CONTROL!$C$15, $E$9, 100%, $G$9) + CHOOSE(CONTROL!$C$38, 0.0342, 0)</f>
        <v>29.624699999999997</v>
      </c>
      <c r="G291" s="17">
        <f>27.1429 * CHOOSE(CONTROL!$C$15, $E$9, 100%, $G$9) + CHOOSE(CONTROL!$C$38, 0.0343, 0)</f>
        <v>27.177199999999999</v>
      </c>
      <c r="H291" s="17">
        <f>27.1429 * CHOOSE(CONTROL!$C$15, $E$9, 100%, $G$9) + CHOOSE(CONTROL!$C$38, 0.0343, 0)</f>
        <v>27.177199999999999</v>
      </c>
      <c r="I291" s="17">
        <f>27.1445 * CHOOSE(CONTROL!$C$15, $E$9, 100%, $G$9) + CHOOSE(CONTROL!$C$38, 0.0343, 0)</f>
        <v>27.178800000000003</v>
      </c>
      <c r="J291" s="45">
        <f>195.0699</f>
        <v>195.06989999999999</v>
      </c>
    </row>
    <row r="292" spans="1:10" ht="15" x14ac:dyDescent="0.2">
      <c r="A292" s="15">
        <v>49796</v>
      </c>
      <c r="B292" s="17">
        <f>28.7855 * CHOOSE(CONTROL!$C$15, $E$9, 100%, $G$9) + CHOOSE(CONTROL!$C$38, 0.0355, 0)</f>
        <v>28.820999999999998</v>
      </c>
      <c r="C292" s="17">
        <f>26.3395 * CHOOSE(CONTROL!$C$15, $E$9, 100%, $G$9) + CHOOSE(CONTROL!$C$38, 0.0356, 0)</f>
        <v>26.3751</v>
      </c>
      <c r="D292" s="17">
        <f>26.3317 * CHOOSE(CONTROL!$C$15, $E$9, 100%, $G$9) + CHOOSE(CONTROL!$C$38, 0.0356, 0)</f>
        <v>26.3673</v>
      </c>
      <c r="E292" s="17">
        <f>26.3317 * CHOOSE(CONTROL!$C$15, $E$9, 100%, $G$9) + CHOOSE(CONTROL!$C$38, 0.0356, 0)</f>
        <v>26.3673</v>
      </c>
      <c r="F292" s="46">
        <f>28.7855 * CHOOSE(CONTROL!$C$15, $E$9, 100%, $G$9) + CHOOSE(CONTROL!$C$38, 0.0355, 0)</f>
        <v>28.820999999999998</v>
      </c>
      <c r="G292" s="17">
        <f>26.338 * CHOOSE(CONTROL!$C$15, $E$9, 100%, $G$9) + CHOOSE(CONTROL!$C$38, 0.0356, 0)</f>
        <v>26.3736</v>
      </c>
      <c r="H292" s="17">
        <f>26.338 * CHOOSE(CONTROL!$C$15, $E$9, 100%, $G$9) + CHOOSE(CONTROL!$C$38, 0.0356, 0)</f>
        <v>26.3736</v>
      </c>
      <c r="I292" s="17">
        <f>26.3395 * CHOOSE(CONTROL!$C$15, $E$9, 100%, $G$9) + CHOOSE(CONTROL!$C$38, 0.0356, 0)</f>
        <v>26.3751</v>
      </c>
      <c r="J292" s="45">
        <f>201.6161</f>
        <v>201.61609999999999</v>
      </c>
    </row>
    <row r="293" spans="1:10" ht="15" x14ac:dyDescent="0.2">
      <c r="A293" s="15">
        <v>49827</v>
      </c>
      <c r="B293" s="17">
        <f>28.2212 * CHOOSE(CONTROL!$C$15, $E$9, 100%, $G$9) + CHOOSE(CONTROL!$C$38, 0.0355, 0)</f>
        <v>28.256699999999999</v>
      </c>
      <c r="C293" s="17">
        <f>25.7752 * CHOOSE(CONTROL!$C$15, $E$9, 100%, $G$9) + CHOOSE(CONTROL!$C$38, 0.0356, 0)</f>
        <v>25.8108</v>
      </c>
      <c r="D293" s="17">
        <f>25.7674 * CHOOSE(CONTROL!$C$15, $E$9, 100%, $G$9) + CHOOSE(CONTROL!$C$38, 0.0356, 0)</f>
        <v>25.802999999999997</v>
      </c>
      <c r="E293" s="17">
        <f>25.7674 * CHOOSE(CONTROL!$C$15, $E$9, 100%, $G$9) + CHOOSE(CONTROL!$C$38, 0.0356, 0)</f>
        <v>25.802999999999997</v>
      </c>
      <c r="F293" s="46">
        <f>28.2212 * CHOOSE(CONTROL!$C$15, $E$9, 100%, $G$9) + CHOOSE(CONTROL!$C$38, 0.0355, 0)</f>
        <v>28.256699999999999</v>
      </c>
      <c r="G293" s="17">
        <f>25.7736 * CHOOSE(CONTROL!$C$15, $E$9, 100%, $G$9) + CHOOSE(CONTROL!$C$38, 0.0356, 0)</f>
        <v>25.809199999999997</v>
      </c>
      <c r="H293" s="17">
        <f>25.7736 * CHOOSE(CONTROL!$C$15, $E$9, 100%, $G$9) + CHOOSE(CONTROL!$C$38, 0.0356, 0)</f>
        <v>25.809199999999997</v>
      </c>
      <c r="I293" s="17">
        <f>25.7752 * CHOOSE(CONTROL!$C$15, $E$9, 100%, $G$9) + CHOOSE(CONTROL!$C$38, 0.0356, 0)</f>
        <v>25.8108</v>
      </c>
      <c r="J293" s="45">
        <f>204.5211</f>
        <v>204.52109999999999</v>
      </c>
    </row>
    <row r="294" spans="1:10" ht="15" x14ac:dyDescent="0.2">
      <c r="A294" s="15">
        <v>49857</v>
      </c>
      <c r="B294" s="17">
        <f>27.8991 * CHOOSE(CONTROL!$C$15, $E$9, 100%, $G$9) + CHOOSE(CONTROL!$C$38, 0.0355, 0)</f>
        <v>27.9346</v>
      </c>
      <c r="C294" s="17">
        <f>25.4531 * CHOOSE(CONTROL!$C$15, $E$9, 100%, $G$9) + CHOOSE(CONTROL!$C$38, 0.0356, 0)</f>
        <v>25.488699999999998</v>
      </c>
      <c r="D294" s="17">
        <f>25.4453 * CHOOSE(CONTROL!$C$15, $E$9, 100%, $G$9) + CHOOSE(CONTROL!$C$38, 0.0356, 0)</f>
        <v>25.480899999999998</v>
      </c>
      <c r="E294" s="17">
        <f>25.4453 * CHOOSE(CONTROL!$C$15, $E$9, 100%, $G$9) + CHOOSE(CONTROL!$C$38, 0.0356, 0)</f>
        <v>25.480899999999998</v>
      </c>
      <c r="F294" s="46">
        <f>27.8991 * CHOOSE(CONTROL!$C$15, $E$9, 100%, $G$9) + CHOOSE(CONTROL!$C$38, 0.0355, 0)</f>
        <v>27.9346</v>
      </c>
      <c r="G294" s="17">
        <f>25.4516 * CHOOSE(CONTROL!$C$15, $E$9, 100%, $G$9) + CHOOSE(CONTROL!$C$38, 0.0356, 0)</f>
        <v>25.487199999999998</v>
      </c>
      <c r="H294" s="17">
        <f>25.4516 * CHOOSE(CONTROL!$C$15, $E$9, 100%, $G$9) + CHOOSE(CONTROL!$C$38, 0.0356, 0)</f>
        <v>25.487199999999998</v>
      </c>
      <c r="I294" s="17">
        <f>25.4531 * CHOOSE(CONTROL!$C$15, $E$9, 100%, $G$9) + CHOOSE(CONTROL!$C$38, 0.0356, 0)</f>
        <v>25.488699999999998</v>
      </c>
      <c r="J294" s="45">
        <f>203.5646</f>
        <v>203.56460000000001</v>
      </c>
    </row>
    <row r="295" spans="1:10" ht="15" x14ac:dyDescent="0.2">
      <c r="A295" s="15">
        <v>49888</v>
      </c>
      <c r="B295" s="17">
        <f>28.0581 * CHOOSE(CONTROL!$C$15, $E$9, 100%, $G$9) + CHOOSE(CONTROL!$C$38, 0.0355, 0)</f>
        <v>28.093599999999999</v>
      </c>
      <c r="C295" s="17">
        <f>25.7476 * CHOOSE(CONTROL!$C$15, $E$9, 100%, $G$9) + CHOOSE(CONTROL!$C$38, 0.0356, 0)</f>
        <v>25.783199999999997</v>
      </c>
      <c r="D295" s="17">
        <f>25.7397 * CHOOSE(CONTROL!$C$15, $E$9, 100%, $G$9) + CHOOSE(CONTROL!$C$38, 0.0356, 0)</f>
        <v>25.775299999999998</v>
      </c>
      <c r="E295" s="17">
        <f>25.7397 * CHOOSE(CONTROL!$C$15, $E$9, 100%, $G$9) + CHOOSE(CONTROL!$C$38, 0.0356, 0)</f>
        <v>25.775299999999998</v>
      </c>
      <c r="F295" s="46">
        <f>28.0581 * CHOOSE(CONTROL!$C$15, $E$9, 100%, $G$9) + CHOOSE(CONTROL!$C$38, 0.0355, 0)</f>
        <v>28.093599999999999</v>
      </c>
      <c r="G295" s="17">
        <f>25.746 * CHOOSE(CONTROL!$C$15, $E$9, 100%, $G$9) + CHOOSE(CONTROL!$C$38, 0.0356, 0)</f>
        <v>25.781599999999997</v>
      </c>
      <c r="H295" s="17">
        <f>25.746 * CHOOSE(CONTROL!$C$15, $E$9, 100%, $G$9) + CHOOSE(CONTROL!$C$38, 0.0356, 0)</f>
        <v>25.781599999999997</v>
      </c>
      <c r="I295" s="17">
        <f>25.7476 * CHOOSE(CONTROL!$C$15, $E$9, 100%, $G$9) + CHOOSE(CONTROL!$C$38, 0.0356, 0)</f>
        <v>25.783199999999997</v>
      </c>
      <c r="J295" s="45">
        <f>198.8257</f>
        <v>198.82570000000001</v>
      </c>
    </row>
    <row r="296" spans="1:10" ht="15" x14ac:dyDescent="0.2">
      <c r="A296" s="15">
        <v>49919</v>
      </c>
      <c r="B296" s="17">
        <f>28.4898 * CHOOSE(CONTROL!$C$15, $E$9, 100%, $G$9) + CHOOSE(CONTROL!$C$38, 0.0355, 0)</f>
        <v>28.525299999999998</v>
      </c>
      <c r="C296" s="17">
        <f>26.0438 * CHOOSE(CONTROL!$C$15, $E$9, 100%, $G$9) + CHOOSE(CONTROL!$C$38, 0.0356, 0)</f>
        <v>26.0794</v>
      </c>
      <c r="D296" s="17">
        <f>26.036 * CHOOSE(CONTROL!$C$15, $E$9, 100%, $G$9) + CHOOSE(CONTROL!$C$38, 0.0356, 0)</f>
        <v>26.0716</v>
      </c>
      <c r="E296" s="17">
        <f>26.036 * CHOOSE(CONTROL!$C$15, $E$9, 100%, $G$9) + CHOOSE(CONTROL!$C$38, 0.0356, 0)</f>
        <v>26.0716</v>
      </c>
      <c r="F296" s="46">
        <f>28.4898 * CHOOSE(CONTROL!$C$15, $E$9, 100%, $G$9) + CHOOSE(CONTROL!$C$38, 0.0355, 0)</f>
        <v>28.525299999999998</v>
      </c>
      <c r="G296" s="17">
        <f>26.0422 * CHOOSE(CONTROL!$C$15, $E$9, 100%, $G$9) + CHOOSE(CONTROL!$C$38, 0.0356, 0)</f>
        <v>26.0778</v>
      </c>
      <c r="H296" s="17">
        <f>26.0422 * CHOOSE(CONTROL!$C$15, $E$9, 100%, $G$9) + CHOOSE(CONTROL!$C$38, 0.0356, 0)</f>
        <v>26.0778</v>
      </c>
      <c r="I296" s="17">
        <f>26.0438 * CHOOSE(CONTROL!$C$15, $E$9, 100%, $G$9) + CHOOSE(CONTROL!$C$38, 0.0356, 0)</f>
        <v>26.0794</v>
      </c>
      <c r="J296" s="45">
        <f>192.2171</f>
        <v>192.21709999999999</v>
      </c>
    </row>
    <row r="297" spans="1:10" ht="15" x14ac:dyDescent="0.2">
      <c r="A297" s="15">
        <v>49949</v>
      </c>
      <c r="B297" s="17">
        <f>28.8513 * CHOOSE(CONTROL!$C$15, $E$9, 100%, $G$9) + CHOOSE(CONTROL!$C$38, 0.0342, 0)</f>
        <v>28.885499999999997</v>
      </c>
      <c r="C297" s="17">
        <f>26.4054 * CHOOSE(CONTROL!$C$15, $E$9, 100%, $G$9) + CHOOSE(CONTROL!$C$38, 0.0343, 0)</f>
        <v>26.439700000000002</v>
      </c>
      <c r="D297" s="17">
        <f>26.3976 * CHOOSE(CONTROL!$C$15, $E$9, 100%, $G$9) + CHOOSE(CONTROL!$C$38, 0.0343, 0)</f>
        <v>26.431899999999999</v>
      </c>
      <c r="E297" s="17">
        <f>26.3976 * CHOOSE(CONTROL!$C$15, $E$9, 100%, $G$9) + CHOOSE(CONTROL!$C$38, 0.0343, 0)</f>
        <v>26.431899999999999</v>
      </c>
      <c r="F297" s="46">
        <f>28.8513 * CHOOSE(CONTROL!$C$15, $E$9, 100%, $G$9) + CHOOSE(CONTROL!$C$38, 0.0342, 0)</f>
        <v>28.885499999999997</v>
      </c>
      <c r="G297" s="17">
        <f>26.4038 * CHOOSE(CONTROL!$C$15, $E$9, 100%, $G$9) + CHOOSE(CONTROL!$C$38, 0.0343, 0)</f>
        <v>26.438099999999999</v>
      </c>
      <c r="H297" s="17">
        <f>26.4038 * CHOOSE(CONTROL!$C$15, $E$9, 100%, $G$9) + CHOOSE(CONTROL!$C$38, 0.0343, 0)</f>
        <v>26.438099999999999</v>
      </c>
      <c r="I297" s="17">
        <f>26.4054 * CHOOSE(CONTROL!$C$15, $E$9, 100%, $G$9) + CHOOSE(CONTROL!$C$38, 0.0343, 0)</f>
        <v>26.439700000000002</v>
      </c>
      <c r="J297" s="45">
        <f>185.5701</f>
        <v>185.5701</v>
      </c>
    </row>
    <row r="298" spans="1:10" ht="15" x14ac:dyDescent="0.2">
      <c r="A298" s="15">
        <v>49980</v>
      </c>
      <c r="B298" s="17">
        <f>29.153 * CHOOSE(CONTROL!$C$15, $E$9, 100%, $G$9) + CHOOSE(CONTROL!$C$38, 0.0342, 0)</f>
        <v>29.187199999999997</v>
      </c>
      <c r="C298" s="17">
        <f>26.7071 * CHOOSE(CONTROL!$C$15, $E$9, 100%, $G$9) + CHOOSE(CONTROL!$C$38, 0.0343, 0)</f>
        <v>26.741399999999999</v>
      </c>
      <c r="D298" s="17">
        <f>26.6993 * CHOOSE(CONTROL!$C$15, $E$9, 100%, $G$9) + CHOOSE(CONTROL!$C$38, 0.0343, 0)</f>
        <v>26.733600000000003</v>
      </c>
      <c r="E298" s="17">
        <f>26.6993 * CHOOSE(CONTROL!$C$15, $E$9, 100%, $G$9) + CHOOSE(CONTROL!$C$38, 0.0343, 0)</f>
        <v>26.733600000000003</v>
      </c>
      <c r="F298" s="46">
        <f>29.153 * CHOOSE(CONTROL!$C$15, $E$9, 100%, $G$9) + CHOOSE(CONTROL!$C$38, 0.0342, 0)</f>
        <v>29.187199999999997</v>
      </c>
      <c r="G298" s="17">
        <f>26.7055 * CHOOSE(CONTROL!$C$15, $E$9, 100%, $G$9) + CHOOSE(CONTROL!$C$38, 0.0343, 0)</f>
        <v>26.739800000000002</v>
      </c>
      <c r="H298" s="17">
        <f>26.7055 * CHOOSE(CONTROL!$C$15, $E$9, 100%, $G$9) + CHOOSE(CONTROL!$C$38, 0.0343, 0)</f>
        <v>26.739800000000002</v>
      </c>
      <c r="I298" s="17">
        <f>26.7071 * CHOOSE(CONTROL!$C$15, $E$9, 100%, $G$9) + CHOOSE(CONTROL!$C$38, 0.0343, 0)</f>
        <v>26.741399999999999</v>
      </c>
      <c r="J298" s="45">
        <f>184.2478</f>
        <v>184.24780000000001</v>
      </c>
    </row>
    <row r="299" spans="1:10" ht="15" x14ac:dyDescent="0.2">
      <c r="A299" s="15">
        <v>50010</v>
      </c>
      <c r="B299" s="17">
        <f>30.0827 * CHOOSE(CONTROL!$C$15, $E$9, 100%, $G$9) + CHOOSE(CONTROL!$C$38, 0.0342, 0)</f>
        <v>30.116899999999998</v>
      </c>
      <c r="C299" s="17">
        <f>27.6367 * CHOOSE(CONTROL!$C$15, $E$9, 100%, $G$9) + CHOOSE(CONTROL!$C$38, 0.0343, 0)</f>
        <v>27.670999999999999</v>
      </c>
      <c r="D299" s="17">
        <f>27.6289 * CHOOSE(CONTROL!$C$15, $E$9, 100%, $G$9) + CHOOSE(CONTROL!$C$38, 0.0343, 0)</f>
        <v>27.663200000000003</v>
      </c>
      <c r="E299" s="17">
        <f>27.6289 * CHOOSE(CONTROL!$C$15, $E$9, 100%, $G$9) + CHOOSE(CONTROL!$C$38, 0.0343, 0)</f>
        <v>27.663200000000003</v>
      </c>
      <c r="F299" s="46">
        <f>30.0827 * CHOOSE(CONTROL!$C$15, $E$9, 100%, $G$9) + CHOOSE(CONTROL!$C$38, 0.0342, 0)</f>
        <v>30.116899999999998</v>
      </c>
      <c r="G299" s="17">
        <f>27.6352 * CHOOSE(CONTROL!$C$15, $E$9, 100%, $G$9) + CHOOSE(CONTROL!$C$38, 0.0343, 0)</f>
        <v>27.669499999999999</v>
      </c>
      <c r="H299" s="17">
        <f>27.6352 * CHOOSE(CONTROL!$C$15, $E$9, 100%, $G$9) + CHOOSE(CONTROL!$C$38, 0.0343, 0)</f>
        <v>27.669499999999999</v>
      </c>
      <c r="I299" s="17">
        <f>27.6367 * CHOOSE(CONTROL!$C$15, $E$9, 100%, $G$9) + CHOOSE(CONTROL!$C$38, 0.0343, 0)</f>
        <v>27.670999999999999</v>
      </c>
      <c r="J299" s="45">
        <f>178.7803</f>
        <v>178.78030000000001</v>
      </c>
    </row>
    <row r="300" spans="1:10" ht="15" x14ac:dyDescent="0.2">
      <c r="A300" s="15">
        <v>50041</v>
      </c>
      <c r="B300" s="17">
        <f>31.2972 * CHOOSE(CONTROL!$C$15, $E$9, 100%, $G$9) + CHOOSE(CONTROL!$C$38, 0.0342, 0)</f>
        <v>31.331399999999999</v>
      </c>
      <c r="C300" s="17">
        <f>28.8127 * CHOOSE(CONTROL!$C$15, $E$9, 100%, $G$9) + CHOOSE(CONTROL!$C$38, 0.0343, 0)</f>
        <v>28.847000000000001</v>
      </c>
      <c r="D300" s="17">
        <f>28.8049 * CHOOSE(CONTROL!$C$15, $E$9, 100%, $G$9) + CHOOSE(CONTROL!$C$38, 0.0343, 0)</f>
        <v>28.839199999999998</v>
      </c>
      <c r="E300" s="17">
        <f>28.8049 * CHOOSE(CONTROL!$C$15, $E$9, 100%, $G$9) + CHOOSE(CONTROL!$C$38, 0.0343, 0)</f>
        <v>28.839199999999998</v>
      </c>
      <c r="F300" s="46">
        <f>31.2972 * CHOOSE(CONTROL!$C$15, $E$9, 100%, $G$9) + CHOOSE(CONTROL!$C$38, 0.0342, 0)</f>
        <v>31.331399999999999</v>
      </c>
      <c r="G300" s="17">
        <f>28.8112 * CHOOSE(CONTROL!$C$15, $E$9, 100%, $G$9) + CHOOSE(CONTROL!$C$38, 0.0343, 0)</f>
        <v>28.845500000000001</v>
      </c>
      <c r="H300" s="17">
        <f>28.8112 * CHOOSE(CONTROL!$C$15, $E$9, 100%, $G$9) + CHOOSE(CONTROL!$C$38, 0.0343, 0)</f>
        <v>28.845500000000001</v>
      </c>
      <c r="I300" s="17">
        <f>28.8127 * CHOOSE(CONTROL!$C$15, $E$9, 100%, $G$9) + CHOOSE(CONTROL!$C$38, 0.0343, 0)</f>
        <v>28.847000000000001</v>
      </c>
      <c r="J300" s="45">
        <f>178.6512</f>
        <v>178.65119999999999</v>
      </c>
    </row>
    <row r="301" spans="1:10" ht="15" x14ac:dyDescent="0.2">
      <c r="A301" s="15">
        <v>50072</v>
      </c>
      <c r="B301" s="17">
        <f>31.6415 * CHOOSE(CONTROL!$C$15, $E$9, 100%, $G$9) + CHOOSE(CONTROL!$C$38, 0.0342, 0)</f>
        <v>31.675699999999999</v>
      </c>
      <c r="C301" s="17">
        <f>29.1571 * CHOOSE(CONTROL!$C$15, $E$9, 100%, $G$9) + CHOOSE(CONTROL!$C$38, 0.0343, 0)</f>
        <v>29.191400000000002</v>
      </c>
      <c r="D301" s="17">
        <f>29.1492 * CHOOSE(CONTROL!$C$15, $E$9, 100%, $G$9) + CHOOSE(CONTROL!$C$38, 0.0343, 0)</f>
        <v>29.183500000000002</v>
      </c>
      <c r="E301" s="17">
        <f>29.1492 * CHOOSE(CONTROL!$C$15, $E$9, 100%, $G$9) + CHOOSE(CONTROL!$C$38, 0.0343, 0)</f>
        <v>29.183500000000002</v>
      </c>
      <c r="F301" s="46">
        <f>31.6415 * CHOOSE(CONTROL!$C$15, $E$9, 100%, $G$9) + CHOOSE(CONTROL!$C$38, 0.0342, 0)</f>
        <v>31.675699999999999</v>
      </c>
      <c r="G301" s="17">
        <f>29.1555 * CHOOSE(CONTROL!$C$15, $E$9, 100%, $G$9) + CHOOSE(CONTROL!$C$38, 0.0343, 0)</f>
        <v>29.189799999999998</v>
      </c>
      <c r="H301" s="17">
        <f>29.1555 * CHOOSE(CONTROL!$C$15, $E$9, 100%, $G$9) + CHOOSE(CONTROL!$C$38, 0.0343, 0)</f>
        <v>29.189799999999998</v>
      </c>
      <c r="I301" s="17">
        <f>29.1571 * CHOOSE(CONTROL!$C$15, $E$9, 100%, $G$9) + CHOOSE(CONTROL!$C$38, 0.0343, 0)</f>
        <v>29.191400000000002</v>
      </c>
      <c r="J301" s="45">
        <f>178.1546</f>
        <v>178.15459999999999</v>
      </c>
    </row>
    <row r="302" spans="1:10" ht="15" x14ac:dyDescent="0.2">
      <c r="A302" s="15">
        <v>50100</v>
      </c>
      <c r="B302" s="17">
        <f>30.8445 * CHOOSE(CONTROL!$C$15, $E$9, 100%, $G$9) + CHOOSE(CONTROL!$C$38, 0.0342, 0)</f>
        <v>30.878699999999998</v>
      </c>
      <c r="C302" s="17">
        <f>28.36 * CHOOSE(CONTROL!$C$15, $E$9, 100%, $G$9) + CHOOSE(CONTROL!$C$38, 0.0343, 0)</f>
        <v>28.394300000000001</v>
      </c>
      <c r="D302" s="17">
        <f>28.3522 * CHOOSE(CONTROL!$C$15, $E$9, 100%, $G$9) + CHOOSE(CONTROL!$C$38, 0.0343, 0)</f>
        <v>28.386499999999998</v>
      </c>
      <c r="E302" s="17">
        <f>28.3522 * CHOOSE(CONTROL!$C$15, $E$9, 100%, $G$9) + CHOOSE(CONTROL!$C$38, 0.0343, 0)</f>
        <v>28.386499999999998</v>
      </c>
      <c r="F302" s="46">
        <f>30.8445 * CHOOSE(CONTROL!$C$15, $E$9, 100%, $G$9) + CHOOSE(CONTROL!$C$38, 0.0342, 0)</f>
        <v>30.878699999999998</v>
      </c>
      <c r="G302" s="17">
        <f>28.3585 * CHOOSE(CONTROL!$C$15, $E$9, 100%, $G$9) + CHOOSE(CONTROL!$C$38, 0.0343, 0)</f>
        <v>28.392800000000001</v>
      </c>
      <c r="H302" s="17">
        <f>28.3585 * CHOOSE(CONTROL!$C$15, $E$9, 100%, $G$9) + CHOOSE(CONTROL!$C$38, 0.0343, 0)</f>
        <v>28.392800000000001</v>
      </c>
      <c r="I302" s="17">
        <f>28.36 * CHOOSE(CONTROL!$C$15, $E$9, 100%, $G$9) + CHOOSE(CONTROL!$C$38, 0.0343, 0)</f>
        <v>28.394300000000001</v>
      </c>
      <c r="J302" s="45">
        <f>187.5444</f>
        <v>187.5444</v>
      </c>
    </row>
    <row r="303" spans="1:10" ht="15" x14ac:dyDescent="0.2">
      <c r="A303" s="15">
        <v>50131</v>
      </c>
      <c r="B303" s="17">
        <f>30.0722 * CHOOSE(CONTROL!$C$15, $E$9, 100%, $G$9) + CHOOSE(CONTROL!$C$38, 0.0342, 0)</f>
        <v>30.106399999999997</v>
      </c>
      <c r="C303" s="17">
        <f>27.5877 * CHOOSE(CONTROL!$C$15, $E$9, 100%, $G$9) + CHOOSE(CONTROL!$C$38, 0.0343, 0)</f>
        <v>27.622</v>
      </c>
      <c r="D303" s="17">
        <f>27.5799 * CHOOSE(CONTROL!$C$15, $E$9, 100%, $G$9) + CHOOSE(CONTROL!$C$38, 0.0343, 0)</f>
        <v>27.614199999999997</v>
      </c>
      <c r="E303" s="17">
        <f>27.5799 * CHOOSE(CONTROL!$C$15, $E$9, 100%, $G$9) + CHOOSE(CONTROL!$C$38, 0.0343, 0)</f>
        <v>27.614199999999997</v>
      </c>
      <c r="F303" s="46">
        <f>30.0722 * CHOOSE(CONTROL!$C$15, $E$9, 100%, $G$9) + CHOOSE(CONTROL!$C$38, 0.0342, 0)</f>
        <v>30.106399999999997</v>
      </c>
      <c r="G303" s="17">
        <f>27.5861 * CHOOSE(CONTROL!$C$15, $E$9, 100%, $G$9) + CHOOSE(CONTROL!$C$38, 0.0343, 0)</f>
        <v>27.620399999999997</v>
      </c>
      <c r="H303" s="17">
        <f>27.5861 * CHOOSE(CONTROL!$C$15, $E$9, 100%, $G$9) + CHOOSE(CONTROL!$C$38, 0.0343, 0)</f>
        <v>27.620399999999997</v>
      </c>
      <c r="I303" s="17">
        <f>27.5877 * CHOOSE(CONTROL!$C$15, $E$9, 100%, $G$9) + CHOOSE(CONTROL!$C$38, 0.0343, 0)</f>
        <v>27.622</v>
      </c>
      <c r="J303" s="45">
        <f>199.7207</f>
        <v>199.72069999999999</v>
      </c>
    </row>
    <row r="304" spans="1:10" ht="15" x14ac:dyDescent="0.2">
      <c r="A304" s="15">
        <v>50161</v>
      </c>
      <c r="B304" s="17">
        <f>29.2672 * CHOOSE(CONTROL!$C$15, $E$9, 100%, $G$9) + CHOOSE(CONTROL!$C$38, 0.0355, 0)</f>
        <v>29.302699999999998</v>
      </c>
      <c r="C304" s="17">
        <f>26.7828 * CHOOSE(CONTROL!$C$15, $E$9, 100%, $G$9) + CHOOSE(CONTROL!$C$38, 0.0356, 0)</f>
        <v>26.8184</v>
      </c>
      <c r="D304" s="17">
        <f>26.7749 * CHOOSE(CONTROL!$C$15, $E$9, 100%, $G$9) + CHOOSE(CONTROL!$C$38, 0.0356, 0)</f>
        <v>26.810499999999998</v>
      </c>
      <c r="E304" s="17">
        <f>26.7749 * CHOOSE(CONTROL!$C$15, $E$9, 100%, $G$9) + CHOOSE(CONTROL!$C$38, 0.0356, 0)</f>
        <v>26.810499999999998</v>
      </c>
      <c r="F304" s="46">
        <f>29.2672 * CHOOSE(CONTROL!$C$15, $E$9, 100%, $G$9) + CHOOSE(CONTROL!$C$38, 0.0355, 0)</f>
        <v>29.302699999999998</v>
      </c>
      <c r="G304" s="17">
        <f>26.7812 * CHOOSE(CONTROL!$C$15, $E$9, 100%, $G$9) + CHOOSE(CONTROL!$C$38, 0.0356, 0)</f>
        <v>26.816799999999997</v>
      </c>
      <c r="H304" s="17">
        <f>26.7812 * CHOOSE(CONTROL!$C$15, $E$9, 100%, $G$9) + CHOOSE(CONTROL!$C$38, 0.0356, 0)</f>
        <v>26.816799999999997</v>
      </c>
      <c r="I304" s="17">
        <f>26.7828 * CHOOSE(CONTROL!$C$15, $E$9, 100%, $G$9) + CHOOSE(CONTROL!$C$38, 0.0356, 0)</f>
        <v>26.8184</v>
      </c>
      <c r="J304" s="45">
        <f>206.4229</f>
        <v>206.4229</v>
      </c>
    </row>
    <row r="305" spans="1:10" ht="15" x14ac:dyDescent="0.2">
      <c r="A305" s="15">
        <v>50192</v>
      </c>
      <c r="B305" s="17">
        <f>28.7029 * CHOOSE(CONTROL!$C$15, $E$9, 100%, $G$9) + CHOOSE(CONTROL!$C$38, 0.0355, 0)</f>
        <v>28.738399999999999</v>
      </c>
      <c r="C305" s="17">
        <f>26.2184 * CHOOSE(CONTROL!$C$15, $E$9, 100%, $G$9) + CHOOSE(CONTROL!$C$38, 0.0356, 0)</f>
        <v>26.253999999999998</v>
      </c>
      <c r="D305" s="17">
        <f>26.2106 * CHOOSE(CONTROL!$C$15, $E$9, 100%, $G$9) + CHOOSE(CONTROL!$C$38, 0.0356, 0)</f>
        <v>26.246199999999998</v>
      </c>
      <c r="E305" s="17">
        <f>26.2106 * CHOOSE(CONTROL!$C$15, $E$9, 100%, $G$9) + CHOOSE(CONTROL!$C$38, 0.0356, 0)</f>
        <v>26.246199999999998</v>
      </c>
      <c r="F305" s="46">
        <f>28.7029 * CHOOSE(CONTROL!$C$15, $E$9, 100%, $G$9) + CHOOSE(CONTROL!$C$38, 0.0355, 0)</f>
        <v>28.738399999999999</v>
      </c>
      <c r="G305" s="17">
        <f>26.2169 * CHOOSE(CONTROL!$C$15, $E$9, 100%, $G$9) + CHOOSE(CONTROL!$C$38, 0.0356, 0)</f>
        <v>26.252499999999998</v>
      </c>
      <c r="H305" s="17">
        <f>26.2169 * CHOOSE(CONTROL!$C$15, $E$9, 100%, $G$9) + CHOOSE(CONTROL!$C$38, 0.0356, 0)</f>
        <v>26.252499999999998</v>
      </c>
      <c r="I305" s="17">
        <f>26.2184 * CHOOSE(CONTROL!$C$15, $E$9, 100%, $G$9) + CHOOSE(CONTROL!$C$38, 0.0356, 0)</f>
        <v>26.253999999999998</v>
      </c>
      <c r="J305" s="45">
        <f>209.3972</f>
        <v>209.3972</v>
      </c>
    </row>
    <row r="306" spans="1:10" ht="15" x14ac:dyDescent="0.2">
      <c r="A306" s="15">
        <v>50222</v>
      </c>
      <c r="B306" s="17">
        <f>28.3808 * CHOOSE(CONTROL!$C$15, $E$9, 100%, $G$9) + CHOOSE(CONTROL!$C$38, 0.0355, 0)</f>
        <v>28.4163</v>
      </c>
      <c r="C306" s="17">
        <f>25.8964 * CHOOSE(CONTROL!$C$15, $E$9, 100%, $G$9) + CHOOSE(CONTROL!$C$38, 0.0356, 0)</f>
        <v>25.931999999999999</v>
      </c>
      <c r="D306" s="17">
        <f>25.8885 * CHOOSE(CONTROL!$C$15, $E$9, 100%, $G$9) + CHOOSE(CONTROL!$C$38, 0.0356, 0)</f>
        <v>25.924099999999999</v>
      </c>
      <c r="E306" s="17">
        <f>25.8885 * CHOOSE(CONTROL!$C$15, $E$9, 100%, $G$9) + CHOOSE(CONTROL!$C$38, 0.0356, 0)</f>
        <v>25.924099999999999</v>
      </c>
      <c r="F306" s="46">
        <f>28.3808 * CHOOSE(CONTROL!$C$15, $E$9, 100%, $G$9) + CHOOSE(CONTROL!$C$38, 0.0355, 0)</f>
        <v>28.4163</v>
      </c>
      <c r="G306" s="17">
        <f>25.8948 * CHOOSE(CONTROL!$C$15, $E$9, 100%, $G$9) + CHOOSE(CONTROL!$C$38, 0.0356, 0)</f>
        <v>25.930399999999999</v>
      </c>
      <c r="H306" s="17">
        <f>25.8948 * CHOOSE(CONTROL!$C$15, $E$9, 100%, $G$9) + CHOOSE(CONTROL!$C$38, 0.0356, 0)</f>
        <v>25.930399999999999</v>
      </c>
      <c r="I306" s="17">
        <f>25.8964 * CHOOSE(CONTROL!$C$15, $E$9, 100%, $G$9) + CHOOSE(CONTROL!$C$38, 0.0356, 0)</f>
        <v>25.931999999999999</v>
      </c>
      <c r="J306" s="45">
        <f>208.4179</f>
        <v>208.4179</v>
      </c>
    </row>
    <row r="307" spans="1:10" ht="15" x14ac:dyDescent="0.2">
      <c r="A307" s="15">
        <v>50253</v>
      </c>
      <c r="B307" s="17">
        <f>28.5397 * CHOOSE(CONTROL!$C$15, $E$9, 100%, $G$9) + CHOOSE(CONTROL!$C$38, 0.0355, 0)</f>
        <v>28.575199999999999</v>
      </c>
      <c r="C307" s="17">
        <f>26.0553 * CHOOSE(CONTROL!$C$15, $E$9, 100%, $G$9) + CHOOSE(CONTROL!$C$38, 0.0356, 0)</f>
        <v>26.090899999999998</v>
      </c>
      <c r="D307" s="17">
        <f>26.0475 * CHOOSE(CONTROL!$C$15, $E$9, 100%, $G$9) + CHOOSE(CONTROL!$C$38, 0.0356, 0)</f>
        <v>26.083099999999998</v>
      </c>
      <c r="E307" s="17">
        <f>26.0475 * CHOOSE(CONTROL!$C$15, $E$9, 100%, $G$9) + CHOOSE(CONTROL!$C$38, 0.0356, 0)</f>
        <v>26.083099999999998</v>
      </c>
      <c r="F307" s="46">
        <f>28.5397 * CHOOSE(CONTROL!$C$15, $E$9, 100%, $G$9) + CHOOSE(CONTROL!$C$38, 0.0355, 0)</f>
        <v>28.575199999999999</v>
      </c>
      <c r="G307" s="17">
        <f>26.0537 * CHOOSE(CONTROL!$C$15, $E$9, 100%, $G$9) + CHOOSE(CONTROL!$C$38, 0.0356, 0)</f>
        <v>26.089299999999998</v>
      </c>
      <c r="H307" s="17">
        <f>26.0537 * CHOOSE(CONTROL!$C$15, $E$9, 100%, $G$9) + CHOOSE(CONTROL!$C$38, 0.0356, 0)</f>
        <v>26.089299999999998</v>
      </c>
      <c r="I307" s="17">
        <f>26.0553 * CHOOSE(CONTROL!$C$15, $E$9, 100%, $G$9) + CHOOSE(CONTROL!$C$38, 0.0356, 0)</f>
        <v>26.090899999999998</v>
      </c>
      <c r="J307" s="45">
        <f>203.5661</f>
        <v>203.56610000000001</v>
      </c>
    </row>
    <row r="308" spans="1:10" ht="15" x14ac:dyDescent="0.2">
      <c r="A308" s="15">
        <v>50284</v>
      </c>
      <c r="B308" s="17">
        <f>28.9715 * CHOOSE(CONTROL!$C$15, $E$9, 100%, $G$9) + CHOOSE(CONTROL!$C$38, 0.0355, 0)</f>
        <v>29.006999999999998</v>
      </c>
      <c r="C308" s="17">
        <f>26.6248 * CHOOSE(CONTROL!$C$15, $E$9, 100%, $G$9) + CHOOSE(CONTROL!$C$38, 0.0356, 0)</f>
        <v>26.660399999999999</v>
      </c>
      <c r="D308" s="17">
        <f>26.6169 * CHOOSE(CONTROL!$C$15, $E$9, 100%, $G$9) + CHOOSE(CONTROL!$C$38, 0.0356, 0)</f>
        <v>26.6525</v>
      </c>
      <c r="E308" s="17">
        <f>26.6169 * CHOOSE(CONTROL!$C$15, $E$9, 100%, $G$9) + CHOOSE(CONTROL!$C$38, 0.0356, 0)</f>
        <v>26.6525</v>
      </c>
      <c r="F308" s="46">
        <f>28.9715 * CHOOSE(CONTROL!$C$15, $E$9, 100%, $G$9) + CHOOSE(CONTROL!$C$38, 0.0355, 0)</f>
        <v>29.006999999999998</v>
      </c>
      <c r="G308" s="17">
        <f>26.6232 * CHOOSE(CONTROL!$C$15, $E$9, 100%, $G$9) + CHOOSE(CONTROL!$C$38, 0.0356, 0)</f>
        <v>26.658799999999999</v>
      </c>
      <c r="H308" s="17">
        <f>26.6232 * CHOOSE(CONTROL!$C$15, $E$9, 100%, $G$9) + CHOOSE(CONTROL!$C$38, 0.0356, 0)</f>
        <v>26.658799999999999</v>
      </c>
      <c r="I308" s="17">
        <f>26.6248 * CHOOSE(CONTROL!$C$15, $E$9, 100%, $G$9) + CHOOSE(CONTROL!$C$38, 0.0356, 0)</f>
        <v>26.660399999999999</v>
      </c>
      <c r="J308" s="45">
        <f>196.7999</f>
        <v>196.79990000000001</v>
      </c>
    </row>
    <row r="309" spans="1:10" ht="15" x14ac:dyDescent="0.2">
      <c r="A309" s="15">
        <v>50314</v>
      </c>
      <c r="B309" s="17">
        <f>29.333 * CHOOSE(CONTROL!$C$15, $E$9, 100%, $G$9) + CHOOSE(CONTROL!$C$38, 0.0342, 0)</f>
        <v>29.367199999999997</v>
      </c>
      <c r="C309" s="17">
        <f>26.8486 * CHOOSE(CONTROL!$C$15, $E$9, 100%, $G$9) + CHOOSE(CONTROL!$C$38, 0.0343, 0)</f>
        <v>26.882899999999999</v>
      </c>
      <c r="D309" s="17">
        <f>26.8408 * CHOOSE(CONTROL!$C$15, $E$9, 100%, $G$9) + CHOOSE(CONTROL!$C$38, 0.0343, 0)</f>
        <v>26.875100000000003</v>
      </c>
      <c r="E309" s="17">
        <f>26.8408 * CHOOSE(CONTROL!$C$15, $E$9, 100%, $G$9) + CHOOSE(CONTROL!$C$38, 0.0343, 0)</f>
        <v>26.875100000000003</v>
      </c>
      <c r="F309" s="46">
        <f>29.333 * CHOOSE(CONTROL!$C$15, $E$9, 100%, $G$9) + CHOOSE(CONTROL!$C$38, 0.0342, 0)</f>
        <v>29.367199999999997</v>
      </c>
      <c r="G309" s="17">
        <f>26.847 * CHOOSE(CONTROL!$C$15, $E$9, 100%, $G$9) + CHOOSE(CONTROL!$C$38, 0.0343, 0)</f>
        <v>26.881300000000003</v>
      </c>
      <c r="H309" s="17">
        <f>26.847 * CHOOSE(CONTROL!$C$15, $E$9, 100%, $G$9) + CHOOSE(CONTROL!$C$38, 0.0343, 0)</f>
        <v>26.881300000000003</v>
      </c>
      <c r="I309" s="17">
        <f>26.8486 * CHOOSE(CONTROL!$C$15, $E$9, 100%, $G$9) + CHOOSE(CONTROL!$C$38, 0.0343, 0)</f>
        <v>26.882899999999999</v>
      </c>
      <c r="J309" s="45">
        <f>189.9943</f>
        <v>189.99430000000001</v>
      </c>
    </row>
    <row r="310" spans="1:10" ht="15" x14ac:dyDescent="0.2">
      <c r="A310" s="15">
        <v>50345</v>
      </c>
      <c r="B310" s="17">
        <f>29.6347 * CHOOSE(CONTROL!$C$15, $E$9, 100%, $G$9) + CHOOSE(CONTROL!$C$38, 0.0342, 0)</f>
        <v>29.668899999999997</v>
      </c>
      <c r="C310" s="17">
        <f>27.1503 * CHOOSE(CONTROL!$C$15, $E$9, 100%, $G$9) + CHOOSE(CONTROL!$C$38, 0.0343, 0)</f>
        <v>27.184600000000003</v>
      </c>
      <c r="D310" s="17">
        <f>27.1425 * CHOOSE(CONTROL!$C$15, $E$9, 100%, $G$9) + CHOOSE(CONTROL!$C$38, 0.0343, 0)</f>
        <v>27.1768</v>
      </c>
      <c r="E310" s="17">
        <f>27.1425 * CHOOSE(CONTROL!$C$15, $E$9, 100%, $G$9) + CHOOSE(CONTROL!$C$38, 0.0343, 0)</f>
        <v>27.1768</v>
      </c>
      <c r="F310" s="46">
        <f>29.6347 * CHOOSE(CONTROL!$C$15, $E$9, 100%, $G$9) + CHOOSE(CONTROL!$C$38, 0.0342, 0)</f>
        <v>29.668899999999997</v>
      </c>
      <c r="G310" s="17">
        <f>27.1487 * CHOOSE(CONTROL!$C$15, $E$9, 100%, $G$9) + CHOOSE(CONTROL!$C$38, 0.0343, 0)</f>
        <v>27.183</v>
      </c>
      <c r="H310" s="17">
        <f>27.1487 * CHOOSE(CONTROL!$C$15, $E$9, 100%, $G$9) + CHOOSE(CONTROL!$C$38, 0.0343, 0)</f>
        <v>27.183</v>
      </c>
      <c r="I310" s="17">
        <f>27.1503 * CHOOSE(CONTROL!$C$15, $E$9, 100%, $G$9) + CHOOSE(CONTROL!$C$38, 0.0343, 0)</f>
        <v>27.184600000000003</v>
      </c>
      <c r="J310" s="45">
        <f>188.6406</f>
        <v>188.64060000000001</v>
      </c>
    </row>
    <row r="311" spans="1:10" ht="15" x14ac:dyDescent="0.2">
      <c r="A311" s="15">
        <v>50375</v>
      </c>
      <c r="B311" s="17">
        <f>30.5644 * CHOOSE(CONTROL!$C$15, $E$9, 100%, $G$9) + CHOOSE(CONTROL!$C$38, 0.0342, 0)</f>
        <v>30.598599999999998</v>
      </c>
      <c r="C311" s="17">
        <f>28.0799 * CHOOSE(CONTROL!$C$15, $E$9, 100%, $G$9) + CHOOSE(CONTROL!$C$38, 0.0343, 0)</f>
        <v>28.114199999999997</v>
      </c>
      <c r="D311" s="17">
        <f>28.0721 * CHOOSE(CONTROL!$C$15, $E$9, 100%, $G$9) + CHOOSE(CONTROL!$C$38, 0.0343, 0)</f>
        <v>28.106400000000001</v>
      </c>
      <c r="E311" s="17">
        <f>28.0721 * CHOOSE(CONTROL!$C$15, $E$9, 100%, $G$9) + CHOOSE(CONTROL!$C$38, 0.0343, 0)</f>
        <v>28.106400000000001</v>
      </c>
      <c r="F311" s="46">
        <f>30.5644 * CHOOSE(CONTROL!$C$15, $E$9, 100%, $G$9) + CHOOSE(CONTROL!$C$38, 0.0342, 0)</f>
        <v>30.598599999999998</v>
      </c>
      <c r="G311" s="17">
        <f>28.0784 * CHOOSE(CONTROL!$C$15, $E$9, 100%, $G$9) + CHOOSE(CONTROL!$C$38, 0.0343, 0)</f>
        <v>28.112699999999997</v>
      </c>
      <c r="H311" s="17">
        <f>28.0784 * CHOOSE(CONTROL!$C$15, $E$9, 100%, $G$9) + CHOOSE(CONTROL!$C$38, 0.0343, 0)</f>
        <v>28.112699999999997</v>
      </c>
      <c r="I311" s="17">
        <f>28.0799 * CHOOSE(CONTROL!$C$15, $E$9, 100%, $G$9) + CHOOSE(CONTROL!$C$38, 0.0343, 0)</f>
        <v>28.114199999999997</v>
      </c>
      <c r="J311" s="45">
        <f>183.0426</f>
        <v>183.04259999999999</v>
      </c>
    </row>
    <row r="312" spans="1:10" ht="15.75" x14ac:dyDescent="0.25">
      <c r="A312" s="14">
        <v>50436</v>
      </c>
      <c r="B312" s="17">
        <f>31.787 * CHOOSE(CONTROL!$C$15, $E$9, 100%, $G$9) + CHOOSE(CONTROL!$C$38, 0.0342, 0)</f>
        <v>31.821199999999997</v>
      </c>
      <c r="C312" s="17">
        <f>29.2634 * CHOOSE(CONTROL!$C$15, $E$9, 100%, $G$9) + CHOOSE(CONTROL!$C$38, 0.0343, 0)</f>
        <v>29.297699999999999</v>
      </c>
      <c r="D312" s="17">
        <f>29.2556 * CHOOSE(CONTROL!$C$15, $E$9, 100%, $G$9) + CHOOSE(CONTROL!$C$38, 0.0343, 0)</f>
        <v>29.289900000000003</v>
      </c>
      <c r="E312" s="17">
        <f>29.2556 * CHOOSE(CONTROL!$C$15, $E$9, 100%, $G$9) + CHOOSE(CONTROL!$C$38, 0.0343, 0)</f>
        <v>29.289900000000003</v>
      </c>
      <c r="F312" s="46">
        <f>31.787 * CHOOSE(CONTROL!$C$15, $E$9, 100%, $G$9) + CHOOSE(CONTROL!$C$38, 0.0342, 0)</f>
        <v>31.821199999999997</v>
      </c>
      <c r="G312" s="17">
        <f>29.2618 * CHOOSE(CONTROL!$C$15, $E$9, 100%, $G$9) + CHOOSE(CONTROL!$C$38, 0.0343, 0)</f>
        <v>29.296100000000003</v>
      </c>
      <c r="H312" s="17">
        <f>29.2618 * CHOOSE(CONTROL!$C$15, $E$9, 100%, $G$9) + CHOOSE(CONTROL!$C$38, 0.0343, 0)</f>
        <v>29.296100000000003</v>
      </c>
      <c r="I312" s="17">
        <f>29.2634 * CHOOSE(CONTROL!$C$15, $E$9, 100%, $G$9) + CHOOSE(CONTROL!$C$38, 0.0343, 0)</f>
        <v>29.297699999999999</v>
      </c>
      <c r="J312" s="45">
        <f>182.9105</f>
        <v>182.91050000000001</v>
      </c>
    </row>
    <row r="313" spans="1:10" ht="15.75" x14ac:dyDescent="0.25">
      <c r="A313" s="14">
        <v>50464</v>
      </c>
      <c r="B313" s="17">
        <f>32.1313 * CHOOSE(CONTROL!$C$15, $E$9, 100%, $G$9) + CHOOSE(CONTROL!$C$38, 0.0342, 0)</f>
        <v>32.165500000000002</v>
      </c>
      <c r="C313" s="17">
        <f>29.6077 * CHOOSE(CONTROL!$C$15, $E$9, 100%, $G$9) + CHOOSE(CONTROL!$C$38, 0.0343, 0)</f>
        <v>29.642000000000003</v>
      </c>
      <c r="D313" s="17">
        <f>29.5999 * CHOOSE(CONTROL!$C$15, $E$9, 100%, $G$9) + CHOOSE(CONTROL!$C$38, 0.0343, 0)</f>
        <v>29.6342</v>
      </c>
      <c r="E313" s="17">
        <f>29.5999 * CHOOSE(CONTROL!$C$15, $E$9, 100%, $G$9) + CHOOSE(CONTROL!$C$38, 0.0343, 0)</f>
        <v>29.6342</v>
      </c>
      <c r="F313" s="46">
        <f>32.1313 * CHOOSE(CONTROL!$C$15, $E$9, 100%, $G$9) + CHOOSE(CONTROL!$C$38, 0.0342, 0)</f>
        <v>32.165500000000002</v>
      </c>
      <c r="G313" s="17">
        <f>29.6062 * CHOOSE(CONTROL!$C$15, $E$9, 100%, $G$9) + CHOOSE(CONTROL!$C$38, 0.0343, 0)</f>
        <v>29.640500000000003</v>
      </c>
      <c r="H313" s="17">
        <f>29.6062 * CHOOSE(CONTROL!$C$15, $E$9, 100%, $G$9) + CHOOSE(CONTROL!$C$38, 0.0343, 0)</f>
        <v>29.640500000000003</v>
      </c>
      <c r="I313" s="17">
        <f>29.6077 * CHOOSE(CONTROL!$C$15, $E$9, 100%, $G$9) + CHOOSE(CONTROL!$C$38, 0.0343, 0)</f>
        <v>29.642000000000003</v>
      </c>
      <c r="J313" s="45">
        <f>182.4021</f>
        <v>182.40209999999999</v>
      </c>
    </row>
    <row r="314" spans="1:10" ht="15.75" x14ac:dyDescent="0.25">
      <c r="A314" s="14">
        <v>50495</v>
      </c>
      <c r="B314" s="17">
        <f>31.3342 * CHOOSE(CONTROL!$C$15, $E$9, 100%, $G$9) + CHOOSE(CONTROL!$C$38, 0.0342, 0)</f>
        <v>31.368399999999998</v>
      </c>
      <c r="C314" s="17">
        <f>28.8107 * CHOOSE(CONTROL!$C$15, $E$9, 100%, $G$9) + CHOOSE(CONTROL!$C$38, 0.0343, 0)</f>
        <v>28.844999999999999</v>
      </c>
      <c r="D314" s="17">
        <f>28.8029 * CHOOSE(CONTROL!$C$15, $E$9, 100%, $G$9) + CHOOSE(CONTROL!$C$38, 0.0343, 0)</f>
        <v>28.837200000000003</v>
      </c>
      <c r="E314" s="17">
        <f>28.8029 * CHOOSE(CONTROL!$C$15, $E$9, 100%, $G$9) + CHOOSE(CONTROL!$C$38, 0.0343, 0)</f>
        <v>28.837200000000003</v>
      </c>
      <c r="F314" s="46">
        <f>31.3342 * CHOOSE(CONTROL!$C$15, $E$9, 100%, $G$9) + CHOOSE(CONTROL!$C$38, 0.0342, 0)</f>
        <v>31.368399999999998</v>
      </c>
      <c r="G314" s="17">
        <f>28.8091 * CHOOSE(CONTROL!$C$15, $E$9, 100%, $G$9) + CHOOSE(CONTROL!$C$38, 0.0343, 0)</f>
        <v>28.843400000000003</v>
      </c>
      <c r="H314" s="17">
        <f>28.8091 * CHOOSE(CONTROL!$C$15, $E$9, 100%, $G$9) + CHOOSE(CONTROL!$C$38, 0.0343, 0)</f>
        <v>28.843400000000003</v>
      </c>
      <c r="I314" s="17">
        <f>28.8107 * CHOOSE(CONTROL!$C$15, $E$9, 100%, $G$9) + CHOOSE(CONTROL!$C$38, 0.0343, 0)</f>
        <v>28.844999999999999</v>
      </c>
      <c r="J314" s="45">
        <f>192.0157</f>
        <v>192.01570000000001</v>
      </c>
    </row>
    <row r="315" spans="1:10" ht="15.75" x14ac:dyDescent="0.25">
      <c r="A315" s="14">
        <v>50525</v>
      </c>
      <c r="B315" s="17">
        <f>30.5619 * CHOOSE(CONTROL!$C$15, $E$9, 100%, $G$9) + CHOOSE(CONTROL!$C$38, 0.0342, 0)</f>
        <v>30.5961</v>
      </c>
      <c r="C315" s="17">
        <f>28.0384 * CHOOSE(CONTROL!$C$15, $E$9, 100%, $G$9) + CHOOSE(CONTROL!$C$38, 0.0343, 0)</f>
        <v>28.072699999999998</v>
      </c>
      <c r="D315" s="17">
        <f>28.0306 * CHOOSE(CONTROL!$C$15, $E$9, 100%, $G$9) + CHOOSE(CONTROL!$C$38, 0.0343, 0)</f>
        <v>28.064900000000002</v>
      </c>
      <c r="E315" s="17">
        <f>28.0306 * CHOOSE(CONTROL!$C$15, $E$9, 100%, $G$9) + CHOOSE(CONTROL!$C$38, 0.0343, 0)</f>
        <v>28.064900000000002</v>
      </c>
      <c r="F315" s="46">
        <f>30.5619 * CHOOSE(CONTROL!$C$15, $E$9, 100%, $G$9) + CHOOSE(CONTROL!$C$38, 0.0342, 0)</f>
        <v>30.5961</v>
      </c>
      <c r="G315" s="17">
        <f>28.0368 * CHOOSE(CONTROL!$C$15, $E$9, 100%, $G$9) + CHOOSE(CONTROL!$C$38, 0.0343, 0)</f>
        <v>28.071100000000001</v>
      </c>
      <c r="H315" s="17">
        <f>28.0368 * CHOOSE(CONTROL!$C$15, $E$9, 100%, $G$9) + CHOOSE(CONTROL!$C$38, 0.0343, 0)</f>
        <v>28.071100000000001</v>
      </c>
      <c r="I315" s="17">
        <f>28.0384 * CHOOSE(CONTROL!$C$15, $E$9, 100%, $G$9) + CHOOSE(CONTROL!$C$38, 0.0343, 0)</f>
        <v>28.072699999999998</v>
      </c>
      <c r="J315" s="45">
        <f>204.4823</f>
        <v>204.48230000000001</v>
      </c>
    </row>
    <row r="316" spans="1:10" ht="15.75" x14ac:dyDescent="0.25">
      <c r="A316" s="14">
        <v>50556</v>
      </c>
      <c r="B316" s="17">
        <f>29.757 * CHOOSE(CONTROL!$C$15, $E$9, 100%, $G$9) + CHOOSE(CONTROL!$C$38, 0.0355, 0)</f>
        <v>29.7925</v>
      </c>
      <c r="C316" s="17">
        <f>27.2334 * CHOOSE(CONTROL!$C$15, $E$9, 100%, $G$9) + CHOOSE(CONTROL!$C$38, 0.0356, 0)</f>
        <v>27.268999999999998</v>
      </c>
      <c r="D316" s="17">
        <f>27.2256 * CHOOSE(CONTROL!$C$15, $E$9, 100%, $G$9) + CHOOSE(CONTROL!$C$38, 0.0356, 0)</f>
        <v>27.261199999999999</v>
      </c>
      <c r="E316" s="17">
        <f>27.2256 * CHOOSE(CONTROL!$C$15, $E$9, 100%, $G$9) + CHOOSE(CONTROL!$C$38, 0.0356, 0)</f>
        <v>27.261199999999999</v>
      </c>
      <c r="F316" s="46">
        <f>29.757 * CHOOSE(CONTROL!$C$15, $E$9, 100%, $G$9) + CHOOSE(CONTROL!$C$38, 0.0355, 0)</f>
        <v>29.7925</v>
      </c>
      <c r="G316" s="17">
        <f>27.2318 * CHOOSE(CONTROL!$C$15, $E$9, 100%, $G$9) + CHOOSE(CONTROL!$C$38, 0.0356, 0)</f>
        <v>27.267399999999999</v>
      </c>
      <c r="H316" s="17">
        <f>27.2318 * CHOOSE(CONTROL!$C$15, $E$9, 100%, $G$9) + CHOOSE(CONTROL!$C$38, 0.0356, 0)</f>
        <v>27.267399999999999</v>
      </c>
      <c r="I316" s="17">
        <f>27.2334 * CHOOSE(CONTROL!$C$15, $E$9, 100%, $G$9) + CHOOSE(CONTROL!$C$38, 0.0356, 0)</f>
        <v>27.268999999999998</v>
      </c>
      <c r="J316" s="45">
        <f>211.3443</f>
        <v>211.3443</v>
      </c>
    </row>
    <row r="317" spans="1:10" ht="15.75" x14ac:dyDescent="0.25">
      <c r="A317" s="14">
        <v>50586</v>
      </c>
      <c r="B317" s="17">
        <f>29.1926 * CHOOSE(CONTROL!$C$15, $E$9, 100%, $G$9) + CHOOSE(CONTROL!$C$38, 0.0355, 0)</f>
        <v>29.228099999999998</v>
      </c>
      <c r="C317" s="17">
        <f>26.6691 * CHOOSE(CONTROL!$C$15, $E$9, 100%, $G$9) + CHOOSE(CONTROL!$C$38, 0.0356, 0)</f>
        <v>26.704699999999999</v>
      </c>
      <c r="D317" s="17">
        <f>26.6613 * CHOOSE(CONTROL!$C$15, $E$9, 100%, $G$9) + CHOOSE(CONTROL!$C$38, 0.0356, 0)</f>
        <v>26.696899999999999</v>
      </c>
      <c r="E317" s="17">
        <f>26.6613 * CHOOSE(CONTROL!$C$15, $E$9, 100%, $G$9) + CHOOSE(CONTROL!$C$38, 0.0356, 0)</f>
        <v>26.696899999999999</v>
      </c>
      <c r="F317" s="46">
        <f>29.1926 * CHOOSE(CONTROL!$C$15, $E$9, 100%, $G$9) + CHOOSE(CONTROL!$C$38, 0.0355, 0)</f>
        <v>29.228099999999998</v>
      </c>
      <c r="G317" s="17">
        <f>26.6675 * CHOOSE(CONTROL!$C$15, $E$9, 100%, $G$9) + CHOOSE(CONTROL!$C$38, 0.0356, 0)</f>
        <v>26.703099999999999</v>
      </c>
      <c r="H317" s="17">
        <f>26.6675 * CHOOSE(CONTROL!$C$15, $E$9, 100%, $G$9) + CHOOSE(CONTROL!$C$38, 0.0356, 0)</f>
        <v>26.703099999999999</v>
      </c>
      <c r="I317" s="17">
        <f>26.6691 * CHOOSE(CONTROL!$C$15, $E$9, 100%, $G$9) + CHOOSE(CONTROL!$C$38, 0.0356, 0)</f>
        <v>26.704699999999999</v>
      </c>
      <c r="J317" s="45">
        <f>214.3896</f>
        <v>214.3896</v>
      </c>
    </row>
    <row r="318" spans="1:10" ht="15.75" x14ac:dyDescent="0.25">
      <c r="A318" s="14">
        <v>50617</v>
      </c>
      <c r="B318" s="17">
        <f>28.8706 * CHOOSE(CONTROL!$C$15, $E$9, 100%, $G$9) + CHOOSE(CONTROL!$C$38, 0.0355, 0)</f>
        <v>28.906099999999999</v>
      </c>
      <c r="C318" s="17">
        <f>26.347 * CHOOSE(CONTROL!$C$15, $E$9, 100%, $G$9) + CHOOSE(CONTROL!$C$38, 0.0356, 0)</f>
        <v>26.3826</v>
      </c>
      <c r="D318" s="17">
        <f>26.3392 * CHOOSE(CONTROL!$C$15, $E$9, 100%, $G$9) + CHOOSE(CONTROL!$C$38, 0.0356, 0)</f>
        <v>26.3748</v>
      </c>
      <c r="E318" s="17">
        <f>26.3392 * CHOOSE(CONTROL!$C$15, $E$9, 100%, $G$9) + CHOOSE(CONTROL!$C$38, 0.0356, 0)</f>
        <v>26.3748</v>
      </c>
      <c r="F318" s="46">
        <f>28.8706 * CHOOSE(CONTROL!$C$15, $E$9, 100%, $G$9) + CHOOSE(CONTROL!$C$38, 0.0355, 0)</f>
        <v>28.906099999999999</v>
      </c>
      <c r="G318" s="17">
        <f>26.3455 * CHOOSE(CONTROL!$C$15, $E$9, 100%, $G$9) + CHOOSE(CONTROL!$C$38, 0.0356, 0)</f>
        <v>26.3811</v>
      </c>
      <c r="H318" s="17">
        <f>26.3455 * CHOOSE(CONTROL!$C$15, $E$9, 100%, $G$9) + CHOOSE(CONTROL!$C$38, 0.0356, 0)</f>
        <v>26.3811</v>
      </c>
      <c r="I318" s="17">
        <f>26.347 * CHOOSE(CONTROL!$C$15, $E$9, 100%, $G$9) + CHOOSE(CONTROL!$C$38, 0.0356, 0)</f>
        <v>26.3826</v>
      </c>
      <c r="J318" s="45">
        <f>213.3869</f>
        <v>213.3869</v>
      </c>
    </row>
    <row r="319" spans="1:10" ht="15.75" x14ac:dyDescent="0.25">
      <c r="A319" s="14">
        <v>50648</v>
      </c>
      <c r="B319" s="17">
        <f>29.0295 * CHOOSE(CONTROL!$C$15, $E$9, 100%, $G$9) + CHOOSE(CONTROL!$C$38, 0.0355, 0)</f>
        <v>29.064999999999998</v>
      </c>
      <c r="C319" s="17">
        <f>26.506 * CHOOSE(CONTROL!$C$15, $E$9, 100%, $G$9) + CHOOSE(CONTROL!$C$38, 0.0356, 0)</f>
        <v>26.541599999999999</v>
      </c>
      <c r="D319" s="17">
        <f>26.4982 * CHOOSE(CONTROL!$C$15, $E$9, 100%, $G$9) + CHOOSE(CONTROL!$C$38, 0.0356, 0)</f>
        <v>26.533799999999999</v>
      </c>
      <c r="E319" s="17">
        <f>26.4982 * CHOOSE(CONTROL!$C$15, $E$9, 100%, $G$9) + CHOOSE(CONTROL!$C$38, 0.0356, 0)</f>
        <v>26.533799999999999</v>
      </c>
      <c r="F319" s="46">
        <f>29.0295 * CHOOSE(CONTROL!$C$15, $E$9, 100%, $G$9) + CHOOSE(CONTROL!$C$38, 0.0355, 0)</f>
        <v>29.064999999999998</v>
      </c>
      <c r="G319" s="17">
        <f>26.5044 * CHOOSE(CONTROL!$C$15, $E$9, 100%, $G$9) + CHOOSE(CONTROL!$C$38, 0.0356, 0)</f>
        <v>26.54</v>
      </c>
      <c r="H319" s="17">
        <f>26.5044 * CHOOSE(CONTROL!$C$15, $E$9, 100%, $G$9) + CHOOSE(CONTROL!$C$38, 0.0356, 0)</f>
        <v>26.54</v>
      </c>
      <c r="I319" s="17">
        <f>26.506 * CHOOSE(CONTROL!$C$15, $E$9, 100%, $G$9) + CHOOSE(CONTROL!$C$38, 0.0356, 0)</f>
        <v>26.541599999999999</v>
      </c>
      <c r="J319" s="45">
        <f>208.4194</f>
        <v>208.4194</v>
      </c>
    </row>
    <row r="320" spans="1:10" ht="15.75" x14ac:dyDescent="0.25">
      <c r="A320" s="14">
        <v>50678</v>
      </c>
      <c r="B320" s="17">
        <f>29.4612 * CHOOSE(CONTROL!$C$15, $E$9, 100%, $G$9) + CHOOSE(CONTROL!$C$38, 0.0355, 0)</f>
        <v>29.496700000000001</v>
      </c>
      <c r="C320" s="17">
        <f>26.9377 * CHOOSE(CONTROL!$C$15, $E$9, 100%, $G$9) + CHOOSE(CONTROL!$C$38, 0.0356, 0)</f>
        <v>26.973299999999998</v>
      </c>
      <c r="D320" s="17">
        <f>26.9299 * CHOOSE(CONTROL!$C$15, $E$9, 100%, $G$9) + CHOOSE(CONTROL!$C$38, 0.0356, 0)</f>
        <v>26.965499999999999</v>
      </c>
      <c r="E320" s="17">
        <f>26.9299 * CHOOSE(CONTROL!$C$15, $E$9, 100%, $G$9) + CHOOSE(CONTROL!$C$38, 0.0356, 0)</f>
        <v>26.965499999999999</v>
      </c>
      <c r="F320" s="46">
        <f>29.4612 * CHOOSE(CONTROL!$C$15, $E$9, 100%, $G$9) + CHOOSE(CONTROL!$C$38, 0.0355, 0)</f>
        <v>29.496700000000001</v>
      </c>
      <c r="G320" s="17">
        <f>26.9361 * CHOOSE(CONTROL!$C$15, $E$9, 100%, $G$9) + CHOOSE(CONTROL!$C$38, 0.0356, 0)</f>
        <v>26.971699999999998</v>
      </c>
      <c r="H320" s="17">
        <f>26.9361 * CHOOSE(CONTROL!$C$15, $E$9, 100%, $G$9) + CHOOSE(CONTROL!$C$38, 0.0356, 0)</f>
        <v>26.971699999999998</v>
      </c>
      <c r="I320" s="17">
        <f>26.9377 * CHOOSE(CONTROL!$C$15, $E$9, 100%, $G$9) + CHOOSE(CONTROL!$C$38, 0.0356, 0)</f>
        <v>26.973299999999998</v>
      </c>
      <c r="J320" s="45">
        <f>201.4919</f>
        <v>201.49189999999999</v>
      </c>
    </row>
    <row r="321" spans="1:10" ht="15.75" x14ac:dyDescent="0.25">
      <c r="A321" s="14">
        <v>50709</v>
      </c>
      <c r="B321" s="17">
        <f>29.8228 * CHOOSE(CONTROL!$C$15, $E$9, 100%, $G$9) + CHOOSE(CONTROL!$C$38, 0.0342, 0)</f>
        <v>29.856999999999999</v>
      </c>
      <c r="C321" s="17">
        <f>27.4393 * CHOOSE(CONTROL!$C$15, $E$9, 100%, $G$9) + CHOOSE(CONTROL!$C$38, 0.0343, 0)</f>
        <v>27.473599999999998</v>
      </c>
      <c r="D321" s="17">
        <f>27.4315 * CHOOSE(CONTROL!$C$15, $E$9, 100%, $G$9) + CHOOSE(CONTROL!$C$38, 0.0343, 0)</f>
        <v>27.465800000000002</v>
      </c>
      <c r="E321" s="17">
        <f>27.4315 * CHOOSE(CONTROL!$C$15, $E$9, 100%, $G$9) + CHOOSE(CONTROL!$C$38, 0.0343, 0)</f>
        <v>27.465800000000002</v>
      </c>
      <c r="F321" s="46">
        <f>29.8228 * CHOOSE(CONTROL!$C$15, $E$9, 100%, $G$9) + CHOOSE(CONTROL!$C$38, 0.0342, 0)</f>
        <v>29.856999999999999</v>
      </c>
      <c r="G321" s="17">
        <f>27.4377 * CHOOSE(CONTROL!$C$15, $E$9, 100%, $G$9) + CHOOSE(CONTROL!$C$38, 0.0343, 0)</f>
        <v>27.472000000000001</v>
      </c>
      <c r="H321" s="17">
        <f>27.4377 * CHOOSE(CONTROL!$C$15, $E$9, 100%, $G$9) + CHOOSE(CONTROL!$C$38, 0.0343, 0)</f>
        <v>27.472000000000001</v>
      </c>
      <c r="I321" s="17">
        <f>27.4393 * CHOOSE(CONTROL!$C$15, $E$9, 100%, $G$9) + CHOOSE(CONTROL!$C$38, 0.0343, 0)</f>
        <v>27.473599999999998</v>
      </c>
      <c r="J321" s="45">
        <f>194.5241</f>
        <v>194.5241</v>
      </c>
    </row>
    <row r="322" spans="1:10" ht="15.75" x14ac:dyDescent="0.25">
      <c r="A322" s="14">
        <v>50739</v>
      </c>
      <c r="B322" s="17">
        <f>30.1245 * CHOOSE(CONTROL!$C$15, $E$9, 100%, $G$9) + CHOOSE(CONTROL!$C$38, 0.0342, 0)</f>
        <v>30.1587</v>
      </c>
      <c r="C322" s="17">
        <f>27.6009 * CHOOSE(CONTROL!$C$15, $E$9, 100%, $G$9) + CHOOSE(CONTROL!$C$38, 0.0343, 0)</f>
        <v>27.635199999999998</v>
      </c>
      <c r="D322" s="17">
        <f>27.5931 * CHOOSE(CONTROL!$C$15, $E$9, 100%, $G$9) + CHOOSE(CONTROL!$C$38, 0.0343, 0)</f>
        <v>27.627400000000002</v>
      </c>
      <c r="E322" s="17">
        <f>27.5931 * CHOOSE(CONTROL!$C$15, $E$9, 100%, $G$9) + CHOOSE(CONTROL!$C$38, 0.0343, 0)</f>
        <v>27.627400000000002</v>
      </c>
      <c r="F322" s="46">
        <f>30.1245 * CHOOSE(CONTROL!$C$15, $E$9, 100%, $G$9) + CHOOSE(CONTROL!$C$38, 0.0342, 0)</f>
        <v>30.1587</v>
      </c>
      <c r="G322" s="17">
        <f>27.5994 * CHOOSE(CONTROL!$C$15, $E$9, 100%, $G$9) + CHOOSE(CONTROL!$C$38, 0.0343, 0)</f>
        <v>27.633699999999997</v>
      </c>
      <c r="H322" s="17">
        <f>27.5994 * CHOOSE(CONTROL!$C$15, $E$9, 100%, $G$9) + CHOOSE(CONTROL!$C$38, 0.0343, 0)</f>
        <v>27.633699999999997</v>
      </c>
      <c r="I322" s="17">
        <f>27.6009 * CHOOSE(CONTROL!$C$15, $E$9, 100%, $G$9) + CHOOSE(CONTROL!$C$38, 0.0343, 0)</f>
        <v>27.635199999999998</v>
      </c>
      <c r="J322" s="45">
        <f>193.138</f>
        <v>193.13800000000001</v>
      </c>
    </row>
    <row r="323" spans="1:10" ht="15.75" x14ac:dyDescent="0.25">
      <c r="A323" s="14">
        <v>50770</v>
      </c>
      <c r="B323" s="17">
        <f>31.0542 * CHOOSE(CONTROL!$C$15, $E$9, 100%, $G$9) + CHOOSE(CONTROL!$C$38, 0.0342, 0)</f>
        <v>31.0884</v>
      </c>
      <c r="C323" s="17">
        <f>28.5306 * CHOOSE(CONTROL!$C$15, $E$9, 100%, $G$9) + CHOOSE(CONTROL!$C$38, 0.0343, 0)</f>
        <v>28.564900000000002</v>
      </c>
      <c r="D323" s="17">
        <f>28.5228 * CHOOSE(CONTROL!$C$15, $E$9, 100%, $G$9) + CHOOSE(CONTROL!$C$38, 0.0343, 0)</f>
        <v>28.557099999999998</v>
      </c>
      <c r="E323" s="17">
        <f>28.5228 * CHOOSE(CONTROL!$C$15, $E$9, 100%, $G$9) + CHOOSE(CONTROL!$C$38, 0.0343, 0)</f>
        <v>28.557099999999998</v>
      </c>
      <c r="F323" s="46">
        <f>31.0542 * CHOOSE(CONTROL!$C$15, $E$9, 100%, $G$9) + CHOOSE(CONTROL!$C$38, 0.0342, 0)</f>
        <v>31.0884</v>
      </c>
      <c r="G323" s="17">
        <f>28.529 * CHOOSE(CONTROL!$C$15, $E$9, 100%, $G$9) + CHOOSE(CONTROL!$C$38, 0.0343, 0)</f>
        <v>28.563299999999998</v>
      </c>
      <c r="H323" s="17">
        <f>28.529 * CHOOSE(CONTROL!$C$15, $E$9, 100%, $G$9) + CHOOSE(CONTROL!$C$38, 0.0343, 0)</f>
        <v>28.563299999999998</v>
      </c>
      <c r="I323" s="17">
        <f>28.5306 * CHOOSE(CONTROL!$C$15, $E$9, 100%, $G$9) + CHOOSE(CONTROL!$C$38, 0.0343, 0)</f>
        <v>28.564900000000002</v>
      </c>
      <c r="J323" s="45">
        <f>187.4067</f>
        <v>187.4067</v>
      </c>
    </row>
    <row r="324" spans="1:10" ht="15.75" x14ac:dyDescent="0.25">
      <c r="A324" s="14">
        <v>50801</v>
      </c>
      <c r="B324" s="17">
        <f>32.285 * CHOOSE(CONTROL!$C$15, $E$9, 100%, $G$9) + CHOOSE(CONTROL!$C$38, 0.0342, 0)</f>
        <v>32.319199999999995</v>
      </c>
      <c r="C324" s="17">
        <f>29.7216 * CHOOSE(CONTROL!$C$15, $E$9, 100%, $G$9) + CHOOSE(CONTROL!$C$38, 0.0343, 0)</f>
        <v>29.755899999999997</v>
      </c>
      <c r="D324" s="17">
        <f>29.7138 * CHOOSE(CONTROL!$C$15, $E$9, 100%, $G$9) + CHOOSE(CONTROL!$C$38, 0.0343, 0)</f>
        <v>29.748100000000001</v>
      </c>
      <c r="E324" s="17">
        <f>29.7138 * CHOOSE(CONTROL!$C$15, $E$9, 100%, $G$9) + CHOOSE(CONTROL!$C$38, 0.0343, 0)</f>
        <v>29.748100000000001</v>
      </c>
      <c r="F324" s="46">
        <f>32.285 * CHOOSE(CONTROL!$C$15, $E$9, 100%, $G$9) + CHOOSE(CONTROL!$C$38, 0.0342, 0)</f>
        <v>32.319199999999995</v>
      </c>
      <c r="G324" s="17">
        <f>29.7201 * CHOOSE(CONTROL!$C$15, $E$9, 100%, $G$9) + CHOOSE(CONTROL!$C$38, 0.0343, 0)</f>
        <v>29.754399999999997</v>
      </c>
      <c r="H324" s="17">
        <f>29.7201 * CHOOSE(CONTROL!$C$15, $E$9, 100%, $G$9) + CHOOSE(CONTROL!$C$38, 0.0343, 0)</f>
        <v>29.754399999999997</v>
      </c>
      <c r="I324" s="17">
        <f>29.7216 * CHOOSE(CONTROL!$C$15, $E$9, 100%, $G$9) + CHOOSE(CONTROL!$C$38, 0.0343, 0)</f>
        <v>29.755899999999997</v>
      </c>
      <c r="J324" s="45">
        <f>187.2714</f>
        <v>187.2714</v>
      </c>
    </row>
    <row r="325" spans="1:10" ht="15.75" x14ac:dyDescent="0.25">
      <c r="A325" s="14">
        <v>50829</v>
      </c>
      <c r="B325" s="17">
        <f>32.6293 * CHOOSE(CONTROL!$C$15, $E$9, 100%, $G$9) + CHOOSE(CONTROL!$C$38, 0.0342, 0)</f>
        <v>32.663499999999999</v>
      </c>
      <c r="C325" s="17">
        <f>30.066 * CHOOSE(CONTROL!$C$15, $E$9, 100%, $G$9) + CHOOSE(CONTROL!$C$38, 0.0343, 0)</f>
        <v>30.100299999999997</v>
      </c>
      <c r="D325" s="17">
        <f>30.0581 * CHOOSE(CONTROL!$C$15, $E$9, 100%, $G$9) + CHOOSE(CONTROL!$C$38, 0.0343, 0)</f>
        <v>30.092399999999998</v>
      </c>
      <c r="E325" s="17">
        <f>30.0581 * CHOOSE(CONTROL!$C$15, $E$9, 100%, $G$9) + CHOOSE(CONTROL!$C$38, 0.0343, 0)</f>
        <v>30.092399999999998</v>
      </c>
      <c r="F325" s="46">
        <f>32.6293 * CHOOSE(CONTROL!$C$15, $E$9, 100%, $G$9) + CHOOSE(CONTROL!$C$38, 0.0342, 0)</f>
        <v>32.663499999999999</v>
      </c>
      <c r="G325" s="17">
        <f>30.0644 * CHOOSE(CONTROL!$C$15, $E$9, 100%, $G$9) + CHOOSE(CONTROL!$C$38, 0.0343, 0)</f>
        <v>30.098700000000001</v>
      </c>
      <c r="H325" s="17">
        <f>30.0644 * CHOOSE(CONTROL!$C$15, $E$9, 100%, $G$9) + CHOOSE(CONTROL!$C$38, 0.0343, 0)</f>
        <v>30.098700000000001</v>
      </c>
      <c r="I325" s="17">
        <f>30.066 * CHOOSE(CONTROL!$C$15, $E$9, 100%, $G$9) + CHOOSE(CONTROL!$C$38, 0.0343, 0)</f>
        <v>30.100299999999997</v>
      </c>
      <c r="J325" s="45">
        <f>186.7508</f>
        <v>186.7508</v>
      </c>
    </row>
    <row r="326" spans="1:10" ht="15.75" x14ac:dyDescent="0.25">
      <c r="A326" s="14">
        <v>50860</v>
      </c>
      <c r="B326" s="17">
        <f>31.8322 * CHOOSE(CONTROL!$C$15, $E$9, 100%, $G$9) + CHOOSE(CONTROL!$C$38, 0.0342, 0)</f>
        <v>31.866399999999999</v>
      </c>
      <c r="C326" s="17">
        <f>29.2689 * CHOOSE(CONTROL!$C$15, $E$9, 100%, $G$9) + CHOOSE(CONTROL!$C$38, 0.0343, 0)</f>
        <v>29.303199999999997</v>
      </c>
      <c r="D326" s="17">
        <f>29.2611 * CHOOSE(CONTROL!$C$15, $E$9, 100%, $G$9) + CHOOSE(CONTROL!$C$38, 0.0343, 0)</f>
        <v>29.295400000000001</v>
      </c>
      <c r="E326" s="17">
        <f>29.2611 * CHOOSE(CONTROL!$C$15, $E$9, 100%, $G$9) + CHOOSE(CONTROL!$C$38, 0.0343, 0)</f>
        <v>29.295400000000001</v>
      </c>
      <c r="F326" s="46">
        <f>31.8322 * CHOOSE(CONTROL!$C$15, $E$9, 100%, $G$9) + CHOOSE(CONTROL!$C$38, 0.0342, 0)</f>
        <v>31.866399999999999</v>
      </c>
      <c r="G326" s="17">
        <f>29.2674 * CHOOSE(CONTROL!$C$15, $E$9, 100%, $G$9) + CHOOSE(CONTROL!$C$38, 0.0343, 0)</f>
        <v>29.301699999999997</v>
      </c>
      <c r="H326" s="17">
        <f>29.2674 * CHOOSE(CONTROL!$C$15, $E$9, 100%, $G$9) + CHOOSE(CONTROL!$C$38, 0.0343, 0)</f>
        <v>29.301699999999997</v>
      </c>
      <c r="I326" s="17">
        <f>29.2689 * CHOOSE(CONTROL!$C$15, $E$9, 100%, $G$9) + CHOOSE(CONTROL!$C$38, 0.0343, 0)</f>
        <v>29.303199999999997</v>
      </c>
      <c r="J326" s="45">
        <f>196.5936</f>
        <v>196.59360000000001</v>
      </c>
    </row>
    <row r="327" spans="1:10" ht="15.75" x14ac:dyDescent="0.25">
      <c r="A327" s="14">
        <v>50890</v>
      </c>
      <c r="B327" s="17">
        <f>31.0599 * CHOOSE(CONTROL!$C$15, $E$9, 100%, $G$9) + CHOOSE(CONTROL!$C$38, 0.0342, 0)</f>
        <v>31.094099999999997</v>
      </c>
      <c r="C327" s="17">
        <f>28.4966 * CHOOSE(CONTROL!$C$15, $E$9, 100%, $G$9) + CHOOSE(CONTROL!$C$38, 0.0343, 0)</f>
        <v>28.530900000000003</v>
      </c>
      <c r="D327" s="17">
        <f>28.4888 * CHOOSE(CONTROL!$C$15, $E$9, 100%, $G$9) + CHOOSE(CONTROL!$C$38, 0.0343, 0)</f>
        <v>28.523099999999999</v>
      </c>
      <c r="E327" s="17">
        <f>28.4888 * CHOOSE(CONTROL!$C$15, $E$9, 100%, $G$9) + CHOOSE(CONTROL!$C$38, 0.0343, 0)</f>
        <v>28.523099999999999</v>
      </c>
      <c r="F327" s="46">
        <f>31.0599 * CHOOSE(CONTROL!$C$15, $E$9, 100%, $G$9) + CHOOSE(CONTROL!$C$38, 0.0342, 0)</f>
        <v>31.094099999999997</v>
      </c>
      <c r="G327" s="17">
        <f>28.495 * CHOOSE(CONTROL!$C$15, $E$9, 100%, $G$9) + CHOOSE(CONTROL!$C$38, 0.0343, 0)</f>
        <v>28.529299999999999</v>
      </c>
      <c r="H327" s="17">
        <f>28.495 * CHOOSE(CONTROL!$C$15, $E$9, 100%, $G$9) + CHOOSE(CONTROL!$C$38, 0.0343, 0)</f>
        <v>28.529299999999999</v>
      </c>
      <c r="I327" s="17">
        <f>28.4966 * CHOOSE(CONTROL!$C$15, $E$9, 100%, $G$9) + CHOOSE(CONTROL!$C$38, 0.0343, 0)</f>
        <v>28.530900000000003</v>
      </c>
      <c r="J327" s="45">
        <f>209.3575</f>
        <v>209.35749999999999</v>
      </c>
    </row>
    <row r="328" spans="1:10" ht="15.75" x14ac:dyDescent="0.25">
      <c r="A328" s="14">
        <v>50921</v>
      </c>
      <c r="B328" s="17">
        <f>30.255 * CHOOSE(CONTROL!$C$15, $E$9, 100%, $G$9) + CHOOSE(CONTROL!$C$38, 0.0355, 0)</f>
        <v>30.290499999999998</v>
      </c>
      <c r="C328" s="17">
        <f>27.6916 * CHOOSE(CONTROL!$C$15, $E$9, 100%, $G$9) + CHOOSE(CONTROL!$C$38, 0.0356, 0)</f>
        <v>27.7272</v>
      </c>
      <c r="D328" s="17">
        <f>27.6838 * CHOOSE(CONTROL!$C$15, $E$9, 100%, $G$9) + CHOOSE(CONTROL!$C$38, 0.0356, 0)</f>
        <v>27.7194</v>
      </c>
      <c r="E328" s="17">
        <f>27.6838 * CHOOSE(CONTROL!$C$15, $E$9, 100%, $G$9) + CHOOSE(CONTROL!$C$38, 0.0356, 0)</f>
        <v>27.7194</v>
      </c>
      <c r="F328" s="46">
        <f>30.255 * CHOOSE(CONTROL!$C$15, $E$9, 100%, $G$9) + CHOOSE(CONTROL!$C$38, 0.0355, 0)</f>
        <v>30.290499999999998</v>
      </c>
      <c r="G328" s="17">
        <f>27.6901 * CHOOSE(CONTROL!$C$15, $E$9, 100%, $G$9) + CHOOSE(CONTROL!$C$38, 0.0356, 0)</f>
        <v>27.7257</v>
      </c>
      <c r="H328" s="17">
        <f>27.6901 * CHOOSE(CONTROL!$C$15, $E$9, 100%, $G$9) + CHOOSE(CONTROL!$C$38, 0.0356, 0)</f>
        <v>27.7257</v>
      </c>
      <c r="I328" s="17">
        <f>27.6916 * CHOOSE(CONTROL!$C$15, $E$9, 100%, $G$9) + CHOOSE(CONTROL!$C$38, 0.0356, 0)</f>
        <v>27.7272</v>
      </c>
      <c r="J328" s="45">
        <f>216.3831</f>
        <v>216.38310000000001</v>
      </c>
    </row>
    <row r="329" spans="1:10" ht="15.75" x14ac:dyDescent="0.25">
      <c r="A329" s="14">
        <v>50951</v>
      </c>
      <c r="B329" s="17">
        <f>29.6906 * CHOOSE(CONTROL!$C$15, $E$9, 100%, $G$9) + CHOOSE(CONTROL!$C$38, 0.0355, 0)</f>
        <v>29.726099999999999</v>
      </c>
      <c r="C329" s="17">
        <f>27.1273 * CHOOSE(CONTROL!$C$15, $E$9, 100%, $G$9) + CHOOSE(CONTROL!$C$38, 0.0356, 0)</f>
        <v>27.1629</v>
      </c>
      <c r="D329" s="17">
        <f>27.1195 * CHOOSE(CONTROL!$C$15, $E$9, 100%, $G$9) + CHOOSE(CONTROL!$C$38, 0.0356, 0)</f>
        <v>27.155099999999997</v>
      </c>
      <c r="E329" s="17">
        <f>27.1195 * CHOOSE(CONTROL!$C$15, $E$9, 100%, $G$9) + CHOOSE(CONTROL!$C$38, 0.0356, 0)</f>
        <v>27.155099999999997</v>
      </c>
      <c r="F329" s="46">
        <f>29.6906 * CHOOSE(CONTROL!$C$15, $E$9, 100%, $G$9) + CHOOSE(CONTROL!$C$38, 0.0355, 0)</f>
        <v>29.726099999999999</v>
      </c>
      <c r="G329" s="17">
        <f>27.1257 * CHOOSE(CONTROL!$C$15, $E$9, 100%, $G$9) + CHOOSE(CONTROL!$C$38, 0.0356, 0)</f>
        <v>27.161299999999997</v>
      </c>
      <c r="H329" s="17">
        <f>27.1257 * CHOOSE(CONTROL!$C$15, $E$9, 100%, $G$9) + CHOOSE(CONTROL!$C$38, 0.0356, 0)</f>
        <v>27.161299999999997</v>
      </c>
      <c r="I329" s="17">
        <f>27.1273 * CHOOSE(CONTROL!$C$15, $E$9, 100%, $G$9) + CHOOSE(CONTROL!$C$38, 0.0356, 0)</f>
        <v>27.1629</v>
      </c>
      <c r="J329" s="45">
        <f>219.5009</f>
        <v>219.5009</v>
      </c>
    </row>
    <row r="330" spans="1:10" ht="15.75" x14ac:dyDescent="0.25">
      <c r="A330" s="14">
        <v>50982</v>
      </c>
      <c r="B330" s="17">
        <f>29.3686 * CHOOSE(CONTROL!$C$15, $E$9, 100%, $G$9) + CHOOSE(CONTROL!$C$38, 0.0355, 0)</f>
        <v>29.4041</v>
      </c>
      <c r="C330" s="17">
        <f>26.8053 * CHOOSE(CONTROL!$C$15, $E$9, 100%, $G$9) + CHOOSE(CONTROL!$C$38, 0.0356, 0)</f>
        <v>26.840899999999998</v>
      </c>
      <c r="D330" s="17">
        <f>26.7974 * CHOOSE(CONTROL!$C$15, $E$9, 100%, $G$9) + CHOOSE(CONTROL!$C$38, 0.0356, 0)</f>
        <v>26.832999999999998</v>
      </c>
      <c r="E330" s="17">
        <f>26.7974 * CHOOSE(CONTROL!$C$15, $E$9, 100%, $G$9) + CHOOSE(CONTROL!$C$38, 0.0356, 0)</f>
        <v>26.832999999999998</v>
      </c>
      <c r="F330" s="46">
        <f>29.3686 * CHOOSE(CONTROL!$C$15, $E$9, 100%, $G$9) + CHOOSE(CONTROL!$C$38, 0.0355, 0)</f>
        <v>29.4041</v>
      </c>
      <c r="G330" s="17">
        <f>26.8037 * CHOOSE(CONTROL!$C$15, $E$9, 100%, $G$9) + CHOOSE(CONTROL!$C$38, 0.0356, 0)</f>
        <v>26.839299999999998</v>
      </c>
      <c r="H330" s="17">
        <f>26.8037 * CHOOSE(CONTROL!$C$15, $E$9, 100%, $G$9) + CHOOSE(CONTROL!$C$38, 0.0356, 0)</f>
        <v>26.839299999999998</v>
      </c>
      <c r="I330" s="17">
        <f>26.8053 * CHOOSE(CONTROL!$C$15, $E$9, 100%, $G$9) + CHOOSE(CONTROL!$C$38, 0.0356, 0)</f>
        <v>26.840899999999998</v>
      </c>
      <c r="J330" s="45">
        <f>218.4744</f>
        <v>218.4744</v>
      </c>
    </row>
    <row r="331" spans="1:10" ht="15.75" x14ac:dyDescent="0.25">
      <c r="A331" s="14">
        <v>51013</v>
      </c>
      <c r="B331" s="17">
        <f>29.5275 * CHOOSE(CONTROL!$C$15, $E$9, 100%, $G$9) + CHOOSE(CONTROL!$C$38, 0.0355, 0)</f>
        <v>29.562999999999999</v>
      </c>
      <c r="C331" s="17">
        <f>26.9642 * CHOOSE(CONTROL!$C$15, $E$9, 100%, $G$9) + CHOOSE(CONTROL!$C$38, 0.0356, 0)</f>
        <v>26.9998</v>
      </c>
      <c r="D331" s="17">
        <f>26.9564 * CHOOSE(CONTROL!$C$15, $E$9, 100%, $G$9) + CHOOSE(CONTROL!$C$38, 0.0356, 0)</f>
        <v>26.991999999999997</v>
      </c>
      <c r="E331" s="17">
        <f>26.9564 * CHOOSE(CONTROL!$C$15, $E$9, 100%, $G$9) + CHOOSE(CONTROL!$C$38, 0.0356, 0)</f>
        <v>26.991999999999997</v>
      </c>
      <c r="F331" s="46">
        <f>29.5275 * CHOOSE(CONTROL!$C$15, $E$9, 100%, $G$9) + CHOOSE(CONTROL!$C$38, 0.0355, 0)</f>
        <v>29.562999999999999</v>
      </c>
      <c r="G331" s="17">
        <f>26.9626 * CHOOSE(CONTROL!$C$15, $E$9, 100%, $G$9) + CHOOSE(CONTROL!$C$38, 0.0356, 0)</f>
        <v>26.998199999999997</v>
      </c>
      <c r="H331" s="17">
        <f>26.9626 * CHOOSE(CONTROL!$C$15, $E$9, 100%, $G$9) + CHOOSE(CONTROL!$C$38, 0.0356, 0)</f>
        <v>26.998199999999997</v>
      </c>
      <c r="I331" s="17">
        <f>26.9642 * CHOOSE(CONTROL!$C$15, $E$9, 100%, $G$9) + CHOOSE(CONTROL!$C$38, 0.0356, 0)</f>
        <v>26.9998</v>
      </c>
      <c r="J331" s="45">
        <f>213.3884</f>
        <v>213.38839999999999</v>
      </c>
    </row>
    <row r="332" spans="1:10" ht="15.75" x14ac:dyDescent="0.25">
      <c r="A332" s="14">
        <v>51043</v>
      </c>
      <c r="B332" s="17">
        <f>29.9592 * CHOOSE(CONTROL!$C$15, $E$9, 100%, $G$9) + CHOOSE(CONTROL!$C$38, 0.0355, 0)</f>
        <v>29.994699999999998</v>
      </c>
      <c r="C332" s="17">
        <f>27.3959 * CHOOSE(CONTROL!$C$15, $E$9, 100%, $G$9) + CHOOSE(CONTROL!$C$38, 0.0356, 0)</f>
        <v>27.4315</v>
      </c>
      <c r="D332" s="17">
        <f>27.3881 * CHOOSE(CONTROL!$C$15, $E$9, 100%, $G$9) + CHOOSE(CONTROL!$C$38, 0.0356, 0)</f>
        <v>27.4237</v>
      </c>
      <c r="E332" s="17">
        <f>27.3881 * CHOOSE(CONTROL!$C$15, $E$9, 100%, $G$9) + CHOOSE(CONTROL!$C$38, 0.0356, 0)</f>
        <v>27.4237</v>
      </c>
      <c r="F332" s="46">
        <f>29.9592 * CHOOSE(CONTROL!$C$15, $E$9, 100%, $G$9) + CHOOSE(CONTROL!$C$38, 0.0355, 0)</f>
        <v>29.994699999999998</v>
      </c>
      <c r="G332" s="17">
        <f>27.3943 * CHOOSE(CONTROL!$C$15, $E$9, 100%, $G$9) + CHOOSE(CONTROL!$C$38, 0.0356, 0)</f>
        <v>27.4299</v>
      </c>
      <c r="H332" s="17">
        <f>27.3943 * CHOOSE(CONTROL!$C$15, $E$9, 100%, $G$9) + CHOOSE(CONTROL!$C$38, 0.0356, 0)</f>
        <v>27.4299</v>
      </c>
      <c r="I332" s="17">
        <f>27.3959 * CHOOSE(CONTROL!$C$15, $E$9, 100%, $G$9) + CHOOSE(CONTROL!$C$38, 0.0356, 0)</f>
        <v>27.4315</v>
      </c>
      <c r="J332" s="45">
        <f>206.2957</f>
        <v>206.29570000000001</v>
      </c>
    </row>
    <row r="333" spans="1:10" ht="15.75" x14ac:dyDescent="0.25">
      <c r="A333" s="14">
        <v>51074</v>
      </c>
      <c r="B333" s="17">
        <f>30.3208 * CHOOSE(CONTROL!$C$15, $E$9, 100%, $G$9) + CHOOSE(CONTROL!$C$38, 0.0342, 0)</f>
        <v>30.354999999999997</v>
      </c>
      <c r="C333" s="17">
        <f>27.7575 * CHOOSE(CONTROL!$C$15, $E$9, 100%, $G$9) + CHOOSE(CONTROL!$C$38, 0.0343, 0)</f>
        <v>27.791800000000002</v>
      </c>
      <c r="D333" s="17">
        <f>27.7497 * CHOOSE(CONTROL!$C$15, $E$9, 100%, $G$9) + CHOOSE(CONTROL!$C$38, 0.0343, 0)</f>
        <v>27.783999999999999</v>
      </c>
      <c r="E333" s="17">
        <f>27.7497 * CHOOSE(CONTROL!$C$15, $E$9, 100%, $G$9) + CHOOSE(CONTROL!$C$38, 0.0343, 0)</f>
        <v>27.783999999999999</v>
      </c>
      <c r="F333" s="46">
        <f>30.3208 * CHOOSE(CONTROL!$C$15, $E$9, 100%, $G$9) + CHOOSE(CONTROL!$C$38, 0.0342, 0)</f>
        <v>30.354999999999997</v>
      </c>
      <c r="G333" s="17">
        <f>27.7559 * CHOOSE(CONTROL!$C$15, $E$9, 100%, $G$9) + CHOOSE(CONTROL!$C$38, 0.0343, 0)</f>
        <v>27.790199999999999</v>
      </c>
      <c r="H333" s="17">
        <f>27.7559 * CHOOSE(CONTROL!$C$15, $E$9, 100%, $G$9) + CHOOSE(CONTROL!$C$38, 0.0343, 0)</f>
        <v>27.790199999999999</v>
      </c>
      <c r="I333" s="17">
        <f>27.7575 * CHOOSE(CONTROL!$C$15, $E$9, 100%, $G$9) + CHOOSE(CONTROL!$C$38, 0.0343, 0)</f>
        <v>27.791800000000002</v>
      </c>
      <c r="J333" s="45">
        <f>199.1618</f>
        <v>199.1618</v>
      </c>
    </row>
    <row r="334" spans="1:10" ht="15.75" x14ac:dyDescent="0.25">
      <c r="A334" s="14">
        <v>51104</v>
      </c>
      <c r="B334" s="17">
        <f>30.6225 * CHOOSE(CONTROL!$C$15, $E$9, 100%, $G$9) + CHOOSE(CONTROL!$C$38, 0.0342, 0)</f>
        <v>30.656699999999997</v>
      </c>
      <c r="C334" s="17">
        <f>28.2016 * CHOOSE(CONTROL!$C$15, $E$9, 100%, $G$9) + CHOOSE(CONTROL!$C$38, 0.0343, 0)</f>
        <v>28.235900000000001</v>
      </c>
      <c r="D334" s="17">
        <f>28.1938 * CHOOSE(CONTROL!$C$15, $E$9, 100%, $G$9) + CHOOSE(CONTROL!$C$38, 0.0343, 0)</f>
        <v>28.228099999999998</v>
      </c>
      <c r="E334" s="17">
        <f>28.1938 * CHOOSE(CONTROL!$C$15, $E$9, 100%, $G$9) + CHOOSE(CONTROL!$C$38, 0.0343, 0)</f>
        <v>28.228099999999998</v>
      </c>
      <c r="F334" s="46">
        <f>30.6225 * CHOOSE(CONTROL!$C$15, $E$9, 100%, $G$9) + CHOOSE(CONTROL!$C$38, 0.0342, 0)</f>
        <v>30.656699999999997</v>
      </c>
      <c r="G334" s="17">
        <f>28.2 * CHOOSE(CONTROL!$C$15, $E$9, 100%, $G$9) + CHOOSE(CONTROL!$C$38, 0.0343, 0)</f>
        <v>28.234299999999998</v>
      </c>
      <c r="H334" s="17">
        <f>28.2 * CHOOSE(CONTROL!$C$15, $E$9, 100%, $G$9) + CHOOSE(CONTROL!$C$38, 0.0343, 0)</f>
        <v>28.234299999999998</v>
      </c>
      <c r="I334" s="17">
        <f>28.2016 * CHOOSE(CONTROL!$C$15, $E$9, 100%, $G$9) + CHOOSE(CONTROL!$C$38, 0.0343, 0)</f>
        <v>28.235900000000001</v>
      </c>
      <c r="J334" s="45">
        <f>197.7427</f>
        <v>197.74270000000001</v>
      </c>
    </row>
    <row r="335" spans="1:10" ht="15.75" x14ac:dyDescent="0.25">
      <c r="A335" s="14">
        <v>51135</v>
      </c>
      <c r="B335" s="17">
        <f>31.5522 * CHOOSE(CONTROL!$C$15, $E$9, 100%, $G$9) + CHOOSE(CONTROL!$C$38, 0.0342, 0)</f>
        <v>31.586399999999998</v>
      </c>
      <c r="C335" s="17">
        <f>28.9888 * CHOOSE(CONTROL!$C$15, $E$9, 100%, $G$9) + CHOOSE(CONTROL!$C$38, 0.0343, 0)</f>
        <v>29.023099999999999</v>
      </c>
      <c r="D335" s="17">
        <f>28.981 * CHOOSE(CONTROL!$C$15, $E$9, 100%, $G$9) + CHOOSE(CONTROL!$C$38, 0.0343, 0)</f>
        <v>29.015300000000003</v>
      </c>
      <c r="E335" s="17">
        <f>28.981 * CHOOSE(CONTROL!$C$15, $E$9, 100%, $G$9) + CHOOSE(CONTROL!$C$38, 0.0343, 0)</f>
        <v>29.015300000000003</v>
      </c>
      <c r="F335" s="46">
        <f>31.5522 * CHOOSE(CONTROL!$C$15, $E$9, 100%, $G$9) + CHOOSE(CONTROL!$C$38, 0.0342, 0)</f>
        <v>31.586399999999998</v>
      </c>
      <c r="G335" s="17">
        <f>28.9873 * CHOOSE(CONTROL!$C$15, $E$9, 100%, $G$9) + CHOOSE(CONTROL!$C$38, 0.0343, 0)</f>
        <v>29.021599999999999</v>
      </c>
      <c r="H335" s="17">
        <f>28.9873 * CHOOSE(CONTROL!$C$15, $E$9, 100%, $G$9) + CHOOSE(CONTROL!$C$38, 0.0343, 0)</f>
        <v>29.021599999999999</v>
      </c>
      <c r="I335" s="17">
        <f>28.9888 * CHOOSE(CONTROL!$C$15, $E$9, 100%, $G$9) + CHOOSE(CONTROL!$C$38, 0.0343, 0)</f>
        <v>29.023099999999999</v>
      </c>
      <c r="J335" s="45">
        <f>191.8747</f>
        <v>191.87469999999999</v>
      </c>
    </row>
    <row r="336" spans="1:10" ht="15.75" x14ac:dyDescent="0.25">
      <c r="A336" s="14">
        <v>51166</v>
      </c>
      <c r="B336" s="17">
        <f>32.7913 * CHOOSE(CONTROL!$C$15, $E$9, 100%, $G$9) + CHOOSE(CONTROL!$C$38, 0.0342, 0)</f>
        <v>32.825499999999998</v>
      </c>
      <c r="C336" s="17">
        <f>30.1876 * CHOOSE(CONTROL!$C$15, $E$9, 100%, $G$9) + CHOOSE(CONTROL!$C$38, 0.0343, 0)</f>
        <v>30.221899999999998</v>
      </c>
      <c r="D336" s="17">
        <f>30.1798 * CHOOSE(CONTROL!$C$15, $E$9, 100%, $G$9) + CHOOSE(CONTROL!$C$38, 0.0343, 0)</f>
        <v>30.214100000000002</v>
      </c>
      <c r="E336" s="17">
        <f>30.1798 * CHOOSE(CONTROL!$C$15, $E$9, 100%, $G$9) + CHOOSE(CONTROL!$C$38, 0.0343, 0)</f>
        <v>30.214100000000002</v>
      </c>
      <c r="F336" s="46">
        <f>32.7913 * CHOOSE(CONTROL!$C$15, $E$9, 100%, $G$9) + CHOOSE(CONTROL!$C$38, 0.0342, 0)</f>
        <v>32.825499999999998</v>
      </c>
      <c r="G336" s="17">
        <f>30.186 * CHOOSE(CONTROL!$C$15, $E$9, 100%, $G$9) + CHOOSE(CONTROL!$C$38, 0.0343, 0)</f>
        <v>30.220300000000002</v>
      </c>
      <c r="H336" s="17">
        <f>30.186 * CHOOSE(CONTROL!$C$15, $E$9, 100%, $G$9) + CHOOSE(CONTROL!$C$38, 0.0343, 0)</f>
        <v>30.220300000000002</v>
      </c>
      <c r="I336" s="17">
        <f>30.1876 * CHOOSE(CONTROL!$C$15, $E$9, 100%, $G$9) + CHOOSE(CONTROL!$C$38, 0.0343, 0)</f>
        <v>30.221899999999998</v>
      </c>
      <c r="J336" s="45">
        <f>191.7362</f>
        <v>191.7362</v>
      </c>
    </row>
    <row r="337" spans="1:10" ht="15.75" x14ac:dyDescent="0.25">
      <c r="A337" s="14">
        <v>51194</v>
      </c>
      <c r="B337" s="17">
        <f>33.1356 * CHOOSE(CONTROL!$C$15, $E$9, 100%, $G$9) + CHOOSE(CONTROL!$C$38, 0.0342, 0)</f>
        <v>33.169799999999995</v>
      </c>
      <c r="C337" s="17">
        <f>30.5319 * CHOOSE(CONTROL!$C$15, $E$9, 100%, $G$9) + CHOOSE(CONTROL!$C$38, 0.0343, 0)</f>
        <v>30.566200000000002</v>
      </c>
      <c r="D337" s="17">
        <f>30.5241 * CHOOSE(CONTROL!$C$15, $E$9, 100%, $G$9) + CHOOSE(CONTROL!$C$38, 0.0343, 0)</f>
        <v>30.558399999999999</v>
      </c>
      <c r="E337" s="17">
        <f>30.5241 * CHOOSE(CONTROL!$C$15, $E$9, 100%, $G$9) + CHOOSE(CONTROL!$C$38, 0.0343, 0)</f>
        <v>30.558399999999999</v>
      </c>
      <c r="F337" s="46">
        <f>33.1356 * CHOOSE(CONTROL!$C$15, $E$9, 100%, $G$9) + CHOOSE(CONTROL!$C$38, 0.0342, 0)</f>
        <v>33.169799999999995</v>
      </c>
      <c r="G337" s="17">
        <f>30.5303 * CHOOSE(CONTROL!$C$15, $E$9, 100%, $G$9) + CHOOSE(CONTROL!$C$38, 0.0343, 0)</f>
        <v>30.564599999999999</v>
      </c>
      <c r="H337" s="17">
        <f>30.5303 * CHOOSE(CONTROL!$C$15, $E$9, 100%, $G$9) + CHOOSE(CONTROL!$C$38, 0.0343, 0)</f>
        <v>30.564599999999999</v>
      </c>
      <c r="I337" s="17">
        <f>30.5319 * CHOOSE(CONTROL!$C$15, $E$9, 100%, $G$9) + CHOOSE(CONTROL!$C$38, 0.0343, 0)</f>
        <v>30.566200000000002</v>
      </c>
      <c r="J337" s="45">
        <f>191.2032</f>
        <v>191.20320000000001</v>
      </c>
    </row>
    <row r="338" spans="1:10" ht="15.75" x14ac:dyDescent="0.25">
      <c r="A338" s="14">
        <v>51226</v>
      </c>
      <c r="B338" s="17">
        <f>32.3386 * CHOOSE(CONTROL!$C$15, $E$9, 100%, $G$9) + CHOOSE(CONTROL!$C$38, 0.0342, 0)</f>
        <v>32.372799999999998</v>
      </c>
      <c r="C338" s="17">
        <f>29.7348 * CHOOSE(CONTROL!$C$15, $E$9, 100%, $G$9) + CHOOSE(CONTROL!$C$38, 0.0343, 0)</f>
        <v>29.769100000000002</v>
      </c>
      <c r="D338" s="17">
        <f>29.727 * CHOOSE(CONTROL!$C$15, $E$9, 100%, $G$9) + CHOOSE(CONTROL!$C$38, 0.0343, 0)</f>
        <v>29.761299999999999</v>
      </c>
      <c r="E338" s="17">
        <f>29.727 * CHOOSE(CONTROL!$C$15, $E$9, 100%, $G$9) + CHOOSE(CONTROL!$C$38, 0.0343, 0)</f>
        <v>29.761299999999999</v>
      </c>
      <c r="F338" s="46">
        <f>32.3386 * CHOOSE(CONTROL!$C$15, $E$9, 100%, $G$9) + CHOOSE(CONTROL!$C$38, 0.0342, 0)</f>
        <v>32.372799999999998</v>
      </c>
      <c r="G338" s="17">
        <f>29.7333 * CHOOSE(CONTROL!$C$15, $E$9, 100%, $G$9) + CHOOSE(CONTROL!$C$38, 0.0343, 0)</f>
        <v>29.767600000000002</v>
      </c>
      <c r="H338" s="17">
        <f>29.7333 * CHOOSE(CONTROL!$C$15, $E$9, 100%, $G$9) + CHOOSE(CONTROL!$C$38, 0.0343, 0)</f>
        <v>29.767600000000002</v>
      </c>
      <c r="I338" s="17">
        <f>29.7348 * CHOOSE(CONTROL!$C$15, $E$9, 100%, $G$9) + CHOOSE(CONTROL!$C$38, 0.0343, 0)</f>
        <v>29.769100000000002</v>
      </c>
      <c r="J338" s="45">
        <f>201.2807</f>
        <v>201.2807</v>
      </c>
    </row>
    <row r="339" spans="1:10" ht="15.75" x14ac:dyDescent="0.25">
      <c r="A339" s="14">
        <v>51256</v>
      </c>
      <c r="B339" s="17">
        <f>31.5663 * CHOOSE(CONTROL!$C$15, $E$9, 100%, $G$9) + CHOOSE(CONTROL!$C$38, 0.0342, 0)</f>
        <v>31.600499999999997</v>
      </c>
      <c r="C339" s="17">
        <f>28.9625 * CHOOSE(CONTROL!$C$15, $E$9, 100%, $G$9) + CHOOSE(CONTROL!$C$38, 0.0343, 0)</f>
        <v>28.9968</v>
      </c>
      <c r="D339" s="17">
        <f>28.9547 * CHOOSE(CONTROL!$C$15, $E$9, 100%, $G$9) + CHOOSE(CONTROL!$C$38, 0.0343, 0)</f>
        <v>28.988999999999997</v>
      </c>
      <c r="E339" s="17">
        <f>28.9547 * CHOOSE(CONTROL!$C$15, $E$9, 100%, $G$9) + CHOOSE(CONTROL!$C$38, 0.0343, 0)</f>
        <v>28.988999999999997</v>
      </c>
      <c r="F339" s="46">
        <f>31.5663 * CHOOSE(CONTROL!$C$15, $E$9, 100%, $G$9) + CHOOSE(CONTROL!$C$38, 0.0342, 0)</f>
        <v>31.600499999999997</v>
      </c>
      <c r="G339" s="17">
        <f>28.961 * CHOOSE(CONTROL!$C$15, $E$9, 100%, $G$9) + CHOOSE(CONTROL!$C$38, 0.0343, 0)</f>
        <v>28.9953</v>
      </c>
      <c r="H339" s="17">
        <f>28.961 * CHOOSE(CONTROL!$C$15, $E$9, 100%, $G$9) + CHOOSE(CONTROL!$C$38, 0.0343, 0)</f>
        <v>28.9953</v>
      </c>
      <c r="I339" s="17">
        <f>28.9625 * CHOOSE(CONTROL!$C$15, $E$9, 100%, $G$9) + CHOOSE(CONTROL!$C$38, 0.0343, 0)</f>
        <v>28.9968</v>
      </c>
      <c r="J339" s="45">
        <f>214.3489</f>
        <v>214.34889999999999</v>
      </c>
    </row>
    <row r="340" spans="1:10" ht="15.75" x14ac:dyDescent="0.25">
      <c r="A340" s="14">
        <v>51287</v>
      </c>
      <c r="B340" s="17">
        <f>30.7613 * CHOOSE(CONTROL!$C$15, $E$9, 100%, $G$9) + CHOOSE(CONTROL!$C$38, 0.0355, 0)</f>
        <v>30.796799999999998</v>
      </c>
      <c r="C340" s="17">
        <f>28.1576 * CHOOSE(CONTROL!$C$15, $E$9, 100%, $G$9) + CHOOSE(CONTROL!$C$38, 0.0356, 0)</f>
        <v>28.193199999999997</v>
      </c>
      <c r="D340" s="17">
        <f>28.1498 * CHOOSE(CONTROL!$C$15, $E$9, 100%, $G$9) + CHOOSE(CONTROL!$C$38, 0.0356, 0)</f>
        <v>28.185399999999998</v>
      </c>
      <c r="E340" s="17">
        <f>28.1498 * CHOOSE(CONTROL!$C$15, $E$9, 100%, $G$9) + CHOOSE(CONTROL!$C$38, 0.0356, 0)</f>
        <v>28.185399999999998</v>
      </c>
      <c r="F340" s="46">
        <f>30.7613 * CHOOSE(CONTROL!$C$15, $E$9, 100%, $G$9) + CHOOSE(CONTROL!$C$38, 0.0355, 0)</f>
        <v>30.796799999999998</v>
      </c>
      <c r="G340" s="17">
        <f>28.156 * CHOOSE(CONTROL!$C$15, $E$9, 100%, $G$9) + CHOOSE(CONTROL!$C$38, 0.0356, 0)</f>
        <v>28.191599999999998</v>
      </c>
      <c r="H340" s="17">
        <f>28.156 * CHOOSE(CONTROL!$C$15, $E$9, 100%, $G$9) + CHOOSE(CONTROL!$C$38, 0.0356, 0)</f>
        <v>28.191599999999998</v>
      </c>
      <c r="I340" s="17">
        <f>28.1576 * CHOOSE(CONTROL!$C$15, $E$9, 100%, $G$9) + CHOOSE(CONTROL!$C$38, 0.0356, 0)</f>
        <v>28.193199999999997</v>
      </c>
      <c r="J340" s="45">
        <f>221.542</f>
        <v>221.542</v>
      </c>
    </row>
    <row r="341" spans="1:10" ht="15.75" x14ac:dyDescent="0.25">
      <c r="A341" s="14">
        <v>51317</v>
      </c>
      <c r="B341" s="17">
        <f>30.197 * CHOOSE(CONTROL!$C$15, $E$9, 100%, $G$9) + CHOOSE(CONTROL!$C$38, 0.0355, 0)</f>
        <v>30.232499999999998</v>
      </c>
      <c r="C341" s="17">
        <f>27.5932 * CHOOSE(CONTROL!$C$15, $E$9, 100%, $G$9) + CHOOSE(CONTROL!$C$38, 0.0356, 0)</f>
        <v>27.628799999999998</v>
      </c>
      <c r="D341" s="17">
        <f>27.5854 * CHOOSE(CONTROL!$C$15, $E$9, 100%, $G$9) + CHOOSE(CONTROL!$C$38, 0.0356, 0)</f>
        <v>27.620999999999999</v>
      </c>
      <c r="E341" s="17">
        <f>27.5854 * CHOOSE(CONTROL!$C$15, $E$9, 100%, $G$9) + CHOOSE(CONTROL!$C$38, 0.0356, 0)</f>
        <v>27.620999999999999</v>
      </c>
      <c r="F341" s="46">
        <f>30.197 * CHOOSE(CONTROL!$C$15, $E$9, 100%, $G$9) + CHOOSE(CONTROL!$C$38, 0.0355, 0)</f>
        <v>30.232499999999998</v>
      </c>
      <c r="G341" s="17">
        <f>27.5917 * CHOOSE(CONTROL!$C$15, $E$9, 100%, $G$9) + CHOOSE(CONTROL!$C$38, 0.0356, 0)</f>
        <v>27.627299999999998</v>
      </c>
      <c r="H341" s="17">
        <f>27.5917 * CHOOSE(CONTROL!$C$15, $E$9, 100%, $G$9) + CHOOSE(CONTROL!$C$38, 0.0356, 0)</f>
        <v>27.627299999999998</v>
      </c>
      <c r="I341" s="17">
        <f>27.5932 * CHOOSE(CONTROL!$C$15, $E$9, 100%, $G$9) + CHOOSE(CONTROL!$C$38, 0.0356, 0)</f>
        <v>27.628799999999998</v>
      </c>
      <c r="J341" s="45">
        <f>224.7342</f>
        <v>224.73419999999999</v>
      </c>
    </row>
    <row r="342" spans="1:10" ht="15.75" x14ac:dyDescent="0.25">
      <c r="A342" s="14">
        <v>51348</v>
      </c>
      <c r="B342" s="17">
        <f>29.8749 * CHOOSE(CONTROL!$C$15, $E$9, 100%, $G$9) + CHOOSE(CONTROL!$C$38, 0.0355, 0)</f>
        <v>29.910399999999999</v>
      </c>
      <c r="C342" s="17">
        <f>27.2712 * CHOOSE(CONTROL!$C$15, $E$9, 100%, $G$9) + CHOOSE(CONTROL!$C$38, 0.0356, 0)</f>
        <v>27.306799999999999</v>
      </c>
      <c r="D342" s="17">
        <f>27.2634 * CHOOSE(CONTROL!$C$15, $E$9, 100%, $G$9) + CHOOSE(CONTROL!$C$38, 0.0356, 0)</f>
        <v>27.298999999999999</v>
      </c>
      <c r="E342" s="17">
        <f>27.2634 * CHOOSE(CONTROL!$C$15, $E$9, 100%, $G$9) + CHOOSE(CONTROL!$C$38, 0.0356, 0)</f>
        <v>27.298999999999999</v>
      </c>
      <c r="F342" s="46">
        <f>29.8749 * CHOOSE(CONTROL!$C$15, $E$9, 100%, $G$9) + CHOOSE(CONTROL!$C$38, 0.0355, 0)</f>
        <v>29.910399999999999</v>
      </c>
      <c r="G342" s="17">
        <f>27.2696 * CHOOSE(CONTROL!$C$15, $E$9, 100%, $G$9) + CHOOSE(CONTROL!$C$38, 0.0356, 0)</f>
        <v>27.305199999999999</v>
      </c>
      <c r="H342" s="17">
        <f>27.2696 * CHOOSE(CONTROL!$C$15, $E$9, 100%, $G$9) + CHOOSE(CONTROL!$C$38, 0.0356, 0)</f>
        <v>27.305199999999999</v>
      </c>
      <c r="I342" s="17">
        <f>27.2712 * CHOOSE(CONTROL!$C$15, $E$9, 100%, $G$9) + CHOOSE(CONTROL!$C$38, 0.0356, 0)</f>
        <v>27.306799999999999</v>
      </c>
      <c r="J342" s="45">
        <f>223.6832</f>
        <v>223.6832</v>
      </c>
    </row>
    <row r="343" spans="1:10" ht="15.75" x14ac:dyDescent="0.25">
      <c r="A343" s="14">
        <v>51379</v>
      </c>
      <c r="B343" s="17">
        <f>30.0339 * CHOOSE(CONTROL!$C$15, $E$9, 100%, $G$9) + CHOOSE(CONTROL!$C$38, 0.0355, 0)</f>
        <v>30.069399999999998</v>
      </c>
      <c r="C343" s="17">
        <f>27.4301 * CHOOSE(CONTROL!$C$15, $E$9, 100%, $G$9) + CHOOSE(CONTROL!$C$38, 0.0356, 0)</f>
        <v>27.465699999999998</v>
      </c>
      <c r="D343" s="17">
        <f>27.4223 * CHOOSE(CONTROL!$C$15, $E$9, 100%, $G$9) + CHOOSE(CONTROL!$C$38, 0.0356, 0)</f>
        <v>27.457899999999999</v>
      </c>
      <c r="E343" s="17">
        <f>27.4223 * CHOOSE(CONTROL!$C$15, $E$9, 100%, $G$9) + CHOOSE(CONTROL!$C$38, 0.0356, 0)</f>
        <v>27.457899999999999</v>
      </c>
      <c r="F343" s="46">
        <f>30.0339 * CHOOSE(CONTROL!$C$15, $E$9, 100%, $G$9) + CHOOSE(CONTROL!$C$38, 0.0355, 0)</f>
        <v>30.069399999999998</v>
      </c>
      <c r="G343" s="17">
        <f>27.4286 * CHOOSE(CONTROL!$C$15, $E$9, 100%, $G$9) + CHOOSE(CONTROL!$C$38, 0.0356, 0)</f>
        <v>27.464199999999998</v>
      </c>
      <c r="H343" s="17">
        <f>27.4286 * CHOOSE(CONTROL!$C$15, $E$9, 100%, $G$9) + CHOOSE(CONTROL!$C$38, 0.0356, 0)</f>
        <v>27.464199999999998</v>
      </c>
      <c r="I343" s="17">
        <f>27.4301 * CHOOSE(CONTROL!$C$15, $E$9, 100%, $G$9) + CHOOSE(CONTROL!$C$38, 0.0356, 0)</f>
        <v>27.465699999999998</v>
      </c>
      <c r="J343" s="45">
        <f>218.4759</f>
        <v>218.4759</v>
      </c>
    </row>
    <row r="344" spans="1:10" ht="15.75" x14ac:dyDescent="0.25">
      <c r="A344" s="14">
        <v>51409</v>
      </c>
      <c r="B344" s="17">
        <f>30.4656 * CHOOSE(CONTROL!$C$15, $E$9, 100%, $G$9) + CHOOSE(CONTROL!$C$38, 0.0355, 0)</f>
        <v>30.501099999999997</v>
      </c>
      <c r="C344" s="17">
        <f>27.8618 * CHOOSE(CONTROL!$C$15, $E$9, 100%, $G$9) + CHOOSE(CONTROL!$C$38, 0.0356, 0)</f>
        <v>27.897399999999998</v>
      </c>
      <c r="D344" s="17">
        <f>27.854 * CHOOSE(CONTROL!$C$15, $E$9, 100%, $G$9) + CHOOSE(CONTROL!$C$38, 0.0356, 0)</f>
        <v>27.889599999999998</v>
      </c>
      <c r="E344" s="17">
        <f>27.854 * CHOOSE(CONTROL!$C$15, $E$9, 100%, $G$9) + CHOOSE(CONTROL!$C$38, 0.0356, 0)</f>
        <v>27.889599999999998</v>
      </c>
      <c r="F344" s="46">
        <f>30.4656 * CHOOSE(CONTROL!$C$15, $E$9, 100%, $G$9) + CHOOSE(CONTROL!$C$38, 0.0355, 0)</f>
        <v>30.501099999999997</v>
      </c>
      <c r="G344" s="17">
        <f>27.8603 * CHOOSE(CONTROL!$C$15, $E$9, 100%, $G$9) + CHOOSE(CONTROL!$C$38, 0.0356, 0)</f>
        <v>27.895899999999997</v>
      </c>
      <c r="H344" s="17">
        <f>27.8603 * CHOOSE(CONTROL!$C$15, $E$9, 100%, $G$9) + CHOOSE(CONTROL!$C$38, 0.0356, 0)</f>
        <v>27.895899999999997</v>
      </c>
      <c r="I344" s="17">
        <f>27.8618 * CHOOSE(CONTROL!$C$15, $E$9, 100%, $G$9) + CHOOSE(CONTROL!$C$38, 0.0356, 0)</f>
        <v>27.897399999999998</v>
      </c>
      <c r="J344" s="45">
        <f>211.2141</f>
        <v>211.2141</v>
      </c>
    </row>
    <row r="345" spans="1:10" ht="15.75" x14ac:dyDescent="0.25">
      <c r="A345" s="14">
        <v>51440</v>
      </c>
      <c r="B345" s="17">
        <f>30.8272 * CHOOSE(CONTROL!$C$15, $E$9, 100%, $G$9) + CHOOSE(CONTROL!$C$38, 0.0342, 0)</f>
        <v>30.8614</v>
      </c>
      <c r="C345" s="17">
        <f>28.2234 * CHOOSE(CONTROL!$C$15, $E$9, 100%, $G$9) + CHOOSE(CONTROL!$C$38, 0.0343, 0)</f>
        <v>28.2577</v>
      </c>
      <c r="D345" s="17">
        <f>28.2156 * CHOOSE(CONTROL!$C$15, $E$9, 100%, $G$9) + CHOOSE(CONTROL!$C$38, 0.0343, 0)</f>
        <v>28.249899999999997</v>
      </c>
      <c r="E345" s="17">
        <f>28.2156 * CHOOSE(CONTROL!$C$15, $E$9, 100%, $G$9) + CHOOSE(CONTROL!$C$38, 0.0343, 0)</f>
        <v>28.249899999999997</v>
      </c>
      <c r="F345" s="46">
        <f>30.8272 * CHOOSE(CONTROL!$C$15, $E$9, 100%, $G$9) + CHOOSE(CONTROL!$C$38, 0.0342, 0)</f>
        <v>30.8614</v>
      </c>
      <c r="G345" s="17">
        <f>28.2218 * CHOOSE(CONTROL!$C$15, $E$9, 100%, $G$9) + CHOOSE(CONTROL!$C$38, 0.0343, 0)</f>
        <v>28.256100000000004</v>
      </c>
      <c r="H345" s="17">
        <f>28.2218 * CHOOSE(CONTROL!$C$15, $E$9, 100%, $G$9) + CHOOSE(CONTROL!$C$38, 0.0343, 0)</f>
        <v>28.256100000000004</v>
      </c>
      <c r="I345" s="17">
        <f>28.2234 * CHOOSE(CONTROL!$C$15, $E$9, 100%, $G$9) + CHOOSE(CONTROL!$C$38, 0.0343, 0)</f>
        <v>28.2577</v>
      </c>
      <c r="J345" s="45">
        <f>203.9101</f>
        <v>203.9101</v>
      </c>
    </row>
    <row r="346" spans="1:10" ht="15.75" x14ac:dyDescent="0.25">
      <c r="A346" s="14">
        <v>51470</v>
      </c>
      <c r="B346" s="17">
        <f>31.1289 * CHOOSE(CONTROL!$C$15, $E$9, 100%, $G$9) + CHOOSE(CONTROL!$C$38, 0.0342, 0)</f>
        <v>31.1631</v>
      </c>
      <c r="C346" s="17">
        <f>28.5251 * CHOOSE(CONTROL!$C$15, $E$9, 100%, $G$9) + CHOOSE(CONTROL!$C$38, 0.0343, 0)</f>
        <v>28.559399999999997</v>
      </c>
      <c r="D346" s="17">
        <f>28.5173 * CHOOSE(CONTROL!$C$15, $E$9, 100%, $G$9) + CHOOSE(CONTROL!$C$38, 0.0343, 0)</f>
        <v>28.551600000000001</v>
      </c>
      <c r="E346" s="17">
        <f>28.5173 * CHOOSE(CONTROL!$C$15, $E$9, 100%, $G$9) + CHOOSE(CONTROL!$C$38, 0.0343, 0)</f>
        <v>28.551600000000001</v>
      </c>
      <c r="F346" s="46">
        <f>31.1289 * CHOOSE(CONTROL!$C$15, $E$9, 100%, $G$9) + CHOOSE(CONTROL!$C$38, 0.0342, 0)</f>
        <v>31.1631</v>
      </c>
      <c r="G346" s="17">
        <f>28.5235 * CHOOSE(CONTROL!$C$15, $E$9, 100%, $G$9) + CHOOSE(CONTROL!$C$38, 0.0343, 0)</f>
        <v>28.5578</v>
      </c>
      <c r="H346" s="17">
        <f>28.5235 * CHOOSE(CONTROL!$C$15, $E$9, 100%, $G$9) + CHOOSE(CONTROL!$C$38, 0.0343, 0)</f>
        <v>28.5578</v>
      </c>
      <c r="I346" s="17">
        <f>28.5251 * CHOOSE(CONTROL!$C$15, $E$9, 100%, $G$9) + CHOOSE(CONTROL!$C$38, 0.0343, 0)</f>
        <v>28.559399999999997</v>
      </c>
      <c r="J346" s="45">
        <f>202.4572</f>
        <v>202.4572</v>
      </c>
    </row>
    <row r="347" spans="1:10" ht="15.75" x14ac:dyDescent="0.25">
      <c r="A347" s="14">
        <v>51501</v>
      </c>
      <c r="B347" s="17">
        <f>32.0585 * CHOOSE(CONTROL!$C$15, $E$9, 100%, $G$9) + CHOOSE(CONTROL!$C$38, 0.0342, 0)</f>
        <v>32.092700000000001</v>
      </c>
      <c r="C347" s="17">
        <f>29.5996 * CHOOSE(CONTROL!$C$15, $E$9, 100%, $G$9) + CHOOSE(CONTROL!$C$38, 0.0343, 0)</f>
        <v>29.633899999999997</v>
      </c>
      <c r="D347" s="17">
        <f>29.5918 * CHOOSE(CONTROL!$C$15, $E$9, 100%, $G$9) + CHOOSE(CONTROL!$C$38, 0.0343, 0)</f>
        <v>29.626100000000001</v>
      </c>
      <c r="E347" s="17">
        <f>29.5918 * CHOOSE(CONTROL!$C$15, $E$9, 100%, $G$9) + CHOOSE(CONTROL!$C$38, 0.0343, 0)</f>
        <v>29.626100000000001</v>
      </c>
      <c r="F347" s="46">
        <f>32.0585 * CHOOSE(CONTROL!$C$15, $E$9, 100%, $G$9) + CHOOSE(CONTROL!$C$38, 0.0342, 0)</f>
        <v>32.092700000000001</v>
      </c>
      <c r="G347" s="17">
        <f>29.598 * CHOOSE(CONTROL!$C$15, $E$9, 100%, $G$9) + CHOOSE(CONTROL!$C$38, 0.0343, 0)</f>
        <v>29.632300000000001</v>
      </c>
      <c r="H347" s="17">
        <f>29.598 * CHOOSE(CONTROL!$C$15, $E$9, 100%, $G$9) + CHOOSE(CONTROL!$C$38, 0.0343, 0)</f>
        <v>29.632300000000001</v>
      </c>
      <c r="I347" s="17">
        <f>29.5996 * CHOOSE(CONTROL!$C$15, $E$9, 100%, $G$9) + CHOOSE(CONTROL!$C$38, 0.0343, 0)</f>
        <v>29.633899999999997</v>
      </c>
      <c r="J347" s="45">
        <f>196.4493</f>
        <v>196.44929999999999</v>
      </c>
    </row>
    <row r="348" spans="1:10" ht="15.75" x14ac:dyDescent="0.25">
      <c r="A348" s="14">
        <v>51532</v>
      </c>
      <c r="B348" s="17">
        <f>33.3062 * CHOOSE(CONTROL!$C$15, $E$9, 100%, $G$9) + CHOOSE(CONTROL!$C$38, 0.0342, 0)</f>
        <v>33.340399999999995</v>
      </c>
      <c r="C348" s="17">
        <f>30.6613 * CHOOSE(CONTROL!$C$15, $E$9, 100%, $G$9) + CHOOSE(CONTROL!$C$38, 0.0343, 0)</f>
        <v>30.695599999999999</v>
      </c>
      <c r="D348" s="17">
        <f>30.6535 * CHOOSE(CONTROL!$C$15, $E$9, 100%, $G$9) + CHOOSE(CONTROL!$C$38, 0.0343, 0)</f>
        <v>30.687800000000003</v>
      </c>
      <c r="E348" s="17">
        <f>30.6535 * CHOOSE(CONTROL!$C$15, $E$9, 100%, $G$9) + CHOOSE(CONTROL!$C$38, 0.0343, 0)</f>
        <v>30.687800000000003</v>
      </c>
      <c r="F348" s="46">
        <f>33.3062 * CHOOSE(CONTROL!$C$15, $E$9, 100%, $G$9) + CHOOSE(CONTROL!$C$38, 0.0342, 0)</f>
        <v>33.340399999999995</v>
      </c>
      <c r="G348" s="17">
        <f>30.6598 * CHOOSE(CONTROL!$C$15, $E$9, 100%, $G$9) + CHOOSE(CONTROL!$C$38, 0.0343, 0)</f>
        <v>30.694099999999999</v>
      </c>
      <c r="H348" s="17">
        <f>30.6598 * CHOOSE(CONTROL!$C$15, $E$9, 100%, $G$9) + CHOOSE(CONTROL!$C$38, 0.0343, 0)</f>
        <v>30.694099999999999</v>
      </c>
      <c r="I348" s="17">
        <f>30.6613 * CHOOSE(CONTROL!$C$15, $E$9, 100%, $G$9) + CHOOSE(CONTROL!$C$38, 0.0343, 0)</f>
        <v>30.695599999999999</v>
      </c>
      <c r="J348" s="45">
        <f>196.3075</f>
        <v>196.3075</v>
      </c>
    </row>
    <row r="349" spans="1:10" ht="15.75" x14ac:dyDescent="0.25">
      <c r="A349" s="14">
        <v>51560</v>
      </c>
      <c r="B349" s="17">
        <f>33.6505 * CHOOSE(CONTROL!$C$15, $E$9, 100%, $G$9) + CHOOSE(CONTROL!$C$38, 0.0342, 0)</f>
        <v>33.684699999999999</v>
      </c>
      <c r="C349" s="17">
        <f>31.0056 * CHOOSE(CONTROL!$C$15, $E$9, 100%, $G$9) + CHOOSE(CONTROL!$C$38, 0.0343, 0)</f>
        <v>31.039900000000003</v>
      </c>
      <c r="D349" s="17">
        <f>30.9978 * CHOOSE(CONTROL!$C$15, $E$9, 100%, $G$9) + CHOOSE(CONTROL!$C$38, 0.0343, 0)</f>
        <v>31.0321</v>
      </c>
      <c r="E349" s="17">
        <f>30.9978 * CHOOSE(CONTROL!$C$15, $E$9, 100%, $G$9) + CHOOSE(CONTROL!$C$38, 0.0343, 0)</f>
        <v>31.0321</v>
      </c>
      <c r="F349" s="46">
        <f>33.6505 * CHOOSE(CONTROL!$C$15, $E$9, 100%, $G$9) + CHOOSE(CONTROL!$C$38, 0.0342, 0)</f>
        <v>33.684699999999999</v>
      </c>
      <c r="G349" s="17">
        <f>31.0041 * CHOOSE(CONTROL!$C$15, $E$9, 100%, $G$9) + CHOOSE(CONTROL!$C$38, 0.0343, 0)</f>
        <v>31.038400000000003</v>
      </c>
      <c r="H349" s="17">
        <f>31.0041 * CHOOSE(CONTROL!$C$15, $E$9, 100%, $G$9) + CHOOSE(CONTROL!$C$38, 0.0343, 0)</f>
        <v>31.038400000000003</v>
      </c>
      <c r="I349" s="17">
        <f>31.0056 * CHOOSE(CONTROL!$C$15, $E$9, 100%, $G$9) + CHOOSE(CONTROL!$C$38, 0.0343, 0)</f>
        <v>31.039900000000003</v>
      </c>
      <c r="J349" s="45">
        <f>195.7618</f>
        <v>195.76179999999999</v>
      </c>
    </row>
    <row r="350" spans="1:10" ht="15.75" x14ac:dyDescent="0.25">
      <c r="A350" s="14">
        <v>51591</v>
      </c>
      <c r="B350" s="17">
        <f>32.8535 * CHOOSE(CONTROL!$C$15, $E$9, 100%, $G$9) + CHOOSE(CONTROL!$C$38, 0.0342, 0)</f>
        <v>32.887699999999995</v>
      </c>
      <c r="C350" s="17">
        <f>30.2086 * CHOOSE(CONTROL!$C$15, $E$9, 100%, $G$9) + CHOOSE(CONTROL!$C$38, 0.0343, 0)</f>
        <v>30.242899999999999</v>
      </c>
      <c r="D350" s="17">
        <f>30.2008 * CHOOSE(CONTROL!$C$15, $E$9, 100%, $G$9) + CHOOSE(CONTROL!$C$38, 0.0343, 0)</f>
        <v>30.235100000000003</v>
      </c>
      <c r="E350" s="17">
        <f>30.2008 * CHOOSE(CONTROL!$C$15, $E$9, 100%, $G$9) + CHOOSE(CONTROL!$C$38, 0.0343, 0)</f>
        <v>30.235100000000003</v>
      </c>
      <c r="F350" s="46">
        <f>32.8535 * CHOOSE(CONTROL!$C$15, $E$9, 100%, $G$9) + CHOOSE(CONTROL!$C$38, 0.0342, 0)</f>
        <v>32.887699999999995</v>
      </c>
      <c r="G350" s="17">
        <f>30.207 * CHOOSE(CONTROL!$C$15, $E$9, 100%, $G$9) + CHOOSE(CONTROL!$C$38, 0.0343, 0)</f>
        <v>30.241300000000003</v>
      </c>
      <c r="H350" s="17">
        <f>30.207 * CHOOSE(CONTROL!$C$15, $E$9, 100%, $G$9) + CHOOSE(CONTROL!$C$38, 0.0343, 0)</f>
        <v>30.241300000000003</v>
      </c>
      <c r="I350" s="17">
        <f>30.2086 * CHOOSE(CONTROL!$C$15, $E$9, 100%, $G$9) + CHOOSE(CONTROL!$C$38, 0.0343, 0)</f>
        <v>30.242899999999999</v>
      </c>
      <c r="J350" s="45">
        <f>206.0796</f>
        <v>206.0796</v>
      </c>
    </row>
    <row r="351" spans="1:10" ht="15.75" x14ac:dyDescent="0.25">
      <c r="A351" s="14">
        <v>51621</v>
      </c>
      <c r="B351" s="17">
        <f>32.0812 * CHOOSE(CONTROL!$C$15, $E$9, 100%, $G$9) + CHOOSE(CONTROL!$C$38, 0.0342, 0)</f>
        <v>32.115400000000001</v>
      </c>
      <c r="C351" s="17">
        <f>29.4363 * CHOOSE(CONTROL!$C$15, $E$9, 100%, $G$9) + CHOOSE(CONTROL!$C$38, 0.0343, 0)</f>
        <v>29.470599999999997</v>
      </c>
      <c r="D351" s="17">
        <f>29.4285 * CHOOSE(CONTROL!$C$15, $E$9, 100%, $G$9) + CHOOSE(CONTROL!$C$38, 0.0343, 0)</f>
        <v>29.462800000000001</v>
      </c>
      <c r="E351" s="17">
        <f>29.4285 * CHOOSE(CONTROL!$C$15, $E$9, 100%, $G$9) + CHOOSE(CONTROL!$C$38, 0.0343, 0)</f>
        <v>29.462800000000001</v>
      </c>
      <c r="F351" s="46">
        <f>32.0812 * CHOOSE(CONTROL!$C$15, $E$9, 100%, $G$9) + CHOOSE(CONTROL!$C$38, 0.0342, 0)</f>
        <v>32.115400000000001</v>
      </c>
      <c r="G351" s="17">
        <f>29.4347 * CHOOSE(CONTROL!$C$15, $E$9, 100%, $G$9) + CHOOSE(CONTROL!$C$38, 0.0343, 0)</f>
        <v>29.469000000000001</v>
      </c>
      <c r="H351" s="17">
        <f>29.4347 * CHOOSE(CONTROL!$C$15, $E$9, 100%, $G$9) + CHOOSE(CONTROL!$C$38, 0.0343, 0)</f>
        <v>29.469000000000001</v>
      </c>
      <c r="I351" s="17">
        <f>29.4363 * CHOOSE(CONTROL!$C$15, $E$9, 100%, $G$9) + CHOOSE(CONTROL!$C$38, 0.0343, 0)</f>
        <v>29.470599999999997</v>
      </c>
      <c r="J351" s="45">
        <f>219.4593</f>
        <v>219.45930000000001</v>
      </c>
    </row>
    <row r="352" spans="1:10" ht="15.75" x14ac:dyDescent="0.25">
      <c r="A352" s="14">
        <v>51652</v>
      </c>
      <c r="B352" s="17">
        <f>31.2762 * CHOOSE(CONTROL!$C$15, $E$9, 100%, $G$9) + CHOOSE(CONTROL!$C$38, 0.0355, 0)</f>
        <v>31.311699999999998</v>
      </c>
      <c r="C352" s="17">
        <f>28.6313 * CHOOSE(CONTROL!$C$15, $E$9, 100%, $G$9) + CHOOSE(CONTROL!$C$38, 0.0356, 0)</f>
        <v>28.666899999999998</v>
      </c>
      <c r="D352" s="17">
        <f>28.6235 * CHOOSE(CONTROL!$C$15, $E$9, 100%, $G$9) + CHOOSE(CONTROL!$C$38, 0.0356, 0)</f>
        <v>28.659099999999999</v>
      </c>
      <c r="E352" s="17">
        <f>28.6235 * CHOOSE(CONTROL!$C$15, $E$9, 100%, $G$9) + CHOOSE(CONTROL!$C$38, 0.0356, 0)</f>
        <v>28.659099999999999</v>
      </c>
      <c r="F352" s="46">
        <f>31.2762 * CHOOSE(CONTROL!$C$15, $E$9, 100%, $G$9) + CHOOSE(CONTROL!$C$38, 0.0355, 0)</f>
        <v>31.311699999999998</v>
      </c>
      <c r="G352" s="17">
        <f>28.6298 * CHOOSE(CONTROL!$C$15, $E$9, 100%, $G$9) + CHOOSE(CONTROL!$C$38, 0.0356, 0)</f>
        <v>28.665399999999998</v>
      </c>
      <c r="H352" s="17">
        <f>28.6298 * CHOOSE(CONTROL!$C$15, $E$9, 100%, $G$9) + CHOOSE(CONTROL!$C$38, 0.0356, 0)</f>
        <v>28.665399999999998</v>
      </c>
      <c r="I352" s="17">
        <f>28.6313 * CHOOSE(CONTROL!$C$15, $E$9, 100%, $G$9) + CHOOSE(CONTROL!$C$38, 0.0356, 0)</f>
        <v>28.666899999999998</v>
      </c>
      <c r="J352" s="45">
        <f>226.8239</f>
        <v>226.82390000000001</v>
      </c>
    </row>
    <row r="353" spans="1:10" ht="15.75" x14ac:dyDescent="0.25">
      <c r="A353" s="14">
        <v>51682</v>
      </c>
      <c r="B353" s="17">
        <f>30.7119 * CHOOSE(CONTROL!$C$15, $E$9, 100%, $G$9) + CHOOSE(CONTROL!$C$38, 0.0355, 0)</f>
        <v>30.747399999999999</v>
      </c>
      <c r="C353" s="17">
        <f>28.067 * CHOOSE(CONTROL!$C$15, $E$9, 100%, $G$9) + CHOOSE(CONTROL!$C$38, 0.0356, 0)</f>
        <v>28.102599999999999</v>
      </c>
      <c r="D353" s="17">
        <f>28.0592 * CHOOSE(CONTROL!$C$15, $E$9, 100%, $G$9) + CHOOSE(CONTROL!$C$38, 0.0356, 0)</f>
        <v>28.094799999999999</v>
      </c>
      <c r="E353" s="17">
        <f>28.0592 * CHOOSE(CONTROL!$C$15, $E$9, 100%, $G$9) + CHOOSE(CONTROL!$C$38, 0.0356, 0)</f>
        <v>28.094799999999999</v>
      </c>
      <c r="F353" s="46">
        <f>30.7119 * CHOOSE(CONTROL!$C$15, $E$9, 100%, $G$9) + CHOOSE(CONTROL!$C$38, 0.0355, 0)</f>
        <v>30.747399999999999</v>
      </c>
      <c r="G353" s="17">
        <f>28.0654 * CHOOSE(CONTROL!$C$15, $E$9, 100%, $G$9) + CHOOSE(CONTROL!$C$38, 0.0356, 0)</f>
        <v>28.100999999999999</v>
      </c>
      <c r="H353" s="17">
        <f>28.0654 * CHOOSE(CONTROL!$C$15, $E$9, 100%, $G$9) + CHOOSE(CONTROL!$C$38, 0.0356, 0)</f>
        <v>28.100999999999999</v>
      </c>
      <c r="I353" s="17">
        <f>28.067 * CHOOSE(CONTROL!$C$15, $E$9, 100%, $G$9) + CHOOSE(CONTROL!$C$38, 0.0356, 0)</f>
        <v>28.102599999999999</v>
      </c>
      <c r="J353" s="45">
        <f>230.0922</f>
        <v>230.09219999999999</v>
      </c>
    </row>
    <row r="354" spans="1:10" ht="15.75" x14ac:dyDescent="0.25">
      <c r="A354" s="14">
        <v>51713</v>
      </c>
      <c r="B354" s="17">
        <f>30.3898 * CHOOSE(CONTROL!$C$15, $E$9, 100%, $G$9) + CHOOSE(CONTROL!$C$38, 0.0355, 0)</f>
        <v>30.4253</v>
      </c>
      <c r="C354" s="17">
        <f>27.7449 * CHOOSE(CONTROL!$C$15, $E$9, 100%, $G$9) + CHOOSE(CONTROL!$C$38, 0.0356, 0)</f>
        <v>27.7805</v>
      </c>
      <c r="D354" s="17">
        <f>27.7371 * CHOOSE(CONTROL!$C$15, $E$9, 100%, $G$9) + CHOOSE(CONTROL!$C$38, 0.0356, 0)</f>
        <v>27.7727</v>
      </c>
      <c r="E354" s="17">
        <f>27.7371 * CHOOSE(CONTROL!$C$15, $E$9, 100%, $G$9) + CHOOSE(CONTROL!$C$38, 0.0356, 0)</f>
        <v>27.7727</v>
      </c>
      <c r="F354" s="46">
        <f>30.3898 * CHOOSE(CONTROL!$C$15, $E$9, 100%, $G$9) + CHOOSE(CONTROL!$C$38, 0.0355, 0)</f>
        <v>30.4253</v>
      </c>
      <c r="G354" s="17">
        <f>27.7434 * CHOOSE(CONTROL!$C$15, $E$9, 100%, $G$9) + CHOOSE(CONTROL!$C$38, 0.0356, 0)</f>
        <v>27.779</v>
      </c>
      <c r="H354" s="17">
        <f>27.7434 * CHOOSE(CONTROL!$C$15, $E$9, 100%, $G$9) + CHOOSE(CONTROL!$C$38, 0.0356, 0)</f>
        <v>27.779</v>
      </c>
      <c r="I354" s="17">
        <f>27.7449 * CHOOSE(CONTROL!$C$15, $E$9, 100%, $G$9) + CHOOSE(CONTROL!$C$38, 0.0356, 0)</f>
        <v>27.7805</v>
      </c>
      <c r="J354" s="45">
        <f>229.0161</f>
        <v>229.01609999999999</v>
      </c>
    </row>
    <row r="355" spans="1:10" ht="15.75" x14ac:dyDescent="0.25">
      <c r="A355" s="14">
        <v>51744</v>
      </c>
      <c r="B355" s="17">
        <f>30.5488 * CHOOSE(CONTROL!$C$15, $E$9, 100%, $G$9) + CHOOSE(CONTROL!$C$38, 0.0355, 0)</f>
        <v>30.584299999999999</v>
      </c>
      <c r="C355" s="17">
        <f>27.9039 * CHOOSE(CONTROL!$C$15, $E$9, 100%, $G$9) + CHOOSE(CONTROL!$C$38, 0.0356, 0)</f>
        <v>27.939499999999999</v>
      </c>
      <c r="D355" s="17">
        <f>27.8961 * CHOOSE(CONTROL!$C$15, $E$9, 100%, $G$9) + CHOOSE(CONTROL!$C$38, 0.0356, 0)</f>
        <v>27.931699999999999</v>
      </c>
      <c r="E355" s="17">
        <f>27.8961 * CHOOSE(CONTROL!$C$15, $E$9, 100%, $G$9) + CHOOSE(CONTROL!$C$38, 0.0356, 0)</f>
        <v>27.931699999999999</v>
      </c>
      <c r="F355" s="46">
        <f>30.5488 * CHOOSE(CONTROL!$C$15, $E$9, 100%, $G$9) + CHOOSE(CONTROL!$C$38, 0.0355, 0)</f>
        <v>30.584299999999999</v>
      </c>
      <c r="G355" s="17">
        <f>27.9023 * CHOOSE(CONTROL!$C$15, $E$9, 100%, $G$9) + CHOOSE(CONTROL!$C$38, 0.0356, 0)</f>
        <v>27.937899999999999</v>
      </c>
      <c r="H355" s="17">
        <f>27.9023 * CHOOSE(CONTROL!$C$15, $E$9, 100%, $G$9) + CHOOSE(CONTROL!$C$38, 0.0356, 0)</f>
        <v>27.937899999999999</v>
      </c>
      <c r="I355" s="17">
        <f>27.9039 * CHOOSE(CONTROL!$C$15, $E$9, 100%, $G$9) + CHOOSE(CONTROL!$C$38, 0.0356, 0)</f>
        <v>27.939499999999999</v>
      </c>
      <c r="J355" s="45">
        <f>223.6847</f>
        <v>223.68469999999999</v>
      </c>
    </row>
    <row r="356" spans="1:10" ht="15.75" x14ac:dyDescent="0.25">
      <c r="A356" s="14">
        <v>51774</v>
      </c>
      <c r="B356" s="17">
        <f>30.9805 * CHOOSE(CONTROL!$C$15, $E$9, 100%, $G$9) + CHOOSE(CONTROL!$C$38, 0.0355, 0)</f>
        <v>31.015999999999998</v>
      </c>
      <c r="C356" s="17">
        <f>28.3356 * CHOOSE(CONTROL!$C$15, $E$9, 100%, $G$9) + CHOOSE(CONTROL!$C$38, 0.0356, 0)</f>
        <v>28.371199999999998</v>
      </c>
      <c r="D356" s="17">
        <f>28.3278 * CHOOSE(CONTROL!$C$15, $E$9, 100%, $G$9) + CHOOSE(CONTROL!$C$38, 0.0356, 0)</f>
        <v>28.363399999999999</v>
      </c>
      <c r="E356" s="17">
        <f>28.3278 * CHOOSE(CONTROL!$C$15, $E$9, 100%, $G$9) + CHOOSE(CONTROL!$C$38, 0.0356, 0)</f>
        <v>28.363399999999999</v>
      </c>
      <c r="F356" s="46">
        <f>30.9805 * CHOOSE(CONTROL!$C$15, $E$9, 100%, $G$9) + CHOOSE(CONTROL!$C$38, 0.0355, 0)</f>
        <v>31.015999999999998</v>
      </c>
      <c r="G356" s="17">
        <f>28.334 * CHOOSE(CONTROL!$C$15, $E$9, 100%, $G$9) + CHOOSE(CONTROL!$C$38, 0.0356, 0)</f>
        <v>28.369599999999998</v>
      </c>
      <c r="H356" s="17">
        <f>28.334 * CHOOSE(CONTROL!$C$15, $E$9, 100%, $G$9) + CHOOSE(CONTROL!$C$38, 0.0356, 0)</f>
        <v>28.369599999999998</v>
      </c>
      <c r="I356" s="17">
        <f>28.3356 * CHOOSE(CONTROL!$C$15, $E$9, 100%, $G$9) + CHOOSE(CONTROL!$C$38, 0.0356, 0)</f>
        <v>28.371199999999998</v>
      </c>
      <c r="J356" s="45">
        <f>216.2498</f>
        <v>216.24979999999999</v>
      </c>
    </row>
    <row r="357" spans="1:10" ht="15.75" x14ac:dyDescent="0.25">
      <c r="A357" s="14">
        <v>51805</v>
      </c>
      <c r="B357" s="17">
        <f>31.342 * CHOOSE(CONTROL!$C$15, $E$9, 100%, $G$9) + CHOOSE(CONTROL!$C$38, 0.0342, 0)</f>
        <v>31.376199999999997</v>
      </c>
      <c r="C357" s="17">
        <f>28.6972 * CHOOSE(CONTROL!$C$15, $E$9, 100%, $G$9) + CHOOSE(CONTROL!$C$38, 0.0343, 0)</f>
        <v>28.731499999999997</v>
      </c>
      <c r="D357" s="17">
        <f>28.6893 * CHOOSE(CONTROL!$C$15, $E$9, 100%, $G$9) + CHOOSE(CONTROL!$C$38, 0.0343, 0)</f>
        <v>28.723599999999998</v>
      </c>
      <c r="E357" s="17">
        <f>28.6893 * CHOOSE(CONTROL!$C$15, $E$9, 100%, $G$9) + CHOOSE(CONTROL!$C$38, 0.0343, 0)</f>
        <v>28.723599999999998</v>
      </c>
      <c r="F357" s="46">
        <f>31.342 * CHOOSE(CONTROL!$C$15, $E$9, 100%, $G$9) + CHOOSE(CONTROL!$C$38, 0.0342, 0)</f>
        <v>31.376199999999997</v>
      </c>
      <c r="G357" s="17">
        <f>28.6956 * CHOOSE(CONTROL!$C$15, $E$9, 100%, $G$9) + CHOOSE(CONTROL!$C$38, 0.0343, 0)</f>
        <v>28.729900000000001</v>
      </c>
      <c r="H357" s="17">
        <f>28.6956 * CHOOSE(CONTROL!$C$15, $E$9, 100%, $G$9) + CHOOSE(CONTROL!$C$38, 0.0343, 0)</f>
        <v>28.729900000000001</v>
      </c>
      <c r="I357" s="17">
        <f>28.6972 * CHOOSE(CONTROL!$C$15, $E$9, 100%, $G$9) + CHOOSE(CONTROL!$C$38, 0.0343, 0)</f>
        <v>28.731499999999997</v>
      </c>
      <c r="J357" s="45">
        <f>208.7717</f>
        <v>208.77170000000001</v>
      </c>
    </row>
    <row r="358" spans="1:10" ht="15.75" x14ac:dyDescent="0.25">
      <c r="A358" s="14">
        <v>51835</v>
      </c>
      <c r="B358" s="17">
        <f>31.6437 * CHOOSE(CONTROL!$C$15, $E$9, 100%, $G$9) + CHOOSE(CONTROL!$C$38, 0.0342, 0)</f>
        <v>31.677899999999998</v>
      </c>
      <c r="C358" s="17">
        <f>28.9989 * CHOOSE(CONTROL!$C$15, $E$9, 100%, $G$9) + CHOOSE(CONTROL!$C$38, 0.0343, 0)</f>
        <v>29.033200000000001</v>
      </c>
      <c r="D358" s="17">
        <f>28.991 * CHOOSE(CONTROL!$C$15, $E$9, 100%, $G$9) + CHOOSE(CONTROL!$C$38, 0.0343, 0)</f>
        <v>29.025300000000001</v>
      </c>
      <c r="E358" s="17">
        <f>28.991 * CHOOSE(CONTROL!$C$15, $E$9, 100%, $G$9) + CHOOSE(CONTROL!$C$38, 0.0343, 0)</f>
        <v>29.025300000000001</v>
      </c>
      <c r="F358" s="46">
        <f>31.6437 * CHOOSE(CONTROL!$C$15, $E$9, 100%, $G$9) + CHOOSE(CONTROL!$C$38, 0.0342, 0)</f>
        <v>31.677899999999998</v>
      </c>
      <c r="G358" s="17">
        <f>28.9973 * CHOOSE(CONTROL!$C$15, $E$9, 100%, $G$9) + CHOOSE(CONTROL!$C$38, 0.0343, 0)</f>
        <v>29.031599999999997</v>
      </c>
      <c r="H358" s="17">
        <f>28.9973 * CHOOSE(CONTROL!$C$15, $E$9, 100%, $G$9) + CHOOSE(CONTROL!$C$38, 0.0343, 0)</f>
        <v>29.031599999999997</v>
      </c>
      <c r="I358" s="17">
        <f>28.9989 * CHOOSE(CONTROL!$C$15, $E$9, 100%, $G$9) + CHOOSE(CONTROL!$C$38, 0.0343, 0)</f>
        <v>29.033200000000001</v>
      </c>
      <c r="J358" s="45">
        <f>207.2841</f>
        <v>207.2841</v>
      </c>
    </row>
    <row r="359" spans="1:10" ht="15.75" x14ac:dyDescent="0.25">
      <c r="A359" s="14">
        <v>51866</v>
      </c>
      <c r="B359" s="17">
        <f>32.5734 * CHOOSE(CONTROL!$C$15, $E$9, 100%, $G$9) + CHOOSE(CONTROL!$C$38, 0.0342, 0)</f>
        <v>32.607599999999998</v>
      </c>
      <c r="C359" s="17">
        <f>29.9285 * CHOOSE(CONTROL!$C$15, $E$9, 100%, $G$9) + CHOOSE(CONTROL!$C$38, 0.0343, 0)</f>
        <v>29.962800000000001</v>
      </c>
      <c r="D359" s="17">
        <f>29.9207 * CHOOSE(CONTROL!$C$15, $E$9, 100%, $G$9) + CHOOSE(CONTROL!$C$38, 0.0343, 0)</f>
        <v>29.954999999999998</v>
      </c>
      <c r="E359" s="17">
        <f>29.9207 * CHOOSE(CONTROL!$C$15, $E$9, 100%, $G$9) + CHOOSE(CONTROL!$C$38, 0.0343, 0)</f>
        <v>29.954999999999998</v>
      </c>
      <c r="F359" s="46">
        <f>32.5734 * CHOOSE(CONTROL!$C$15, $E$9, 100%, $G$9) + CHOOSE(CONTROL!$C$38, 0.0342, 0)</f>
        <v>32.607599999999998</v>
      </c>
      <c r="G359" s="17">
        <f>29.927 * CHOOSE(CONTROL!$C$15, $E$9, 100%, $G$9) + CHOOSE(CONTROL!$C$38, 0.0343, 0)</f>
        <v>29.961300000000001</v>
      </c>
      <c r="H359" s="17">
        <f>29.927 * CHOOSE(CONTROL!$C$15, $E$9, 100%, $G$9) + CHOOSE(CONTROL!$C$38, 0.0343, 0)</f>
        <v>29.961300000000001</v>
      </c>
      <c r="I359" s="17">
        <f>29.9285 * CHOOSE(CONTROL!$C$15, $E$9, 100%, $G$9) + CHOOSE(CONTROL!$C$38, 0.0343, 0)</f>
        <v>29.962800000000001</v>
      </c>
      <c r="J359" s="45">
        <f>201.1329</f>
        <v>201.13290000000001</v>
      </c>
    </row>
    <row r="360" spans="1:10" ht="15.75" x14ac:dyDescent="0.25">
      <c r="A360" s="14">
        <v>51897</v>
      </c>
      <c r="B360" s="17">
        <f>33.8297 * CHOOSE(CONTROL!$C$15, $E$9, 100%, $G$9) + CHOOSE(CONTROL!$C$38, 0.0342, 0)</f>
        <v>33.863900000000001</v>
      </c>
      <c r="C360" s="17">
        <f>31.2927 * CHOOSE(CONTROL!$C$15, $E$9, 100%, $G$9) + CHOOSE(CONTROL!$C$38, 0.0343, 0)</f>
        <v>31.326999999999998</v>
      </c>
      <c r="D360" s="17">
        <f>31.2849 * CHOOSE(CONTROL!$C$15, $E$9, 100%, $G$9) + CHOOSE(CONTROL!$C$38, 0.0343, 0)</f>
        <v>31.319200000000002</v>
      </c>
      <c r="E360" s="17">
        <f>31.2849 * CHOOSE(CONTROL!$C$15, $E$9, 100%, $G$9) + CHOOSE(CONTROL!$C$38, 0.0343, 0)</f>
        <v>31.319200000000002</v>
      </c>
      <c r="F360" s="46">
        <f>33.8297 * CHOOSE(CONTROL!$C$15, $E$9, 100%, $G$9) + CHOOSE(CONTROL!$C$38, 0.0342, 0)</f>
        <v>33.863900000000001</v>
      </c>
      <c r="G360" s="17">
        <f>31.2912 * CHOOSE(CONTROL!$C$15, $E$9, 100%, $G$9) + CHOOSE(CONTROL!$C$38, 0.0343, 0)</f>
        <v>31.325499999999998</v>
      </c>
      <c r="H360" s="17">
        <f>31.2912 * CHOOSE(CONTROL!$C$15, $E$9, 100%, $G$9) + CHOOSE(CONTROL!$C$38, 0.0343, 0)</f>
        <v>31.325499999999998</v>
      </c>
      <c r="I360" s="17">
        <f>31.2927 * CHOOSE(CONTROL!$C$15, $E$9, 100%, $G$9) + CHOOSE(CONTROL!$C$38, 0.0343, 0)</f>
        <v>31.326999999999998</v>
      </c>
      <c r="J360" s="45">
        <f>200.9877</f>
        <v>200.98769999999999</v>
      </c>
    </row>
    <row r="361" spans="1:10" ht="15.75" x14ac:dyDescent="0.25">
      <c r="A361" s="14">
        <v>51925</v>
      </c>
      <c r="B361" s="17">
        <f>34.174 * CHOOSE(CONTROL!$C$15, $E$9, 100%, $G$9) + CHOOSE(CONTROL!$C$38, 0.0342, 0)</f>
        <v>34.208199999999998</v>
      </c>
      <c r="C361" s="17">
        <f>31.4874 * CHOOSE(CONTROL!$C$15, $E$9, 100%, $G$9) + CHOOSE(CONTROL!$C$38, 0.0343, 0)</f>
        <v>31.521700000000003</v>
      </c>
      <c r="D361" s="17">
        <f>31.4795 * CHOOSE(CONTROL!$C$15, $E$9, 100%, $G$9) + CHOOSE(CONTROL!$C$38, 0.0343, 0)</f>
        <v>31.513800000000003</v>
      </c>
      <c r="E361" s="17">
        <f>31.4795 * CHOOSE(CONTROL!$C$15, $E$9, 100%, $G$9) + CHOOSE(CONTROL!$C$38, 0.0343, 0)</f>
        <v>31.513800000000003</v>
      </c>
      <c r="F361" s="46">
        <f>34.174 * CHOOSE(CONTROL!$C$15, $E$9, 100%, $G$9) + CHOOSE(CONTROL!$C$38, 0.0342, 0)</f>
        <v>34.208199999999998</v>
      </c>
      <c r="G361" s="17">
        <f>31.4858 * CHOOSE(CONTROL!$C$15, $E$9, 100%, $G$9) + CHOOSE(CONTROL!$C$38, 0.0343, 0)</f>
        <v>31.520099999999999</v>
      </c>
      <c r="H361" s="17">
        <f>31.4858 * CHOOSE(CONTROL!$C$15, $E$9, 100%, $G$9) + CHOOSE(CONTROL!$C$38, 0.0343, 0)</f>
        <v>31.520099999999999</v>
      </c>
      <c r="I361" s="17">
        <f>31.4874 * CHOOSE(CONTROL!$C$15, $E$9, 100%, $G$9) + CHOOSE(CONTROL!$C$38, 0.0343, 0)</f>
        <v>31.521700000000003</v>
      </c>
      <c r="J361" s="45">
        <f>200.429</f>
        <v>200.429</v>
      </c>
    </row>
    <row r="362" spans="1:10" ht="15.75" x14ac:dyDescent="0.25">
      <c r="A362" s="14">
        <v>51956</v>
      </c>
      <c r="B362" s="17">
        <f>33.377 * CHOOSE(CONTROL!$C$15, $E$9, 100%, $G$9) + CHOOSE(CONTROL!$C$38, 0.0342, 0)</f>
        <v>33.411200000000001</v>
      </c>
      <c r="C362" s="17">
        <f>30.6903 * CHOOSE(CONTROL!$C$15, $E$9, 100%, $G$9) + CHOOSE(CONTROL!$C$38, 0.0343, 0)</f>
        <v>30.724600000000002</v>
      </c>
      <c r="D362" s="17">
        <f>30.6825 * CHOOSE(CONTROL!$C$15, $E$9, 100%, $G$9) + CHOOSE(CONTROL!$C$38, 0.0343, 0)</f>
        <v>30.716799999999999</v>
      </c>
      <c r="E362" s="17">
        <f>30.6825 * CHOOSE(CONTROL!$C$15, $E$9, 100%, $G$9) + CHOOSE(CONTROL!$C$38, 0.0343, 0)</f>
        <v>30.716799999999999</v>
      </c>
      <c r="F362" s="46">
        <f>33.377 * CHOOSE(CONTROL!$C$15, $E$9, 100%, $G$9) + CHOOSE(CONTROL!$C$38, 0.0342, 0)</f>
        <v>33.411200000000001</v>
      </c>
      <c r="G362" s="17">
        <f>30.6888 * CHOOSE(CONTROL!$C$15, $E$9, 100%, $G$9) + CHOOSE(CONTROL!$C$38, 0.0343, 0)</f>
        <v>30.723100000000002</v>
      </c>
      <c r="H362" s="17">
        <f>30.6888 * CHOOSE(CONTROL!$C$15, $E$9, 100%, $G$9) + CHOOSE(CONTROL!$C$38, 0.0343, 0)</f>
        <v>30.723100000000002</v>
      </c>
      <c r="I362" s="17">
        <f>30.6903 * CHOOSE(CONTROL!$C$15, $E$9, 100%, $G$9) + CHOOSE(CONTROL!$C$38, 0.0343, 0)</f>
        <v>30.724600000000002</v>
      </c>
      <c r="J362" s="45">
        <f>210.9928</f>
        <v>210.99279999999999</v>
      </c>
    </row>
    <row r="363" spans="1:10" ht="15.75" x14ac:dyDescent="0.25">
      <c r="A363" s="14">
        <v>51986</v>
      </c>
      <c r="B363" s="17">
        <f>32.6047 * CHOOSE(CONTROL!$C$15, $E$9, 100%, $G$9) + CHOOSE(CONTROL!$C$38, 0.0342, 0)</f>
        <v>32.6389</v>
      </c>
      <c r="C363" s="17">
        <f>29.918 * CHOOSE(CONTROL!$C$15, $E$9, 100%, $G$9) + CHOOSE(CONTROL!$C$38, 0.0343, 0)</f>
        <v>29.952300000000001</v>
      </c>
      <c r="D363" s="17">
        <f>29.9102 * CHOOSE(CONTROL!$C$15, $E$9, 100%, $G$9) + CHOOSE(CONTROL!$C$38, 0.0343, 0)</f>
        <v>29.944499999999998</v>
      </c>
      <c r="E363" s="17">
        <f>29.9102 * CHOOSE(CONTROL!$C$15, $E$9, 100%, $G$9) + CHOOSE(CONTROL!$C$38, 0.0343, 0)</f>
        <v>29.944499999999998</v>
      </c>
      <c r="F363" s="46">
        <f>32.6047 * CHOOSE(CONTROL!$C$15, $E$9, 100%, $G$9) + CHOOSE(CONTROL!$C$38, 0.0342, 0)</f>
        <v>32.6389</v>
      </c>
      <c r="G363" s="17">
        <f>29.9164 * CHOOSE(CONTROL!$C$15, $E$9, 100%, $G$9) + CHOOSE(CONTROL!$C$38, 0.0343, 0)</f>
        <v>29.950699999999998</v>
      </c>
      <c r="H363" s="17">
        <f>29.9164 * CHOOSE(CONTROL!$C$15, $E$9, 100%, $G$9) + CHOOSE(CONTROL!$C$38, 0.0343, 0)</f>
        <v>29.950699999999998</v>
      </c>
      <c r="I363" s="17">
        <f>29.918 * CHOOSE(CONTROL!$C$15, $E$9, 100%, $G$9) + CHOOSE(CONTROL!$C$38, 0.0343, 0)</f>
        <v>29.952300000000001</v>
      </c>
      <c r="J363" s="45">
        <f>224.6915</f>
        <v>224.69149999999999</v>
      </c>
    </row>
    <row r="364" spans="1:10" ht="15.75" x14ac:dyDescent="0.25">
      <c r="A364" s="14">
        <v>52017</v>
      </c>
      <c r="B364" s="17">
        <f>31.7997 * CHOOSE(CONTROL!$C$15, $E$9, 100%, $G$9) + CHOOSE(CONTROL!$C$38, 0.0355, 0)</f>
        <v>31.8352</v>
      </c>
      <c r="C364" s="17">
        <f>29.113 * CHOOSE(CONTROL!$C$15, $E$9, 100%, $G$9) + CHOOSE(CONTROL!$C$38, 0.0356, 0)</f>
        <v>29.148599999999998</v>
      </c>
      <c r="D364" s="17">
        <f>29.1052 * CHOOSE(CONTROL!$C$15, $E$9, 100%, $G$9) + CHOOSE(CONTROL!$C$38, 0.0356, 0)</f>
        <v>29.140799999999999</v>
      </c>
      <c r="E364" s="17">
        <f>29.1052 * CHOOSE(CONTROL!$C$15, $E$9, 100%, $G$9) + CHOOSE(CONTROL!$C$38, 0.0356, 0)</f>
        <v>29.140799999999999</v>
      </c>
      <c r="F364" s="46">
        <f>31.7997 * CHOOSE(CONTROL!$C$15, $E$9, 100%, $G$9) + CHOOSE(CONTROL!$C$38, 0.0355, 0)</f>
        <v>31.8352</v>
      </c>
      <c r="G364" s="17">
        <f>29.1115 * CHOOSE(CONTROL!$C$15, $E$9, 100%, $G$9) + CHOOSE(CONTROL!$C$38, 0.0356, 0)</f>
        <v>29.147099999999998</v>
      </c>
      <c r="H364" s="17">
        <f>29.1115 * CHOOSE(CONTROL!$C$15, $E$9, 100%, $G$9) + CHOOSE(CONTROL!$C$38, 0.0356, 0)</f>
        <v>29.147099999999998</v>
      </c>
      <c r="I364" s="17">
        <f>29.113 * CHOOSE(CONTROL!$C$15, $E$9, 100%, $G$9) + CHOOSE(CONTROL!$C$38, 0.0356, 0)</f>
        <v>29.148599999999998</v>
      </c>
      <c r="J364" s="45">
        <f>232.2317</f>
        <v>232.23169999999999</v>
      </c>
    </row>
    <row r="365" spans="1:10" ht="15.75" x14ac:dyDescent="0.25">
      <c r="A365" s="14">
        <v>52047</v>
      </c>
      <c r="B365" s="17">
        <f>31.2354 * CHOOSE(CONTROL!$C$15, $E$9, 100%, $G$9) + CHOOSE(CONTROL!$C$38, 0.0355, 0)</f>
        <v>31.270899999999997</v>
      </c>
      <c r="C365" s="17">
        <f>28.5487 * CHOOSE(CONTROL!$C$15, $E$9, 100%, $G$9) + CHOOSE(CONTROL!$C$38, 0.0356, 0)</f>
        <v>28.584299999999999</v>
      </c>
      <c r="D365" s="17">
        <f>28.5409 * CHOOSE(CONTROL!$C$15, $E$9, 100%, $G$9) + CHOOSE(CONTROL!$C$38, 0.0356, 0)</f>
        <v>28.576499999999999</v>
      </c>
      <c r="E365" s="17">
        <f>28.5409 * CHOOSE(CONTROL!$C$15, $E$9, 100%, $G$9) + CHOOSE(CONTROL!$C$38, 0.0356, 0)</f>
        <v>28.576499999999999</v>
      </c>
      <c r="F365" s="46">
        <f>31.2354 * CHOOSE(CONTROL!$C$15, $E$9, 100%, $G$9) + CHOOSE(CONTROL!$C$38, 0.0355, 0)</f>
        <v>31.270899999999997</v>
      </c>
      <c r="G365" s="17">
        <f>28.5471 * CHOOSE(CONTROL!$C$15, $E$9, 100%, $G$9) + CHOOSE(CONTROL!$C$38, 0.0356, 0)</f>
        <v>28.582699999999999</v>
      </c>
      <c r="H365" s="17">
        <f>28.5471 * CHOOSE(CONTROL!$C$15, $E$9, 100%, $G$9) + CHOOSE(CONTROL!$C$38, 0.0356, 0)</f>
        <v>28.582699999999999</v>
      </c>
      <c r="I365" s="17">
        <f>28.5487 * CHOOSE(CONTROL!$C$15, $E$9, 100%, $G$9) + CHOOSE(CONTROL!$C$38, 0.0356, 0)</f>
        <v>28.584299999999999</v>
      </c>
      <c r="J365" s="45">
        <f>235.5779</f>
        <v>235.5779</v>
      </c>
    </row>
    <row r="366" spans="1:10" ht="15.75" x14ac:dyDescent="0.25">
      <c r="A366" s="14">
        <v>52078</v>
      </c>
      <c r="B366" s="17">
        <f>30.9133 * CHOOSE(CONTROL!$C$15, $E$9, 100%, $G$9) + CHOOSE(CONTROL!$C$38, 0.0355, 0)</f>
        <v>30.948799999999999</v>
      </c>
      <c r="C366" s="17">
        <f>28.2267 * CHOOSE(CONTROL!$C$15, $E$9, 100%, $G$9) + CHOOSE(CONTROL!$C$38, 0.0356, 0)</f>
        <v>28.2623</v>
      </c>
      <c r="D366" s="17">
        <f>28.2188 * CHOOSE(CONTROL!$C$15, $E$9, 100%, $G$9) + CHOOSE(CONTROL!$C$38, 0.0356, 0)</f>
        <v>28.2544</v>
      </c>
      <c r="E366" s="17">
        <f>28.2188 * CHOOSE(CONTROL!$C$15, $E$9, 100%, $G$9) + CHOOSE(CONTROL!$C$38, 0.0356, 0)</f>
        <v>28.2544</v>
      </c>
      <c r="F366" s="46">
        <f>30.9133 * CHOOSE(CONTROL!$C$15, $E$9, 100%, $G$9) + CHOOSE(CONTROL!$C$38, 0.0355, 0)</f>
        <v>30.948799999999999</v>
      </c>
      <c r="G366" s="17">
        <f>28.2251 * CHOOSE(CONTROL!$C$15, $E$9, 100%, $G$9) + CHOOSE(CONTROL!$C$38, 0.0356, 0)</f>
        <v>28.2607</v>
      </c>
      <c r="H366" s="17">
        <f>28.2251 * CHOOSE(CONTROL!$C$15, $E$9, 100%, $G$9) + CHOOSE(CONTROL!$C$38, 0.0356, 0)</f>
        <v>28.2607</v>
      </c>
      <c r="I366" s="17">
        <f>28.2267 * CHOOSE(CONTROL!$C$15, $E$9, 100%, $G$9) + CHOOSE(CONTROL!$C$38, 0.0356, 0)</f>
        <v>28.2623</v>
      </c>
      <c r="J366" s="45">
        <f>234.4762</f>
        <v>234.47620000000001</v>
      </c>
    </row>
    <row r="367" spans="1:10" ht="15.75" x14ac:dyDescent="0.25">
      <c r="A367" s="14">
        <v>52109</v>
      </c>
      <c r="B367" s="17">
        <f>31.0723 * CHOOSE(CONTROL!$C$15, $E$9, 100%, $G$9) + CHOOSE(CONTROL!$C$38, 0.0355, 0)</f>
        <v>31.107799999999997</v>
      </c>
      <c r="C367" s="17">
        <f>28.3856 * CHOOSE(CONTROL!$C$15, $E$9, 100%, $G$9) + CHOOSE(CONTROL!$C$38, 0.0356, 0)</f>
        <v>28.421199999999999</v>
      </c>
      <c r="D367" s="17">
        <f>28.3778 * CHOOSE(CONTROL!$C$15, $E$9, 100%, $G$9) + CHOOSE(CONTROL!$C$38, 0.0356, 0)</f>
        <v>28.413399999999999</v>
      </c>
      <c r="E367" s="17">
        <f>28.3778 * CHOOSE(CONTROL!$C$15, $E$9, 100%, $G$9) + CHOOSE(CONTROL!$C$38, 0.0356, 0)</f>
        <v>28.413399999999999</v>
      </c>
      <c r="F367" s="46">
        <f>31.0723 * CHOOSE(CONTROL!$C$15, $E$9, 100%, $G$9) + CHOOSE(CONTROL!$C$38, 0.0355, 0)</f>
        <v>31.107799999999997</v>
      </c>
      <c r="G367" s="17">
        <f>28.384 * CHOOSE(CONTROL!$C$15, $E$9, 100%, $G$9) + CHOOSE(CONTROL!$C$38, 0.0356, 0)</f>
        <v>28.419599999999999</v>
      </c>
      <c r="H367" s="17">
        <f>28.384 * CHOOSE(CONTROL!$C$15, $E$9, 100%, $G$9) + CHOOSE(CONTROL!$C$38, 0.0356, 0)</f>
        <v>28.419599999999999</v>
      </c>
      <c r="I367" s="17">
        <f>28.3856 * CHOOSE(CONTROL!$C$15, $E$9, 100%, $G$9) + CHOOSE(CONTROL!$C$38, 0.0356, 0)</f>
        <v>28.421199999999999</v>
      </c>
      <c r="J367" s="45">
        <f>229.0177</f>
        <v>229.01769999999999</v>
      </c>
    </row>
    <row r="368" spans="1:10" ht="15.75" x14ac:dyDescent="0.25">
      <c r="A368" s="14">
        <v>52139</v>
      </c>
      <c r="B368" s="17">
        <f>31.504 * CHOOSE(CONTROL!$C$15, $E$9, 100%, $G$9) + CHOOSE(CONTROL!$C$38, 0.0355, 0)</f>
        <v>31.5395</v>
      </c>
      <c r="C368" s="17">
        <f>28.8173 * CHOOSE(CONTROL!$C$15, $E$9, 100%, $G$9) + CHOOSE(CONTROL!$C$38, 0.0356, 0)</f>
        <v>28.852899999999998</v>
      </c>
      <c r="D368" s="17">
        <f>28.8095 * CHOOSE(CONTROL!$C$15, $E$9, 100%, $G$9) + CHOOSE(CONTROL!$C$38, 0.0356, 0)</f>
        <v>28.845099999999999</v>
      </c>
      <c r="E368" s="17">
        <f>28.8095 * CHOOSE(CONTROL!$C$15, $E$9, 100%, $G$9) + CHOOSE(CONTROL!$C$38, 0.0356, 0)</f>
        <v>28.845099999999999</v>
      </c>
      <c r="F368" s="46">
        <f>31.504 * CHOOSE(CONTROL!$C$15, $E$9, 100%, $G$9) + CHOOSE(CONTROL!$C$38, 0.0355, 0)</f>
        <v>31.5395</v>
      </c>
      <c r="G368" s="17">
        <f>28.8157 * CHOOSE(CONTROL!$C$15, $E$9, 100%, $G$9) + CHOOSE(CONTROL!$C$38, 0.0356, 0)</f>
        <v>28.851299999999998</v>
      </c>
      <c r="H368" s="17">
        <f>28.8157 * CHOOSE(CONTROL!$C$15, $E$9, 100%, $G$9) + CHOOSE(CONTROL!$C$38, 0.0356, 0)</f>
        <v>28.851299999999998</v>
      </c>
      <c r="I368" s="17">
        <f>28.8173 * CHOOSE(CONTROL!$C$15, $E$9, 100%, $G$9) + CHOOSE(CONTROL!$C$38, 0.0356, 0)</f>
        <v>28.852899999999998</v>
      </c>
      <c r="J368" s="45">
        <f>221.4055</f>
        <v>221.40549999999999</v>
      </c>
    </row>
    <row r="369" spans="1:10" ht="15.75" x14ac:dyDescent="0.25">
      <c r="A369" s="14">
        <v>52170</v>
      </c>
      <c r="B369" s="17">
        <f>31.8656 * CHOOSE(CONTROL!$C$15, $E$9, 100%, $G$9) + CHOOSE(CONTROL!$C$38, 0.0342, 0)</f>
        <v>31.899799999999999</v>
      </c>
      <c r="C369" s="17">
        <f>29.1789 * CHOOSE(CONTROL!$C$15, $E$9, 100%, $G$9) + CHOOSE(CONTROL!$C$38, 0.0343, 0)</f>
        <v>29.213200000000001</v>
      </c>
      <c r="D369" s="17">
        <f>29.1711 * CHOOSE(CONTROL!$C$15, $E$9, 100%, $G$9) + CHOOSE(CONTROL!$C$38, 0.0343, 0)</f>
        <v>29.205399999999997</v>
      </c>
      <c r="E369" s="17">
        <f>29.1711 * CHOOSE(CONTROL!$C$15, $E$9, 100%, $G$9) + CHOOSE(CONTROL!$C$38, 0.0343, 0)</f>
        <v>29.205399999999997</v>
      </c>
      <c r="F369" s="46">
        <f>31.8656 * CHOOSE(CONTROL!$C$15, $E$9, 100%, $G$9) + CHOOSE(CONTROL!$C$38, 0.0342, 0)</f>
        <v>31.899799999999999</v>
      </c>
      <c r="G369" s="17">
        <f>29.1773 * CHOOSE(CONTROL!$C$15, $E$9, 100%, $G$9) + CHOOSE(CONTROL!$C$38, 0.0343, 0)</f>
        <v>29.211599999999997</v>
      </c>
      <c r="H369" s="17">
        <f>29.1773 * CHOOSE(CONTROL!$C$15, $E$9, 100%, $G$9) + CHOOSE(CONTROL!$C$38, 0.0343, 0)</f>
        <v>29.211599999999997</v>
      </c>
      <c r="I369" s="17">
        <f>29.1789 * CHOOSE(CONTROL!$C$15, $E$9, 100%, $G$9) + CHOOSE(CONTROL!$C$38, 0.0343, 0)</f>
        <v>29.213200000000001</v>
      </c>
      <c r="J369" s="45">
        <f>213.7491</f>
        <v>213.7491</v>
      </c>
    </row>
    <row r="370" spans="1:10" ht="15.75" x14ac:dyDescent="0.25">
      <c r="A370" s="14">
        <v>52200</v>
      </c>
      <c r="B370" s="17">
        <f>32.1673 * CHOOSE(CONTROL!$C$15, $E$9, 100%, $G$9) + CHOOSE(CONTROL!$C$38, 0.0342, 0)</f>
        <v>32.201499999999996</v>
      </c>
      <c r="C370" s="17">
        <f>29.4806 * CHOOSE(CONTROL!$C$15, $E$9, 100%, $G$9) + CHOOSE(CONTROL!$C$38, 0.0343, 0)</f>
        <v>29.514899999999997</v>
      </c>
      <c r="D370" s="17">
        <f>29.4728 * CHOOSE(CONTROL!$C$15, $E$9, 100%, $G$9) + CHOOSE(CONTROL!$C$38, 0.0343, 0)</f>
        <v>29.507100000000001</v>
      </c>
      <c r="E370" s="17">
        <f>29.4728 * CHOOSE(CONTROL!$C$15, $E$9, 100%, $G$9) + CHOOSE(CONTROL!$C$38, 0.0343, 0)</f>
        <v>29.507100000000001</v>
      </c>
      <c r="F370" s="46">
        <f>32.1673 * CHOOSE(CONTROL!$C$15, $E$9, 100%, $G$9) + CHOOSE(CONTROL!$C$38, 0.0342, 0)</f>
        <v>32.201499999999996</v>
      </c>
      <c r="G370" s="17">
        <f>29.479 * CHOOSE(CONTROL!$C$15, $E$9, 100%, $G$9) + CHOOSE(CONTROL!$C$38, 0.0343, 0)</f>
        <v>29.513300000000001</v>
      </c>
      <c r="H370" s="17">
        <f>29.479 * CHOOSE(CONTROL!$C$15, $E$9, 100%, $G$9) + CHOOSE(CONTROL!$C$38, 0.0343, 0)</f>
        <v>29.513300000000001</v>
      </c>
      <c r="I370" s="17">
        <f>29.4806 * CHOOSE(CONTROL!$C$15, $E$9, 100%, $G$9) + CHOOSE(CONTROL!$C$38, 0.0343, 0)</f>
        <v>29.514899999999997</v>
      </c>
      <c r="J370" s="45">
        <f>212.2261</f>
        <v>212.2261</v>
      </c>
    </row>
    <row r="371" spans="1:10" ht="15.75" x14ac:dyDescent="0.25">
      <c r="A371" s="14">
        <v>52231</v>
      </c>
      <c r="B371" s="17">
        <f>33.0969 * CHOOSE(CONTROL!$C$15, $E$9, 100%, $G$9) + CHOOSE(CONTROL!$C$38, 0.0342, 0)</f>
        <v>33.131099999999996</v>
      </c>
      <c r="C371" s="17">
        <f>30.4102 * CHOOSE(CONTROL!$C$15, $E$9, 100%, $G$9) + CHOOSE(CONTROL!$C$38, 0.0343, 0)</f>
        <v>30.444499999999998</v>
      </c>
      <c r="D371" s="17">
        <f>30.4024 * CHOOSE(CONTROL!$C$15, $E$9, 100%, $G$9) + CHOOSE(CONTROL!$C$38, 0.0343, 0)</f>
        <v>30.436700000000002</v>
      </c>
      <c r="E371" s="17">
        <f>30.4024 * CHOOSE(CONTROL!$C$15, $E$9, 100%, $G$9) + CHOOSE(CONTROL!$C$38, 0.0343, 0)</f>
        <v>30.436700000000002</v>
      </c>
      <c r="F371" s="46">
        <f>33.0969 * CHOOSE(CONTROL!$C$15, $E$9, 100%, $G$9) + CHOOSE(CONTROL!$C$38, 0.0342, 0)</f>
        <v>33.131099999999996</v>
      </c>
      <c r="G371" s="17">
        <f>30.4087 * CHOOSE(CONTROL!$C$15, $E$9, 100%, $G$9) + CHOOSE(CONTROL!$C$38, 0.0343, 0)</f>
        <v>30.442999999999998</v>
      </c>
      <c r="H371" s="17">
        <f>30.4087 * CHOOSE(CONTROL!$C$15, $E$9, 100%, $G$9) + CHOOSE(CONTROL!$C$38, 0.0343, 0)</f>
        <v>30.442999999999998</v>
      </c>
      <c r="I371" s="17">
        <f>30.4102 * CHOOSE(CONTROL!$C$15, $E$9, 100%, $G$9) + CHOOSE(CONTROL!$C$38, 0.0343, 0)</f>
        <v>30.444499999999998</v>
      </c>
      <c r="J371" s="45">
        <f>205.9282</f>
        <v>205.9282</v>
      </c>
    </row>
    <row r="372" spans="1:10" ht="15.75" x14ac:dyDescent="0.25">
      <c r="A372" s="14">
        <v>52262</v>
      </c>
      <c r="B372" s="17">
        <f>34.362 * CHOOSE(CONTROL!$C$15, $E$9, 100%, $G$9) + CHOOSE(CONTROL!$C$38, 0.0342, 0)</f>
        <v>34.3962</v>
      </c>
      <c r="C372" s="17">
        <f>31.6328 * CHOOSE(CONTROL!$C$15, $E$9, 100%, $G$9) + CHOOSE(CONTROL!$C$38, 0.0343, 0)</f>
        <v>31.667099999999998</v>
      </c>
      <c r="D372" s="17">
        <f>31.625 * CHOOSE(CONTROL!$C$15, $E$9, 100%, $G$9) + CHOOSE(CONTROL!$C$38, 0.0343, 0)</f>
        <v>31.659300000000002</v>
      </c>
      <c r="E372" s="17">
        <f>31.625 * CHOOSE(CONTROL!$C$15, $E$9, 100%, $G$9) + CHOOSE(CONTROL!$C$38, 0.0343, 0)</f>
        <v>31.659300000000002</v>
      </c>
      <c r="F372" s="46">
        <f>34.362 * CHOOSE(CONTROL!$C$15, $E$9, 100%, $G$9) + CHOOSE(CONTROL!$C$38, 0.0342, 0)</f>
        <v>34.3962</v>
      </c>
      <c r="G372" s="17">
        <f>31.6313 * CHOOSE(CONTROL!$C$15, $E$9, 100%, $G$9) + CHOOSE(CONTROL!$C$38, 0.0343, 0)</f>
        <v>31.665599999999998</v>
      </c>
      <c r="H372" s="17">
        <f>31.6313 * CHOOSE(CONTROL!$C$15, $E$9, 100%, $G$9) + CHOOSE(CONTROL!$C$38, 0.0343, 0)</f>
        <v>31.665599999999998</v>
      </c>
      <c r="I372" s="17">
        <f>31.6328 * CHOOSE(CONTROL!$C$15, $E$9, 100%, $G$9) + CHOOSE(CONTROL!$C$38, 0.0343, 0)</f>
        <v>31.667099999999998</v>
      </c>
      <c r="J372" s="45">
        <f>205.7796</f>
        <v>205.77959999999999</v>
      </c>
    </row>
    <row r="373" spans="1:10" ht="15.75" x14ac:dyDescent="0.25">
      <c r="A373" s="14">
        <v>52290</v>
      </c>
      <c r="B373" s="17">
        <f>34.7064 * CHOOSE(CONTROL!$C$15, $E$9, 100%, $G$9) + CHOOSE(CONTROL!$C$38, 0.0342, 0)</f>
        <v>34.740600000000001</v>
      </c>
      <c r="C373" s="17">
        <f>32.1294 * CHOOSE(CONTROL!$C$15, $E$9, 100%, $G$9) + CHOOSE(CONTROL!$C$38, 0.0343, 0)</f>
        <v>32.163699999999999</v>
      </c>
      <c r="D373" s="17">
        <f>32.1216 * CHOOSE(CONTROL!$C$15, $E$9, 100%, $G$9) + CHOOSE(CONTROL!$C$38, 0.0343, 0)</f>
        <v>32.155900000000003</v>
      </c>
      <c r="E373" s="17">
        <f>32.1216 * CHOOSE(CONTROL!$C$15, $E$9, 100%, $G$9) + CHOOSE(CONTROL!$C$38, 0.0343, 0)</f>
        <v>32.155900000000003</v>
      </c>
      <c r="F373" s="46">
        <f>34.7064 * CHOOSE(CONTROL!$C$15, $E$9, 100%, $G$9) + CHOOSE(CONTROL!$C$38, 0.0342, 0)</f>
        <v>34.740600000000001</v>
      </c>
      <c r="G373" s="17">
        <f>32.1278 * CHOOSE(CONTROL!$C$15, $E$9, 100%, $G$9) + CHOOSE(CONTROL!$C$38, 0.0343, 0)</f>
        <v>32.162100000000002</v>
      </c>
      <c r="H373" s="17">
        <f>32.1278 * CHOOSE(CONTROL!$C$15, $E$9, 100%, $G$9) + CHOOSE(CONTROL!$C$38, 0.0343, 0)</f>
        <v>32.162100000000002</v>
      </c>
      <c r="I373" s="17">
        <f>32.1294 * CHOOSE(CONTROL!$C$15, $E$9, 100%, $G$9) + CHOOSE(CONTROL!$C$38, 0.0343, 0)</f>
        <v>32.163699999999999</v>
      </c>
      <c r="J373" s="45">
        <f>205.2076</f>
        <v>205.20760000000001</v>
      </c>
    </row>
    <row r="374" spans="1:10" ht="15.75" x14ac:dyDescent="0.25">
      <c r="A374" s="14">
        <v>52321</v>
      </c>
      <c r="B374" s="17">
        <f>33.9093 * CHOOSE(CONTROL!$C$15, $E$9, 100%, $G$9) + CHOOSE(CONTROL!$C$38, 0.0342, 0)</f>
        <v>33.9435</v>
      </c>
      <c r="C374" s="17">
        <f>31.1801 * CHOOSE(CONTROL!$C$15, $E$9, 100%, $G$9) + CHOOSE(CONTROL!$C$38, 0.0343, 0)</f>
        <v>31.214399999999998</v>
      </c>
      <c r="D374" s="17">
        <f>31.1723 * CHOOSE(CONTROL!$C$15, $E$9, 100%, $G$9) + CHOOSE(CONTROL!$C$38, 0.0343, 0)</f>
        <v>31.206600000000002</v>
      </c>
      <c r="E374" s="17">
        <f>31.1723 * CHOOSE(CONTROL!$C$15, $E$9, 100%, $G$9) + CHOOSE(CONTROL!$C$38, 0.0343, 0)</f>
        <v>31.206600000000002</v>
      </c>
      <c r="F374" s="46">
        <f>33.9093 * CHOOSE(CONTROL!$C$15, $E$9, 100%, $G$9) + CHOOSE(CONTROL!$C$38, 0.0342, 0)</f>
        <v>33.9435</v>
      </c>
      <c r="G374" s="17">
        <f>31.1786 * CHOOSE(CONTROL!$C$15, $E$9, 100%, $G$9) + CHOOSE(CONTROL!$C$38, 0.0343, 0)</f>
        <v>31.212899999999998</v>
      </c>
      <c r="H374" s="17">
        <f>31.1786 * CHOOSE(CONTROL!$C$15, $E$9, 100%, $G$9) + CHOOSE(CONTROL!$C$38, 0.0343, 0)</f>
        <v>31.212899999999998</v>
      </c>
      <c r="I374" s="17">
        <f>31.1801 * CHOOSE(CONTROL!$C$15, $E$9, 100%, $G$9) + CHOOSE(CONTROL!$C$38, 0.0343, 0)</f>
        <v>31.214399999999998</v>
      </c>
      <c r="J374" s="45">
        <f>216.0232</f>
        <v>216.0232</v>
      </c>
    </row>
    <row r="375" spans="1:10" ht="15.75" x14ac:dyDescent="0.25">
      <c r="A375" s="14">
        <v>52351</v>
      </c>
      <c r="B375" s="17">
        <f>33.137 * CHOOSE(CONTROL!$C$15, $E$9, 100%, $G$9) + CHOOSE(CONTROL!$C$38, 0.0342, 0)</f>
        <v>33.171199999999999</v>
      </c>
      <c r="C375" s="17">
        <f>30.4078 * CHOOSE(CONTROL!$C$15, $E$9, 100%, $G$9) + CHOOSE(CONTROL!$C$38, 0.0343, 0)</f>
        <v>30.442100000000003</v>
      </c>
      <c r="D375" s="17">
        <f>30.4 * CHOOSE(CONTROL!$C$15, $E$9, 100%, $G$9) + CHOOSE(CONTROL!$C$38, 0.0343, 0)</f>
        <v>30.4343</v>
      </c>
      <c r="E375" s="17">
        <f>30.4 * CHOOSE(CONTROL!$C$15, $E$9, 100%, $G$9) + CHOOSE(CONTROL!$C$38, 0.0343, 0)</f>
        <v>30.4343</v>
      </c>
      <c r="F375" s="46">
        <f>33.137 * CHOOSE(CONTROL!$C$15, $E$9, 100%, $G$9) + CHOOSE(CONTROL!$C$38, 0.0342, 0)</f>
        <v>33.171199999999999</v>
      </c>
      <c r="G375" s="17">
        <f>30.4063 * CHOOSE(CONTROL!$C$15, $E$9, 100%, $G$9) + CHOOSE(CONTROL!$C$38, 0.0343, 0)</f>
        <v>30.440600000000003</v>
      </c>
      <c r="H375" s="17">
        <f>30.4063 * CHOOSE(CONTROL!$C$15, $E$9, 100%, $G$9) + CHOOSE(CONTROL!$C$38, 0.0343, 0)</f>
        <v>30.440600000000003</v>
      </c>
      <c r="I375" s="17">
        <f>30.4078 * CHOOSE(CONTROL!$C$15, $E$9, 100%, $G$9) + CHOOSE(CONTROL!$C$38, 0.0343, 0)</f>
        <v>30.442100000000003</v>
      </c>
      <c r="J375" s="45">
        <f>230.0485</f>
        <v>230.04849999999999</v>
      </c>
    </row>
    <row r="376" spans="1:10" ht="15.75" x14ac:dyDescent="0.25">
      <c r="A376" s="14">
        <v>52382</v>
      </c>
      <c r="B376" s="17">
        <f>32.3321 * CHOOSE(CONTROL!$C$15, $E$9, 100%, $G$9) + CHOOSE(CONTROL!$C$38, 0.0355, 0)</f>
        <v>32.367599999999996</v>
      </c>
      <c r="C376" s="17">
        <f>29.6029 * CHOOSE(CONTROL!$C$15, $E$9, 100%, $G$9) + CHOOSE(CONTROL!$C$38, 0.0356, 0)</f>
        <v>29.638500000000001</v>
      </c>
      <c r="D376" s="17">
        <f>29.595 * CHOOSE(CONTROL!$C$15, $E$9, 100%, $G$9) + CHOOSE(CONTROL!$C$38, 0.0356, 0)</f>
        <v>29.630599999999998</v>
      </c>
      <c r="E376" s="17">
        <f>29.595 * CHOOSE(CONTROL!$C$15, $E$9, 100%, $G$9) + CHOOSE(CONTROL!$C$38, 0.0356, 0)</f>
        <v>29.630599999999998</v>
      </c>
      <c r="F376" s="46">
        <f>32.3321 * CHOOSE(CONTROL!$C$15, $E$9, 100%, $G$9) + CHOOSE(CONTROL!$C$38, 0.0355, 0)</f>
        <v>32.367599999999996</v>
      </c>
      <c r="G376" s="17">
        <f>29.6013 * CHOOSE(CONTROL!$C$15, $E$9, 100%, $G$9) + CHOOSE(CONTROL!$C$38, 0.0356, 0)</f>
        <v>29.636899999999997</v>
      </c>
      <c r="H376" s="17">
        <f>29.6013 * CHOOSE(CONTROL!$C$15, $E$9, 100%, $G$9) + CHOOSE(CONTROL!$C$38, 0.0356, 0)</f>
        <v>29.636899999999997</v>
      </c>
      <c r="I376" s="17">
        <f>29.6029 * CHOOSE(CONTROL!$C$15, $E$9, 100%, $G$9) + CHOOSE(CONTROL!$C$38, 0.0356, 0)</f>
        <v>29.638500000000001</v>
      </c>
      <c r="J376" s="45">
        <f>237.7685</f>
        <v>237.76849999999999</v>
      </c>
    </row>
    <row r="377" spans="1:10" ht="15.75" x14ac:dyDescent="0.25">
      <c r="A377" s="14">
        <v>52412</v>
      </c>
      <c r="B377" s="17">
        <f>31.7677 * CHOOSE(CONTROL!$C$15, $E$9, 100%, $G$9) + CHOOSE(CONTROL!$C$38, 0.0355, 0)</f>
        <v>31.8032</v>
      </c>
      <c r="C377" s="17">
        <f>29.0385 * CHOOSE(CONTROL!$C$15, $E$9, 100%, $G$9) + CHOOSE(CONTROL!$C$38, 0.0356, 0)</f>
        <v>29.074099999999998</v>
      </c>
      <c r="D377" s="17">
        <f>29.0307 * CHOOSE(CONTROL!$C$15, $E$9, 100%, $G$9) + CHOOSE(CONTROL!$C$38, 0.0356, 0)</f>
        <v>29.066299999999998</v>
      </c>
      <c r="E377" s="17">
        <f>29.0307 * CHOOSE(CONTROL!$C$15, $E$9, 100%, $G$9) + CHOOSE(CONTROL!$C$38, 0.0356, 0)</f>
        <v>29.066299999999998</v>
      </c>
      <c r="F377" s="46">
        <f>31.7677 * CHOOSE(CONTROL!$C$15, $E$9, 100%, $G$9) + CHOOSE(CONTROL!$C$38, 0.0355, 0)</f>
        <v>31.8032</v>
      </c>
      <c r="G377" s="17">
        <f>29.037 * CHOOSE(CONTROL!$C$15, $E$9, 100%, $G$9) + CHOOSE(CONTROL!$C$38, 0.0356, 0)</f>
        <v>29.072599999999998</v>
      </c>
      <c r="H377" s="17">
        <f>29.037 * CHOOSE(CONTROL!$C$15, $E$9, 100%, $G$9) + CHOOSE(CONTROL!$C$38, 0.0356, 0)</f>
        <v>29.072599999999998</v>
      </c>
      <c r="I377" s="17">
        <f>29.0385 * CHOOSE(CONTROL!$C$15, $E$9, 100%, $G$9) + CHOOSE(CONTROL!$C$38, 0.0356, 0)</f>
        <v>29.074099999999998</v>
      </c>
      <c r="J377" s="45">
        <f>241.1944</f>
        <v>241.1944</v>
      </c>
    </row>
    <row r="378" spans="1:10" ht="15.75" x14ac:dyDescent="0.25">
      <c r="A378" s="14">
        <v>52443</v>
      </c>
      <c r="B378" s="17">
        <f>31.4457 * CHOOSE(CONTROL!$C$15, $E$9, 100%, $G$9) + CHOOSE(CONTROL!$C$38, 0.0355, 0)</f>
        <v>31.481199999999998</v>
      </c>
      <c r="C378" s="17">
        <f>28.7165 * CHOOSE(CONTROL!$C$15, $E$9, 100%, $G$9) + CHOOSE(CONTROL!$C$38, 0.0356, 0)</f>
        <v>28.752099999999999</v>
      </c>
      <c r="D378" s="17">
        <f>28.7087 * CHOOSE(CONTROL!$C$15, $E$9, 100%, $G$9) + CHOOSE(CONTROL!$C$38, 0.0356, 0)</f>
        <v>28.744299999999999</v>
      </c>
      <c r="E378" s="17">
        <f>28.7087 * CHOOSE(CONTROL!$C$15, $E$9, 100%, $G$9) + CHOOSE(CONTROL!$C$38, 0.0356, 0)</f>
        <v>28.744299999999999</v>
      </c>
      <c r="F378" s="46">
        <f>31.4457 * CHOOSE(CONTROL!$C$15, $E$9, 100%, $G$9) + CHOOSE(CONTROL!$C$38, 0.0355, 0)</f>
        <v>31.481199999999998</v>
      </c>
      <c r="G378" s="17">
        <f>28.7149 * CHOOSE(CONTROL!$C$15, $E$9, 100%, $G$9) + CHOOSE(CONTROL!$C$38, 0.0356, 0)</f>
        <v>28.750499999999999</v>
      </c>
      <c r="H378" s="17">
        <f>28.7149 * CHOOSE(CONTROL!$C$15, $E$9, 100%, $G$9) + CHOOSE(CONTROL!$C$38, 0.0356, 0)</f>
        <v>28.750499999999999</v>
      </c>
      <c r="I378" s="17">
        <f>28.7165 * CHOOSE(CONTROL!$C$15, $E$9, 100%, $G$9) + CHOOSE(CONTROL!$C$38, 0.0356, 0)</f>
        <v>28.752099999999999</v>
      </c>
      <c r="J378" s="45">
        <f>240.0664</f>
        <v>240.06639999999999</v>
      </c>
    </row>
    <row r="379" spans="1:10" ht="15.75" x14ac:dyDescent="0.25">
      <c r="A379" s="14">
        <v>52474</v>
      </c>
      <c r="B379" s="17">
        <f>31.6046 * CHOOSE(CONTROL!$C$15, $E$9, 100%, $G$9) + CHOOSE(CONTROL!$C$38, 0.0355, 0)</f>
        <v>31.6401</v>
      </c>
      <c r="C379" s="17">
        <f>28.8754 * CHOOSE(CONTROL!$C$15, $E$9, 100%, $G$9) + CHOOSE(CONTROL!$C$38, 0.0356, 0)</f>
        <v>28.910999999999998</v>
      </c>
      <c r="D379" s="17">
        <f>28.8676 * CHOOSE(CONTROL!$C$15, $E$9, 100%, $G$9) + CHOOSE(CONTROL!$C$38, 0.0356, 0)</f>
        <v>28.903199999999998</v>
      </c>
      <c r="E379" s="17">
        <f>28.8676 * CHOOSE(CONTROL!$C$15, $E$9, 100%, $G$9) + CHOOSE(CONTROL!$C$38, 0.0356, 0)</f>
        <v>28.903199999999998</v>
      </c>
      <c r="F379" s="46">
        <f>31.6046 * CHOOSE(CONTROL!$C$15, $E$9, 100%, $G$9) + CHOOSE(CONTROL!$C$38, 0.0355, 0)</f>
        <v>31.6401</v>
      </c>
      <c r="G379" s="17">
        <f>28.8738 * CHOOSE(CONTROL!$C$15, $E$9, 100%, $G$9) + CHOOSE(CONTROL!$C$38, 0.0356, 0)</f>
        <v>28.909399999999998</v>
      </c>
      <c r="H379" s="17">
        <f>28.8738 * CHOOSE(CONTROL!$C$15, $E$9, 100%, $G$9) + CHOOSE(CONTROL!$C$38, 0.0356, 0)</f>
        <v>28.909399999999998</v>
      </c>
      <c r="I379" s="17">
        <f>28.8754 * CHOOSE(CONTROL!$C$15, $E$9, 100%, $G$9) + CHOOSE(CONTROL!$C$38, 0.0356, 0)</f>
        <v>28.910999999999998</v>
      </c>
      <c r="J379" s="45">
        <f>234.4778</f>
        <v>234.4778</v>
      </c>
    </row>
    <row r="380" spans="1:10" ht="15.75" x14ac:dyDescent="0.25">
      <c r="A380" s="14">
        <v>52504</v>
      </c>
      <c r="B380" s="17">
        <f>32.0363 * CHOOSE(CONTROL!$C$15, $E$9, 100%, $G$9) + CHOOSE(CONTROL!$C$38, 0.0355, 0)</f>
        <v>32.071799999999996</v>
      </c>
      <c r="C380" s="17">
        <f>29.3071 * CHOOSE(CONTROL!$C$15, $E$9, 100%, $G$9) + CHOOSE(CONTROL!$C$38, 0.0356, 0)</f>
        <v>29.342699999999997</v>
      </c>
      <c r="D380" s="17">
        <f>29.2993 * CHOOSE(CONTROL!$C$15, $E$9, 100%, $G$9) + CHOOSE(CONTROL!$C$38, 0.0356, 0)</f>
        <v>29.334899999999998</v>
      </c>
      <c r="E380" s="17">
        <f>29.2993 * CHOOSE(CONTROL!$C$15, $E$9, 100%, $G$9) + CHOOSE(CONTROL!$C$38, 0.0356, 0)</f>
        <v>29.334899999999998</v>
      </c>
      <c r="F380" s="46">
        <f>32.0363 * CHOOSE(CONTROL!$C$15, $E$9, 100%, $G$9) + CHOOSE(CONTROL!$C$38, 0.0355, 0)</f>
        <v>32.071799999999996</v>
      </c>
      <c r="G380" s="17">
        <f>29.3056 * CHOOSE(CONTROL!$C$15, $E$9, 100%, $G$9) + CHOOSE(CONTROL!$C$38, 0.0356, 0)</f>
        <v>29.341199999999997</v>
      </c>
      <c r="H380" s="17">
        <f>29.3056 * CHOOSE(CONTROL!$C$15, $E$9, 100%, $G$9) + CHOOSE(CONTROL!$C$38, 0.0356, 0)</f>
        <v>29.341199999999997</v>
      </c>
      <c r="I380" s="17">
        <f>29.3071 * CHOOSE(CONTROL!$C$15, $E$9, 100%, $G$9) + CHOOSE(CONTROL!$C$38, 0.0356, 0)</f>
        <v>29.342699999999997</v>
      </c>
      <c r="J380" s="45">
        <f>226.6842</f>
        <v>226.6842</v>
      </c>
    </row>
    <row r="381" spans="1:10" ht="15.75" x14ac:dyDescent="0.25">
      <c r="A381" s="14">
        <v>52535</v>
      </c>
      <c r="B381" s="17">
        <f>32.3979 * CHOOSE(CONTROL!$C$15, $E$9, 100%, $G$9) + CHOOSE(CONTROL!$C$38, 0.0342, 0)</f>
        <v>32.432099999999998</v>
      </c>
      <c r="C381" s="17">
        <f>29.6687 * CHOOSE(CONTROL!$C$15, $E$9, 100%, $G$9) + CHOOSE(CONTROL!$C$38, 0.0343, 0)</f>
        <v>29.703000000000003</v>
      </c>
      <c r="D381" s="17">
        <f>29.6609 * CHOOSE(CONTROL!$C$15, $E$9, 100%, $G$9) + CHOOSE(CONTROL!$C$38, 0.0343, 0)</f>
        <v>29.6952</v>
      </c>
      <c r="E381" s="17">
        <f>29.6609 * CHOOSE(CONTROL!$C$15, $E$9, 100%, $G$9) + CHOOSE(CONTROL!$C$38, 0.0343, 0)</f>
        <v>29.6952</v>
      </c>
      <c r="F381" s="46">
        <f>32.3979 * CHOOSE(CONTROL!$C$15, $E$9, 100%, $G$9) + CHOOSE(CONTROL!$C$38, 0.0342, 0)</f>
        <v>32.432099999999998</v>
      </c>
      <c r="G381" s="17">
        <f>29.6671 * CHOOSE(CONTROL!$C$15, $E$9, 100%, $G$9) + CHOOSE(CONTROL!$C$38, 0.0343, 0)</f>
        <v>29.7014</v>
      </c>
      <c r="H381" s="17">
        <f>29.6671 * CHOOSE(CONTROL!$C$15, $E$9, 100%, $G$9) + CHOOSE(CONTROL!$C$38, 0.0343, 0)</f>
        <v>29.7014</v>
      </c>
      <c r="I381" s="17">
        <f>29.6687 * CHOOSE(CONTROL!$C$15, $E$9, 100%, $G$9) + CHOOSE(CONTROL!$C$38, 0.0343, 0)</f>
        <v>29.703000000000003</v>
      </c>
      <c r="J381" s="45">
        <f>218.8452</f>
        <v>218.84520000000001</v>
      </c>
    </row>
    <row r="382" spans="1:10" ht="15.75" x14ac:dyDescent="0.25">
      <c r="A382" s="14">
        <v>52565</v>
      </c>
      <c r="B382" s="17">
        <f>32.6996 * CHOOSE(CONTROL!$C$15, $E$9, 100%, $G$9) + CHOOSE(CONTROL!$C$38, 0.0342, 0)</f>
        <v>32.733799999999995</v>
      </c>
      <c r="C382" s="17">
        <f>29.9704 * CHOOSE(CONTROL!$C$15, $E$9, 100%, $G$9) + CHOOSE(CONTROL!$C$38, 0.0343, 0)</f>
        <v>30.0047</v>
      </c>
      <c r="D382" s="17">
        <f>29.9626 * CHOOSE(CONTROL!$C$15, $E$9, 100%, $G$9) + CHOOSE(CONTROL!$C$38, 0.0343, 0)</f>
        <v>29.996899999999997</v>
      </c>
      <c r="E382" s="17">
        <f>29.9626 * CHOOSE(CONTROL!$C$15, $E$9, 100%, $G$9) + CHOOSE(CONTROL!$C$38, 0.0343, 0)</f>
        <v>29.996899999999997</v>
      </c>
      <c r="F382" s="46">
        <f>32.6996 * CHOOSE(CONTROL!$C$15, $E$9, 100%, $G$9) + CHOOSE(CONTROL!$C$38, 0.0342, 0)</f>
        <v>32.733799999999995</v>
      </c>
      <c r="G382" s="17">
        <f>29.9688 * CHOOSE(CONTROL!$C$15, $E$9, 100%, $G$9) + CHOOSE(CONTROL!$C$38, 0.0343, 0)</f>
        <v>30.003100000000003</v>
      </c>
      <c r="H382" s="17">
        <f>29.9688 * CHOOSE(CONTROL!$C$15, $E$9, 100%, $G$9) + CHOOSE(CONTROL!$C$38, 0.0343, 0)</f>
        <v>30.003100000000003</v>
      </c>
      <c r="I382" s="17">
        <f>29.9704 * CHOOSE(CONTROL!$C$15, $E$9, 100%, $G$9) + CHOOSE(CONTROL!$C$38, 0.0343, 0)</f>
        <v>30.0047</v>
      </c>
      <c r="J382" s="45">
        <f>217.2859</f>
        <v>217.2859</v>
      </c>
    </row>
    <row r="383" spans="1:10" ht="15.75" x14ac:dyDescent="0.25">
      <c r="A383" s="14">
        <v>52596</v>
      </c>
      <c r="B383" s="17">
        <f>33.6292 * CHOOSE(CONTROL!$C$15, $E$9, 100%, $G$9) + CHOOSE(CONTROL!$C$38, 0.0342, 0)</f>
        <v>33.663399999999996</v>
      </c>
      <c r="C383" s="17">
        <f>30.9 * CHOOSE(CONTROL!$C$15, $E$9, 100%, $G$9) + CHOOSE(CONTROL!$C$38, 0.0343, 0)</f>
        <v>30.9343</v>
      </c>
      <c r="D383" s="17">
        <f>30.8922 * CHOOSE(CONTROL!$C$15, $E$9, 100%, $G$9) + CHOOSE(CONTROL!$C$38, 0.0343, 0)</f>
        <v>30.926499999999997</v>
      </c>
      <c r="E383" s="17">
        <f>30.8922 * CHOOSE(CONTROL!$C$15, $E$9, 100%, $G$9) + CHOOSE(CONTROL!$C$38, 0.0343, 0)</f>
        <v>30.926499999999997</v>
      </c>
      <c r="F383" s="46">
        <f>33.6292 * CHOOSE(CONTROL!$C$15, $E$9, 100%, $G$9) + CHOOSE(CONTROL!$C$38, 0.0342, 0)</f>
        <v>33.663399999999996</v>
      </c>
      <c r="G383" s="17">
        <f>30.8985 * CHOOSE(CONTROL!$C$15, $E$9, 100%, $G$9) + CHOOSE(CONTROL!$C$38, 0.0343, 0)</f>
        <v>30.9328</v>
      </c>
      <c r="H383" s="17">
        <f>30.8985 * CHOOSE(CONTROL!$C$15, $E$9, 100%, $G$9) + CHOOSE(CONTROL!$C$38, 0.0343, 0)</f>
        <v>30.9328</v>
      </c>
      <c r="I383" s="17">
        <f>30.9 * CHOOSE(CONTROL!$C$15, $E$9, 100%, $G$9) + CHOOSE(CONTROL!$C$38, 0.0343, 0)</f>
        <v>30.9343</v>
      </c>
      <c r="J383" s="45">
        <f>210.8379</f>
        <v>210.83789999999999</v>
      </c>
    </row>
    <row r="384" spans="1:10" ht="15.75" x14ac:dyDescent="0.25">
      <c r="A384" s="14">
        <v>52627</v>
      </c>
      <c r="B384" s="17">
        <f>34.9033 * CHOOSE(CONTROL!$C$15, $E$9, 100%, $G$9) + CHOOSE(CONTROL!$C$38, 0.0342, 0)</f>
        <v>34.9375</v>
      </c>
      <c r="C384" s="17">
        <f>32.1309 * CHOOSE(CONTROL!$C$15, $E$9, 100%, $G$9) + CHOOSE(CONTROL!$C$38, 0.0343, 0)</f>
        <v>32.165199999999999</v>
      </c>
      <c r="D384" s="17">
        <f>32.1231 * CHOOSE(CONTROL!$C$15, $E$9, 100%, $G$9) + CHOOSE(CONTROL!$C$38, 0.0343, 0)</f>
        <v>32.157400000000003</v>
      </c>
      <c r="E384" s="17">
        <f>32.1231 * CHOOSE(CONTROL!$C$15, $E$9, 100%, $G$9) + CHOOSE(CONTROL!$C$38, 0.0343, 0)</f>
        <v>32.157400000000003</v>
      </c>
      <c r="F384" s="46">
        <f>34.9033 * CHOOSE(CONTROL!$C$15, $E$9, 100%, $G$9) + CHOOSE(CONTROL!$C$38, 0.0342, 0)</f>
        <v>34.9375</v>
      </c>
      <c r="G384" s="17">
        <f>32.1293 * CHOOSE(CONTROL!$C$15, $E$9, 100%, $G$9) + CHOOSE(CONTROL!$C$38, 0.0343, 0)</f>
        <v>32.163600000000002</v>
      </c>
      <c r="H384" s="17">
        <f>32.1293 * CHOOSE(CONTROL!$C$15, $E$9, 100%, $G$9) + CHOOSE(CONTROL!$C$38, 0.0343, 0)</f>
        <v>32.163600000000002</v>
      </c>
      <c r="I384" s="17">
        <f>32.1309 * CHOOSE(CONTROL!$C$15, $E$9, 100%, $G$9) + CHOOSE(CONTROL!$C$38, 0.0343, 0)</f>
        <v>32.165199999999999</v>
      </c>
      <c r="J384" s="45">
        <f>210.6857</f>
        <v>210.6857</v>
      </c>
    </row>
    <row r="385" spans="1:10" ht="15.75" x14ac:dyDescent="0.25">
      <c r="A385" s="14">
        <v>52655</v>
      </c>
      <c r="B385" s="17">
        <f>35.2476 * CHOOSE(CONTROL!$C$15, $E$9, 100%, $G$9) + CHOOSE(CONTROL!$C$38, 0.0342, 0)</f>
        <v>35.281799999999997</v>
      </c>
      <c r="C385" s="17">
        <f>32.4752 * CHOOSE(CONTROL!$C$15, $E$9, 100%, $G$9) + CHOOSE(CONTROL!$C$38, 0.0343, 0)</f>
        <v>32.509500000000003</v>
      </c>
      <c r="D385" s="17">
        <f>32.4674 * CHOOSE(CONTROL!$C$15, $E$9, 100%, $G$9) + CHOOSE(CONTROL!$C$38, 0.0343, 0)</f>
        <v>32.5017</v>
      </c>
      <c r="E385" s="17">
        <f>32.4674 * CHOOSE(CONTROL!$C$15, $E$9, 100%, $G$9) + CHOOSE(CONTROL!$C$38, 0.0343, 0)</f>
        <v>32.5017</v>
      </c>
      <c r="F385" s="46">
        <f>35.2476 * CHOOSE(CONTROL!$C$15, $E$9, 100%, $G$9) + CHOOSE(CONTROL!$C$38, 0.0342, 0)</f>
        <v>35.281799999999997</v>
      </c>
      <c r="G385" s="17">
        <f>32.4736 * CHOOSE(CONTROL!$C$15, $E$9, 100%, $G$9) + CHOOSE(CONTROL!$C$38, 0.0343, 0)</f>
        <v>32.507899999999999</v>
      </c>
      <c r="H385" s="17">
        <f>32.4736 * CHOOSE(CONTROL!$C$15, $E$9, 100%, $G$9) + CHOOSE(CONTROL!$C$38, 0.0343, 0)</f>
        <v>32.507899999999999</v>
      </c>
      <c r="I385" s="17">
        <f>32.4752 * CHOOSE(CONTROL!$C$15, $E$9, 100%, $G$9) + CHOOSE(CONTROL!$C$38, 0.0343, 0)</f>
        <v>32.509500000000003</v>
      </c>
      <c r="J385" s="45">
        <f>210.1</f>
        <v>210.1</v>
      </c>
    </row>
    <row r="386" spans="1:10" ht="15.75" x14ac:dyDescent="0.25">
      <c r="A386" s="14">
        <v>52687</v>
      </c>
      <c r="B386" s="17">
        <f>34.4506 * CHOOSE(CONTROL!$C$15, $E$9, 100%, $G$9) + CHOOSE(CONTROL!$C$38, 0.0342, 0)</f>
        <v>34.4848</v>
      </c>
      <c r="C386" s="17">
        <f>31.8329 * CHOOSE(CONTROL!$C$15, $E$9, 100%, $G$9) + CHOOSE(CONTROL!$C$38, 0.0343, 0)</f>
        <v>31.867199999999997</v>
      </c>
      <c r="D386" s="17">
        <f>31.8251 * CHOOSE(CONTROL!$C$15, $E$9, 100%, $G$9) + CHOOSE(CONTROL!$C$38, 0.0343, 0)</f>
        <v>31.859400000000001</v>
      </c>
      <c r="E386" s="17">
        <f>31.8251 * CHOOSE(CONTROL!$C$15, $E$9, 100%, $G$9) + CHOOSE(CONTROL!$C$38, 0.0343, 0)</f>
        <v>31.859400000000001</v>
      </c>
      <c r="F386" s="46">
        <f>34.4506 * CHOOSE(CONTROL!$C$15, $E$9, 100%, $G$9) + CHOOSE(CONTROL!$C$38, 0.0342, 0)</f>
        <v>34.4848</v>
      </c>
      <c r="G386" s="17">
        <f>31.8314 * CHOOSE(CONTROL!$C$15, $E$9, 100%, $G$9) + CHOOSE(CONTROL!$C$38, 0.0343, 0)</f>
        <v>31.865699999999997</v>
      </c>
      <c r="H386" s="17">
        <f>31.8314 * CHOOSE(CONTROL!$C$15, $E$9, 100%, $G$9) + CHOOSE(CONTROL!$C$38, 0.0343, 0)</f>
        <v>31.865699999999997</v>
      </c>
      <c r="I386" s="17">
        <f>31.8329 * CHOOSE(CONTROL!$C$15, $E$9, 100%, $G$9) + CHOOSE(CONTROL!$C$38, 0.0343, 0)</f>
        <v>31.867199999999997</v>
      </c>
      <c r="J386" s="45">
        <f>221.1735</f>
        <v>221.17349999999999</v>
      </c>
    </row>
    <row r="387" spans="1:10" ht="15.75" x14ac:dyDescent="0.25">
      <c r="A387" s="14">
        <v>52717</v>
      </c>
      <c r="B387" s="17">
        <f>33.6783 * CHOOSE(CONTROL!$C$15, $E$9, 100%, $G$9) + CHOOSE(CONTROL!$C$38, 0.0342, 0)</f>
        <v>33.712499999999999</v>
      </c>
      <c r="C387" s="17">
        <f>30.9059 * CHOOSE(CONTROL!$C$15, $E$9, 100%, $G$9) + CHOOSE(CONTROL!$C$38, 0.0343, 0)</f>
        <v>30.940199999999997</v>
      </c>
      <c r="D387" s="17">
        <f>30.898 * CHOOSE(CONTROL!$C$15, $E$9, 100%, $G$9) + CHOOSE(CONTROL!$C$38, 0.0343, 0)</f>
        <v>30.932299999999998</v>
      </c>
      <c r="E387" s="17">
        <f>30.898 * CHOOSE(CONTROL!$C$15, $E$9, 100%, $G$9) + CHOOSE(CONTROL!$C$38, 0.0343, 0)</f>
        <v>30.932299999999998</v>
      </c>
      <c r="F387" s="46">
        <f>33.6783 * CHOOSE(CONTROL!$C$15, $E$9, 100%, $G$9) + CHOOSE(CONTROL!$C$38, 0.0342, 0)</f>
        <v>33.712499999999999</v>
      </c>
      <c r="G387" s="17">
        <f>30.9043 * CHOOSE(CONTROL!$C$15, $E$9, 100%, $G$9) + CHOOSE(CONTROL!$C$38, 0.0343, 0)</f>
        <v>30.938600000000001</v>
      </c>
      <c r="H387" s="17">
        <f>30.9043 * CHOOSE(CONTROL!$C$15, $E$9, 100%, $G$9) + CHOOSE(CONTROL!$C$38, 0.0343, 0)</f>
        <v>30.938600000000001</v>
      </c>
      <c r="I387" s="17">
        <f>30.9059 * CHOOSE(CONTROL!$C$15, $E$9, 100%, $G$9) + CHOOSE(CONTROL!$C$38, 0.0343, 0)</f>
        <v>30.940199999999997</v>
      </c>
      <c r="J387" s="45">
        <f>235.5332</f>
        <v>235.53319999999999</v>
      </c>
    </row>
    <row r="388" spans="1:10" ht="15.75" x14ac:dyDescent="0.25">
      <c r="A388" s="14">
        <v>52748</v>
      </c>
      <c r="B388" s="17">
        <f>32.8733 * CHOOSE(CONTROL!$C$15, $E$9, 100%, $G$9) + CHOOSE(CONTROL!$C$38, 0.0355, 0)</f>
        <v>32.908799999999999</v>
      </c>
      <c r="C388" s="17">
        <f>30.1009 * CHOOSE(CONTROL!$C$15, $E$9, 100%, $G$9) + CHOOSE(CONTROL!$C$38, 0.0356, 0)</f>
        <v>30.136499999999998</v>
      </c>
      <c r="D388" s="17">
        <f>30.0931 * CHOOSE(CONTROL!$C$15, $E$9, 100%, $G$9) + CHOOSE(CONTROL!$C$38, 0.0356, 0)</f>
        <v>30.128699999999998</v>
      </c>
      <c r="E388" s="17">
        <f>30.0931 * CHOOSE(CONTROL!$C$15, $E$9, 100%, $G$9) + CHOOSE(CONTROL!$C$38, 0.0356, 0)</f>
        <v>30.128699999999998</v>
      </c>
      <c r="F388" s="46">
        <f>32.8733 * CHOOSE(CONTROL!$C$15, $E$9, 100%, $G$9) + CHOOSE(CONTROL!$C$38, 0.0355, 0)</f>
        <v>32.908799999999999</v>
      </c>
      <c r="G388" s="17">
        <f>30.0993 * CHOOSE(CONTROL!$C$15, $E$9, 100%, $G$9) + CHOOSE(CONTROL!$C$38, 0.0356, 0)</f>
        <v>30.134899999999998</v>
      </c>
      <c r="H388" s="17">
        <f>30.0993 * CHOOSE(CONTROL!$C$15, $E$9, 100%, $G$9) + CHOOSE(CONTROL!$C$38, 0.0356, 0)</f>
        <v>30.134899999999998</v>
      </c>
      <c r="I388" s="17">
        <f>30.1009 * CHOOSE(CONTROL!$C$15, $E$9, 100%, $G$9) + CHOOSE(CONTROL!$C$38, 0.0356, 0)</f>
        <v>30.136499999999998</v>
      </c>
      <c r="J388" s="45">
        <f>243.4372</f>
        <v>243.43719999999999</v>
      </c>
    </row>
    <row r="389" spans="1:10" ht="15.75" x14ac:dyDescent="0.25">
      <c r="A389" s="14">
        <v>52778</v>
      </c>
      <c r="B389" s="17">
        <f>32.309 * CHOOSE(CONTROL!$C$15, $E$9, 100%, $G$9) + CHOOSE(CONTROL!$C$38, 0.0355, 0)</f>
        <v>32.344499999999996</v>
      </c>
      <c r="C389" s="17">
        <f>29.5366 * CHOOSE(CONTROL!$C$15, $E$9, 100%, $G$9) + CHOOSE(CONTROL!$C$38, 0.0356, 0)</f>
        <v>29.572199999999999</v>
      </c>
      <c r="D389" s="17">
        <f>29.5287 * CHOOSE(CONTROL!$C$15, $E$9, 100%, $G$9) + CHOOSE(CONTROL!$C$38, 0.0356, 0)</f>
        <v>29.564299999999999</v>
      </c>
      <c r="E389" s="17">
        <f>29.5287 * CHOOSE(CONTROL!$C$15, $E$9, 100%, $G$9) + CHOOSE(CONTROL!$C$38, 0.0356, 0)</f>
        <v>29.564299999999999</v>
      </c>
      <c r="F389" s="46">
        <f>32.309 * CHOOSE(CONTROL!$C$15, $E$9, 100%, $G$9) + CHOOSE(CONTROL!$C$38, 0.0355, 0)</f>
        <v>32.344499999999996</v>
      </c>
      <c r="G389" s="17">
        <f>29.535 * CHOOSE(CONTROL!$C$15, $E$9, 100%, $G$9) + CHOOSE(CONTROL!$C$38, 0.0356, 0)</f>
        <v>29.570599999999999</v>
      </c>
      <c r="H389" s="17">
        <f>29.535 * CHOOSE(CONTROL!$C$15, $E$9, 100%, $G$9) + CHOOSE(CONTROL!$C$38, 0.0356, 0)</f>
        <v>29.570599999999999</v>
      </c>
      <c r="I389" s="17">
        <f>29.5366 * CHOOSE(CONTROL!$C$15, $E$9, 100%, $G$9) + CHOOSE(CONTROL!$C$38, 0.0356, 0)</f>
        <v>29.572199999999999</v>
      </c>
      <c r="J389" s="45">
        <f>246.9449</f>
        <v>246.94489999999999</v>
      </c>
    </row>
    <row r="390" spans="1:10" ht="15.75" x14ac:dyDescent="0.25">
      <c r="A390" s="14">
        <v>52809</v>
      </c>
      <c r="B390" s="17">
        <f>31.9869 * CHOOSE(CONTROL!$C$15, $E$9, 100%, $G$9) + CHOOSE(CONTROL!$C$38, 0.0355, 0)</f>
        <v>32.022399999999998</v>
      </c>
      <c r="C390" s="17">
        <f>29.2145 * CHOOSE(CONTROL!$C$15, $E$9, 100%, $G$9) + CHOOSE(CONTROL!$C$38, 0.0356, 0)</f>
        <v>29.2501</v>
      </c>
      <c r="D390" s="17">
        <f>29.2067 * CHOOSE(CONTROL!$C$15, $E$9, 100%, $G$9) + CHOOSE(CONTROL!$C$38, 0.0356, 0)</f>
        <v>29.2423</v>
      </c>
      <c r="E390" s="17">
        <f>29.2067 * CHOOSE(CONTROL!$C$15, $E$9, 100%, $G$9) + CHOOSE(CONTROL!$C$38, 0.0356, 0)</f>
        <v>29.2423</v>
      </c>
      <c r="F390" s="46">
        <f>31.9869 * CHOOSE(CONTROL!$C$15, $E$9, 100%, $G$9) + CHOOSE(CONTROL!$C$38, 0.0355, 0)</f>
        <v>32.022399999999998</v>
      </c>
      <c r="G390" s="17">
        <f>29.2129 * CHOOSE(CONTROL!$C$15, $E$9, 100%, $G$9) + CHOOSE(CONTROL!$C$38, 0.0356, 0)</f>
        <v>29.2485</v>
      </c>
      <c r="H390" s="17">
        <f>29.2129 * CHOOSE(CONTROL!$C$15, $E$9, 100%, $G$9) + CHOOSE(CONTROL!$C$38, 0.0356, 0)</f>
        <v>29.2485</v>
      </c>
      <c r="I390" s="17">
        <f>29.2145 * CHOOSE(CONTROL!$C$15, $E$9, 100%, $G$9) + CHOOSE(CONTROL!$C$38, 0.0356, 0)</f>
        <v>29.2501</v>
      </c>
      <c r="J390" s="45">
        <f>245.79</f>
        <v>245.79</v>
      </c>
    </row>
    <row r="391" spans="1:10" ht="15.75" x14ac:dyDescent="0.25">
      <c r="A391" s="14">
        <v>52840</v>
      </c>
      <c r="B391" s="17">
        <f>32.1459 * CHOOSE(CONTROL!$C$15, $E$9, 100%, $G$9) + CHOOSE(CONTROL!$C$38, 0.0355, 0)</f>
        <v>32.181399999999996</v>
      </c>
      <c r="C391" s="17">
        <f>29.3734 * CHOOSE(CONTROL!$C$15, $E$9, 100%, $G$9) + CHOOSE(CONTROL!$C$38, 0.0356, 0)</f>
        <v>29.408999999999999</v>
      </c>
      <c r="D391" s="17">
        <f>29.3656 * CHOOSE(CONTROL!$C$15, $E$9, 100%, $G$9) + CHOOSE(CONTROL!$C$38, 0.0356, 0)</f>
        <v>29.401199999999999</v>
      </c>
      <c r="E391" s="17">
        <f>29.3656 * CHOOSE(CONTROL!$C$15, $E$9, 100%, $G$9) + CHOOSE(CONTROL!$C$38, 0.0356, 0)</f>
        <v>29.401199999999999</v>
      </c>
      <c r="F391" s="46">
        <f>32.1459 * CHOOSE(CONTROL!$C$15, $E$9, 100%, $G$9) + CHOOSE(CONTROL!$C$38, 0.0355, 0)</f>
        <v>32.181399999999996</v>
      </c>
      <c r="G391" s="17">
        <f>29.3719 * CHOOSE(CONTROL!$C$15, $E$9, 100%, $G$9) + CHOOSE(CONTROL!$C$38, 0.0356, 0)</f>
        <v>29.407499999999999</v>
      </c>
      <c r="H391" s="17">
        <f>29.3719 * CHOOSE(CONTROL!$C$15, $E$9, 100%, $G$9) + CHOOSE(CONTROL!$C$38, 0.0356, 0)</f>
        <v>29.407499999999999</v>
      </c>
      <c r="I391" s="17">
        <f>29.3734 * CHOOSE(CONTROL!$C$15, $E$9, 100%, $G$9) + CHOOSE(CONTROL!$C$38, 0.0356, 0)</f>
        <v>29.408999999999999</v>
      </c>
      <c r="J391" s="45">
        <f>240.0681</f>
        <v>240.06809999999999</v>
      </c>
    </row>
    <row r="392" spans="1:10" ht="15.75" x14ac:dyDescent="0.25">
      <c r="A392" s="14">
        <v>52870</v>
      </c>
      <c r="B392" s="17">
        <f>32.5776 * CHOOSE(CONTROL!$C$15, $E$9, 100%, $G$9) + CHOOSE(CONTROL!$C$38, 0.0355, 0)</f>
        <v>32.613099999999996</v>
      </c>
      <c r="C392" s="17">
        <f>29.8052 * CHOOSE(CONTROL!$C$15, $E$9, 100%, $G$9) + CHOOSE(CONTROL!$C$38, 0.0356, 0)</f>
        <v>29.840799999999998</v>
      </c>
      <c r="D392" s="17">
        <f>29.7973 * CHOOSE(CONTROL!$C$15, $E$9, 100%, $G$9) + CHOOSE(CONTROL!$C$38, 0.0356, 0)</f>
        <v>29.832899999999999</v>
      </c>
      <c r="E392" s="17">
        <f>29.7973 * CHOOSE(CONTROL!$C$15, $E$9, 100%, $G$9) + CHOOSE(CONTROL!$C$38, 0.0356, 0)</f>
        <v>29.832899999999999</v>
      </c>
      <c r="F392" s="46">
        <f>32.5776 * CHOOSE(CONTROL!$C$15, $E$9, 100%, $G$9) + CHOOSE(CONTROL!$C$38, 0.0355, 0)</f>
        <v>32.613099999999996</v>
      </c>
      <c r="G392" s="17">
        <f>29.8036 * CHOOSE(CONTROL!$C$15, $E$9, 100%, $G$9) + CHOOSE(CONTROL!$C$38, 0.0356, 0)</f>
        <v>29.839199999999998</v>
      </c>
      <c r="H392" s="17">
        <f>29.8036 * CHOOSE(CONTROL!$C$15, $E$9, 100%, $G$9) + CHOOSE(CONTROL!$C$38, 0.0356, 0)</f>
        <v>29.839199999999998</v>
      </c>
      <c r="I392" s="17">
        <f>29.8052 * CHOOSE(CONTROL!$C$15, $E$9, 100%, $G$9) + CHOOSE(CONTROL!$C$38, 0.0356, 0)</f>
        <v>29.840799999999998</v>
      </c>
      <c r="J392" s="45">
        <f>232.0887</f>
        <v>232.08869999999999</v>
      </c>
    </row>
    <row r="393" spans="1:10" ht="15.75" x14ac:dyDescent="0.25">
      <c r="A393" s="14">
        <v>52901</v>
      </c>
      <c r="B393" s="17">
        <f>32.9391 * CHOOSE(CONTROL!$C$15, $E$9, 100%, $G$9) + CHOOSE(CONTROL!$C$38, 0.0342, 0)</f>
        <v>32.973300000000002</v>
      </c>
      <c r="C393" s="17">
        <f>30.1667 * CHOOSE(CONTROL!$C$15, $E$9, 100%, $G$9) + CHOOSE(CONTROL!$C$38, 0.0343, 0)</f>
        <v>30.201000000000001</v>
      </c>
      <c r="D393" s="17">
        <f>30.1589 * CHOOSE(CONTROL!$C$15, $E$9, 100%, $G$9) + CHOOSE(CONTROL!$C$38, 0.0343, 0)</f>
        <v>30.193199999999997</v>
      </c>
      <c r="E393" s="17">
        <f>30.1589 * CHOOSE(CONTROL!$C$15, $E$9, 100%, $G$9) + CHOOSE(CONTROL!$C$38, 0.0343, 0)</f>
        <v>30.193199999999997</v>
      </c>
      <c r="F393" s="46">
        <f>32.9391 * CHOOSE(CONTROL!$C$15, $E$9, 100%, $G$9) + CHOOSE(CONTROL!$C$38, 0.0342, 0)</f>
        <v>32.973300000000002</v>
      </c>
      <c r="G393" s="17">
        <f>30.1652 * CHOOSE(CONTROL!$C$15, $E$9, 100%, $G$9) + CHOOSE(CONTROL!$C$38, 0.0343, 0)</f>
        <v>30.1995</v>
      </c>
      <c r="H393" s="17">
        <f>30.1652 * CHOOSE(CONTROL!$C$15, $E$9, 100%, $G$9) + CHOOSE(CONTROL!$C$38, 0.0343, 0)</f>
        <v>30.1995</v>
      </c>
      <c r="I393" s="17">
        <f>30.1667 * CHOOSE(CONTROL!$C$15, $E$9, 100%, $G$9) + CHOOSE(CONTROL!$C$38, 0.0343, 0)</f>
        <v>30.201000000000001</v>
      </c>
      <c r="J393" s="45">
        <f>224.0628</f>
        <v>224.06280000000001</v>
      </c>
    </row>
    <row r="394" spans="1:10" ht="15.75" x14ac:dyDescent="0.25">
      <c r="A394" s="14">
        <v>52931</v>
      </c>
      <c r="B394" s="17">
        <f>33.2408 * CHOOSE(CONTROL!$C$15, $E$9, 100%, $G$9) + CHOOSE(CONTROL!$C$38, 0.0342, 0)</f>
        <v>33.274999999999999</v>
      </c>
      <c r="C394" s="17">
        <f>30.4684 * CHOOSE(CONTROL!$C$15, $E$9, 100%, $G$9) + CHOOSE(CONTROL!$C$38, 0.0343, 0)</f>
        <v>30.502699999999997</v>
      </c>
      <c r="D394" s="17">
        <f>30.4606 * CHOOSE(CONTROL!$C$15, $E$9, 100%, $G$9) + CHOOSE(CONTROL!$C$38, 0.0343, 0)</f>
        <v>30.494900000000001</v>
      </c>
      <c r="E394" s="17">
        <f>30.4606 * CHOOSE(CONTROL!$C$15, $E$9, 100%, $G$9) + CHOOSE(CONTROL!$C$38, 0.0343, 0)</f>
        <v>30.494900000000001</v>
      </c>
      <c r="F394" s="46">
        <f>33.2408 * CHOOSE(CONTROL!$C$15, $E$9, 100%, $G$9) + CHOOSE(CONTROL!$C$38, 0.0342, 0)</f>
        <v>33.274999999999999</v>
      </c>
      <c r="G394" s="17">
        <f>30.4669 * CHOOSE(CONTROL!$C$15, $E$9, 100%, $G$9) + CHOOSE(CONTROL!$C$38, 0.0343, 0)</f>
        <v>30.501199999999997</v>
      </c>
      <c r="H394" s="17">
        <f>30.4669 * CHOOSE(CONTROL!$C$15, $E$9, 100%, $G$9) + CHOOSE(CONTROL!$C$38, 0.0343, 0)</f>
        <v>30.501199999999997</v>
      </c>
      <c r="I394" s="17">
        <f>30.4684 * CHOOSE(CONTROL!$C$15, $E$9, 100%, $G$9) + CHOOSE(CONTROL!$C$38, 0.0343, 0)</f>
        <v>30.502699999999997</v>
      </c>
      <c r="J394" s="45">
        <f>222.4663</f>
        <v>222.46629999999999</v>
      </c>
    </row>
    <row r="395" spans="1:10" ht="15.75" x14ac:dyDescent="0.25">
      <c r="A395" s="14">
        <v>52962</v>
      </c>
      <c r="B395" s="17">
        <f>34.1705 * CHOOSE(CONTROL!$C$15, $E$9, 100%, $G$9) + CHOOSE(CONTROL!$C$38, 0.0342, 0)</f>
        <v>34.204699999999995</v>
      </c>
      <c r="C395" s="17">
        <f>31.3981 * CHOOSE(CONTROL!$C$15, $E$9, 100%, $G$9) + CHOOSE(CONTROL!$C$38, 0.0343, 0)</f>
        <v>31.432400000000001</v>
      </c>
      <c r="D395" s="17">
        <f>31.3903 * CHOOSE(CONTROL!$C$15, $E$9, 100%, $G$9) + CHOOSE(CONTROL!$C$38, 0.0343, 0)</f>
        <v>31.424599999999998</v>
      </c>
      <c r="E395" s="17">
        <f>31.3903 * CHOOSE(CONTROL!$C$15, $E$9, 100%, $G$9) + CHOOSE(CONTROL!$C$38, 0.0343, 0)</f>
        <v>31.424599999999998</v>
      </c>
      <c r="F395" s="46">
        <f>34.1705 * CHOOSE(CONTROL!$C$15, $E$9, 100%, $G$9) + CHOOSE(CONTROL!$C$38, 0.0342, 0)</f>
        <v>34.204699999999995</v>
      </c>
      <c r="G395" s="17">
        <f>31.3965 * CHOOSE(CONTROL!$C$15, $E$9, 100%, $G$9) + CHOOSE(CONTROL!$C$38, 0.0343, 0)</f>
        <v>31.430799999999998</v>
      </c>
      <c r="H395" s="17">
        <f>31.3965 * CHOOSE(CONTROL!$C$15, $E$9, 100%, $G$9) + CHOOSE(CONTROL!$C$38, 0.0343, 0)</f>
        <v>31.430799999999998</v>
      </c>
      <c r="I395" s="17">
        <f>31.3981 * CHOOSE(CONTROL!$C$15, $E$9, 100%, $G$9) + CHOOSE(CONTROL!$C$38, 0.0343, 0)</f>
        <v>31.432400000000001</v>
      </c>
      <c r="J395" s="45">
        <f>215.8646</f>
        <v>215.8646</v>
      </c>
    </row>
    <row r="396" spans="1:10" ht="15.75" x14ac:dyDescent="0.25">
      <c r="A396" s="14">
        <v>52993</v>
      </c>
      <c r="B396" s="17">
        <f>35.4537 * CHOOSE(CONTROL!$C$15, $E$9, 100%, $G$9) + CHOOSE(CONTROL!$C$38, 0.0342, 0)</f>
        <v>35.487899999999996</v>
      </c>
      <c r="C396" s="17">
        <f>32.6373 * CHOOSE(CONTROL!$C$15, $E$9, 100%, $G$9) + CHOOSE(CONTROL!$C$38, 0.0343, 0)</f>
        <v>32.671600000000005</v>
      </c>
      <c r="D396" s="17">
        <f>32.6295 * CHOOSE(CONTROL!$C$15, $E$9, 100%, $G$9) + CHOOSE(CONTROL!$C$38, 0.0343, 0)</f>
        <v>32.663800000000002</v>
      </c>
      <c r="E396" s="17">
        <f>32.6295 * CHOOSE(CONTROL!$C$15, $E$9, 100%, $G$9) + CHOOSE(CONTROL!$C$38, 0.0343, 0)</f>
        <v>32.663800000000002</v>
      </c>
      <c r="F396" s="46">
        <f>35.4537 * CHOOSE(CONTROL!$C$15, $E$9, 100%, $G$9) + CHOOSE(CONTROL!$C$38, 0.0342, 0)</f>
        <v>35.487899999999996</v>
      </c>
      <c r="G396" s="17">
        <f>32.6357 * CHOOSE(CONTROL!$C$15, $E$9, 100%, $G$9) + CHOOSE(CONTROL!$C$38, 0.0343, 0)</f>
        <v>32.67</v>
      </c>
      <c r="H396" s="17">
        <f>32.6357 * CHOOSE(CONTROL!$C$15, $E$9, 100%, $G$9) + CHOOSE(CONTROL!$C$38, 0.0343, 0)</f>
        <v>32.67</v>
      </c>
      <c r="I396" s="17">
        <f>32.6373 * CHOOSE(CONTROL!$C$15, $E$9, 100%, $G$9) + CHOOSE(CONTROL!$C$38, 0.0343, 0)</f>
        <v>32.671600000000005</v>
      </c>
      <c r="J396" s="45">
        <f>215.7087</f>
        <v>215.70869999999999</v>
      </c>
    </row>
    <row r="397" spans="1:10" ht="15.75" x14ac:dyDescent="0.25">
      <c r="A397" s="14">
        <v>53021</v>
      </c>
      <c r="B397" s="17">
        <f>35.798 * CHOOSE(CONTROL!$C$15, $E$9, 100%, $G$9) + CHOOSE(CONTROL!$C$38, 0.0342, 0)</f>
        <v>35.8322</v>
      </c>
      <c r="C397" s="17">
        <f>32.9816 * CHOOSE(CONTROL!$C$15, $E$9, 100%, $G$9) + CHOOSE(CONTROL!$C$38, 0.0343, 0)</f>
        <v>33.015900000000002</v>
      </c>
      <c r="D397" s="17">
        <f>32.9738 * CHOOSE(CONTROL!$C$15, $E$9, 100%, $G$9) + CHOOSE(CONTROL!$C$38, 0.0343, 0)</f>
        <v>33.008099999999999</v>
      </c>
      <c r="E397" s="17">
        <f>32.9738 * CHOOSE(CONTROL!$C$15, $E$9, 100%, $G$9) + CHOOSE(CONTROL!$C$38, 0.0343, 0)</f>
        <v>33.008099999999999</v>
      </c>
      <c r="F397" s="46">
        <f>35.798 * CHOOSE(CONTROL!$C$15, $E$9, 100%, $G$9) + CHOOSE(CONTROL!$C$38, 0.0342, 0)</f>
        <v>35.8322</v>
      </c>
      <c r="G397" s="17">
        <f>32.98 * CHOOSE(CONTROL!$C$15, $E$9, 100%, $G$9) + CHOOSE(CONTROL!$C$38, 0.0343, 0)</f>
        <v>33.014299999999999</v>
      </c>
      <c r="H397" s="17">
        <f>32.98 * CHOOSE(CONTROL!$C$15, $E$9, 100%, $G$9) + CHOOSE(CONTROL!$C$38, 0.0343, 0)</f>
        <v>33.014299999999999</v>
      </c>
      <c r="I397" s="17">
        <f>32.9816 * CHOOSE(CONTROL!$C$15, $E$9, 100%, $G$9) + CHOOSE(CONTROL!$C$38, 0.0343, 0)</f>
        <v>33.015900000000002</v>
      </c>
      <c r="J397" s="45">
        <f>215.1091</f>
        <v>215.10910000000001</v>
      </c>
    </row>
    <row r="398" spans="1:10" ht="15.75" x14ac:dyDescent="0.25">
      <c r="A398" s="14">
        <v>53052</v>
      </c>
      <c r="B398" s="17">
        <f>35.0009 * CHOOSE(CONTROL!$C$15, $E$9, 100%, $G$9) + CHOOSE(CONTROL!$C$38, 0.0342, 0)</f>
        <v>35.0351</v>
      </c>
      <c r="C398" s="17">
        <f>32.1846 * CHOOSE(CONTROL!$C$15, $E$9, 100%, $G$9) + CHOOSE(CONTROL!$C$38, 0.0343, 0)</f>
        <v>32.218900000000005</v>
      </c>
      <c r="D398" s="17">
        <f>32.1768 * CHOOSE(CONTROL!$C$15, $E$9, 100%, $G$9) + CHOOSE(CONTROL!$C$38, 0.0343, 0)</f>
        <v>32.211100000000002</v>
      </c>
      <c r="E398" s="17">
        <f>32.1768 * CHOOSE(CONTROL!$C$15, $E$9, 100%, $G$9) + CHOOSE(CONTROL!$C$38, 0.0343, 0)</f>
        <v>32.211100000000002</v>
      </c>
      <c r="F398" s="46">
        <f>35.0009 * CHOOSE(CONTROL!$C$15, $E$9, 100%, $G$9) + CHOOSE(CONTROL!$C$38, 0.0342, 0)</f>
        <v>35.0351</v>
      </c>
      <c r="G398" s="17">
        <f>32.183 * CHOOSE(CONTROL!$C$15, $E$9, 100%, $G$9) + CHOOSE(CONTROL!$C$38, 0.0343, 0)</f>
        <v>32.217300000000002</v>
      </c>
      <c r="H398" s="17">
        <f>32.183 * CHOOSE(CONTROL!$C$15, $E$9, 100%, $G$9) + CHOOSE(CONTROL!$C$38, 0.0343, 0)</f>
        <v>32.217300000000002</v>
      </c>
      <c r="I398" s="17">
        <f>32.1846 * CHOOSE(CONTROL!$C$15, $E$9, 100%, $G$9) + CHOOSE(CONTROL!$C$38, 0.0343, 0)</f>
        <v>32.218900000000005</v>
      </c>
      <c r="J398" s="45">
        <f>226.4466</f>
        <v>226.44659999999999</v>
      </c>
    </row>
    <row r="399" spans="1:10" ht="15.75" x14ac:dyDescent="0.25">
      <c r="A399" s="14">
        <v>53082</v>
      </c>
      <c r="B399" s="17">
        <f>34.2286 * CHOOSE(CONTROL!$C$15, $E$9, 100%, $G$9) + CHOOSE(CONTROL!$C$38, 0.0342, 0)</f>
        <v>34.262799999999999</v>
      </c>
      <c r="C399" s="17">
        <f>31.5696 * CHOOSE(CONTROL!$C$15, $E$9, 100%, $G$9) + CHOOSE(CONTROL!$C$38, 0.0343, 0)</f>
        <v>31.603900000000003</v>
      </c>
      <c r="D399" s="17">
        <f>31.5618 * CHOOSE(CONTROL!$C$15, $E$9, 100%, $G$9) + CHOOSE(CONTROL!$C$38, 0.0343, 0)</f>
        <v>31.5961</v>
      </c>
      <c r="E399" s="17">
        <f>31.5618 * CHOOSE(CONTROL!$C$15, $E$9, 100%, $G$9) + CHOOSE(CONTROL!$C$38, 0.0343, 0)</f>
        <v>31.5961</v>
      </c>
      <c r="F399" s="46">
        <f>34.2286 * CHOOSE(CONTROL!$C$15, $E$9, 100%, $G$9) + CHOOSE(CONTROL!$C$38, 0.0342, 0)</f>
        <v>34.262799999999999</v>
      </c>
      <c r="G399" s="17">
        <f>31.5681 * CHOOSE(CONTROL!$C$15, $E$9, 100%, $G$9) + CHOOSE(CONTROL!$C$38, 0.0343, 0)</f>
        <v>31.602400000000003</v>
      </c>
      <c r="H399" s="17">
        <f>31.5681 * CHOOSE(CONTROL!$C$15, $E$9, 100%, $G$9) + CHOOSE(CONTROL!$C$38, 0.0343, 0)</f>
        <v>31.602400000000003</v>
      </c>
      <c r="I399" s="17">
        <f>31.5696 * CHOOSE(CONTROL!$C$15, $E$9, 100%, $G$9) + CHOOSE(CONTROL!$C$38, 0.0343, 0)</f>
        <v>31.603900000000003</v>
      </c>
      <c r="J399" s="45">
        <f>241.1486</f>
        <v>241.14859999999999</v>
      </c>
    </row>
    <row r="400" spans="1:10" ht="15.75" x14ac:dyDescent="0.25">
      <c r="A400" s="14">
        <v>53113</v>
      </c>
      <c r="B400" s="17">
        <f>33.4237 * CHOOSE(CONTROL!$C$15, $E$9, 100%, $G$9) + CHOOSE(CONTROL!$C$38, 0.0355, 0)</f>
        <v>33.459199999999996</v>
      </c>
      <c r="C400" s="17">
        <f>30.6073 * CHOOSE(CONTROL!$C$15, $E$9, 100%, $G$9) + CHOOSE(CONTROL!$C$38, 0.0356, 0)</f>
        <v>30.642899999999997</v>
      </c>
      <c r="D400" s="17">
        <f>30.5995 * CHOOSE(CONTROL!$C$15, $E$9, 100%, $G$9) + CHOOSE(CONTROL!$C$38, 0.0356, 0)</f>
        <v>30.635099999999998</v>
      </c>
      <c r="E400" s="17">
        <f>30.5995 * CHOOSE(CONTROL!$C$15, $E$9, 100%, $G$9) + CHOOSE(CONTROL!$C$38, 0.0356, 0)</f>
        <v>30.635099999999998</v>
      </c>
      <c r="F400" s="46">
        <f>33.4237 * CHOOSE(CONTROL!$C$15, $E$9, 100%, $G$9) + CHOOSE(CONTROL!$C$38, 0.0355, 0)</f>
        <v>33.459199999999996</v>
      </c>
      <c r="G400" s="17">
        <f>30.6057 * CHOOSE(CONTROL!$C$15, $E$9, 100%, $G$9) + CHOOSE(CONTROL!$C$38, 0.0356, 0)</f>
        <v>30.641299999999998</v>
      </c>
      <c r="H400" s="17">
        <f>30.6057 * CHOOSE(CONTROL!$C$15, $E$9, 100%, $G$9) + CHOOSE(CONTROL!$C$38, 0.0356, 0)</f>
        <v>30.641299999999998</v>
      </c>
      <c r="I400" s="17">
        <f>30.6073 * CHOOSE(CONTROL!$C$15, $E$9, 100%, $G$9) + CHOOSE(CONTROL!$C$38, 0.0356, 0)</f>
        <v>30.642899999999997</v>
      </c>
      <c r="J400" s="45">
        <f>249.2411</f>
        <v>249.24109999999999</v>
      </c>
    </row>
    <row r="401" spans="1:10" ht="15.75" x14ac:dyDescent="0.25">
      <c r="A401" s="14">
        <v>53143</v>
      </c>
      <c r="B401" s="17">
        <f>32.8593 * CHOOSE(CONTROL!$C$15, $E$9, 100%, $G$9) + CHOOSE(CONTROL!$C$38, 0.0355, 0)</f>
        <v>32.894799999999996</v>
      </c>
      <c r="C401" s="17">
        <f>30.043 * CHOOSE(CONTROL!$C$15, $E$9, 100%, $G$9) + CHOOSE(CONTROL!$C$38, 0.0356, 0)</f>
        <v>30.078599999999998</v>
      </c>
      <c r="D401" s="17">
        <f>30.0351 * CHOOSE(CONTROL!$C$15, $E$9, 100%, $G$9) + CHOOSE(CONTROL!$C$38, 0.0356, 0)</f>
        <v>30.070699999999999</v>
      </c>
      <c r="E401" s="17">
        <f>30.0351 * CHOOSE(CONTROL!$C$15, $E$9, 100%, $G$9) + CHOOSE(CONTROL!$C$38, 0.0356, 0)</f>
        <v>30.070699999999999</v>
      </c>
      <c r="F401" s="46">
        <f>32.8593 * CHOOSE(CONTROL!$C$15, $E$9, 100%, $G$9) + CHOOSE(CONTROL!$C$38, 0.0355, 0)</f>
        <v>32.894799999999996</v>
      </c>
      <c r="G401" s="17">
        <f>30.0414 * CHOOSE(CONTROL!$C$15, $E$9, 100%, $G$9) + CHOOSE(CONTROL!$C$38, 0.0356, 0)</f>
        <v>30.076999999999998</v>
      </c>
      <c r="H401" s="17">
        <f>30.0414 * CHOOSE(CONTROL!$C$15, $E$9, 100%, $G$9) + CHOOSE(CONTROL!$C$38, 0.0356, 0)</f>
        <v>30.076999999999998</v>
      </c>
      <c r="I401" s="17">
        <f>30.043 * CHOOSE(CONTROL!$C$15, $E$9, 100%, $G$9) + CHOOSE(CONTROL!$C$38, 0.0356, 0)</f>
        <v>30.078599999999998</v>
      </c>
      <c r="J401" s="45">
        <f>252.8324</f>
        <v>252.83240000000001</v>
      </c>
    </row>
    <row r="402" spans="1:10" ht="15.75" x14ac:dyDescent="0.25">
      <c r="A402" s="14">
        <v>53174</v>
      </c>
      <c r="B402" s="17">
        <f>32.5373 * CHOOSE(CONTROL!$C$15, $E$9, 100%, $G$9) + CHOOSE(CONTROL!$C$38, 0.0355, 0)</f>
        <v>32.572800000000001</v>
      </c>
      <c r="C402" s="17">
        <f>29.7209 * CHOOSE(CONTROL!$C$15, $E$9, 100%, $G$9) + CHOOSE(CONTROL!$C$38, 0.0356, 0)</f>
        <v>29.756499999999999</v>
      </c>
      <c r="D402" s="17">
        <f>29.7131 * CHOOSE(CONTROL!$C$15, $E$9, 100%, $G$9) + CHOOSE(CONTROL!$C$38, 0.0356, 0)</f>
        <v>29.748699999999999</v>
      </c>
      <c r="E402" s="17">
        <f>29.7131 * CHOOSE(CONTROL!$C$15, $E$9, 100%, $G$9) + CHOOSE(CONTROL!$C$38, 0.0356, 0)</f>
        <v>29.748699999999999</v>
      </c>
      <c r="F402" s="46">
        <f>32.5373 * CHOOSE(CONTROL!$C$15, $E$9, 100%, $G$9) + CHOOSE(CONTROL!$C$38, 0.0355, 0)</f>
        <v>32.572800000000001</v>
      </c>
      <c r="G402" s="17">
        <f>29.7193 * CHOOSE(CONTROL!$C$15, $E$9, 100%, $G$9) + CHOOSE(CONTROL!$C$38, 0.0356, 0)</f>
        <v>29.754899999999999</v>
      </c>
      <c r="H402" s="17">
        <f>29.7193 * CHOOSE(CONTROL!$C$15, $E$9, 100%, $G$9) + CHOOSE(CONTROL!$C$38, 0.0356, 0)</f>
        <v>29.754899999999999</v>
      </c>
      <c r="I402" s="17">
        <f>29.7209 * CHOOSE(CONTROL!$C$15, $E$9, 100%, $G$9) + CHOOSE(CONTROL!$C$38, 0.0356, 0)</f>
        <v>29.756499999999999</v>
      </c>
      <c r="J402" s="45">
        <f>251.65</f>
        <v>251.65</v>
      </c>
    </row>
    <row r="403" spans="1:10" ht="15.75" x14ac:dyDescent="0.25">
      <c r="A403" s="14">
        <v>53205</v>
      </c>
      <c r="B403" s="17">
        <f>32.6962 * CHOOSE(CONTROL!$C$15, $E$9, 100%, $G$9) + CHOOSE(CONTROL!$C$38, 0.0355, 0)</f>
        <v>32.731699999999996</v>
      </c>
      <c r="C403" s="17">
        <f>29.8798 * CHOOSE(CONTROL!$C$15, $E$9, 100%, $G$9) + CHOOSE(CONTROL!$C$38, 0.0356, 0)</f>
        <v>29.915399999999998</v>
      </c>
      <c r="D403" s="17">
        <f>29.872 * CHOOSE(CONTROL!$C$15, $E$9, 100%, $G$9) + CHOOSE(CONTROL!$C$38, 0.0356, 0)</f>
        <v>29.907599999999999</v>
      </c>
      <c r="E403" s="17">
        <f>29.872 * CHOOSE(CONTROL!$C$15, $E$9, 100%, $G$9) + CHOOSE(CONTROL!$C$38, 0.0356, 0)</f>
        <v>29.907599999999999</v>
      </c>
      <c r="F403" s="46">
        <f>32.6962 * CHOOSE(CONTROL!$C$15, $E$9, 100%, $G$9) + CHOOSE(CONTROL!$C$38, 0.0355, 0)</f>
        <v>32.731699999999996</v>
      </c>
      <c r="G403" s="17">
        <f>29.8783 * CHOOSE(CONTROL!$C$15, $E$9, 100%, $G$9) + CHOOSE(CONTROL!$C$38, 0.0356, 0)</f>
        <v>29.913899999999998</v>
      </c>
      <c r="H403" s="17">
        <f>29.8783 * CHOOSE(CONTROL!$C$15, $E$9, 100%, $G$9) + CHOOSE(CONTROL!$C$38, 0.0356, 0)</f>
        <v>29.913899999999998</v>
      </c>
      <c r="I403" s="17">
        <f>29.8798 * CHOOSE(CONTROL!$C$15, $E$9, 100%, $G$9) + CHOOSE(CONTROL!$C$38, 0.0356, 0)</f>
        <v>29.915399999999998</v>
      </c>
      <c r="J403" s="45">
        <f>245.7917</f>
        <v>245.79169999999999</v>
      </c>
    </row>
    <row r="404" spans="1:10" ht="15.75" x14ac:dyDescent="0.25">
      <c r="A404" s="14">
        <v>53235</v>
      </c>
      <c r="B404" s="17">
        <f>33.1279 * CHOOSE(CONTROL!$C$15, $E$9, 100%, $G$9) + CHOOSE(CONTROL!$C$38, 0.0355, 0)</f>
        <v>33.163399999999996</v>
      </c>
      <c r="C404" s="17">
        <f>30.3116 * CHOOSE(CONTROL!$C$15, $E$9, 100%, $G$9) + CHOOSE(CONTROL!$C$38, 0.0356, 0)</f>
        <v>30.347199999999997</v>
      </c>
      <c r="D404" s="17">
        <f>30.3037 * CHOOSE(CONTROL!$C$15, $E$9, 100%, $G$9) + CHOOSE(CONTROL!$C$38, 0.0356, 0)</f>
        <v>30.339299999999998</v>
      </c>
      <c r="E404" s="17">
        <f>30.3037 * CHOOSE(CONTROL!$C$15, $E$9, 100%, $G$9) + CHOOSE(CONTROL!$C$38, 0.0356, 0)</f>
        <v>30.339299999999998</v>
      </c>
      <c r="F404" s="46">
        <f>33.1279 * CHOOSE(CONTROL!$C$15, $E$9, 100%, $G$9) + CHOOSE(CONTROL!$C$38, 0.0355, 0)</f>
        <v>33.163399999999996</v>
      </c>
      <c r="G404" s="17">
        <f>30.31 * CHOOSE(CONTROL!$C$15, $E$9, 100%, $G$9) + CHOOSE(CONTROL!$C$38, 0.0356, 0)</f>
        <v>30.345599999999997</v>
      </c>
      <c r="H404" s="17">
        <f>30.31 * CHOOSE(CONTROL!$C$15, $E$9, 100%, $G$9) + CHOOSE(CONTROL!$C$38, 0.0356, 0)</f>
        <v>30.345599999999997</v>
      </c>
      <c r="I404" s="17">
        <f>30.3116 * CHOOSE(CONTROL!$C$15, $E$9, 100%, $G$9) + CHOOSE(CONTROL!$C$38, 0.0356, 0)</f>
        <v>30.347199999999997</v>
      </c>
      <c r="J404" s="45">
        <f>237.622</f>
        <v>237.62200000000001</v>
      </c>
    </row>
    <row r="405" spans="1:10" ht="15.75" x14ac:dyDescent="0.25">
      <c r="A405" s="14">
        <v>53266</v>
      </c>
      <c r="B405" s="17">
        <f>33.4895 * CHOOSE(CONTROL!$C$15, $E$9, 100%, $G$9) + CHOOSE(CONTROL!$C$38, 0.0342, 0)</f>
        <v>33.523699999999998</v>
      </c>
      <c r="C405" s="17">
        <f>30.6731 * CHOOSE(CONTROL!$C$15, $E$9, 100%, $G$9) + CHOOSE(CONTROL!$C$38, 0.0343, 0)</f>
        <v>30.7074</v>
      </c>
      <c r="D405" s="17">
        <f>30.6653 * CHOOSE(CONTROL!$C$15, $E$9, 100%, $G$9) + CHOOSE(CONTROL!$C$38, 0.0343, 0)</f>
        <v>30.699599999999997</v>
      </c>
      <c r="E405" s="17">
        <f>30.6653 * CHOOSE(CONTROL!$C$15, $E$9, 100%, $G$9) + CHOOSE(CONTROL!$C$38, 0.0343, 0)</f>
        <v>30.699599999999997</v>
      </c>
      <c r="F405" s="46">
        <f>33.4895 * CHOOSE(CONTROL!$C$15, $E$9, 100%, $G$9) + CHOOSE(CONTROL!$C$38, 0.0342, 0)</f>
        <v>33.523699999999998</v>
      </c>
      <c r="G405" s="17">
        <f>30.6716 * CHOOSE(CONTROL!$C$15, $E$9, 100%, $G$9) + CHOOSE(CONTROL!$C$38, 0.0343, 0)</f>
        <v>30.7059</v>
      </c>
      <c r="H405" s="17">
        <f>30.6716 * CHOOSE(CONTROL!$C$15, $E$9, 100%, $G$9) + CHOOSE(CONTROL!$C$38, 0.0343, 0)</f>
        <v>30.7059</v>
      </c>
      <c r="I405" s="17">
        <f>30.6731 * CHOOSE(CONTROL!$C$15, $E$9, 100%, $G$9) + CHOOSE(CONTROL!$C$38, 0.0343, 0)</f>
        <v>30.7074</v>
      </c>
      <c r="J405" s="45">
        <f>229.4048</f>
        <v>229.40479999999999</v>
      </c>
    </row>
    <row r="406" spans="1:10" ht="15.75" x14ac:dyDescent="0.25">
      <c r="A406" s="14">
        <v>53296</v>
      </c>
      <c r="B406" s="17">
        <f>33.7912 * CHOOSE(CONTROL!$C$15, $E$9, 100%, $G$9) + CHOOSE(CONTROL!$C$38, 0.0342, 0)</f>
        <v>33.825400000000002</v>
      </c>
      <c r="C406" s="17">
        <f>30.9748 * CHOOSE(CONTROL!$C$15, $E$9, 100%, $G$9) + CHOOSE(CONTROL!$C$38, 0.0343, 0)</f>
        <v>31.009099999999997</v>
      </c>
      <c r="D406" s="17">
        <f>30.967 * CHOOSE(CONTROL!$C$15, $E$9, 100%, $G$9) + CHOOSE(CONTROL!$C$38, 0.0343, 0)</f>
        <v>31.001300000000001</v>
      </c>
      <c r="E406" s="17">
        <f>30.967 * CHOOSE(CONTROL!$C$15, $E$9, 100%, $G$9) + CHOOSE(CONTROL!$C$38, 0.0343, 0)</f>
        <v>31.001300000000001</v>
      </c>
      <c r="F406" s="46">
        <f>33.7912 * CHOOSE(CONTROL!$C$15, $E$9, 100%, $G$9) + CHOOSE(CONTROL!$C$38, 0.0342, 0)</f>
        <v>33.825400000000002</v>
      </c>
      <c r="G406" s="17">
        <f>30.9733 * CHOOSE(CONTROL!$C$15, $E$9, 100%, $G$9) + CHOOSE(CONTROL!$C$38, 0.0343, 0)</f>
        <v>31.007599999999996</v>
      </c>
      <c r="H406" s="17">
        <f>30.9733 * CHOOSE(CONTROL!$C$15, $E$9, 100%, $G$9) + CHOOSE(CONTROL!$C$38, 0.0343, 0)</f>
        <v>31.007599999999996</v>
      </c>
      <c r="I406" s="17">
        <f>30.9748 * CHOOSE(CONTROL!$C$15, $E$9, 100%, $G$9) + CHOOSE(CONTROL!$C$38, 0.0343, 0)</f>
        <v>31.009099999999997</v>
      </c>
      <c r="J406" s="45">
        <f>227.7702</f>
        <v>227.77019999999999</v>
      </c>
    </row>
    <row r="407" spans="1:10" ht="15.75" x14ac:dyDescent="0.25">
      <c r="A407" s="14">
        <v>53327</v>
      </c>
      <c r="B407" s="17">
        <f>34.7209 * CHOOSE(CONTROL!$C$15, $E$9, 100%, $G$9) + CHOOSE(CONTROL!$C$38, 0.0342, 0)</f>
        <v>34.755099999999999</v>
      </c>
      <c r="C407" s="17">
        <f>31.9045 * CHOOSE(CONTROL!$C$15, $E$9, 100%, $G$9) + CHOOSE(CONTROL!$C$38, 0.0343, 0)</f>
        <v>31.938800000000001</v>
      </c>
      <c r="D407" s="17">
        <f>31.8967 * CHOOSE(CONTROL!$C$15, $E$9, 100%, $G$9) + CHOOSE(CONTROL!$C$38, 0.0343, 0)</f>
        <v>31.930999999999997</v>
      </c>
      <c r="E407" s="17">
        <f>31.8967 * CHOOSE(CONTROL!$C$15, $E$9, 100%, $G$9) + CHOOSE(CONTROL!$C$38, 0.0343, 0)</f>
        <v>31.930999999999997</v>
      </c>
      <c r="F407" s="46">
        <f>34.7209 * CHOOSE(CONTROL!$C$15, $E$9, 100%, $G$9) + CHOOSE(CONTROL!$C$38, 0.0342, 0)</f>
        <v>34.755099999999999</v>
      </c>
      <c r="G407" s="17">
        <f>31.9029 * CHOOSE(CONTROL!$C$15, $E$9, 100%, $G$9) + CHOOSE(CONTROL!$C$38, 0.0343, 0)</f>
        <v>31.937199999999997</v>
      </c>
      <c r="H407" s="17">
        <f>31.9029 * CHOOSE(CONTROL!$C$15, $E$9, 100%, $G$9) + CHOOSE(CONTROL!$C$38, 0.0343, 0)</f>
        <v>31.937199999999997</v>
      </c>
      <c r="I407" s="17">
        <f>31.9045 * CHOOSE(CONTROL!$C$15, $E$9, 100%, $G$9) + CHOOSE(CONTROL!$C$38, 0.0343, 0)</f>
        <v>31.938800000000001</v>
      </c>
      <c r="J407" s="45">
        <f>221.0111</f>
        <v>221.0111</v>
      </c>
    </row>
    <row r="408" spans="1:10" ht="15.75" x14ac:dyDescent="0.25">
      <c r="A408" s="14">
        <v>53358</v>
      </c>
      <c r="B408" s="17">
        <f>36.0133 * CHOOSE(CONTROL!$C$15, $E$9, 100%, $G$9) + CHOOSE(CONTROL!$C$38, 0.0342, 0)</f>
        <v>36.047499999999999</v>
      </c>
      <c r="C408" s="17">
        <f>33.1522 * CHOOSE(CONTROL!$C$15, $E$9, 100%, $G$9) + CHOOSE(CONTROL!$C$38, 0.0343, 0)</f>
        <v>33.186500000000002</v>
      </c>
      <c r="D408" s="17">
        <f>33.1444 * CHOOSE(CONTROL!$C$15, $E$9, 100%, $G$9) + CHOOSE(CONTROL!$C$38, 0.0343, 0)</f>
        <v>33.178699999999999</v>
      </c>
      <c r="E408" s="17">
        <f>33.1444 * CHOOSE(CONTROL!$C$15, $E$9, 100%, $G$9) + CHOOSE(CONTROL!$C$38, 0.0343, 0)</f>
        <v>33.178699999999999</v>
      </c>
      <c r="F408" s="46">
        <f>36.0133 * CHOOSE(CONTROL!$C$15, $E$9, 100%, $G$9) + CHOOSE(CONTROL!$C$38, 0.0342, 0)</f>
        <v>36.047499999999999</v>
      </c>
      <c r="G408" s="17">
        <f>33.1506 * CHOOSE(CONTROL!$C$15, $E$9, 100%, $G$9) + CHOOSE(CONTROL!$C$38, 0.0343, 0)</f>
        <v>33.184899999999999</v>
      </c>
      <c r="H408" s="17">
        <f>33.1506 * CHOOSE(CONTROL!$C$15, $E$9, 100%, $G$9) + CHOOSE(CONTROL!$C$38, 0.0343, 0)</f>
        <v>33.184899999999999</v>
      </c>
      <c r="I408" s="17">
        <f>33.1522 * CHOOSE(CONTROL!$C$15, $E$9, 100%, $G$9) + CHOOSE(CONTROL!$C$38, 0.0343, 0)</f>
        <v>33.186500000000002</v>
      </c>
      <c r="J408" s="45">
        <f>220.8515</f>
        <v>220.85149999999999</v>
      </c>
    </row>
    <row r="409" spans="1:10" ht="15.75" x14ac:dyDescent="0.25">
      <c r="A409" s="14">
        <v>53386</v>
      </c>
      <c r="B409" s="17">
        <f>36.3576 * CHOOSE(CONTROL!$C$15, $E$9, 100%, $G$9) + CHOOSE(CONTROL!$C$38, 0.0342, 0)</f>
        <v>36.391799999999996</v>
      </c>
      <c r="C409" s="17">
        <f>33.4965 * CHOOSE(CONTROL!$C$15, $E$9, 100%, $G$9) + CHOOSE(CONTROL!$C$38, 0.0343, 0)</f>
        <v>33.530799999999999</v>
      </c>
      <c r="D409" s="17">
        <f>33.4887 * CHOOSE(CONTROL!$C$15, $E$9, 100%, $G$9) + CHOOSE(CONTROL!$C$38, 0.0343, 0)</f>
        <v>33.523000000000003</v>
      </c>
      <c r="E409" s="17">
        <f>33.4887 * CHOOSE(CONTROL!$C$15, $E$9, 100%, $G$9) + CHOOSE(CONTROL!$C$38, 0.0343, 0)</f>
        <v>33.523000000000003</v>
      </c>
      <c r="F409" s="46">
        <f>36.3576 * CHOOSE(CONTROL!$C$15, $E$9, 100%, $G$9) + CHOOSE(CONTROL!$C$38, 0.0342, 0)</f>
        <v>36.391799999999996</v>
      </c>
      <c r="G409" s="17">
        <f>33.495 * CHOOSE(CONTROL!$C$15, $E$9, 100%, $G$9) + CHOOSE(CONTROL!$C$38, 0.0343, 0)</f>
        <v>33.529299999999999</v>
      </c>
      <c r="H409" s="17">
        <f>33.495 * CHOOSE(CONTROL!$C$15, $E$9, 100%, $G$9) + CHOOSE(CONTROL!$C$38, 0.0343, 0)</f>
        <v>33.529299999999999</v>
      </c>
      <c r="I409" s="17">
        <f>33.4965 * CHOOSE(CONTROL!$C$15, $E$9, 100%, $G$9) + CHOOSE(CONTROL!$C$38, 0.0343, 0)</f>
        <v>33.530799999999999</v>
      </c>
      <c r="J409" s="45">
        <f>220.2377</f>
        <v>220.23769999999999</v>
      </c>
    </row>
    <row r="410" spans="1:10" ht="15.75" x14ac:dyDescent="0.25">
      <c r="A410" s="14">
        <v>53417</v>
      </c>
      <c r="B410" s="17">
        <f>35.5605 * CHOOSE(CONTROL!$C$15, $E$9, 100%, $G$9) + CHOOSE(CONTROL!$C$38, 0.0342, 0)</f>
        <v>35.594699999999996</v>
      </c>
      <c r="C410" s="17">
        <f>32.6995 * CHOOSE(CONTROL!$C$15, $E$9, 100%, $G$9) + CHOOSE(CONTROL!$C$38, 0.0343, 0)</f>
        <v>32.733800000000002</v>
      </c>
      <c r="D410" s="17">
        <f>32.6917 * CHOOSE(CONTROL!$C$15, $E$9, 100%, $G$9) + CHOOSE(CONTROL!$C$38, 0.0343, 0)</f>
        <v>32.725999999999999</v>
      </c>
      <c r="E410" s="17">
        <f>32.6917 * CHOOSE(CONTROL!$C$15, $E$9, 100%, $G$9) + CHOOSE(CONTROL!$C$38, 0.0343, 0)</f>
        <v>32.725999999999999</v>
      </c>
      <c r="F410" s="46">
        <f>35.5605 * CHOOSE(CONTROL!$C$15, $E$9, 100%, $G$9) + CHOOSE(CONTROL!$C$38, 0.0342, 0)</f>
        <v>35.594699999999996</v>
      </c>
      <c r="G410" s="17">
        <f>32.6979 * CHOOSE(CONTROL!$C$15, $E$9, 100%, $G$9) + CHOOSE(CONTROL!$C$38, 0.0343, 0)</f>
        <v>32.732199999999999</v>
      </c>
      <c r="H410" s="17">
        <f>32.6979 * CHOOSE(CONTROL!$C$15, $E$9, 100%, $G$9) + CHOOSE(CONTROL!$C$38, 0.0343, 0)</f>
        <v>32.732199999999999</v>
      </c>
      <c r="I410" s="17">
        <f>32.6995 * CHOOSE(CONTROL!$C$15, $E$9, 100%, $G$9) + CHOOSE(CONTROL!$C$38, 0.0343, 0)</f>
        <v>32.733800000000002</v>
      </c>
      <c r="J410" s="45">
        <f>231.8455</f>
        <v>231.84549999999999</v>
      </c>
    </row>
    <row r="411" spans="1:10" ht="15.75" x14ac:dyDescent="0.25">
      <c r="A411" s="14">
        <v>53447</v>
      </c>
      <c r="B411" s="17">
        <f>34.7882 * CHOOSE(CONTROL!$C$15, $E$9, 100%, $G$9) + CHOOSE(CONTROL!$C$38, 0.0342, 0)</f>
        <v>34.822400000000002</v>
      </c>
      <c r="C411" s="17">
        <f>31.9272 * CHOOSE(CONTROL!$C$15, $E$9, 100%, $G$9) + CHOOSE(CONTROL!$C$38, 0.0343, 0)</f>
        <v>31.961500000000001</v>
      </c>
      <c r="D411" s="17">
        <f>31.9194 * CHOOSE(CONTROL!$C$15, $E$9, 100%, $G$9) + CHOOSE(CONTROL!$C$38, 0.0343, 0)</f>
        <v>31.953699999999998</v>
      </c>
      <c r="E411" s="17">
        <f>31.9194 * CHOOSE(CONTROL!$C$15, $E$9, 100%, $G$9) + CHOOSE(CONTROL!$C$38, 0.0343, 0)</f>
        <v>31.953699999999998</v>
      </c>
      <c r="F411" s="46">
        <f>34.7882 * CHOOSE(CONTROL!$C$15, $E$9, 100%, $G$9) + CHOOSE(CONTROL!$C$38, 0.0342, 0)</f>
        <v>34.822400000000002</v>
      </c>
      <c r="G411" s="17">
        <f>31.9256 * CHOOSE(CONTROL!$C$15, $E$9, 100%, $G$9) + CHOOSE(CONTROL!$C$38, 0.0343, 0)</f>
        <v>31.959899999999998</v>
      </c>
      <c r="H411" s="17">
        <f>31.9256 * CHOOSE(CONTROL!$C$15, $E$9, 100%, $G$9) + CHOOSE(CONTROL!$C$38, 0.0343, 0)</f>
        <v>31.959899999999998</v>
      </c>
      <c r="I411" s="17">
        <f>31.9272 * CHOOSE(CONTROL!$C$15, $E$9, 100%, $G$9) + CHOOSE(CONTROL!$C$38, 0.0343, 0)</f>
        <v>31.961500000000001</v>
      </c>
      <c r="J411" s="45">
        <f>246.898</f>
        <v>246.898</v>
      </c>
    </row>
    <row r="412" spans="1:10" ht="15.75" x14ac:dyDescent="0.25">
      <c r="A412" s="14">
        <v>53478</v>
      </c>
      <c r="B412" s="17">
        <f>33.9833 * CHOOSE(CONTROL!$C$15, $E$9, 100%, $G$9) + CHOOSE(CONTROL!$C$38, 0.0355, 0)</f>
        <v>34.018799999999999</v>
      </c>
      <c r="C412" s="17">
        <f>31.2822 * CHOOSE(CONTROL!$C$15, $E$9, 100%, $G$9) + CHOOSE(CONTROL!$C$38, 0.0356, 0)</f>
        <v>31.317799999999998</v>
      </c>
      <c r="D412" s="17">
        <f>31.2744 * CHOOSE(CONTROL!$C$15, $E$9, 100%, $G$9) + CHOOSE(CONTROL!$C$38, 0.0356, 0)</f>
        <v>31.31</v>
      </c>
      <c r="E412" s="17">
        <f>31.2744 * CHOOSE(CONTROL!$C$15, $E$9, 100%, $G$9) + CHOOSE(CONTROL!$C$38, 0.0356, 0)</f>
        <v>31.31</v>
      </c>
      <c r="F412" s="46">
        <f>33.9833 * CHOOSE(CONTROL!$C$15, $E$9, 100%, $G$9) + CHOOSE(CONTROL!$C$38, 0.0355, 0)</f>
        <v>34.018799999999999</v>
      </c>
      <c r="G412" s="17">
        <f>31.2807 * CHOOSE(CONTROL!$C$15, $E$9, 100%, $G$9) + CHOOSE(CONTROL!$C$38, 0.0356, 0)</f>
        <v>31.316299999999998</v>
      </c>
      <c r="H412" s="17">
        <f>31.2807 * CHOOSE(CONTROL!$C$15, $E$9, 100%, $G$9) + CHOOSE(CONTROL!$C$38, 0.0356, 0)</f>
        <v>31.316299999999998</v>
      </c>
      <c r="I412" s="17">
        <f>31.2822 * CHOOSE(CONTROL!$C$15, $E$9, 100%, $G$9) + CHOOSE(CONTROL!$C$38, 0.0356, 0)</f>
        <v>31.317799999999998</v>
      </c>
      <c r="J412" s="45">
        <f>255.1834</f>
        <v>255.18340000000001</v>
      </c>
    </row>
    <row r="413" spans="1:10" ht="15.75" x14ac:dyDescent="0.25">
      <c r="A413" s="14">
        <v>53508</v>
      </c>
      <c r="B413" s="17">
        <f>33.4189 * CHOOSE(CONTROL!$C$15, $E$9, 100%, $G$9) + CHOOSE(CONTROL!$C$38, 0.0355, 0)</f>
        <v>33.4544</v>
      </c>
      <c r="C413" s="17">
        <f>30.5579 * CHOOSE(CONTROL!$C$15, $E$9, 100%, $G$9) + CHOOSE(CONTROL!$C$38, 0.0356, 0)</f>
        <v>30.593499999999999</v>
      </c>
      <c r="D413" s="17">
        <f>30.5501 * CHOOSE(CONTROL!$C$15, $E$9, 100%, $G$9) + CHOOSE(CONTROL!$C$38, 0.0356, 0)</f>
        <v>30.585699999999999</v>
      </c>
      <c r="E413" s="17">
        <f>30.5501 * CHOOSE(CONTROL!$C$15, $E$9, 100%, $G$9) + CHOOSE(CONTROL!$C$38, 0.0356, 0)</f>
        <v>30.585699999999999</v>
      </c>
      <c r="F413" s="46">
        <f>33.4189 * CHOOSE(CONTROL!$C$15, $E$9, 100%, $G$9) + CHOOSE(CONTROL!$C$38, 0.0355, 0)</f>
        <v>33.4544</v>
      </c>
      <c r="G413" s="17">
        <f>30.5563 * CHOOSE(CONTROL!$C$15, $E$9, 100%, $G$9) + CHOOSE(CONTROL!$C$38, 0.0356, 0)</f>
        <v>30.591899999999999</v>
      </c>
      <c r="H413" s="17">
        <f>30.5563 * CHOOSE(CONTROL!$C$15, $E$9, 100%, $G$9) + CHOOSE(CONTROL!$C$38, 0.0356, 0)</f>
        <v>30.591899999999999</v>
      </c>
      <c r="I413" s="17">
        <f>30.5579 * CHOOSE(CONTROL!$C$15, $E$9, 100%, $G$9) + CHOOSE(CONTROL!$C$38, 0.0356, 0)</f>
        <v>30.593499999999999</v>
      </c>
      <c r="J413" s="45">
        <f>258.8603</f>
        <v>258.8603</v>
      </c>
    </row>
    <row r="414" spans="1:10" ht="15.75" x14ac:dyDescent="0.25">
      <c r="A414" s="14">
        <v>53539</v>
      </c>
      <c r="B414" s="17">
        <f>33.0969 * CHOOSE(CONTROL!$C$15, $E$9, 100%, $G$9) + CHOOSE(CONTROL!$C$38, 0.0355, 0)</f>
        <v>33.132399999999997</v>
      </c>
      <c r="C414" s="17">
        <f>30.2358 * CHOOSE(CONTROL!$C$15, $E$9, 100%, $G$9) + CHOOSE(CONTROL!$C$38, 0.0356, 0)</f>
        <v>30.2714</v>
      </c>
      <c r="D414" s="17">
        <f>30.228 * CHOOSE(CONTROL!$C$15, $E$9, 100%, $G$9) + CHOOSE(CONTROL!$C$38, 0.0356, 0)</f>
        <v>30.2636</v>
      </c>
      <c r="E414" s="17">
        <f>30.228 * CHOOSE(CONTROL!$C$15, $E$9, 100%, $G$9) + CHOOSE(CONTROL!$C$38, 0.0356, 0)</f>
        <v>30.2636</v>
      </c>
      <c r="F414" s="46">
        <f>33.0969 * CHOOSE(CONTROL!$C$15, $E$9, 100%, $G$9) + CHOOSE(CONTROL!$C$38, 0.0355, 0)</f>
        <v>33.132399999999997</v>
      </c>
      <c r="G414" s="17">
        <f>30.2343 * CHOOSE(CONTROL!$C$15, $E$9, 100%, $G$9) + CHOOSE(CONTROL!$C$38, 0.0356, 0)</f>
        <v>30.2699</v>
      </c>
      <c r="H414" s="17">
        <f>30.2343 * CHOOSE(CONTROL!$C$15, $E$9, 100%, $G$9) + CHOOSE(CONTROL!$C$38, 0.0356, 0)</f>
        <v>30.2699</v>
      </c>
      <c r="I414" s="17">
        <f>30.2358 * CHOOSE(CONTROL!$C$15, $E$9, 100%, $G$9) + CHOOSE(CONTROL!$C$38, 0.0356, 0)</f>
        <v>30.2714</v>
      </c>
      <c r="J414" s="45">
        <f>257.6497</f>
        <v>257.6497</v>
      </c>
    </row>
    <row r="415" spans="1:10" ht="15.75" x14ac:dyDescent="0.25">
      <c r="A415" s="14">
        <v>53570</v>
      </c>
      <c r="B415" s="17">
        <f>33.2558 * CHOOSE(CONTROL!$C$15, $E$9, 100%, $G$9) + CHOOSE(CONTROL!$C$38, 0.0355, 0)</f>
        <v>33.2913</v>
      </c>
      <c r="C415" s="17">
        <f>30.3948 * CHOOSE(CONTROL!$C$15, $E$9, 100%, $G$9) + CHOOSE(CONTROL!$C$38, 0.0356, 0)</f>
        <v>30.430399999999999</v>
      </c>
      <c r="D415" s="17">
        <f>30.3869 * CHOOSE(CONTROL!$C$15, $E$9, 100%, $G$9) + CHOOSE(CONTROL!$C$38, 0.0356, 0)</f>
        <v>30.422499999999999</v>
      </c>
      <c r="E415" s="17">
        <f>30.3869 * CHOOSE(CONTROL!$C$15, $E$9, 100%, $G$9) + CHOOSE(CONTROL!$C$38, 0.0356, 0)</f>
        <v>30.422499999999999</v>
      </c>
      <c r="F415" s="46">
        <f>33.2558 * CHOOSE(CONTROL!$C$15, $E$9, 100%, $G$9) + CHOOSE(CONTROL!$C$38, 0.0355, 0)</f>
        <v>33.2913</v>
      </c>
      <c r="G415" s="17">
        <f>30.3932 * CHOOSE(CONTROL!$C$15, $E$9, 100%, $G$9) + CHOOSE(CONTROL!$C$38, 0.0356, 0)</f>
        <v>30.428799999999999</v>
      </c>
      <c r="H415" s="17">
        <f>30.3932 * CHOOSE(CONTROL!$C$15, $E$9, 100%, $G$9) + CHOOSE(CONTROL!$C$38, 0.0356, 0)</f>
        <v>30.428799999999999</v>
      </c>
      <c r="I415" s="17">
        <f>30.3948 * CHOOSE(CONTROL!$C$15, $E$9, 100%, $G$9) + CHOOSE(CONTROL!$C$38, 0.0356, 0)</f>
        <v>30.430399999999999</v>
      </c>
      <c r="J415" s="45">
        <f>251.6517</f>
        <v>251.65170000000001</v>
      </c>
    </row>
    <row r="416" spans="1:10" ht="15.75" x14ac:dyDescent="0.25">
      <c r="A416" s="14">
        <v>53600</v>
      </c>
      <c r="B416" s="17">
        <f>33.6875 * CHOOSE(CONTROL!$C$15, $E$9, 100%, $G$9) + CHOOSE(CONTROL!$C$38, 0.0355, 0)</f>
        <v>33.722999999999999</v>
      </c>
      <c r="C416" s="17">
        <f>30.8265 * CHOOSE(CONTROL!$C$15, $E$9, 100%, $G$9) + CHOOSE(CONTROL!$C$38, 0.0356, 0)</f>
        <v>30.862099999999998</v>
      </c>
      <c r="D416" s="17">
        <f>30.8187 * CHOOSE(CONTROL!$C$15, $E$9, 100%, $G$9) + CHOOSE(CONTROL!$C$38, 0.0356, 0)</f>
        <v>30.854299999999999</v>
      </c>
      <c r="E416" s="17">
        <f>30.8187 * CHOOSE(CONTROL!$C$15, $E$9, 100%, $G$9) + CHOOSE(CONTROL!$C$38, 0.0356, 0)</f>
        <v>30.854299999999999</v>
      </c>
      <c r="F416" s="46">
        <f>33.6875 * CHOOSE(CONTROL!$C$15, $E$9, 100%, $G$9) + CHOOSE(CONTROL!$C$38, 0.0355, 0)</f>
        <v>33.722999999999999</v>
      </c>
      <c r="G416" s="17">
        <f>30.8249 * CHOOSE(CONTROL!$C$15, $E$9, 100%, $G$9) + CHOOSE(CONTROL!$C$38, 0.0356, 0)</f>
        <v>30.860499999999998</v>
      </c>
      <c r="H416" s="17">
        <f>30.8249 * CHOOSE(CONTROL!$C$15, $E$9, 100%, $G$9) + CHOOSE(CONTROL!$C$38, 0.0356, 0)</f>
        <v>30.860499999999998</v>
      </c>
      <c r="I416" s="17">
        <f>30.8265 * CHOOSE(CONTROL!$C$15, $E$9, 100%, $G$9) + CHOOSE(CONTROL!$C$38, 0.0356, 0)</f>
        <v>30.862099999999998</v>
      </c>
      <c r="J416" s="45">
        <f>243.2873</f>
        <v>243.28729999999999</v>
      </c>
    </row>
    <row r="417" spans="1:10" ht="15.75" x14ac:dyDescent="0.25">
      <c r="A417" s="14">
        <v>53631</v>
      </c>
      <c r="B417" s="17">
        <f>34.0491 * CHOOSE(CONTROL!$C$15, $E$9, 100%, $G$9) + CHOOSE(CONTROL!$C$38, 0.0342, 0)</f>
        <v>34.083300000000001</v>
      </c>
      <c r="C417" s="17">
        <f>31.188 * CHOOSE(CONTROL!$C$15, $E$9, 100%, $G$9) + CHOOSE(CONTROL!$C$38, 0.0343, 0)</f>
        <v>31.222299999999997</v>
      </c>
      <c r="D417" s="17">
        <f>31.1802 * CHOOSE(CONTROL!$C$15, $E$9, 100%, $G$9) + CHOOSE(CONTROL!$C$38, 0.0343, 0)</f>
        <v>31.214500000000001</v>
      </c>
      <c r="E417" s="17">
        <f>31.1802 * CHOOSE(CONTROL!$C$15, $E$9, 100%, $G$9) + CHOOSE(CONTROL!$C$38, 0.0343, 0)</f>
        <v>31.214500000000001</v>
      </c>
      <c r="F417" s="46">
        <f>34.0491 * CHOOSE(CONTROL!$C$15, $E$9, 100%, $G$9) + CHOOSE(CONTROL!$C$38, 0.0342, 0)</f>
        <v>34.083300000000001</v>
      </c>
      <c r="G417" s="17">
        <f>31.1865 * CHOOSE(CONTROL!$C$15, $E$9, 100%, $G$9) + CHOOSE(CONTROL!$C$38, 0.0343, 0)</f>
        <v>31.220799999999997</v>
      </c>
      <c r="H417" s="17">
        <f>31.1865 * CHOOSE(CONTROL!$C$15, $E$9, 100%, $G$9) + CHOOSE(CONTROL!$C$38, 0.0343, 0)</f>
        <v>31.220799999999997</v>
      </c>
      <c r="I417" s="17">
        <f>31.188 * CHOOSE(CONTROL!$C$15, $E$9, 100%, $G$9) + CHOOSE(CONTROL!$C$38, 0.0343, 0)</f>
        <v>31.222299999999997</v>
      </c>
      <c r="J417" s="45">
        <f>234.8741</f>
        <v>234.8741</v>
      </c>
    </row>
    <row r="418" spans="1:10" ht="15.75" x14ac:dyDescent="0.25">
      <c r="A418" s="14">
        <v>53661</v>
      </c>
      <c r="B418" s="17">
        <f>34.3508 * CHOOSE(CONTROL!$C$15, $E$9, 100%, $G$9) + CHOOSE(CONTROL!$C$38, 0.0342, 0)</f>
        <v>34.384999999999998</v>
      </c>
      <c r="C418" s="17">
        <f>31.4897 * CHOOSE(CONTROL!$C$15, $E$9, 100%, $G$9) + CHOOSE(CONTROL!$C$38, 0.0343, 0)</f>
        <v>31.524000000000001</v>
      </c>
      <c r="D418" s="17">
        <f>31.4819 * CHOOSE(CONTROL!$C$15, $E$9, 100%, $G$9) + CHOOSE(CONTROL!$C$38, 0.0343, 0)</f>
        <v>31.516199999999998</v>
      </c>
      <c r="E418" s="17">
        <f>31.4819 * CHOOSE(CONTROL!$C$15, $E$9, 100%, $G$9) + CHOOSE(CONTROL!$C$38, 0.0343, 0)</f>
        <v>31.516199999999998</v>
      </c>
      <c r="F418" s="46">
        <f>34.3508 * CHOOSE(CONTROL!$C$15, $E$9, 100%, $G$9) + CHOOSE(CONTROL!$C$38, 0.0342, 0)</f>
        <v>34.384999999999998</v>
      </c>
      <c r="G418" s="17">
        <f>31.4882 * CHOOSE(CONTROL!$C$15, $E$9, 100%, $G$9) + CHOOSE(CONTROL!$C$38, 0.0343, 0)</f>
        <v>31.522500000000001</v>
      </c>
      <c r="H418" s="17">
        <f>31.4882 * CHOOSE(CONTROL!$C$15, $E$9, 100%, $G$9) + CHOOSE(CONTROL!$C$38, 0.0343, 0)</f>
        <v>31.522500000000001</v>
      </c>
      <c r="I418" s="17">
        <f>31.4897 * CHOOSE(CONTROL!$C$15, $E$9, 100%, $G$9) + CHOOSE(CONTROL!$C$38, 0.0343, 0)</f>
        <v>31.524000000000001</v>
      </c>
      <c r="J418" s="45">
        <f>233.2006</f>
        <v>233.20060000000001</v>
      </c>
    </row>
    <row r="419" spans="1:10" ht="15.75" x14ac:dyDescent="0.25">
      <c r="A419" s="14">
        <v>53692</v>
      </c>
      <c r="B419" s="17">
        <f>35.2805 * CHOOSE(CONTROL!$C$15, $E$9, 100%, $G$9) + CHOOSE(CONTROL!$C$38, 0.0342, 0)</f>
        <v>35.314700000000002</v>
      </c>
      <c r="C419" s="17">
        <f>32.4194 * CHOOSE(CONTROL!$C$15, $E$9, 100%, $G$9) + CHOOSE(CONTROL!$C$38, 0.0343, 0)</f>
        <v>32.453700000000005</v>
      </c>
      <c r="D419" s="17">
        <f>32.4116 * CHOOSE(CONTROL!$C$15, $E$9, 100%, $G$9) + CHOOSE(CONTROL!$C$38, 0.0343, 0)</f>
        <v>32.445900000000002</v>
      </c>
      <c r="E419" s="17">
        <f>32.4116 * CHOOSE(CONTROL!$C$15, $E$9, 100%, $G$9) + CHOOSE(CONTROL!$C$38, 0.0343, 0)</f>
        <v>32.445900000000002</v>
      </c>
      <c r="F419" s="46">
        <f>35.2805 * CHOOSE(CONTROL!$C$15, $E$9, 100%, $G$9) + CHOOSE(CONTROL!$C$38, 0.0342, 0)</f>
        <v>35.314700000000002</v>
      </c>
      <c r="G419" s="17">
        <f>32.4178 * CHOOSE(CONTROL!$C$15, $E$9, 100%, $G$9) + CHOOSE(CONTROL!$C$38, 0.0343, 0)</f>
        <v>32.452100000000002</v>
      </c>
      <c r="H419" s="17">
        <f>32.4178 * CHOOSE(CONTROL!$C$15, $E$9, 100%, $G$9) + CHOOSE(CONTROL!$C$38, 0.0343, 0)</f>
        <v>32.452100000000002</v>
      </c>
      <c r="I419" s="17">
        <f>32.4194 * CHOOSE(CONTROL!$C$15, $E$9, 100%, $G$9) + CHOOSE(CONTROL!$C$38, 0.0343, 0)</f>
        <v>32.453700000000005</v>
      </c>
      <c r="J419" s="45">
        <f>226.2804</f>
        <v>226.28039999999999</v>
      </c>
    </row>
    <row r="420" spans="1:10" ht="15.75" x14ac:dyDescent="0.25">
      <c r="A420" s="14">
        <v>53723</v>
      </c>
      <c r="B420" s="17">
        <f>36.5823 * CHOOSE(CONTROL!$C$15, $E$9, 100%, $G$9) + CHOOSE(CONTROL!$C$38, 0.0342, 0)</f>
        <v>36.616499999999995</v>
      </c>
      <c r="C420" s="17">
        <f>33.6758 * CHOOSE(CONTROL!$C$15, $E$9, 100%, $G$9) + CHOOSE(CONTROL!$C$38, 0.0343, 0)</f>
        <v>33.710100000000004</v>
      </c>
      <c r="D420" s="17">
        <f>33.668 * CHOOSE(CONTROL!$C$15, $E$9, 100%, $G$9) + CHOOSE(CONTROL!$C$38, 0.0343, 0)</f>
        <v>33.702300000000001</v>
      </c>
      <c r="E420" s="17">
        <f>33.668 * CHOOSE(CONTROL!$C$15, $E$9, 100%, $G$9) + CHOOSE(CONTROL!$C$38, 0.0343, 0)</f>
        <v>33.702300000000001</v>
      </c>
      <c r="F420" s="46">
        <f>36.5823 * CHOOSE(CONTROL!$C$15, $E$9, 100%, $G$9) + CHOOSE(CONTROL!$C$38, 0.0342, 0)</f>
        <v>36.616499999999995</v>
      </c>
      <c r="G420" s="17">
        <f>33.6742 * CHOOSE(CONTROL!$C$15, $E$9, 100%, $G$9) + CHOOSE(CONTROL!$C$38, 0.0343, 0)</f>
        <v>33.708500000000001</v>
      </c>
      <c r="H420" s="17">
        <f>33.6742 * CHOOSE(CONTROL!$C$15, $E$9, 100%, $G$9) + CHOOSE(CONTROL!$C$38, 0.0343, 0)</f>
        <v>33.708500000000001</v>
      </c>
      <c r="I420" s="17">
        <f>33.6758 * CHOOSE(CONTROL!$C$15, $E$9, 100%, $G$9) + CHOOSE(CONTROL!$C$38, 0.0343, 0)</f>
        <v>33.710100000000004</v>
      </c>
      <c r="J420" s="45">
        <f>226.117</f>
        <v>226.11699999999999</v>
      </c>
    </row>
    <row r="421" spans="1:10" ht="15.75" x14ac:dyDescent="0.25">
      <c r="A421" s="14">
        <v>53751</v>
      </c>
      <c r="B421" s="17">
        <f>36.9266 * CHOOSE(CONTROL!$C$15, $E$9, 100%, $G$9) + CHOOSE(CONTROL!$C$38, 0.0342, 0)</f>
        <v>36.960799999999999</v>
      </c>
      <c r="C421" s="17">
        <f>34.0201 * CHOOSE(CONTROL!$C$15, $E$9, 100%, $G$9) + CHOOSE(CONTROL!$C$38, 0.0343, 0)</f>
        <v>34.054400000000001</v>
      </c>
      <c r="D421" s="17">
        <f>34.0123 * CHOOSE(CONTROL!$C$15, $E$9, 100%, $G$9) + CHOOSE(CONTROL!$C$38, 0.0343, 0)</f>
        <v>34.046600000000005</v>
      </c>
      <c r="E421" s="17">
        <f>34.0123 * CHOOSE(CONTROL!$C$15, $E$9, 100%, $G$9) + CHOOSE(CONTROL!$C$38, 0.0343, 0)</f>
        <v>34.046600000000005</v>
      </c>
      <c r="F421" s="46">
        <f>36.9266 * CHOOSE(CONTROL!$C$15, $E$9, 100%, $G$9) + CHOOSE(CONTROL!$C$38, 0.0342, 0)</f>
        <v>36.960799999999999</v>
      </c>
      <c r="G421" s="17">
        <f>34.0185 * CHOOSE(CONTROL!$C$15, $E$9, 100%, $G$9) + CHOOSE(CONTROL!$C$38, 0.0343, 0)</f>
        <v>34.052800000000005</v>
      </c>
      <c r="H421" s="17">
        <f>34.0185 * CHOOSE(CONTROL!$C$15, $E$9, 100%, $G$9) + CHOOSE(CONTROL!$C$38, 0.0343, 0)</f>
        <v>34.052800000000005</v>
      </c>
      <c r="I421" s="17">
        <f>34.0201 * CHOOSE(CONTROL!$C$15, $E$9, 100%, $G$9) + CHOOSE(CONTROL!$C$38, 0.0343, 0)</f>
        <v>34.054400000000001</v>
      </c>
      <c r="J421" s="45">
        <f>225.4885</f>
        <v>225.48849999999999</v>
      </c>
    </row>
    <row r="422" spans="1:10" ht="15.75" x14ac:dyDescent="0.25">
      <c r="A422" s="14">
        <v>53782</v>
      </c>
      <c r="B422" s="17">
        <f>36.1295 * CHOOSE(CONTROL!$C$15, $E$9, 100%, $G$9) + CHOOSE(CONTROL!$C$38, 0.0342, 0)</f>
        <v>36.163699999999999</v>
      </c>
      <c r="C422" s="17">
        <f>33.223 * CHOOSE(CONTROL!$C$15, $E$9, 100%, $G$9) + CHOOSE(CONTROL!$C$38, 0.0343, 0)</f>
        <v>33.257300000000001</v>
      </c>
      <c r="D422" s="17">
        <f>33.2152 * CHOOSE(CONTROL!$C$15, $E$9, 100%, $G$9) + CHOOSE(CONTROL!$C$38, 0.0343, 0)</f>
        <v>33.249500000000005</v>
      </c>
      <c r="E422" s="17">
        <f>33.2152 * CHOOSE(CONTROL!$C$15, $E$9, 100%, $G$9) + CHOOSE(CONTROL!$C$38, 0.0343, 0)</f>
        <v>33.249500000000005</v>
      </c>
      <c r="F422" s="46">
        <f>36.1295 * CHOOSE(CONTROL!$C$15, $E$9, 100%, $G$9) + CHOOSE(CONTROL!$C$38, 0.0342, 0)</f>
        <v>36.163699999999999</v>
      </c>
      <c r="G422" s="17">
        <f>33.2215 * CHOOSE(CONTROL!$C$15, $E$9, 100%, $G$9) + CHOOSE(CONTROL!$C$38, 0.0343, 0)</f>
        <v>33.255800000000001</v>
      </c>
      <c r="H422" s="17">
        <f>33.2215 * CHOOSE(CONTROL!$C$15, $E$9, 100%, $G$9) + CHOOSE(CONTROL!$C$38, 0.0343, 0)</f>
        <v>33.255800000000001</v>
      </c>
      <c r="I422" s="17">
        <f>33.223 * CHOOSE(CONTROL!$C$15, $E$9, 100%, $G$9) + CHOOSE(CONTROL!$C$38, 0.0343, 0)</f>
        <v>33.257300000000001</v>
      </c>
      <c r="J422" s="45">
        <f>237.373</f>
        <v>237.37299999999999</v>
      </c>
    </row>
    <row r="423" spans="1:10" ht="15.75" x14ac:dyDescent="0.25">
      <c r="A423" s="14">
        <v>53812</v>
      </c>
      <c r="B423" s="17">
        <f>35.3572 * CHOOSE(CONTROL!$C$15, $E$9, 100%, $G$9) + CHOOSE(CONTROL!$C$38, 0.0342, 0)</f>
        <v>35.391399999999997</v>
      </c>
      <c r="C423" s="17">
        <f>32.4507 * CHOOSE(CONTROL!$C$15, $E$9, 100%, $G$9) + CHOOSE(CONTROL!$C$38, 0.0343, 0)</f>
        <v>32.484999999999999</v>
      </c>
      <c r="D423" s="17">
        <f>32.4429 * CHOOSE(CONTROL!$C$15, $E$9, 100%, $G$9) + CHOOSE(CONTROL!$C$38, 0.0343, 0)</f>
        <v>32.477200000000003</v>
      </c>
      <c r="E423" s="17">
        <f>32.4429 * CHOOSE(CONTROL!$C$15, $E$9, 100%, $G$9) + CHOOSE(CONTROL!$C$38, 0.0343, 0)</f>
        <v>32.477200000000003</v>
      </c>
      <c r="F423" s="46">
        <f>35.3572 * CHOOSE(CONTROL!$C$15, $E$9, 100%, $G$9) + CHOOSE(CONTROL!$C$38, 0.0342, 0)</f>
        <v>35.391399999999997</v>
      </c>
      <c r="G423" s="17">
        <f>32.4492 * CHOOSE(CONTROL!$C$15, $E$9, 100%, $G$9) + CHOOSE(CONTROL!$C$38, 0.0343, 0)</f>
        <v>32.483499999999999</v>
      </c>
      <c r="H423" s="17">
        <f>32.4492 * CHOOSE(CONTROL!$C$15, $E$9, 100%, $G$9) + CHOOSE(CONTROL!$C$38, 0.0343, 0)</f>
        <v>32.483499999999999</v>
      </c>
      <c r="I423" s="17">
        <f>32.4507 * CHOOSE(CONTROL!$C$15, $E$9, 100%, $G$9) + CHOOSE(CONTROL!$C$38, 0.0343, 0)</f>
        <v>32.484999999999999</v>
      </c>
      <c r="J423" s="45">
        <f>252.7844</f>
        <v>252.78440000000001</v>
      </c>
    </row>
    <row r="424" spans="1:10" ht="15.75" x14ac:dyDescent="0.25">
      <c r="A424" s="14">
        <v>53843</v>
      </c>
      <c r="B424" s="17">
        <f>34.5523 * CHOOSE(CONTROL!$C$15, $E$9, 100%, $G$9) + CHOOSE(CONTROL!$C$38, 0.0355, 0)</f>
        <v>34.587800000000001</v>
      </c>
      <c r="C424" s="17">
        <f>31.6458 * CHOOSE(CONTROL!$C$15, $E$9, 100%, $G$9) + CHOOSE(CONTROL!$C$38, 0.0356, 0)</f>
        <v>31.6814</v>
      </c>
      <c r="D424" s="17">
        <f>31.638 * CHOOSE(CONTROL!$C$15, $E$9, 100%, $G$9) + CHOOSE(CONTROL!$C$38, 0.0356, 0)</f>
        <v>31.6736</v>
      </c>
      <c r="E424" s="17">
        <f>31.638 * CHOOSE(CONTROL!$C$15, $E$9, 100%, $G$9) + CHOOSE(CONTROL!$C$38, 0.0356, 0)</f>
        <v>31.6736</v>
      </c>
      <c r="F424" s="46">
        <f>34.5523 * CHOOSE(CONTROL!$C$15, $E$9, 100%, $G$9) + CHOOSE(CONTROL!$C$38, 0.0355, 0)</f>
        <v>34.587800000000001</v>
      </c>
      <c r="G424" s="17">
        <f>31.6442 * CHOOSE(CONTROL!$C$15, $E$9, 100%, $G$9) + CHOOSE(CONTROL!$C$38, 0.0356, 0)</f>
        <v>31.6798</v>
      </c>
      <c r="H424" s="17">
        <f>31.6442 * CHOOSE(CONTROL!$C$15, $E$9, 100%, $G$9) + CHOOSE(CONTROL!$C$38, 0.0356, 0)</f>
        <v>31.6798</v>
      </c>
      <c r="I424" s="17">
        <f>31.6458 * CHOOSE(CONTROL!$C$15, $E$9, 100%, $G$9) + CHOOSE(CONTROL!$C$38, 0.0356, 0)</f>
        <v>31.6814</v>
      </c>
      <c r="J424" s="45">
        <f>261.2674</f>
        <v>261.26740000000001</v>
      </c>
    </row>
    <row r="425" spans="1:10" ht="15.75" x14ac:dyDescent="0.25">
      <c r="A425" s="14">
        <v>53873</v>
      </c>
      <c r="B425" s="17">
        <f>33.9879 * CHOOSE(CONTROL!$C$15, $E$9, 100%, $G$9) + CHOOSE(CONTROL!$C$38, 0.0355, 0)</f>
        <v>34.023400000000002</v>
      </c>
      <c r="C425" s="17">
        <f>31.2441 * CHOOSE(CONTROL!$C$15, $E$9, 100%, $G$9) + CHOOSE(CONTROL!$C$38, 0.0356, 0)</f>
        <v>31.279699999999998</v>
      </c>
      <c r="D425" s="17">
        <f>31.2363 * CHOOSE(CONTROL!$C$15, $E$9, 100%, $G$9) + CHOOSE(CONTROL!$C$38, 0.0356, 0)</f>
        <v>31.271899999999999</v>
      </c>
      <c r="E425" s="17">
        <f>31.2363 * CHOOSE(CONTROL!$C$15, $E$9, 100%, $G$9) + CHOOSE(CONTROL!$C$38, 0.0356, 0)</f>
        <v>31.271899999999999</v>
      </c>
      <c r="F425" s="46">
        <f>33.9879 * CHOOSE(CONTROL!$C$15, $E$9, 100%, $G$9) + CHOOSE(CONTROL!$C$38, 0.0355, 0)</f>
        <v>34.023400000000002</v>
      </c>
      <c r="G425" s="17">
        <f>31.2426 * CHOOSE(CONTROL!$C$15, $E$9, 100%, $G$9) + CHOOSE(CONTROL!$C$38, 0.0356, 0)</f>
        <v>31.278199999999998</v>
      </c>
      <c r="H425" s="17">
        <f>31.2426 * CHOOSE(CONTROL!$C$15, $E$9, 100%, $G$9) + CHOOSE(CONTROL!$C$38, 0.0356, 0)</f>
        <v>31.278199999999998</v>
      </c>
      <c r="I425" s="17">
        <f>31.2441 * CHOOSE(CONTROL!$C$15, $E$9, 100%, $G$9) + CHOOSE(CONTROL!$C$38, 0.0356, 0)</f>
        <v>31.279699999999998</v>
      </c>
      <c r="J425" s="45">
        <f>265.0319</f>
        <v>265.03190000000001</v>
      </c>
    </row>
    <row r="426" spans="1:10" ht="15.75" x14ac:dyDescent="0.25">
      <c r="A426" s="14">
        <v>53904</v>
      </c>
      <c r="B426" s="17">
        <f>33.6659 * CHOOSE(CONTROL!$C$15, $E$9, 100%, $G$9) + CHOOSE(CONTROL!$C$38, 0.0355, 0)</f>
        <v>33.7014</v>
      </c>
      <c r="C426" s="17">
        <f>30.7594 * CHOOSE(CONTROL!$C$15, $E$9, 100%, $G$9) + CHOOSE(CONTROL!$C$38, 0.0356, 0)</f>
        <v>30.794999999999998</v>
      </c>
      <c r="D426" s="17">
        <f>30.7516 * CHOOSE(CONTROL!$C$15, $E$9, 100%, $G$9) + CHOOSE(CONTROL!$C$38, 0.0356, 0)</f>
        <v>30.787199999999999</v>
      </c>
      <c r="E426" s="17">
        <f>30.7516 * CHOOSE(CONTROL!$C$15, $E$9, 100%, $G$9) + CHOOSE(CONTROL!$C$38, 0.0356, 0)</f>
        <v>30.787199999999999</v>
      </c>
      <c r="F426" s="46">
        <f>33.6659 * CHOOSE(CONTROL!$C$15, $E$9, 100%, $G$9) + CHOOSE(CONTROL!$C$38, 0.0355, 0)</f>
        <v>33.7014</v>
      </c>
      <c r="G426" s="17">
        <f>30.7578 * CHOOSE(CONTROL!$C$15, $E$9, 100%, $G$9) + CHOOSE(CONTROL!$C$38, 0.0356, 0)</f>
        <v>30.793399999999998</v>
      </c>
      <c r="H426" s="17">
        <f>30.7578 * CHOOSE(CONTROL!$C$15, $E$9, 100%, $G$9) + CHOOSE(CONTROL!$C$38, 0.0356, 0)</f>
        <v>30.793399999999998</v>
      </c>
      <c r="I426" s="17">
        <f>30.7594 * CHOOSE(CONTROL!$C$15, $E$9, 100%, $G$9) + CHOOSE(CONTROL!$C$38, 0.0356, 0)</f>
        <v>30.794999999999998</v>
      </c>
      <c r="J426" s="45">
        <f>263.7925</f>
        <v>263.79250000000002</v>
      </c>
    </row>
    <row r="427" spans="1:10" ht="15.75" x14ac:dyDescent="0.25">
      <c r="A427" s="14">
        <v>53935</v>
      </c>
      <c r="B427" s="17">
        <f>33.8248 * CHOOSE(CONTROL!$C$15, $E$9, 100%, $G$9) + CHOOSE(CONTROL!$C$38, 0.0355, 0)</f>
        <v>33.860300000000002</v>
      </c>
      <c r="C427" s="17">
        <f>30.9183 * CHOOSE(CONTROL!$C$15, $E$9, 100%, $G$9) + CHOOSE(CONTROL!$C$38, 0.0356, 0)</f>
        <v>30.953899999999997</v>
      </c>
      <c r="D427" s="17">
        <f>30.9105 * CHOOSE(CONTROL!$C$15, $E$9, 100%, $G$9) + CHOOSE(CONTROL!$C$38, 0.0356, 0)</f>
        <v>30.946099999999998</v>
      </c>
      <c r="E427" s="17">
        <f>30.9105 * CHOOSE(CONTROL!$C$15, $E$9, 100%, $G$9) + CHOOSE(CONTROL!$C$38, 0.0356, 0)</f>
        <v>30.946099999999998</v>
      </c>
      <c r="F427" s="46">
        <f>33.8248 * CHOOSE(CONTROL!$C$15, $E$9, 100%, $G$9) + CHOOSE(CONTROL!$C$38, 0.0355, 0)</f>
        <v>33.860300000000002</v>
      </c>
      <c r="G427" s="17">
        <f>30.9168 * CHOOSE(CONTROL!$C$15, $E$9, 100%, $G$9) + CHOOSE(CONTROL!$C$38, 0.0356, 0)</f>
        <v>30.952399999999997</v>
      </c>
      <c r="H427" s="17">
        <f>30.9168 * CHOOSE(CONTROL!$C$15, $E$9, 100%, $G$9) + CHOOSE(CONTROL!$C$38, 0.0356, 0)</f>
        <v>30.952399999999997</v>
      </c>
      <c r="I427" s="17">
        <f>30.9183 * CHOOSE(CONTROL!$C$15, $E$9, 100%, $G$9) + CHOOSE(CONTROL!$C$38, 0.0356, 0)</f>
        <v>30.953899999999997</v>
      </c>
      <c r="J427" s="45">
        <f>257.6515</f>
        <v>257.6515</v>
      </c>
    </row>
    <row r="428" spans="1:10" ht="15.75" x14ac:dyDescent="0.25">
      <c r="A428" s="14">
        <v>53965</v>
      </c>
      <c r="B428" s="17">
        <f>34.2565 * CHOOSE(CONTROL!$C$15, $E$9, 100%, $G$9) + CHOOSE(CONTROL!$C$38, 0.0355, 0)</f>
        <v>34.292000000000002</v>
      </c>
      <c r="C428" s="17">
        <f>31.35 * CHOOSE(CONTROL!$C$15, $E$9, 100%, $G$9) + CHOOSE(CONTROL!$C$38, 0.0356, 0)</f>
        <v>31.3856</v>
      </c>
      <c r="D428" s="17">
        <f>31.3422 * CHOOSE(CONTROL!$C$15, $E$9, 100%, $G$9) + CHOOSE(CONTROL!$C$38, 0.0356, 0)</f>
        <v>31.377799999999997</v>
      </c>
      <c r="E428" s="17">
        <f>31.3422 * CHOOSE(CONTROL!$C$15, $E$9, 100%, $G$9) + CHOOSE(CONTROL!$C$38, 0.0356, 0)</f>
        <v>31.377799999999997</v>
      </c>
      <c r="F428" s="46">
        <f>34.2565 * CHOOSE(CONTROL!$C$15, $E$9, 100%, $G$9) + CHOOSE(CONTROL!$C$38, 0.0355, 0)</f>
        <v>34.292000000000002</v>
      </c>
      <c r="G428" s="17">
        <f>31.3485 * CHOOSE(CONTROL!$C$15, $E$9, 100%, $G$9) + CHOOSE(CONTROL!$C$38, 0.0356, 0)</f>
        <v>31.3841</v>
      </c>
      <c r="H428" s="17">
        <f>31.3485 * CHOOSE(CONTROL!$C$15, $E$9, 100%, $G$9) + CHOOSE(CONTROL!$C$38, 0.0356, 0)</f>
        <v>31.3841</v>
      </c>
      <c r="I428" s="17">
        <f>31.35 * CHOOSE(CONTROL!$C$15, $E$9, 100%, $G$9) + CHOOSE(CONTROL!$C$38, 0.0356, 0)</f>
        <v>31.3856</v>
      </c>
      <c r="J428" s="45">
        <f>249.0876</f>
        <v>249.08760000000001</v>
      </c>
    </row>
    <row r="429" spans="1:10" ht="15.75" x14ac:dyDescent="0.25">
      <c r="A429" s="14">
        <v>53996</v>
      </c>
      <c r="B429" s="17">
        <f>34.6181 * CHOOSE(CONTROL!$C$15, $E$9, 100%, $G$9) + CHOOSE(CONTROL!$C$38, 0.0342, 0)</f>
        <v>34.652299999999997</v>
      </c>
      <c r="C429" s="17">
        <f>31.7116 * CHOOSE(CONTROL!$C$15, $E$9, 100%, $G$9) + CHOOSE(CONTROL!$C$38, 0.0343, 0)</f>
        <v>31.745899999999999</v>
      </c>
      <c r="D429" s="17">
        <f>31.7038 * CHOOSE(CONTROL!$C$15, $E$9, 100%, $G$9) + CHOOSE(CONTROL!$C$38, 0.0343, 0)</f>
        <v>31.738100000000003</v>
      </c>
      <c r="E429" s="17">
        <f>31.7038 * CHOOSE(CONTROL!$C$15, $E$9, 100%, $G$9) + CHOOSE(CONTROL!$C$38, 0.0343, 0)</f>
        <v>31.738100000000003</v>
      </c>
      <c r="F429" s="46">
        <f>34.6181 * CHOOSE(CONTROL!$C$15, $E$9, 100%, $G$9) + CHOOSE(CONTROL!$C$38, 0.0342, 0)</f>
        <v>34.652299999999997</v>
      </c>
      <c r="G429" s="17">
        <f>31.71 * CHOOSE(CONTROL!$C$15, $E$9, 100%, $G$9) + CHOOSE(CONTROL!$C$38, 0.0343, 0)</f>
        <v>31.744300000000003</v>
      </c>
      <c r="H429" s="17">
        <f>31.71 * CHOOSE(CONTROL!$C$15, $E$9, 100%, $G$9) + CHOOSE(CONTROL!$C$38, 0.0343, 0)</f>
        <v>31.744300000000003</v>
      </c>
      <c r="I429" s="17">
        <f>31.7116 * CHOOSE(CONTROL!$C$15, $E$9, 100%, $G$9) + CHOOSE(CONTROL!$C$38, 0.0343, 0)</f>
        <v>31.745899999999999</v>
      </c>
      <c r="J429" s="45">
        <f>240.4739</f>
        <v>240.47389999999999</v>
      </c>
    </row>
    <row r="430" spans="1:10" ht="15.75" x14ac:dyDescent="0.25">
      <c r="A430" s="14">
        <v>54026</v>
      </c>
      <c r="B430" s="17">
        <f>34.9198 * CHOOSE(CONTROL!$C$15, $E$9, 100%, $G$9) + CHOOSE(CONTROL!$C$38, 0.0342, 0)</f>
        <v>34.954000000000001</v>
      </c>
      <c r="C430" s="17">
        <f>32.0133 * CHOOSE(CONTROL!$C$15, $E$9, 100%, $G$9) + CHOOSE(CONTROL!$C$38, 0.0343, 0)</f>
        <v>32.047600000000003</v>
      </c>
      <c r="D430" s="17">
        <f>32.0055 * CHOOSE(CONTROL!$C$15, $E$9, 100%, $G$9) + CHOOSE(CONTROL!$C$38, 0.0343, 0)</f>
        <v>32.0398</v>
      </c>
      <c r="E430" s="17">
        <f>32.0055 * CHOOSE(CONTROL!$C$15, $E$9, 100%, $G$9) + CHOOSE(CONTROL!$C$38, 0.0343, 0)</f>
        <v>32.0398</v>
      </c>
      <c r="F430" s="46">
        <f>34.9198 * CHOOSE(CONTROL!$C$15, $E$9, 100%, $G$9) + CHOOSE(CONTROL!$C$38, 0.0342, 0)</f>
        <v>34.954000000000001</v>
      </c>
      <c r="G430" s="17">
        <f>32.0117 * CHOOSE(CONTROL!$C$15, $E$9, 100%, $G$9) + CHOOSE(CONTROL!$C$38, 0.0343, 0)</f>
        <v>32.045999999999999</v>
      </c>
      <c r="H430" s="17">
        <f>32.0117 * CHOOSE(CONTROL!$C$15, $E$9, 100%, $G$9) + CHOOSE(CONTROL!$C$38, 0.0343, 0)</f>
        <v>32.045999999999999</v>
      </c>
      <c r="I430" s="17">
        <f>32.0133 * CHOOSE(CONTROL!$C$15, $E$9, 100%, $G$9) + CHOOSE(CONTROL!$C$38, 0.0343, 0)</f>
        <v>32.047600000000003</v>
      </c>
      <c r="J430" s="45">
        <f>238.7605</f>
        <v>238.76050000000001</v>
      </c>
    </row>
    <row r="431" spans="1:10" ht="15.75" x14ac:dyDescent="0.25">
      <c r="A431" s="14">
        <v>54057</v>
      </c>
      <c r="B431" s="17">
        <f>35.8495 * CHOOSE(CONTROL!$C$15, $E$9, 100%, $G$9) + CHOOSE(CONTROL!$C$38, 0.0342, 0)</f>
        <v>35.883699999999997</v>
      </c>
      <c r="C431" s="17">
        <f>32.943 * CHOOSE(CONTROL!$C$15, $E$9, 100%, $G$9) + CHOOSE(CONTROL!$C$38, 0.0343, 0)</f>
        <v>32.9773</v>
      </c>
      <c r="D431" s="17">
        <f>32.9351 * CHOOSE(CONTROL!$C$15, $E$9, 100%, $G$9) + CHOOSE(CONTROL!$C$38, 0.0343, 0)</f>
        <v>32.9694</v>
      </c>
      <c r="E431" s="17">
        <f>32.9351 * CHOOSE(CONTROL!$C$15, $E$9, 100%, $G$9) + CHOOSE(CONTROL!$C$38, 0.0343, 0)</f>
        <v>32.9694</v>
      </c>
      <c r="F431" s="46">
        <f>35.8495 * CHOOSE(CONTROL!$C$15, $E$9, 100%, $G$9) + CHOOSE(CONTROL!$C$38, 0.0342, 0)</f>
        <v>35.883699999999997</v>
      </c>
      <c r="G431" s="17">
        <f>32.9414 * CHOOSE(CONTROL!$C$15, $E$9, 100%, $G$9) + CHOOSE(CONTROL!$C$38, 0.0343, 0)</f>
        <v>32.975700000000003</v>
      </c>
      <c r="H431" s="17">
        <f>32.9414 * CHOOSE(CONTROL!$C$15, $E$9, 100%, $G$9) + CHOOSE(CONTROL!$C$38, 0.0343, 0)</f>
        <v>32.975700000000003</v>
      </c>
      <c r="I431" s="17">
        <f>32.943 * CHOOSE(CONTROL!$C$15, $E$9, 100%, $G$9) + CHOOSE(CONTROL!$C$38, 0.0343, 0)</f>
        <v>32.9773</v>
      </c>
      <c r="J431" s="45">
        <f>231.6752</f>
        <v>231.67519999999999</v>
      </c>
    </row>
    <row r="432" spans="1:10" ht="15.75" x14ac:dyDescent="0.25">
      <c r="A432" s="14">
        <v>54088</v>
      </c>
      <c r="B432" s="17">
        <f>37.1608 * CHOOSE(CONTROL!$C$15, $E$9, 100%, $G$9) + CHOOSE(CONTROL!$C$38, 0.0342, 0)</f>
        <v>37.195</v>
      </c>
      <c r="C432" s="17">
        <f>34.2081 * CHOOSE(CONTROL!$C$15, $E$9, 100%, $G$9) + CHOOSE(CONTROL!$C$38, 0.0343, 0)</f>
        <v>34.242400000000004</v>
      </c>
      <c r="D432" s="17">
        <f>34.2003 * CHOOSE(CONTROL!$C$15, $E$9, 100%, $G$9) + CHOOSE(CONTROL!$C$38, 0.0343, 0)</f>
        <v>34.2346</v>
      </c>
      <c r="E432" s="17">
        <f>34.2003 * CHOOSE(CONTROL!$C$15, $E$9, 100%, $G$9) + CHOOSE(CONTROL!$C$38, 0.0343, 0)</f>
        <v>34.2346</v>
      </c>
      <c r="F432" s="46">
        <f>37.1608 * CHOOSE(CONTROL!$C$15, $E$9, 100%, $G$9) + CHOOSE(CONTROL!$C$38, 0.0342, 0)</f>
        <v>37.195</v>
      </c>
      <c r="G432" s="17">
        <f>34.2066 * CHOOSE(CONTROL!$C$15, $E$9, 100%, $G$9) + CHOOSE(CONTROL!$C$38, 0.0343, 0)</f>
        <v>34.240900000000003</v>
      </c>
      <c r="H432" s="17">
        <f>34.2066 * CHOOSE(CONTROL!$C$15, $E$9, 100%, $G$9) + CHOOSE(CONTROL!$C$38, 0.0343, 0)</f>
        <v>34.240900000000003</v>
      </c>
      <c r="I432" s="17">
        <f>34.2081 * CHOOSE(CONTROL!$C$15, $E$9, 100%, $G$9) + CHOOSE(CONTROL!$C$38, 0.0343, 0)</f>
        <v>34.242400000000004</v>
      </c>
      <c r="J432" s="45">
        <f>231.5079</f>
        <v>231.50790000000001</v>
      </c>
    </row>
    <row r="433" spans="1:10" ht="15.75" x14ac:dyDescent="0.25">
      <c r="A433" s="14">
        <v>54116</v>
      </c>
      <c r="B433" s="17">
        <f>37.5051 * CHOOSE(CONTROL!$C$15, $E$9, 100%, $G$9) + CHOOSE(CONTROL!$C$38, 0.0342, 0)</f>
        <v>37.539299999999997</v>
      </c>
      <c r="C433" s="17">
        <f>34.5524 * CHOOSE(CONTROL!$C$15, $E$9, 100%, $G$9) + CHOOSE(CONTROL!$C$38, 0.0343, 0)</f>
        <v>34.5867</v>
      </c>
      <c r="D433" s="17">
        <f>34.5446 * CHOOSE(CONTROL!$C$15, $E$9, 100%, $G$9) + CHOOSE(CONTROL!$C$38, 0.0343, 0)</f>
        <v>34.578900000000004</v>
      </c>
      <c r="E433" s="17">
        <f>34.5446 * CHOOSE(CONTROL!$C$15, $E$9, 100%, $G$9) + CHOOSE(CONTROL!$C$38, 0.0343, 0)</f>
        <v>34.578900000000004</v>
      </c>
      <c r="F433" s="46">
        <f>37.5051 * CHOOSE(CONTROL!$C$15, $E$9, 100%, $G$9) + CHOOSE(CONTROL!$C$38, 0.0342, 0)</f>
        <v>37.539299999999997</v>
      </c>
      <c r="G433" s="17">
        <f>34.5509 * CHOOSE(CONTROL!$C$15, $E$9, 100%, $G$9) + CHOOSE(CONTROL!$C$38, 0.0343, 0)</f>
        <v>34.5852</v>
      </c>
      <c r="H433" s="17">
        <f>34.5509 * CHOOSE(CONTROL!$C$15, $E$9, 100%, $G$9) + CHOOSE(CONTROL!$C$38, 0.0343, 0)</f>
        <v>34.5852</v>
      </c>
      <c r="I433" s="17">
        <f>34.5524 * CHOOSE(CONTROL!$C$15, $E$9, 100%, $G$9) + CHOOSE(CONTROL!$C$38, 0.0343, 0)</f>
        <v>34.5867</v>
      </c>
      <c r="J433" s="45">
        <f>230.8644</f>
        <v>230.86439999999999</v>
      </c>
    </row>
    <row r="434" spans="1:10" ht="15.75" x14ac:dyDescent="0.25">
      <c r="A434" s="14">
        <v>54148</v>
      </c>
      <c r="B434" s="17">
        <f>36.7081 * CHOOSE(CONTROL!$C$15, $E$9, 100%, $G$9) + CHOOSE(CONTROL!$C$38, 0.0342, 0)</f>
        <v>36.7423</v>
      </c>
      <c r="C434" s="17">
        <f>33.7554 * CHOOSE(CONTROL!$C$15, $E$9, 100%, $G$9) + CHOOSE(CONTROL!$C$38, 0.0343, 0)</f>
        <v>33.789700000000003</v>
      </c>
      <c r="D434" s="17">
        <f>33.7476 * CHOOSE(CONTROL!$C$15, $E$9, 100%, $G$9) + CHOOSE(CONTROL!$C$38, 0.0343, 0)</f>
        <v>33.7819</v>
      </c>
      <c r="E434" s="17">
        <f>33.7476 * CHOOSE(CONTROL!$C$15, $E$9, 100%, $G$9) + CHOOSE(CONTROL!$C$38, 0.0343, 0)</f>
        <v>33.7819</v>
      </c>
      <c r="F434" s="46">
        <f>36.7081 * CHOOSE(CONTROL!$C$15, $E$9, 100%, $G$9) + CHOOSE(CONTROL!$C$38, 0.0342, 0)</f>
        <v>36.7423</v>
      </c>
      <c r="G434" s="17">
        <f>33.7538 * CHOOSE(CONTROL!$C$15, $E$9, 100%, $G$9) + CHOOSE(CONTROL!$C$38, 0.0343, 0)</f>
        <v>33.7881</v>
      </c>
      <c r="H434" s="17">
        <f>33.7538 * CHOOSE(CONTROL!$C$15, $E$9, 100%, $G$9) + CHOOSE(CONTROL!$C$38, 0.0343, 0)</f>
        <v>33.7881</v>
      </c>
      <c r="I434" s="17">
        <f>33.7554 * CHOOSE(CONTROL!$C$15, $E$9, 100%, $G$9) + CHOOSE(CONTROL!$C$38, 0.0343, 0)</f>
        <v>33.789700000000003</v>
      </c>
      <c r="J434" s="45">
        <f>243.0323</f>
        <v>243.03229999999999</v>
      </c>
    </row>
    <row r="435" spans="1:10" ht="15.75" x14ac:dyDescent="0.25">
      <c r="A435" s="14">
        <v>54178</v>
      </c>
      <c r="B435" s="17">
        <f>35.9358 * CHOOSE(CONTROL!$C$15, $E$9, 100%, $G$9) + CHOOSE(CONTROL!$C$38, 0.0342, 0)</f>
        <v>35.97</v>
      </c>
      <c r="C435" s="17">
        <f>32.9831 * CHOOSE(CONTROL!$C$15, $E$9, 100%, $G$9) + CHOOSE(CONTROL!$C$38, 0.0343, 0)</f>
        <v>33.017400000000002</v>
      </c>
      <c r="D435" s="17">
        <f>32.9753 * CHOOSE(CONTROL!$C$15, $E$9, 100%, $G$9) + CHOOSE(CONTROL!$C$38, 0.0343, 0)</f>
        <v>33.009599999999999</v>
      </c>
      <c r="E435" s="17">
        <f>32.9753 * CHOOSE(CONTROL!$C$15, $E$9, 100%, $G$9) + CHOOSE(CONTROL!$C$38, 0.0343, 0)</f>
        <v>33.009599999999999</v>
      </c>
      <c r="F435" s="46">
        <f>35.9358 * CHOOSE(CONTROL!$C$15, $E$9, 100%, $G$9) + CHOOSE(CONTROL!$C$38, 0.0342, 0)</f>
        <v>35.97</v>
      </c>
      <c r="G435" s="17">
        <f>32.9815 * CHOOSE(CONTROL!$C$15, $E$9, 100%, $G$9) + CHOOSE(CONTROL!$C$38, 0.0343, 0)</f>
        <v>33.015799999999999</v>
      </c>
      <c r="H435" s="17">
        <f>32.9815 * CHOOSE(CONTROL!$C$15, $E$9, 100%, $G$9) + CHOOSE(CONTROL!$C$38, 0.0343, 0)</f>
        <v>33.015799999999999</v>
      </c>
      <c r="I435" s="17">
        <f>32.9831 * CHOOSE(CONTROL!$C$15, $E$9, 100%, $G$9) + CHOOSE(CONTROL!$C$38, 0.0343, 0)</f>
        <v>33.017400000000002</v>
      </c>
      <c r="J435" s="45">
        <f>258.8112</f>
        <v>258.81119999999999</v>
      </c>
    </row>
    <row r="436" spans="1:10" ht="15.75" x14ac:dyDescent="0.25">
      <c r="A436" s="14">
        <v>54209</v>
      </c>
      <c r="B436" s="17">
        <f>35.1308 * CHOOSE(CONTROL!$C$15, $E$9, 100%, $G$9) + CHOOSE(CONTROL!$C$38, 0.0355, 0)</f>
        <v>35.1663</v>
      </c>
      <c r="C436" s="17">
        <f>32.1781 * CHOOSE(CONTROL!$C$15, $E$9, 100%, $G$9) + CHOOSE(CONTROL!$C$38, 0.0356, 0)</f>
        <v>32.213700000000003</v>
      </c>
      <c r="D436" s="17">
        <f>32.1703 * CHOOSE(CONTROL!$C$15, $E$9, 100%, $G$9) + CHOOSE(CONTROL!$C$38, 0.0356, 0)</f>
        <v>32.2059</v>
      </c>
      <c r="E436" s="17">
        <f>32.1703 * CHOOSE(CONTROL!$C$15, $E$9, 100%, $G$9) + CHOOSE(CONTROL!$C$38, 0.0356, 0)</f>
        <v>32.2059</v>
      </c>
      <c r="F436" s="46">
        <f>35.1308 * CHOOSE(CONTROL!$C$15, $E$9, 100%, $G$9) + CHOOSE(CONTROL!$C$38, 0.0355, 0)</f>
        <v>35.1663</v>
      </c>
      <c r="G436" s="17">
        <f>32.1766 * CHOOSE(CONTROL!$C$15, $E$9, 100%, $G$9) + CHOOSE(CONTROL!$C$38, 0.0356, 0)</f>
        <v>32.212200000000003</v>
      </c>
      <c r="H436" s="17">
        <f>32.1766 * CHOOSE(CONTROL!$C$15, $E$9, 100%, $G$9) + CHOOSE(CONTROL!$C$38, 0.0356, 0)</f>
        <v>32.212200000000003</v>
      </c>
      <c r="I436" s="17">
        <f>32.1781 * CHOOSE(CONTROL!$C$15, $E$9, 100%, $G$9) + CHOOSE(CONTROL!$C$38, 0.0356, 0)</f>
        <v>32.213700000000003</v>
      </c>
      <c r="J436" s="45">
        <f>267.4964</f>
        <v>267.49639999999999</v>
      </c>
    </row>
    <row r="437" spans="1:10" ht="15.75" x14ac:dyDescent="0.25">
      <c r="A437" s="14">
        <v>54239</v>
      </c>
      <c r="B437" s="17">
        <f>34.5665 * CHOOSE(CONTROL!$C$15, $E$9, 100%, $G$9) + CHOOSE(CONTROL!$C$38, 0.0355, 0)</f>
        <v>34.601999999999997</v>
      </c>
      <c r="C437" s="17">
        <f>31.6138 * CHOOSE(CONTROL!$C$15, $E$9, 100%, $G$9) + CHOOSE(CONTROL!$C$38, 0.0356, 0)</f>
        <v>31.6494</v>
      </c>
      <c r="D437" s="17">
        <f>31.606 * CHOOSE(CONTROL!$C$15, $E$9, 100%, $G$9) + CHOOSE(CONTROL!$C$38, 0.0356, 0)</f>
        <v>31.6416</v>
      </c>
      <c r="E437" s="17">
        <f>31.606 * CHOOSE(CONTROL!$C$15, $E$9, 100%, $G$9) + CHOOSE(CONTROL!$C$38, 0.0356, 0)</f>
        <v>31.6416</v>
      </c>
      <c r="F437" s="46">
        <f>34.5665 * CHOOSE(CONTROL!$C$15, $E$9, 100%, $G$9) + CHOOSE(CONTROL!$C$38, 0.0355, 0)</f>
        <v>34.601999999999997</v>
      </c>
      <c r="G437" s="17">
        <f>31.6122 * CHOOSE(CONTROL!$C$15, $E$9, 100%, $G$9) + CHOOSE(CONTROL!$C$38, 0.0356, 0)</f>
        <v>31.6478</v>
      </c>
      <c r="H437" s="17">
        <f>31.6122 * CHOOSE(CONTROL!$C$15, $E$9, 100%, $G$9) + CHOOSE(CONTROL!$C$38, 0.0356, 0)</f>
        <v>31.6478</v>
      </c>
      <c r="I437" s="17">
        <f>31.6138 * CHOOSE(CONTROL!$C$15, $E$9, 100%, $G$9) + CHOOSE(CONTROL!$C$38, 0.0356, 0)</f>
        <v>31.6494</v>
      </c>
      <c r="J437" s="45">
        <f>271.3507</f>
        <v>271.35070000000002</v>
      </c>
    </row>
    <row r="438" spans="1:10" ht="15.75" x14ac:dyDescent="0.25">
      <c r="A438" s="14">
        <v>54270</v>
      </c>
      <c r="B438" s="17">
        <f>34.2444 * CHOOSE(CONTROL!$C$15, $E$9, 100%, $G$9) + CHOOSE(CONTROL!$C$38, 0.0355, 0)</f>
        <v>34.279899999999998</v>
      </c>
      <c r="C438" s="17">
        <f>31.4572 * CHOOSE(CONTROL!$C$15, $E$9, 100%, $G$9) + CHOOSE(CONTROL!$C$38, 0.0356, 0)</f>
        <v>31.492799999999999</v>
      </c>
      <c r="D438" s="17">
        <f>31.4494 * CHOOSE(CONTROL!$C$15, $E$9, 100%, $G$9) + CHOOSE(CONTROL!$C$38, 0.0356, 0)</f>
        <v>31.484999999999999</v>
      </c>
      <c r="E438" s="17">
        <f>31.4494 * CHOOSE(CONTROL!$C$15, $E$9, 100%, $G$9) + CHOOSE(CONTROL!$C$38, 0.0356, 0)</f>
        <v>31.484999999999999</v>
      </c>
      <c r="F438" s="46">
        <f>34.2444 * CHOOSE(CONTROL!$C$15, $E$9, 100%, $G$9) + CHOOSE(CONTROL!$C$38, 0.0355, 0)</f>
        <v>34.279899999999998</v>
      </c>
      <c r="G438" s="17">
        <f>31.4556 * CHOOSE(CONTROL!$C$15, $E$9, 100%, $G$9) + CHOOSE(CONTROL!$C$38, 0.0356, 0)</f>
        <v>31.491199999999999</v>
      </c>
      <c r="H438" s="17">
        <f>31.4556 * CHOOSE(CONTROL!$C$15, $E$9, 100%, $G$9) + CHOOSE(CONTROL!$C$38, 0.0356, 0)</f>
        <v>31.491199999999999</v>
      </c>
      <c r="I438" s="17">
        <f>31.4572 * CHOOSE(CONTROL!$C$15, $E$9, 100%, $G$9) + CHOOSE(CONTROL!$C$38, 0.0356, 0)</f>
        <v>31.492799999999999</v>
      </c>
      <c r="J438" s="45">
        <f>270.0817</f>
        <v>270.08170000000001</v>
      </c>
    </row>
    <row r="439" spans="1:10" ht="15.75" x14ac:dyDescent="0.25">
      <c r="A439" s="14">
        <v>54301</v>
      </c>
      <c r="B439" s="17">
        <f>34.4034 * CHOOSE(CONTROL!$C$15, $E$9, 100%, $G$9) + CHOOSE(CONTROL!$C$38, 0.0355, 0)</f>
        <v>34.438899999999997</v>
      </c>
      <c r="C439" s="17">
        <f>31.4507 * CHOOSE(CONTROL!$C$15, $E$9, 100%, $G$9) + CHOOSE(CONTROL!$C$38, 0.0356, 0)</f>
        <v>31.4863</v>
      </c>
      <c r="D439" s="17">
        <f>31.4429 * CHOOSE(CONTROL!$C$15, $E$9, 100%, $G$9) + CHOOSE(CONTROL!$C$38, 0.0356, 0)</f>
        <v>31.4785</v>
      </c>
      <c r="E439" s="17">
        <f>31.4429 * CHOOSE(CONTROL!$C$15, $E$9, 100%, $G$9) + CHOOSE(CONTROL!$C$38, 0.0356, 0)</f>
        <v>31.4785</v>
      </c>
      <c r="F439" s="46">
        <f>34.4034 * CHOOSE(CONTROL!$C$15, $E$9, 100%, $G$9) + CHOOSE(CONTROL!$C$38, 0.0355, 0)</f>
        <v>34.438899999999997</v>
      </c>
      <c r="G439" s="17">
        <f>31.4491 * CHOOSE(CONTROL!$C$15, $E$9, 100%, $G$9) + CHOOSE(CONTROL!$C$38, 0.0356, 0)</f>
        <v>31.4847</v>
      </c>
      <c r="H439" s="17">
        <f>31.4491 * CHOOSE(CONTROL!$C$15, $E$9, 100%, $G$9) + CHOOSE(CONTROL!$C$38, 0.0356, 0)</f>
        <v>31.4847</v>
      </c>
      <c r="I439" s="17">
        <f>31.4507 * CHOOSE(CONTROL!$C$15, $E$9, 100%, $G$9) + CHOOSE(CONTROL!$C$38, 0.0356, 0)</f>
        <v>31.4863</v>
      </c>
      <c r="J439" s="45">
        <f>263.7943</f>
        <v>263.79430000000002</v>
      </c>
    </row>
    <row r="440" spans="1:10" ht="15.75" x14ac:dyDescent="0.25">
      <c r="A440" s="14">
        <v>54331</v>
      </c>
      <c r="B440" s="17">
        <f>34.8351 * CHOOSE(CONTROL!$C$15, $E$9, 100%, $G$9) + CHOOSE(CONTROL!$C$38, 0.0355, 0)</f>
        <v>34.870599999999996</v>
      </c>
      <c r="C440" s="17">
        <f>31.8824 * CHOOSE(CONTROL!$C$15, $E$9, 100%, $G$9) + CHOOSE(CONTROL!$C$38, 0.0356, 0)</f>
        <v>31.917999999999999</v>
      </c>
      <c r="D440" s="17">
        <f>31.8746 * CHOOSE(CONTROL!$C$15, $E$9, 100%, $G$9) + CHOOSE(CONTROL!$C$38, 0.0356, 0)</f>
        <v>31.9102</v>
      </c>
      <c r="E440" s="17">
        <f>31.8746 * CHOOSE(CONTROL!$C$15, $E$9, 100%, $G$9) + CHOOSE(CONTROL!$C$38, 0.0356, 0)</f>
        <v>31.9102</v>
      </c>
      <c r="F440" s="46">
        <f>34.8351 * CHOOSE(CONTROL!$C$15, $E$9, 100%, $G$9) + CHOOSE(CONTROL!$C$38, 0.0355, 0)</f>
        <v>34.870599999999996</v>
      </c>
      <c r="G440" s="17">
        <f>31.8808 * CHOOSE(CONTROL!$C$15, $E$9, 100%, $G$9) + CHOOSE(CONTROL!$C$38, 0.0356, 0)</f>
        <v>31.916399999999999</v>
      </c>
      <c r="H440" s="17">
        <f>31.8808 * CHOOSE(CONTROL!$C$15, $E$9, 100%, $G$9) + CHOOSE(CONTROL!$C$38, 0.0356, 0)</f>
        <v>31.916399999999999</v>
      </c>
      <c r="I440" s="17">
        <f>31.8824 * CHOOSE(CONTROL!$C$15, $E$9, 100%, $G$9) + CHOOSE(CONTROL!$C$38, 0.0356, 0)</f>
        <v>31.917999999999999</v>
      </c>
      <c r="J440" s="45">
        <f>255.0262</f>
        <v>255.02619999999999</v>
      </c>
    </row>
    <row r="441" spans="1:10" ht="15.75" x14ac:dyDescent="0.25">
      <c r="A441" s="14">
        <v>54362</v>
      </c>
      <c r="B441" s="17">
        <f>35.1967 * CHOOSE(CONTROL!$C$15, $E$9, 100%, $G$9) + CHOOSE(CONTROL!$C$38, 0.0342, 0)</f>
        <v>35.230899999999998</v>
      </c>
      <c r="C441" s="17">
        <f>32.244 * CHOOSE(CONTROL!$C$15, $E$9, 100%, $G$9) + CHOOSE(CONTROL!$C$38, 0.0343, 0)</f>
        <v>32.278300000000002</v>
      </c>
      <c r="D441" s="17">
        <f>32.2361 * CHOOSE(CONTROL!$C$15, $E$9, 100%, $G$9) + CHOOSE(CONTROL!$C$38, 0.0343, 0)</f>
        <v>32.270400000000002</v>
      </c>
      <c r="E441" s="17">
        <f>32.2361 * CHOOSE(CONTROL!$C$15, $E$9, 100%, $G$9) + CHOOSE(CONTROL!$C$38, 0.0343, 0)</f>
        <v>32.270400000000002</v>
      </c>
      <c r="F441" s="46">
        <f>35.1967 * CHOOSE(CONTROL!$C$15, $E$9, 100%, $G$9) + CHOOSE(CONTROL!$C$38, 0.0342, 0)</f>
        <v>35.230899999999998</v>
      </c>
      <c r="G441" s="17">
        <f>32.2424 * CHOOSE(CONTROL!$C$15, $E$9, 100%, $G$9) + CHOOSE(CONTROL!$C$38, 0.0343, 0)</f>
        <v>32.276700000000005</v>
      </c>
      <c r="H441" s="17">
        <f>32.2424 * CHOOSE(CONTROL!$C$15, $E$9, 100%, $G$9) + CHOOSE(CONTROL!$C$38, 0.0343, 0)</f>
        <v>32.276700000000005</v>
      </c>
      <c r="I441" s="17">
        <f>32.244 * CHOOSE(CONTROL!$C$15, $E$9, 100%, $G$9) + CHOOSE(CONTROL!$C$38, 0.0343, 0)</f>
        <v>32.278300000000002</v>
      </c>
      <c r="J441" s="45">
        <f>246.2071</f>
        <v>246.2071</v>
      </c>
    </row>
    <row r="442" spans="1:10" ht="15.75" x14ac:dyDescent="0.25">
      <c r="A442" s="14">
        <v>54392</v>
      </c>
      <c r="B442" s="17">
        <f>35.4984 * CHOOSE(CONTROL!$C$15, $E$9, 100%, $G$9) + CHOOSE(CONTROL!$C$38, 0.0342, 0)</f>
        <v>35.532599999999995</v>
      </c>
      <c r="C442" s="17">
        <f>32.5457 * CHOOSE(CONTROL!$C$15, $E$9, 100%, $G$9) + CHOOSE(CONTROL!$C$38, 0.0343, 0)</f>
        <v>32.58</v>
      </c>
      <c r="D442" s="17">
        <f>32.5378 * CHOOSE(CONTROL!$C$15, $E$9, 100%, $G$9) + CHOOSE(CONTROL!$C$38, 0.0343, 0)</f>
        <v>32.572099999999999</v>
      </c>
      <c r="E442" s="17">
        <f>32.5378 * CHOOSE(CONTROL!$C$15, $E$9, 100%, $G$9) + CHOOSE(CONTROL!$C$38, 0.0343, 0)</f>
        <v>32.572099999999999</v>
      </c>
      <c r="F442" s="46">
        <f>35.4984 * CHOOSE(CONTROL!$C$15, $E$9, 100%, $G$9) + CHOOSE(CONTROL!$C$38, 0.0342, 0)</f>
        <v>35.532599999999995</v>
      </c>
      <c r="G442" s="17">
        <f>32.5441 * CHOOSE(CONTROL!$C$15, $E$9, 100%, $G$9) + CHOOSE(CONTROL!$C$38, 0.0343, 0)</f>
        <v>32.578400000000002</v>
      </c>
      <c r="H442" s="17">
        <f>32.5441 * CHOOSE(CONTROL!$C$15, $E$9, 100%, $G$9) + CHOOSE(CONTROL!$C$38, 0.0343, 0)</f>
        <v>32.578400000000002</v>
      </c>
      <c r="I442" s="17">
        <f>32.5457 * CHOOSE(CONTROL!$C$15, $E$9, 100%, $G$9) + CHOOSE(CONTROL!$C$38, 0.0343, 0)</f>
        <v>32.58</v>
      </c>
      <c r="J442" s="45">
        <f>244.4529</f>
        <v>244.4529</v>
      </c>
    </row>
    <row r="443" spans="1:10" ht="15.75" x14ac:dyDescent="0.25">
      <c r="A443" s="14">
        <v>54423</v>
      </c>
      <c r="B443" s="17">
        <f>36.428 * CHOOSE(CONTROL!$C$15, $E$9, 100%, $G$9) + CHOOSE(CONTROL!$C$38, 0.0342, 0)</f>
        <v>36.462199999999996</v>
      </c>
      <c r="C443" s="17">
        <f>33.4753 * CHOOSE(CONTROL!$C$15, $E$9, 100%, $G$9) + CHOOSE(CONTROL!$C$38, 0.0343, 0)</f>
        <v>33.509599999999999</v>
      </c>
      <c r="D443" s="17">
        <f>33.4675 * CHOOSE(CONTROL!$C$15, $E$9, 100%, $G$9) + CHOOSE(CONTROL!$C$38, 0.0343, 0)</f>
        <v>33.501800000000003</v>
      </c>
      <c r="E443" s="17">
        <f>33.4675 * CHOOSE(CONTROL!$C$15, $E$9, 100%, $G$9) + CHOOSE(CONTROL!$C$38, 0.0343, 0)</f>
        <v>33.501800000000003</v>
      </c>
      <c r="F443" s="46">
        <f>36.428 * CHOOSE(CONTROL!$C$15, $E$9, 100%, $G$9) + CHOOSE(CONTROL!$C$38, 0.0342, 0)</f>
        <v>36.462199999999996</v>
      </c>
      <c r="G443" s="17">
        <f>33.4738 * CHOOSE(CONTROL!$C$15, $E$9, 100%, $G$9) + CHOOSE(CONTROL!$C$38, 0.0343, 0)</f>
        <v>33.508099999999999</v>
      </c>
      <c r="H443" s="17">
        <f>33.4738 * CHOOSE(CONTROL!$C$15, $E$9, 100%, $G$9) + CHOOSE(CONTROL!$C$38, 0.0343, 0)</f>
        <v>33.508099999999999</v>
      </c>
      <c r="I443" s="17">
        <f>33.4753 * CHOOSE(CONTROL!$C$15, $E$9, 100%, $G$9) + CHOOSE(CONTROL!$C$38, 0.0343, 0)</f>
        <v>33.509599999999999</v>
      </c>
      <c r="J443" s="45">
        <f>237.1987</f>
        <v>237.1987</v>
      </c>
    </row>
    <row r="444" spans="1:10" ht="15.75" x14ac:dyDescent="0.25">
      <c r="A444" s="14">
        <v>54454</v>
      </c>
      <c r="B444" s="17">
        <f>37.7491 * CHOOSE(CONTROL!$C$15, $E$9, 100%, $G$9) + CHOOSE(CONTROL!$C$38, 0.0342, 0)</f>
        <v>37.783299999999997</v>
      </c>
      <c r="C444" s="17">
        <f>34.7494 * CHOOSE(CONTROL!$C$15, $E$9, 100%, $G$9) + CHOOSE(CONTROL!$C$38, 0.0343, 0)</f>
        <v>34.783700000000003</v>
      </c>
      <c r="D444" s="17">
        <f>34.7416 * CHOOSE(CONTROL!$C$15, $E$9, 100%, $G$9) + CHOOSE(CONTROL!$C$38, 0.0343, 0)</f>
        <v>34.7759</v>
      </c>
      <c r="E444" s="17">
        <f>34.7416 * CHOOSE(CONTROL!$C$15, $E$9, 100%, $G$9) + CHOOSE(CONTROL!$C$38, 0.0343, 0)</f>
        <v>34.7759</v>
      </c>
      <c r="F444" s="46">
        <f>37.7491 * CHOOSE(CONTROL!$C$15, $E$9, 100%, $G$9) + CHOOSE(CONTROL!$C$38, 0.0342, 0)</f>
        <v>37.783299999999997</v>
      </c>
      <c r="G444" s="17">
        <f>34.7479 * CHOOSE(CONTROL!$C$15, $E$9, 100%, $G$9) + CHOOSE(CONTROL!$C$38, 0.0343, 0)</f>
        <v>34.782200000000003</v>
      </c>
      <c r="H444" s="17">
        <f>34.7479 * CHOOSE(CONTROL!$C$15, $E$9, 100%, $G$9) + CHOOSE(CONTROL!$C$38, 0.0343, 0)</f>
        <v>34.782200000000003</v>
      </c>
      <c r="I444" s="17">
        <f>34.7494 * CHOOSE(CONTROL!$C$15, $E$9, 100%, $G$9) + CHOOSE(CONTROL!$C$38, 0.0343, 0)</f>
        <v>34.783700000000003</v>
      </c>
      <c r="J444" s="45">
        <f>237.0274</f>
        <v>237.0274</v>
      </c>
    </row>
    <row r="445" spans="1:10" ht="15.75" x14ac:dyDescent="0.25">
      <c r="A445" s="14">
        <v>54482</v>
      </c>
      <c r="B445" s="17">
        <f>38.0934 * CHOOSE(CONTROL!$C$15, $E$9, 100%, $G$9) + CHOOSE(CONTROL!$C$38, 0.0342, 0)</f>
        <v>38.127600000000001</v>
      </c>
      <c r="C445" s="17">
        <f>35.0937 * CHOOSE(CONTROL!$C$15, $E$9, 100%, $G$9) + CHOOSE(CONTROL!$C$38, 0.0343, 0)</f>
        <v>35.128</v>
      </c>
      <c r="D445" s="17">
        <f>35.0859 * CHOOSE(CONTROL!$C$15, $E$9, 100%, $G$9) + CHOOSE(CONTROL!$C$38, 0.0343, 0)</f>
        <v>35.120200000000004</v>
      </c>
      <c r="E445" s="17">
        <f>35.0859 * CHOOSE(CONTROL!$C$15, $E$9, 100%, $G$9) + CHOOSE(CONTROL!$C$38, 0.0343, 0)</f>
        <v>35.120200000000004</v>
      </c>
      <c r="F445" s="46">
        <f>38.0934 * CHOOSE(CONTROL!$C$15, $E$9, 100%, $G$9) + CHOOSE(CONTROL!$C$38, 0.0342, 0)</f>
        <v>38.127600000000001</v>
      </c>
      <c r="G445" s="17">
        <f>35.0922 * CHOOSE(CONTROL!$C$15, $E$9, 100%, $G$9) + CHOOSE(CONTROL!$C$38, 0.0343, 0)</f>
        <v>35.1265</v>
      </c>
      <c r="H445" s="17">
        <f>35.0922 * CHOOSE(CONTROL!$C$15, $E$9, 100%, $G$9) + CHOOSE(CONTROL!$C$38, 0.0343, 0)</f>
        <v>35.1265</v>
      </c>
      <c r="I445" s="17">
        <f>35.0937 * CHOOSE(CONTROL!$C$15, $E$9, 100%, $G$9) + CHOOSE(CONTROL!$C$38, 0.0343, 0)</f>
        <v>35.128</v>
      </c>
      <c r="J445" s="45">
        <f>236.3686</f>
        <v>236.36859999999999</v>
      </c>
    </row>
    <row r="446" spans="1:10" ht="15.75" x14ac:dyDescent="0.25">
      <c r="A446" s="14">
        <v>54513</v>
      </c>
      <c r="B446" s="17">
        <f>37.2964 * CHOOSE(CONTROL!$C$15, $E$9, 100%, $G$9) + CHOOSE(CONTROL!$C$38, 0.0342, 0)</f>
        <v>37.330599999999997</v>
      </c>
      <c r="C446" s="17">
        <f>34.2967 * CHOOSE(CONTROL!$C$15, $E$9, 100%, $G$9) + CHOOSE(CONTROL!$C$38, 0.0343, 0)</f>
        <v>34.331000000000003</v>
      </c>
      <c r="D446" s="17">
        <f>34.2889 * CHOOSE(CONTROL!$C$15, $E$9, 100%, $G$9) + CHOOSE(CONTROL!$C$38, 0.0343, 0)</f>
        <v>34.3232</v>
      </c>
      <c r="E446" s="17">
        <f>34.2889 * CHOOSE(CONTROL!$C$15, $E$9, 100%, $G$9) + CHOOSE(CONTROL!$C$38, 0.0343, 0)</f>
        <v>34.3232</v>
      </c>
      <c r="F446" s="46">
        <f>37.2964 * CHOOSE(CONTROL!$C$15, $E$9, 100%, $G$9) + CHOOSE(CONTROL!$C$38, 0.0342, 0)</f>
        <v>37.330599999999997</v>
      </c>
      <c r="G446" s="17">
        <f>34.2951 * CHOOSE(CONTROL!$C$15, $E$9, 100%, $G$9) + CHOOSE(CONTROL!$C$38, 0.0343, 0)</f>
        <v>34.3294</v>
      </c>
      <c r="H446" s="17">
        <f>34.2951 * CHOOSE(CONTROL!$C$15, $E$9, 100%, $G$9) + CHOOSE(CONTROL!$C$38, 0.0343, 0)</f>
        <v>34.3294</v>
      </c>
      <c r="I446" s="17">
        <f>34.2967 * CHOOSE(CONTROL!$C$15, $E$9, 100%, $G$9) + CHOOSE(CONTROL!$C$38, 0.0343, 0)</f>
        <v>34.331000000000003</v>
      </c>
      <c r="J446" s="45">
        <f>248.8266</f>
        <v>248.82660000000001</v>
      </c>
    </row>
    <row r="447" spans="1:10" ht="15.75" x14ac:dyDescent="0.25">
      <c r="A447" s="14">
        <v>54543</v>
      </c>
      <c r="B447" s="17">
        <f>36.5241 * CHOOSE(CONTROL!$C$15, $E$9, 100%, $G$9) + CHOOSE(CONTROL!$C$38, 0.0342, 0)</f>
        <v>36.558299999999996</v>
      </c>
      <c r="C447" s="17">
        <f>33.5244 * CHOOSE(CONTROL!$C$15, $E$9, 100%, $G$9) + CHOOSE(CONTROL!$C$38, 0.0343, 0)</f>
        <v>33.558700000000002</v>
      </c>
      <c r="D447" s="17">
        <f>33.5166 * CHOOSE(CONTROL!$C$15, $E$9, 100%, $G$9) + CHOOSE(CONTROL!$C$38, 0.0343, 0)</f>
        <v>33.550899999999999</v>
      </c>
      <c r="E447" s="17">
        <f>33.5166 * CHOOSE(CONTROL!$C$15, $E$9, 100%, $G$9) + CHOOSE(CONTROL!$C$38, 0.0343, 0)</f>
        <v>33.550899999999999</v>
      </c>
      <c r="F447" s="46">
        <f>36.5241 * CHOOSE(CONTROL!$C$15, $E$9, 100%, $G$9) + CHOOSE(CONTROL!$C$38, 0.0342, 0)</f>
        <v>36.558299999999996</v>
      </c>
      <c r="G447" s="17">
        <f>33.5228 * CHOOSE(CONTROL!$C$15, $E$9, 100%, $G$9) + CHOOSE(CONTROL!$C$38, 0.0343, 0)</f>
        <v>33.557099999999998</v>
      </c>
      <c r="H447" s="17">
        <f>33.5228 * CHOOSE(CONTROL!$C$15, $E$9, 100%, $G$9) + CHOOSE(CONTROL!$C$38, 0.0343, 0)</f>
        <v>33.557099999999998</v>
      </c>
      <c r="I447" s="17">
        <f>33.5244 * CHOOSE(CONTROL!$C$15, $E$9, 100%, $G$9) + CHOOSE(CONTROL!$C$38, 0.0343, 0)</f>
        <v>33.558700000000002</v>
      </c>
      <c r="J447" s="45">
        <f>264.9816</f>
        <v>264.98160000000001</v>
      </c>
    </row>
    <row r="448" spans="1:10" ht="15.75" x14ac:dyDescent="0.25">
      <c r="A448" s="14">
        <v>54574</v>
      </c>
      <c r="B448" s="17">
        <f>35.7191 * CHOOSE(CONTROL!$C$15, $E$9, 100%, $G$9) + CHOOSE(CONTROL!$C$38, 0.0355, 0)</f>
        <v>35.754599999999996</v>
      </c>
      <c r="C448" s="17">
        <f>32.7194 * CHOOSE(CONTROL!$C$15, $E$9, 100%, $G$9) + CHOOSE(CONTROL!$C$38, 0.0356, 0)</f>
        <v>32.755000000000003</v>
      </c>
      <c r="D448" s="17">
        <f>32.7116 * CHOOSE(CONTROL!$C$15, $E$9, 100%, $G$9) + CHOOSE(CONTROL!$C$38, 0.0356, 0)</f>
        <v>32.747199999999999</v>
      </c>
      <c r="E448" s="17">
        <f>32.7116 * CHOOSE(CONTROL!$C$15, $E$9, 100%, $G$9) + CHOOSE(CONTROL!$C$38, 0.0356, 0)</f>
        <v>32.747199999999999</v>
      </c>
      <c r="F448" s="46">
        <f>35.7191 * CHOOSE(CONTROL!$C$15, $E$9, 100%, $G$9) + CHOOSE(CONTROL!$C$38, 0.0355, 0)</f>
        <v>35.754599999999996</v>
      </c>
      <c r="G448" s="17">
        <f>32.7179 * CHOOSE(CONTROL!$C$15, $E$9, 100%, $G$9) + CHOOSE(CONTROL!$C$38, 0.0356, 0)</f>
        <v>32.753500000000003</v>
      </c>
      <c r="H448" s="17">
        <f>32.7179 * CHOOSE(CONTROL!$C$15, $E$9, 100%, $G$9) + CHOOSE(CONTROL!$C$38, 0.0356, 0)</f>
        <v>32.753500000000003</v>
      </c>
      <c r="I448" s="17">
        <f>32.7194 * CHOOSE(CONTROL!$C$15, $E$9, 100%, $G$9) + CHOOSE(CONTROL!$C$38, 0.0356, 0)</f>
        <v>32.755000000000003</v>
      </c>
      <c r="J448" s="45">
        <f>273.8739</f>
        <v>273.87389999999999</v>
      </c>
    </row>
    <row r="449" spans="1:10" ht="15.75" x14ac:dyDescent="0.25">
      <c r="A449" s="14">
        <v>54604</v>
      </c>
      <c r="B449" s="17">
        <f>35.1548 * CHOOSE(CONTROL!$C$15, $E$9, 100%, $G$9) + CHOOSE(CONTROL!$C$38, 0.0355, 0)</f>
        <v>35.190300000000001</v>
      </c>
      <c r="C449" s="17">
        <f>32.1551 * CHOOSE(CONTROL!$C$15, $E$9, 100%, $G$9) + CHOOSE(CONTROL!$C$38, 0.0356, 0)</f>
        <v>32.1907</v>
      </c>
      <c r="D449" s="17">
        <f>32.1473 * CHOOSE(CONTROL!$C$15, $E$9, 100%, $G$9) + CHOOSE(CONTROL!$C$38, 0.0356, 0)</f>
        <v>32.182900000000004</v>
      </c>
      <c r="E449" s="17">
        <f>32.1473 * CHOOSE(CONTROL!$C$15, $E$9, 100%, $G$9) + CHOOSE(CONTROL!$C$38, 0.0356, 0)</f>
        <v>32.182900000000004</v>
      </c>
      <c r="F449" s="46">
        <f>35.1548 * CHOOSE(CONTROL!$C$15, $E$9, 100%, $G$9) + CHOOSE(CONTROL!$C$38, 0.0355, 0)</f>
        <v>35.190300000000001</v>
      </c>
      <c r="G449" s="17">
        <f>32.1535 * CHOOSE(CONTROL!$C$15, $E$9, 100%, $G$9) + CHOOSE(CONTROL!$C$38, 0.0356, 0)</f>
        <v>32.189100000000003</v>
      </c>
      <c r="H449" s="17">
        <f>32.1535 * CHOOSE(CONTROL!$C$15, $E$9, 100%, $G$9) + CHOOSE(CONTROL!$C$38, 0.0356, 0)</f>
        <v>32.189100000000003</v>
      </c>
      <c r="I449" s="17">
        <f>32.1551 * CHOOSE(CONTROL!$C$15, $E$9, 100%, $G$9) + CHOOSE(CONTROL!$C$38, 0.0356, 0)</f>
        <v>32.1907</v>
      </c>
      <c r="J449" s="45">
        <f>277.8201</f>
        <v>277.82010000000002</v>
      </c>
    </row>
    <row r="450" spans="1:10" ht="15.75" x14ac:dyDescent="0.25">
      <c r="A450" s="14">
        <v>54635</v>
      </c>
      <c r="B450" s="17">
        <f>34.8327 * CHOOSE(CONTROL!$C$15, $E$9, 100%, $G$9) + CHOOSE(CONTROL!$C$38, 0.0355, 0)</f>
        <v>34.868200000000002</v>
      </c>
      <c r="C450" s="17">
        <f>31.833 * CHOOSE(CONTROL!$C$15, $E$9, 100%, $G$9) + CHOOSE(CONTROL!$C$38, 0.0356, 0)</f>
        <v>31.868599999999997</v>
      </c>
      <c r="D450" s="17">
        <f>31.8252 * CHOOSE(CONTROL!$C$15, $E$9, 100%, $G$9) + CHOOSE(CONTROL!$C$38, 0.0356, 0)</f>
        <v>31.860799999999998</v>
      </c>
      <c r="E450" s="17">
        <f>31.8252 * CHOOSE(CONTROL!$C$15, $E$9, 100%, $G$9) + CHOOSE(CONTROL!$C$38, 0.0356, 0)</f>
        <v>31.860799999999998</v>
      </c>
      <c r="F450" s="46">
        <f>34.8327 * CHOOSE(CONTROL!$C$15, $E$9, 100%, $G$9) + CHOOSE(CONTROL!$C$38, 0.0355, 0)</f>
        <v>34.868200000000002</v>
      </c>
      <c r="G450" s="17">
        <f>31.8315 * CHOOSE(CONTROL!$C$15, $E$9, 100%, $G$9) + CHOOSE(CONTROL!$C$38, 0.0356, 0)</f>
        <v>31.867099999999997</v>
      </c>
      <c r="H450" s="17">
        <f>31.8315 * CHOOSE(CONTROL!$C$15, $E$9, 100%, $G$9) + CHOOSE(CONTROL!$C$38, 0.0356, 0)</f>
        <v>31.867099999999997</v>
      </c>
      <c r="I450" s="17">
        <f>31.833 * CHOOSE(CONTROL!$C$15, $E$9, 100%, $G$9) + CHOOSE(CONTROL!$C$38, 0.0356, 0)</f>
        <v>31.868599999999997</v>
      </c>
      <c r="J450" s="45">
        <f>276.5208</f>
        <v>276.52080000000001</v>
      </c>
    </row>
    <row r="451" spans="1:10" ht="15.75" x14ac:dyDescent="0.25">
      <c r="A451" s="14">
        <v>54666</v>
      </c>
      <c r="B451" s="17">
        <f>34.9917 * CHOOSE(CONTROL!$C$15, $E$9, 100%, $G$9) + CHOOSE(CONTROL!$C$38, 0.0355, 0)</f>
        <v>35.027200000000001</v>
      </c>
      <c r="C451" s="17">
        <f>32.1602 * CHOOSE(CONTROL!$C$15, $E$9, 100%, $G$9) + CHOOSE(CONTROL!$C$38, 0.0356, 0)</f>
        <v>32.195800000000006</v>
      </c>
      <c r="D451" s="17">
        <f>32.1524 * CHOOSE(CONTROL!$C$15, $E$9, 100%, $G$9) + CHOOSE(CONTROL!$C$38, 0.0356, 0)</f>
        <v>32.188000000000002</v>
      </c>
      <c r="E451" s="17">
        <f>32.1524 * CHOOSE(CONTROL!$C$15, $E$9, 100%, $G$9) + CHOOSE(CONTROL!$C$38, 0.0356, 0)</f>
        <v>32.188000000000002</v>
      </c>
      <c r="F451" s="46">
        <f>34.9917 * CHOOSE(CONTROL!$C$15, $E$9, 100%, $G$9) + CHOOSE(CONTROL!$C$38, 0.0355, 0)</f>
        <v>35.027200000000001</v>
      </c>
      <c r="G451" s="17">
        <f>32.1586 * CHOOSE(CONTROL!$C$15, $E$9, 100%, $G$9) + CHOOSE(CONTROL!$C$38, 0.0356, 0)</f>
        <v>32.194200000000002</v>
      </c>
      <c r="H451" s="17">
        <f>32.1586 * CHOOSE(CONTROL!$C$15, $E$9, 100%, $G$9) + CHOOSE(CONTROL!$C$38, 0.0356, 0)</f>
        <v>32.194200000000002</v>
      </c>
      <c r="I451" s="17">
        <f>32.1602 * CHOOSE(CONTROL!$C$15, $E$9, 100%, $G$9) + CHOOSE(CONTROL!$C$38, 0.0356, 0)</f>
        <v>32.195800000000006</v>
      </c>
      <c r="J451" s="45">
        <f>270.0835</f>
        <v>270.08350000000002</v>
      </c>
    </row>
    <row r="452" spans="1:10" ht="15.75" x14ac:dyDescent="0.25">
      <c r="A452" s="14">
        <v>54696</v>
      </c>
      <c r="B452" s="17">
        <f>35.4234 * CHOOSE(CONTROL!$C$15, $E$9, 100%, $G$9) + CHOOSE(CONTROL!$C$38, 0.0355, 0)</f>
        <v>35.4589</v>
      </c>
      <c r="C452" s="17">
        <f>32.4237 * CHOOSE(CONTROL!$C$15, $E$9, 100%, $G$9) + CHOOSE(CONTROL!$C$38, 0.0356, 0)</f>
        <v>32.459299999999999</v>
      </c>
      <c r="D452" s="17">
        <f>32.4159 * CHOOSE(CONTROL!$C$15, $E$9, 100%, $G$9) + CHOOSE(CONTROL!$C$38, 0.0356, 0)</f>
        <v>32.451500000000003</v>
      </c>
      <c r="E452" s="17">
        <f>32.4159 * CHOOSE(CONTROL!$C$15, $E$9, 100%, $G$9) + CHOOSE(CONTROL!$C$38, 0.0356, 0)</f>
        <v>32.451500000000003</v>
      </c>
      <c r="F452" s="46">
        <f>35.4234 * CHOOSE(CONTROL!$C$15, $E$9, 100%, $G$9) + CHOOSE(CONTROL!$C$38, 0.0355, 0)</f>
        <v>35.4589</v>
      </c>
      <c r="G452" s="17">
        <f>32.4221 * CHOOSE(CONTROL!$C$15, $E$9, 100%, $G$9) + CHOOSE(CONTROL!$C$38, 0.0356, 0)</f>
        <v>32.457700000000003</v>
      </c>
      <c r="H452" s="17">
        <f>32.4221 * CHOOSE(CONTROL!$C$15, $E$9, 100%, $G$9) + CHOOSE(CONTROL!$C$38, 0.0356, 0)</f>
        <v>32.457700000000003</v>
      </c>
      <c r="I452" s="17">
        <f>32.4237 * CHOOSE(CONTROL!$C$15, $E$9, 100%, $G$9) + CHOOSE(CONTROL!$C$38, 0.0356, 0)</f>
        <v>32.459299999999999</v>
      </c>
      <c r="J452" s="45">
        <f>261.1064</f>
        <v>261.10640000000001</v>
      </c>
    </row>
    <row r="453" spans="1:10" ht="15.75" x14ac:dyDescent="0.25">
      <c r="A453" s="14">
        <v>54727</v>
      </c>
      <c r="B453" s="17">
        <f>35.7849 * CHOOSE(CONTROL!$C$15, $E$9, 100%, $G$9) + CHOOSE(CONTROL!$C$38, 0.0342, 0)</f>
        <v>35.819099999999999</v>
      </c>
      <c r="C453" s="17">
        <f>32.7853 * CHOOSE(CONTROL!$C$15, $E$9, 100%, $G$9) + CHOOSE(CONTROL!$C$38, 0.0343, 0)</f>
        <v>32.819600000000001</v>
      </c>
      <c r="D453" s="17">
        <f>32.7774 * CHOOSE(CONTROL!$C$15, $E$9, 100%, $G$9) + CHOOSE(CONTROL!$C$38, 0.0343, 0)</f>
        <v>32.811700000000002</v>
      </c>
      <c r="E453" s="17">
        <f>32.7774 * CHOOSE(CONTROL!$C$15, $E$9, 100%, $G$9) + CHOOSE(CONTROL!$C$38, 0.0343, 0)</f>
        <v>32.811700000000002</v>
      </c>
      <c r="F453" s="46">
        <f>35.7849 * CHOOSE(CONTROL!$C$15, $E$9, 100%, $G$9) + CHOOSE(CONTROL!$C$38, 0.0342, 0)</f>
        <v>35.819099999999999</v>
      </c>
      <c r="G453" s="17">
        <f>32.7837 * CHOOSE(CONTROL!$C$15, $E$9, 100%, $G$9) + CHOOSE(CONTROL!$C$38, 0.0343, 0)</f>
        <v>32.818000000000005</v>
      </c>
      <c r="H453" s="17">
        <f>32.7837 * CHOOSE(CONTROL!$C$15, $E$9, 100%, $G$9) + CHOOSE(CONTROL!$C$38, 0.0343, 0)</f>
        <v>32.818000000000005</v>
      </c>
      <c r="I453" s="17">
        <f>32.7853 * CHOOSE(CONTROL!$C$15, $E$9, 100%, $G$9) + CHOOSE(CONTROL!$C$38, 0.0343, 0)</f>
        <v>32.819600000000001</v>
      </c>
      <c r="J453" s="45">
        <f>252.0771</f>
        <v>252.0771</v>
      </c>
    </row>
    <row r="454" spans="1:10" ht="15.75" x14ac:dyDescent="0.25">
      <c r="A454" s="14">
        <v>54757</v>
      </c>
      <c r="B454" s="17">
        <f>36.0866 * CHOOSE(CONTROL!$C$15, $E$9, 100%, $G$9) + CHOOSE(CONTROL!$C$38, 0.0342, 0)</f>
        <v>36.120799999999996</v>
      </c>
      <c r="C454" s="17">
        <f>33.087 * CHOOSE(CONTROL!$C$15, $E$9, 100%, $G$9) + CHOOSE(CONTROL!$C$38, 0.0343, 0)</f>
        <v>33.121300000000005</v>
      </c>
      <c r="D454" s="17">
        <f>33.0791 * CHOOSE(CONTROL!$C$15, $E$9, 100%, $G$9) + CHOOSE(CONTROL!$C$38, 0.0343, 0)</f>
        <v>33.113399999999999</v>
      </c>
      <c r="E454" s="17">
        <f>33.0791 * CHOOSE(CONTROL!$C$15, $E$9, 100%, $G$9) + CHOOSE(CONTROL!$C$38, 0.0343, 0)</f>
        <v>33.113399999999999</v>
      </c>
      <c r="F454" s="46">
        <f>36.0866 * CHOOSE(CONTROL!$C$15, $E$9, 100%, $G$9) + CHOOSE(CONTROL!$C$38, 0.0342, 0)</f>
        <v>36.120799999999996</v>
      </c>
      <c r="G454" s="17">
        <f>33.0854 * CHOOSE(CONTROL!$C$15, $E$9, 100%, $G$9) + CHOOSE(CONTROL!$C$38, 0.0343, 0)</f>
        <v>33.119700000000002</v>
      </c>
      <c r="H454" s="17">
        <f>33.0854 * CHOOSE(CONTROL!$C$15, $E$9, 100%, $G$9) + CHOOSE(CONTROL!$C$38, 0.0343, 0)</f>
        <v>33.119700000000002</v>
      </c>
      <c r="I454" s="17">
        <f>33.087 * CHOOSE(CONTROL!$C$15, $E$9, 100%, $G$9) + CHOOSE(CONTROL!$C$38, 0.0343, 0)</f>
        <v>33.121300000000005</v>
      </c>
      <c r="J454" s="45">
        <f>250.281</f>
        <v>250.28100000000001</v>
      </c>
    </row>
    <row r="455" spans="1:10" ht="15.75" x14ac:dyDescent="0.25">
      <c r="A455" s="14">
        <v>54788</v>
      </c>
      <c r="B455" s="17">
        <f>37.0163 * CHOOSE(CONTROL!$C$15, $E$9, 100%, $G$9) + CHOOSE(CONTROL!$C$38, 0.0342, 0)</f>
        <v>37.0505</v>
      </c>
      <c r="C455" s="17">
        <f>34.0166 * CHOOSE(CONTROL!$C$15, $E$9, 100%, $G$9) + CHOOSE(CONTROL!$C$38, 0.0343, 0)</f>
        <v>34.050899999999999</v>
      </c>
      <c r="D455" s="17">
        <f>34.0088 * CHOOSE(CONTROL!$C$15, $E$9, 100%, $G$9) + CHOOSE(CONTROL!$C$38, 0.0343, 0)</f>
        <v>34.043100000000003</v>
      </c>
      <c r="E455" s="17">
        <f>34.0088 * CHOOSE(CONTROL!$C$15, $E$9, 100%, $G$9) + CHOOSE(CONTROL!$C$38, 0.0343, 0)</f>
        <v>34.043100000000003</v>
      </c>
      <c r="F455" s="46">
        <f>37.0163 * CHOOSE(CONTROL!$C$15, $E$9, 100%, $G$9) + CHOOSE(CONTROL!$C$38, 0.0342, 0)</f>
        <v>37.0505</v>
      </c>
      <c r="G455" s="17">
        <f>34.0151 * CHOOSE(CONTROL!$C$15, $E$9, 100%, $G$9) + CHOOSE(CONTROL!$C$38, 0.0343, 0)</f>
        <v>34.049399999999999</v>
      </c>
      <c r="H455" s="17">
        <f>34.0151 * CHOOSE(CONTROL!$C$15, $E$9, 100%, $G$9) + CHOOSE(CONTROL!$C$38, 0.0343, 0)</f>
        <v>34.049399999999999</v>
      </c>
      <c r="I455" s="17">
        <f>34.0166 * CHOOSE(CONTROL!$C$15, $E$9, 100%, $G$9) + CHOOSE(CONTROL!$C$38, 0.0343, 0)</f>
        <v>34.050899999999999</v>
      </c>
      <c r="J455" s="45">
        <f>242.8539</f>
        <v>242.85390000000001</v>
      </c>
    </row>
    <row r="456" spans="1:10" ht="15.75" x14ac:dyDescent="0.25">
      <c r="A456" s="14">
        <v>54819</v>
      </c>
      <c r="B456" s="17">
        <f>38.3473 * CHOOSE(CONTROL!$C$15, $E$9, 100%, $G$9) + CHOOSE(CONTROL!$C$38, 0.0342, 0)</f>
        <v>38.381499999999996</v>
      </c>
      <c r="C456" s="17">
        <f>35.2998 * CHOOSE(CONTROL!$C$15, $E$9, 100%, $G$9) + CHOOSE(CONTROL!$C$38, 0.0343, 0)</f>
        <v>35.334099999999999</v>
      </c>
      <c r="D456" s="17">
        <f>35.292 * CHOOSE(CONTROL!$C$15, $E$9, 100%, $G$9) + CHOOSE(CONTROL!$C$38, 0.0343, 0)</f>
        <v>35.326300000000003</v>
      </c>
      <c r="E456" s="17">
        <f>35.292 * CHOOSE(CONTROL!$C$15, $E$9, 100%, $G$9) + CHOOSE(CONTROL!$C$38, 0.0343, 0)</f>
        <v>35.326300000000003</v>
      </c>
      <c r="F456" s="46">
        <f>38.3473 * CHOOSE(CONTROL!$C$15, $E$9, 100%, $G$9) + CHOOSE(CONTROL!$C$38, 0.0342, 0)</f>
        <v>38.381499999999996</v>
      </c>
      <c r="G456" s="17">
        <f>35.2983 * CHOOSE(CONTROL!$C$15, $E$9, 100%, $G$9) + CHOOSE(CONTROL!$C$38, 0.0343, 0)</f>
        <v>35.332599999999999</v>
      </c>
      <c r="H456" s="17">
        <f>35.2983 * CHOOSE(CONTROL!$C$15, $E$9, 100%, $G$9) + CHOOSE(CONTROL!$C$38, 0.0343, 0)</f>
        <v>35.332599999999999</v>
      </c>
      <c r="I456" s="17">
        <f>35.2998 * CHOOSE(CONTROL!$C$15, $E$9, 100%, $G$9) + CHOOSE(CONTROL!$C$38, 0.0343, 0)</f>
        <v>35.334099999999999</v>
      </c>
      <c r="J456" s="45">
        <f>242.6785</f>
        <v>242.67850000000001</v>
      </c>
    </row>
    <row r="457" spans="1:10" ht="15.75" x14ac:dyDescent="0.25">
      <c r="A457" s="14">
        <v>54847</v>
      </c>
      <c r="B457" s="17">
        <f>38.6916 * CHOOSE(CONTROL!$C$15, $E$9, 100%, $G$9) + CHOOSE(CONTROL!$C$38, 0.0342, 0)</f>
        <v>38.7258</v>
      </c>
      <c r="C457" s="17">
        <f>35.6441 * CHOOSE(CONTROL!$C$15, $E$9, 100%, $G$9) + CHOOSE(CONTROL!$C$38, 0.0343, 0)</f>
        <v>35.678400000000003</v>
      </c>
      <c r="D457" s="17">
        <f>35.6363 * CHOOSE(CONTROL!$C$15, $E$9, 100%, $G$9) + CHOOSE(CONTROL!$C$38, 0.0343, 0)</f>
        <v>35.6706</v>
      </c>
      <c r="E457" s="17">
        <f>35.6363 * CHOOSE(CONTROL!$C$15, $E$9, 100%, $G$9) + CHOOSE(CONTROL!$C$38, 0.0343, 0)</f>
        <v>35.6706</v>
      </c>
      <c r="F457" s="46">
        <f>38.6916 * CHOOSE(CONTROL!$C$15, $E$9, 100%, $G$9) + CHOOSE(CONTROL!$C$38, 0.0342, 0)</f>
        <v>38.7258</v>
      </c>
      <c r="G457" s="17">
        <f>35.6426 * CHOOSE(CONTROL!$C$15, $E$9, 100%, $G$9) + CHOOSE(CONTROL!$C$38, 0.0343, 0)</f>
        <v>35.676900000000003</v>
      </c>
      <c r="H457" s="17">
        <f>35.6426 * CHOOSE(CONTROL!$C$15, $E$9, 100%, $G$9) + CHOOSE(CONTROL!$C$38, 0.0343, 0)</f>
        <v>35.676900000000003</v>
      </c>
      <c r="I457" s="17">
        <f>35.6441 * CHOOSE(CONTROL!$C$15, $E$9, 100%, $G$9) + CHOOSE(CONTROL!$C$38, 0.0343, 0)</f>
        <v>35.678400000000003</v>
      </c>
      <c r="J457" s="45">
        <f>242.004</f>
        <v>242.00399999999999</v>
      </c>
    </row>
    <row r="458" spans="1:10" ht="15.75" x14ac:dyDescent="0.25">
      <c r="A458" s="14">
        <v>54878</v>
      </c>
      <c r="B458" s="17">
        <f>37.8945 * CHOOSE(CONTROL!$C$15, $E$9, 100%, $G$9) + CHOOSE(CONTROL!$C$38, 0.0342, 0)</f>
        <v>37.928699999999999</v>
      </c>
      <c r="C458" s="17">
        <f>34.8471 * CHOOSE(CONTROL!$C$15, $E$9, 100%, $G$9) + CHOOSE(CONTROL!$C$38, 0.0343, 0)</f>
        <v>34.881399999999999</v>
      </c>
      <c r="D458" s="17">
        <f>34.8393 * CHOOSE(CONTROL!$C$15, $E$9, 100%, $G$9) + CHOOSE(CONTROL!$C$38, 0.0343, 0)</f>
        <v>34.873600000000003</v>
      </c>
      <c r="E458" s="17">
        <f>34.8393 * CHOOSE(CONTROL!$C$15, $E$9, 100%, $G$9) + CHOOSE(CONTROL!$C$38, 0.0343, 0)</f>
        <v>34.873600000000003</v>
      </c>
      <c r="F458" s="46">
        <f>37.8945 * CHOOSE(CONTROL!$C$15, $E$9, 100%, $G$9) + CHOOSE(CONTROL!$C$38, 0.0342, 0)</f>
        <v>37.928699999999999</v>
      </c>
      <c r="G458" s="17">
        <f>34.8455 * CHOOSE(CONTROL!$C$15, $E$9, 100%, $G$9) + CHOOSE(CONTROL!$C$38, 0.0343, 0)</f>
        <v>34.879800000000003</v>
      </c>
      <c r="H458" s="17">
        <f>34.8455 * CHOOSE(CONTROL!$C$15, $E$9, 100%, $G$9) + CHOOSE(CONTROL!$C$38, 0.0343, 0)</f>
        <v>34.879800000000003</v>
      </c>
      <c r="I458" s="17">
        <f>34.8471 * CHOOSE(CONTROL!$C$15, $E$9, 100%, $G$9) + CHOOSE(CONTROL!$C$38, 0.0343, 0)</f>
        <v>34.881399999999999</v>
      </c>
      <c r="J458" s="45">
        <f>254.759</f>
        <v>254.75899999999999</v>
      </c>
    </row>
    <row r="459" spans="1:10" ht="15.75" x14ac:dyDescent="0.25">
      <c r="A459" s="14">
        <v>54908</v>
      </c>
      <c r="B459" s="17">
        <f>37.1222 * CHOOSE(CONTROL!$C$15, $E$9, 100%, $G$9) + CHOOSE(CONTROL!$C$38, 0.0342, 0)</f>
        <v>37.156399999999998</v>
      </c>
      <c r="C459" s="17">
        <f>34.0748 * CHOOSE(CONTROL!$C$15, $E$9, 100%, $G$9) + CHOOSE(CONTROL!$C$38, 0.0343, 0)</f>
        <v>34.109100000000005</v>
      </c>
      <c r="D459" s="17">
        <f>34.067 * CHOOSE(CONTROL!$C$15, $E$9, 100%, $G$9) + CHOOSE(CONTROL!$C$38, 0.0343, 0)</f>
        <v>34.101300000000002</v>
      </c>
      <c r="E459" s="17">
        <f>34.067 * CHOOSE(CONTROL!$C$15, $E$9, 100%, $G$9) + CHOOSE(CONTROL!$C$38, 0.0343, 0)</f>
        <v>34.101300000000002</v>
      </c>
      <c r="F459" s="46">
        <f>37.1222 * CHOOSE(CONTROL!$C$15, $E$9, 100%, $G$9) + CHOOSE(CONTROL!$C$38, 0.0342, 0)</f>
        <v>37.156399999999998</v>
      </c>
      <c r="G459" s="17">
        <f>34.0732 * CHOOSE(CONTROL!$C$15, $E$9, 100%, $G$9) + CHOOSE(CONTROL!$C$38, 0.0343, 0)</f>
        <v>34.107500000000002</v>
      </c>
      <c r="H459" s="17">
        <f>34.0732 * CHOOSE(CONTROL!$C$15, $E$9, 100%, $G$9) + CHOOSE(CONTROL!$C$38, 0.0343, 0)</f>
        <v>34.107500000000002</v>
      </c>
      <c r="I459" s="17">
        <f>34.0748 * CHOOSE(CONTROL!$C$15, $E$9, 100%, $G$9) + CHOOSE(CONTROL!$C$38, 0.0343, 0)</f>
        <v>34.109100000000005</v>
      </c>
      <c r="J459" s="45">
        <f>271.2992</f>
        <v>271.29919999999998</v>
      </c>
    </row>
    <row r="460" spans="1:10" ht="15.75" x14ac:dyDescent="0.25">
      <c r="A460" s="14">
        <v>54939</v>
      </c>
      <c r="B460" s="17">
        <f>36.3173 * CHOOSE(CONTROL!$C$15, $E$9, 100%, $G$9) + CHOOSE(CONTROL!$C$38, 0.0355, 0)</f>
        <v>36.352800000000002</v>
      </c>
      <c r="C460" s="17">
        <f>33.2698 * CHOOSE(CONTROL!$C$15, $E$9, 100%, $G$9) + CHOOSE(CONTROL!$C$38, 0.0356, 0)</f>
        <v>33.305399999999999</v>
      </c>
      <c r="D460" s="17">
        <f>33.262 * CHOOSE(CONTROL!$C$15, $E$9, 100%, $G$9) + CHOOSE(CONTROL!$C$38, 0.0356, 0)</f>
        <v>33.297600000000003</v>
      </c>
      <c r="E460" s="17">
        <f>33.262 * CHOOSE(CONTROL!$C$15, $E$9, 100%, $G$9) + CHOOSE(CONTROL!$C$38, 0.0356, 0)</f>
        <v>33.297600000000003</v>
      </c>
      <c r="F460" s="46">
        <f>36.3173 * CHOOSE(CONTROL!$C$15, $E$9, 100%, $G$9) + CHOOSE(CONTROL!$C$38, 0.0355, 0)</f>
        <v>36.352800000000002</v>
      </c>
      <c r="G460" s="17">
        <f>33.2683 * CHOOSE(CONTROL!$C$15, $E$9, 100%, $G$9) + CHOOSE(CONTROL!$C$38, 0.0356, 0)</f>
        <v>33.303900000000006</v>
      </c>
      <c r="H460" s="17">
        <f>33.2683 * CHOOSE(CONTROL!$C$15, $E$9, 100%, $G$9) + CHOOSE(CONTROL!$C$38, 0.0356, 0)</f>
        <v>33.303900000000006</v>
      </c>
      <c r="I460" s="17">
        <f>33.2698 * CHOOSE(CONTROL!$C$15, $E$9, 100%, $G$9) + CHOOSE(CONTROL!$C$38, 0.0356, 0)</f>
        <v>33.305399999999999</v>
      </c>
      <c r="J460" s="45">
        <f>280.4034</f>
        <v>280.40339999999998</v>
      </c>
    </row>
    <row r="461" spans="1:10" ht="15.75" x14ac:dyDescent="0.25">
      <c r="A461" s="14">
        <v>54969</v>
      </c>
      <c r="B461" s="17">
        <f>35.7529 * CHOOSE(CONTROL!$C$15, $E$9, 100%, $G$9) + CHOOSE(CONTROL!$C$38, 0.0355, 0)</f>
        <v>35.788399999999996</v>
      </c>
      <c r="C461" s="17">
        <f>32.7055 * CHOOSE(CONTROL!$C$15, $E$9, 100%, $G$9) + CHOOSE(CONTROL!$C$38, 0.0356, 0)</f>
        <v>32.741100000000003</v>
      </c>
      <c r="D461" s="17">
        <f>32.6977 * CHOOSE(CONTROL!$C$15, $E$9, 100%, $G$9) + CHOOSE(CONTROL!$C$38, 0.0356, 0)</f>
        <v>32.7333</v>
      </c>
      <c r="E461" s="17">
        <f>32.6977 * CHOOSE(CONTROL!$C$15, $E$9, 100%, $G$9) + CHOOSE(CONTROL!$C$38, 0.0356, 0)</f>
        <v>32.7333</v>
      </c>
      <c r="F461" s="46">
        <f>35.7529 * CHOOSE(CONTROL!$C$15, $E$9, 100%, $G$9) + CHOOSE(CONTROL!$C$38, 0.0355, 0)</f>
        <v>35.788399999999996</v>
      </c>
      <c r="G461" s="17">
        <f>32.7039 * CHOOSE(CONTROL!$C$15, $E$9, 100%, $G$9) + CHOOSE(CONTROL!$C$38, 0.0356, 0)</f>
        <v>32.7395</v>
      </c>
      <c r="H461" s="17">
        <f>32.7039 * CHOOSE(CONTROL!$C$15, $E$9, 100%, $G$9) + CHOOSE(CONTROL!$C$38, 0.0356, 0)</f>
        <v>32.7395</v>
      </c>
      <c r="I461" s="17">
        <f>32.7055 * CHOOSE(CONTROL!$C$15, $E$9, 100%, $G$9) + CHOOSE(CONTROL!$C$38, 0.0356, 0)</f>
        <v>32.741100000000003</v>
      </c>
      <c r="J461" s="45">
        <f>284.4438</f>
        <v>284.44380000000001</v>
      </c>
    </row>
    <row r="462" spans="1:10" ht="15.75" x14ac:dyDescent="0.25">
      <c r="A462" s="14">
        <v>55000</v>
      </c>
      <c r="B462" s="17">
        <f>35.4309 * CHOOSE(CONTROL!$C$15, $E$9, 100%, $G$9) + CHOOSE(CONTROL!$C$38, 0.0355, 0)</f>
        <v>35.4664</v>
      </c>
      <c r="C462" s="17">
        <f>32.3834 * CHOOSE(CONTROL!$C$15, $E$9, 100%, $G$9) + CHOOSE(CONTROL!$C$38, 0.0356, 0)</f>
        <v>32.419000000000004</v>
      </c>
      <c r="D462" s="17">
        <f>32.3756 * CHOOSE(CONTROL!$C$15, $E$9, 100%, $G$9) + CHOOSE(CONTROL!$C$38, 0.0356, 0)</f>
        <v>32.411200000000001</v>
      </c>
      <c r="E462" s="17">
        <f>32.3756 * CHOOSE(CONTROL!$C$15, $E$9, 100%, $G$9) + CHOOSE(CONTROL!$C$38, 0.0356, 0)</f>
        <v>32.411200000000001</v>
      </c>
      <c r="F462" s="46">
        <f>35.4309 * CHOOSE(CONTROL!$C$15, $E$9, 100%, $G$9) + CHOOSE(CONTROL!$C$38, 0.0355, 0)</f>
        <v>35.4664</v>
      </c>
      <c r="G462" s="17">
        <f>32.3819 * CHOOSE(CONTROL!$C$15, $E$9, 100%, $G$9) + CHOOSE(CONTROL!$C$38, 0.0356, 0)</f>
        <v>32.417500000000004</v>
      </c>
      <c r="H462" s="17">
        <f>32.3819 * CHOOSE(CONTROL!$C$15, $E$9, 100%, $G$9) + CHOOSE(CONTROL!$C$38, 0.0356, 0)</f>
        <v>32.417500000000004</v>
      </c>
      <c r="I462" s="17">
        <f>32.3834 * CHOOSE(CONTROL!$C$15, $E$9, 100%, $G$9) + CHOOSE(CONTROL!$C$38, 0.0356, 0)</f>
        <v>32.419000000000004</v>
      </c>
      <c r="J462" s="45">
        <f>283.1135</f>
        <v>283.11349999999999</v>
      </c>
    </row>
    <row r="463" spans="1:10" ht="15.75" x14ac:dyDescent="0.25">
      <c r="A463" s="14">
        <v>55031</v>
      </c>
      <c r="B463" s="17">
        <f>35.5898 * CHOOSE(CONTROL!$C$15, $E$9, 100%, $G$9) + CHOOSE(CONTROL!$C$38, 0.0355, 0)</f>
        <v>35.625299999999996</v>
      </c>
      <c r="C463" s="17">
        <f>32.5424 * CHOOSE(CONTROL!$C$15, $E$9, 100%, $G$9) + CHOOSE(CONTROL!$C$38, 0.0356, 0)</f>
        <v>32.578000000000003</v>
      </c>
      <c r="D463" s="17">
        <f>32.5346 * CHOOSE(CONTROL!$C$15, $E$9, 100%, $G$9) + CHOOSE(CONTROL!$C$38, 0.0356, 0)</f>
        <v>32.5702</v>
      </c>
      <c r="E463" s="17">
        <f>32.5346 * CHOOSE(CONTROL!$C$15, $E$9, 100%, $G$9) + CHOOSE(CONTROL!$C$38, 0.0356, 0)</f>
        <v>32.5702</v>
      </c>
      <c r="F463" s="46">
        <f>35.5898 * CHOOSE(CONTROL!$C$15, $E$9, 100%, $G$9) + CHOOSE(CONTROL!$C$38, 0.0355, 0)</f>
        <v>35.625299999999996</v>
      </c>
      <c r="G463" s="17">
        <f>32.5408 * CHOOSE(CONTROL!$C$15, $E$9, 100%, $G$9) + CHOOSE(CONTROL!$C$38, 0.0356, 0)</f>
        <v>32.5764</v>
      </c>
      <c r="H463" s="17">
        <f>32.5408 * CHOOSE(CONTROL!$C$15, $E$9, 100%, $G$9) + CHOOSE(CONTROL!$C$38, 0.0356, 0)</f>
        <v>32.5764</v>
      </c>
      <c r="I463" s="17">
        <f>32.5424 * CHOOSE(CONTROL!$C$15, $E$9, 100%, $G$9) + CHOOSE(CONTROL!$C$38, 0.0356, 0)</f>
        <v>32.578000000000003</v>
      </c>
      <c r="J463" s="45">
        <f>276.5227</f>
        <v>276.52269999999999</v>
      </c>
    </row>
    <row r="464" spans="1:10" ht="15.75" x14ac:dyDescent="0.25">
      <c r="A464" s="14">
        <v>55061</v>
      </c>
      <c r="B464" s="17">
        <f>36.0215 * CHOOSE(CONTROL!$C$15, $E$9, 100%, $G$9) + CHOOSE(CONTROL!$C$38, 0.0355, 0)</f>
        <v>36.057000000000002</v>
      </c>
      <c r="C464" s="17">
        <f>33.1451 * CHOOSE(CONTROL!$C$15, $E$9, 100%, $G$9) + CHOOSE(CONTROL!$C$38, 0.0356, 0)</f>
        <v>33.180700000000002</v>
      </c>
      <c r="D464" s="17">
        <f>33.1373 * CHOOSE(CONTROL!$C$15, $E$9, 100%, $G$9) + CHOOSE(CONTROL!$C$38, 0.0356, 0)</f>
        <v>33.172900000000006</v>
      </c>
      <c r="E464" s="17">
        <f>33.1373 * CHOOSE(CONTROL!$C$15, $E$9, 100%, $G$9) + CHOOSE(CONTROL!$C$38, 0.0356, 0)</f>
        <v>33.172900000000006</v>
      </c>
      <c r="F464" s="46">
        <f>36.0215 * CHOOSE(CONTROL!$C$15, $E$9, 100%, $G$9) + CHOOSE(CONTROL!$C$38, 0.0355, 0)</f>
        <v>36.057000000000002</v>
      </c>
      <c r="G464" s="17">
        <f>33.1436 * CHOOSE(CONTROL!$C$15, $E$9, 100%, $G$9) + CHOOSE(CONTROL!$C$38, 0.0356, 0)</f>
        <v>33.179200000000002</v>
      </c>
      <c r="H464" s="17">
        <f>33.1436 * CHOOSE(CONTROL!$C$15, $E$9, 100%, $G$9) + CHOOSE(CONTROL!$C$38, 0.0356, 0)</f>
        <v>33.179200000000002</v>
      </c>
      <c r="I464" s="17">
        <f>33.1451 * CHOOSE(CONTROL!$C$15, $E$9, 100%, $G$9) + CHOOSE(CONTROL!$C$38, 0.0356, 0)</f>
        <v>33.180700000000002</v>
      </c>
      <c r="J464" s="45">
        <f>267.3316</f>
        <v>267.33159999999998</v>
      </c>
    </row>
    <row r="465" spans="1:10" ht="15.75" x14ac:dyDescent="0.25">
      <c r="A465" s="14">
        <v>55092</v>
      </c>
      <c r="B465" s="17">
        <f>36.3831 * CHOOSE(CONTROL!$C$15, $E$9, 100%, $G$9) + CHOOSE(CONTROL!$C$38, 0.0342, 0)</f>
        <v>36.417299999999997</v>
      </c>
      <c r="C465" s="17">
        <f>33.3356 * CHOOSE(CONTROL!$C$15, $E$9, 100%, $G$9) + CHOOSE(CONTROL!$C$38, 0.0343, 0)</f>
        <v>33.369900000000001</v>
      </c>
      <c r="D465" s="17">
        <f>33.3278 * CHOOSE(CONTROL!$C$15, $E$9, 100%, $G$9) + CHOOSE(CONTROL!$C$38, 0.0343, 0)</f>
        <v>33.362100000000005</v>
      </c>
      <c r="E465" s="17">
        <f>33.3278 * CHOOSE(CONTROL!$C$15, $E$9, 100%, $G$9) + CHOOSE(CONTROL!$C$38, 0.0343, 0)</f>
        <v>33.362100000000005</v>
      </c>
      <c r="F465" s="46">
        <f>36.3831 * CHOOSE(CONTROL!$C$15, $E$9, 100%, $G$9) + CHOOSE(CONTROL!$C$38, 0.0342, 0)</f>
        <v>36.417299999999997</v>
      </c>
      <c r="G465" s="17">
        <f>33.3341 * CHOOSE(CONTROL!$C$15, $E$9, 100%, $G$9) + CHOOSE(CONTROL!$C$38, 0.0343, 0)</f>
        <v>33.368400000000001</v>
      </c>
      <c r="H465" s="17">
        <f>33.3341 * CHOOSE(CONTROL!$C$15, $E$9, 100%, $G$9) + CHOOSE(CONTROL!$C$38, 0.0343, 0)</f>
        <v>33.368400000000001</v>
      </c>
      <c r="I465" s="17">
        <f>33.3356 * CHOOSE(CONTROL!$C$15, $E$9, 100%, $G$9) + CHOOSE(CONTROL!$C$38, 0.0343, 0)</f>
        <v>33.369900000000001</v>
      </c>
      <c r="J465" s="45">
        <f>258.087</f>
        <v>258.08699999999999</v>
      </c>
    </row>
    <row r="466" spans="1:10" ht="15.75" x14ac:dyDescent="0.25">
      <c r="A466" s="14">
        <v>55122</v>
      </c>
      <c r="B466" s="17">
        <f>36.6848 * CHOOSE(CONTROL!$C$15, $E$9, 100%, $G$9) + CHOOSE(CONTROL!$C$38, 0.0342, 0)</f>
        <v>36.719000000000001</v>
      </c>
      <c r="C466" s="17">
        <f>33.6374 * CHOOSE(CONTROL!$C$15, $E$9, 100%, $G$9) + CHOOSE(CONTROL!$C$38, 0.0343, 0)</f>
        <v>33.671700000000001</v>
      </c>
      <c r="D466" s="17">
        <f>33.6295 * CHOOSE(CONTROL!$C$15, $E$9, 100%, $G$9) + CHOOSE(CONTROL!$C$38, 0.0343, 0)</f>
        <v>33.663800000000002</v>
      </c>
      <c r="E466" s="17">
        <f>33.6295 * CHOOSE(CONTROL!$C$15, $E$9, 100%, $G$9) + CHOOSE(CONTROL!$C$38, 0.0343, 0)</f>
        <v>33.663800000000002</v>
      </c>
      <c r="F466" s="46">
        <f>36.6848 * CHOOSE(CONTROL!$C$15, $E$9, 100%, $G$9) + CHOOSE(CONTROL!$C$38, 0.0342, 0)</f>
        <v>36.719000000000001</v>
      </c>
      <c r="G466" s="17">
        <f>33.6358 * CHOOSE(CONTROL!$C$15, $E$9, 100%, $G$9) + CHOOSE(CONTROL!$C$38, 0.0343, 0)</f>
        <v>33.670100000000005</v>
      </c>
      <c r="H466" s="17">
        <f>33.6358 * CHOOSE(CONTROL!$C$15, $E$9, 100%, $G$9) + CHOOSE(CONTROL!$C$38, 0.0343, 0)</f>
        <v>33.670100000000005</v>
      </c>
      <c r="I466" s="17">
        <f>33.6374 * CHOOSE(CONTROL!$C$15, $E$9, 100%, $G$9) + CHOOSE(CONTROL!$C$38, 0.0343, 0)</f>
        <v>33.671700000000001</v>
      </c>
      <c r="J466" s="45">
        <f>256.2481</f>
        <v>256.24810000000002</v>
      </c>
    </row>
    <row r="467" spans="1:10" ht="15.75" x14ac:dyDescent="0.25">
      <c r="A467" s="14">
        <v>55153</v>
      </c>
      <c r="B467" s="17">
        <f>37.6145 * CHOOSE(CONTROL!$C$15, $E$9, 100%, $G$9) + CHOOSE(CONTROL!$C$38, 0.0342, 0)</f>
        <v>37.648699999999998</v>
      </c>
      <c r="C467" s="17">
        <f>34.567 * CHOOSE(CONTROL!$C$15, $E$9, 100%, $G$9) + CHOOSE(CONTROL!$C$38, 0.0343, 0)</f>
        <v>34.601300000000002</v>
      </c>
      <c r="D467" s="17">
        <f>34.5592 * CHOOSE(CONTROL!$C$15, $E$9, 100%, $G$9) + CHOOSE(CONTROL!$C$38, 0.0343, 0)</f>
        <v>34.593499999999999</v>
      </c>
      <c r="E467" s="17">
        <f>34.5592 * CHOOSE(CONTROL!$C$15, $E$9, 100%, $G$9) + CHOOSE(CONTROL!$C$38, 0.0343, 0)</f>
        <v>34.593499999999999</v>
      </c>
      <c r="F467" s="46">
        <f>37.6145 * CHOOSE(CONTROL!$C$15, $E$9, 100%, $G$9) + CHOOSE(CONTROL!$C$38, 0.0342, 0)</f>
        <v>37.648699999999998</v>
      </c>
      <c r="G467" s="17">
        <f>34.5655 * CHOOSE(CONTROL!$C$15, $E$9, 100%, $G$9) + CHOOSE(CONTROL!$C$38, 0.0343, 0)</f>
        <v>34.599800000000002</v>
      </c>
      <c r="H467" s="17">
        <f>34.5655 * CHOOSE(CONTROL!$C$15, $E$9, 100%, $G$9) + CHOOSE(CONTROL!$C$38, 0.0343, 0)</f>
        <v>34.599800000000002</v>
      </c>
      <c r="I467" s="17">
        <f>34.567 * CHOOSE(CONTROL!$C$15, $E$9, 100%, $G$9) + CHOOSE(CONTROL!$C$38, 0.0343, 0)</f>
        <v>34.601300000000002</v>
      </c>
      <c r="J467" s="45">
        <f>248.6439</f>
        <v>248.6439</v>
      </c>
    </row>
    <row r="468" spans="1:10" ht="15.75" x14ac:dyDescent="0.25">
      <c r="A468" s="14">
        <v>55184</v>
      </c>
      <c r="B468" s="17">
        <f>38.9555 * CHOOSE(CONTROL!$C$15, $E$9, 100%, $G$9) + CHOOSE(CONTROL!$C$38, 0.0342, 0)</f>
        <v>38.989699999999999</v>
      </c>
      <c r="C468" s="17">
        <f>35.8595 * CHOOSE(CONTROL!$C$15, $E$9, 100%, $G$9) + CHOOSE(CONTROL!$C$38, 0.0343, 0)</f>
        <v>35.893799999999999</v>
      </c>
      <c r="D468" s="17">
        <f>35.8516 * CHOOSE(CONTROL!$C$15, $E$9, 100%, $G$9) + CHOOSE(CONTROL!$C$38, 0.0343, 0)</f>
        <v>35.885899999999999</v>
      </c>
      <c r="E468" s="17">
        <f>35.8516 * CHOOSE(CONTROL!$C$15, $E$9, 100%, $G$9) + CHOOSE(CONTROL!$C$38, 0.0343, 0)</f>
        <v>35.885899999999999</v>
      </c>
      <c r="F468" s="46">
        <f>38.9555 * CHOOSE(CONTROL!$C$15, $E$9, 100%, $G$9) + CHOOSE(CONTROL!$C$38, 0.0342, 0)</f>
        <v>38.989699999999999</v>
      </c>
      <c r="G468" s="17">
        <f>35.8579 * CHOOSE(CONTROL!$C$15, $E$9, 100%, $G$9) + CHOOSE(CONTROL!$C$38, 0.0343, 0)</f>
        <v>35.892200000000003</v>
      </c>
      <c r="H468" s="17">
        <f>35.8579 * CHOOSE(CONTROL!$C$15, $E$9, 100%, $G$9) + CHOOSE(CONTROL!$C$38, 0.0343, 0)</f>
        <v>35.892200000000003</v>
      </c>
      <c r="I468" s="17">
        <f>35.8595 * CHOOSE(CONTROL!$C$15, $E$9, 100%, $G$9) + CHOOSE(CONTROL!$C$38, 0.0343, 0)</f>
        <v>35.893799999999999</v>
      </c>
      <c r="J468" s="45">
        <f>248.4644</f>
        <v>248.46440000000001</v>
      </c>
    </row>
    <row r="469" spans="1:10" ht="15.75" x14ac:dyDescent="0.25">
      <c r="A469" s="14">
        <v>55212</v>
      </c>
      <c r="B469" s="17">
        <f>39.2998 * CHOOSE(CONTROL!$C$15, $E$9, 100%, $G$9) + CHOOSE(CONTROL!$C$38, 0.0342, 0)</f>
        <v>39.333999999999996</v>
      </c>
      <c r="C469" s="17">
        <f>36.2038 * CHOOSE(CONTROL!$C$15, $E$9, 100%, $G$9) + CHOOSE(CONTROL!$C$38, 0.0343, 0)</f>
        <v>36.238100000000003</v>
      </c>
      <c r="D469" s="17">
        <f>36.196 * CHOOSE(CONTROL!$C$15, $E$9, 100%, $G$9) + CHOOSE(CONTROL!$C$38, 0.0343, 0)</f>
        <v>36.2303</v>
      </c>
      <c r="E469" s="17">
        <f>36.196 * CHOOSE(CONTROL!$C$15, $E$9, 100%, $G$9) + CHOOSE(CONTROL!$C$38, 0.0343, 0)</f>
        <v>36.2303</v>
      </c>
      <c r="F469" s="46">
        <f>39.2998 * CHOOSE(CONTROL!$C$15, $E$9, 100%, $G$9) + CHOOSE(CONTROL!$C$38, 0.0342, 0)</f>
        <v>39.333999999999996</v>
      </c>
      <c r="G469" s="17">
        <f>36.2022 * CHOOSE(CONTROL!$C$15, $E$9, 100%, $G$9) + CHOOSE(CONTROL!$C$38, 0.0343, 0)</f>
        <v>36.236499999999999</v>
      </c>
      <c r="H469" s="17">
        <f>36.2022 * CHOOSE(CONTROL!$C$15, $E$9, 100%, $G$9) + CHOOSE(CONTROL!$C$38, 0.0343, 0)</f>
        <v>36.236499999999999</v>
      </c>
      <c r="I469" s="17">
        <f>36.2038 * CHOOSE(CONTROL!$C$15, $E$9, 100%, $G$9) + CHOOSE(CONTROL!$C$38, 0.0343, 0)</f>
        <v>36.238100000000003</v>
      </c>
      <c r="J469" s="45">
        <f>247.7737</f>
        <v>247.77369999999999</v>
      </c>
    </row>
    <row r="470" spans="1:10" ht="15.75" x14ac:dyDescent="0.25">
      <c r="A470" s="14">
        <v>55243</v>
      </c>
      <c r="B470" s="17">
        <f>38.5028 * CHOOSE(CONTROL!$C$15, $E$9, 100%, $G$9) + CHOOSE(CONTROL!$C$38, 0.0342, 0)</f>
        <v>38.536999999999999</v>
      </c>
      <c r="C470" s="17">
        <f>35.4067 * CHOOSE(CONTROL!$C$15, $E$9, 100%, $G$9) + CHOOSE(CONTROL!$C$38, 0.0343, 0)</f>
        <v>35.441000000000003</v>
      </c>
      <c r="D470" s="17">
        <f>35.3989 * CHOOSE(CONTROL!$C$15, $E$9, 100%, $G$9) + CHOOSE(CONTROL!$C$38, 0.0343, 0)</f>
        <v>35.433199999999999</v>
      </c>
      <c r="E470" s="17">
        <f>35.3989 * CHOOSE(CONTROL!$C$15, $E$9, 100%, $G$9) + CHOOSE(CONTROL!$C$38, 0.0343, 0)</f>
        <v>35.433199999999999</v>
      </c>
      <c r="F470" s="46">
        <f>38.5028 * CHOOSE(CONTROL!$C$15, $E$9, 100%, $G$9) + CHOOSE(CONTROL!$C$38, 0.0342, 0)</f>
        <v>38.536999999999999</v>
      </c>
      <c r="G470" s="17">
        <f>35.4052 * CHOOSE(CONTROL!$C$15, $E$9, 100%, $G$9) + CHOOSE(CONTROL!$C$38, 0.0343, 0)</f>
        <v>35.439500000000002</v>
      </c>
      <c r="H470" s="17">
        <f>35.4052 * CHOOSE(CONTROL!$C$15, $E$9, 100%, $G$9) + CHOOSE(CONTROL!$C$38, 0.0343, 0)</f>
        <v>35.439500000000002</v>
      </c>
      <c r="I470" s="17">
        <f>35.4067 * CHOOSE(CONTROL!$C$15, $E$9, 100%, $G$9) + CHOOSE(CONTROL!$C$38, 0.0343, 0)</f>
        <v>35.441000000000003</v>
      </c>
      <c r="J470" s="45">
        <f>260.8328</f>
        <v>260.83280000000002</v>
      </c>
    </row>
    <row r="471" spans="1:10" ht="15.75" x14ac:dyDescent="0.25">
      <c r="A471" s="14">
        <v>55273</v>
      </c>
      <c r="B471" s="17">
        <f>37.7305 * CHOOSE(CONTROL!$C$15, $E$9, 100%, $G$9) + CHOOSE(CONTROL!$C$38, 0.0342, 0)</f>
        <v>37.764699999999998</v>
      </c>
      <c r="C471" s="17">
        <f>34.6344 * CHOOSE(CONTROL!$C$15, $E$9, 100%, $G$9) + CHOOSE(CONTROL!$C$38, 0.0343, 0)</f>
        <v>34.668700000000001</v>
      </c>
      <c r="D471" s="17">
        <f>34.6266 * CHOOSE(CONTROL!$C$15, $E$9, 100%, $G$9) + CHOOSE(CONTROL!$C$38, 0.0343, 0)</f>
        <v>34.660900000000005</v>
      </c>
      <c r="E471" s="17">
        <f>34.6266 * CHOOSE(CONTROL!$C$15, $E$9, 100%, $G$9) + CHOOSE(CONTROL!$C$38, 0.0343, 0)</f>
        <v>34.660900000000005</v>
      </c>
      <c r="F471" s="46">
        <f>37.7305 * CHOOSE(CONTROL!$C$15, $E$9, 100%, $G$9) + CHOOSE(CONTROL!$C$38, 0.0342, 0)</f>
        <v>37.764699999999998</v>
      </c>
      <c r="G471" s="17">
        <f>34.6329 * CHOOSE(CONTROL!$C$15, $E$9, 100%, $G$9) + CHOOSE(CONTROL!$C$38, 0.0343, 0)</f>
        <v>34.667200000000001</v>
      </c>
      <c r="H471" s="17">
        <f>34.6329 * CHOOSE(CONTROL!$C$15, $E$9, 100%, $G$9) + CHOOSE(CONTROL!$C$38, 0.0343, 0)</f>
        <v>34.667200000000001</v>
      </c>
      <c r="I471" s="17">
        <f>34.6344 * CHOOSE(CONTROL!$C$15, $E$9, 100%, $G$9) + CHOOSE(CONTROL!$C$38, 0.0343, 0)</f>
        <v>34.668700000000001</v>
      </c>
      <c r="J471" s="45">
        <f>277.7674</f>
        <v>277.76740000000001</v>
      </c>
    </row>
    <row r="472" spans="1:10" ht="15.75" x14ac:dyDescent="0.25">
      <c r="A472" s="14">
        <v>55304</v>
      </c>
      <c r="B472" s="17">
        <f>36.9255 * CHOOSE(CONTROL!$C$15, $E$9, 100%, $G$9) + CHOOSE(CONTROL!$C$38, 0.0355, 0)</f>
        <v>36.960999999999999</v>
      </c>
      <c r="C472" s="17">
        <f>33.8295 * CHOOSE(CONTROL!$C$15, $E$9, 100%, $G$9) + CHOOSE(CONTROL!$C$38, 0.0356, 0)</f>
        <v>33.865100000000005</v>
      </c>
      <c r="D472" s="17">
        <f>33.8217 * CHOOSE(CONTROL!$C$15, $E$9, 100%, $G$9) + CHOOSE(CONTROL!$C$38, 0.0356, 0)</f>
        <v>33.857300000000002</v>
      </c>
      <c r="E472" s="17">
        <f>33.8217 * CHOOSE(CONTROL!$C$15, $E$9, 100%, $G$9) + CHOOSE(CONTROL!$C$38, 0.0356, 0)</f>
        <v>33.857300000000002</v>
      </c>
      <c r="F472" s="46">
        <f>36.9255 * CHOOSE(CONTROL!$C$15, $E$9, 100%, $G$9) + CHOOSE(CONTROL!$C$38, 0.0355, 0)</f>
        <v>36.960999999999999</v>
      </c>
      <c r="G472" s="17">
        <f>33.8279 * CHOOSE(CONTROL!$C$15, $E$9, 100%, $G$9) + CHOOSE(CONTROL!$C$38, 0.0356, 0)</f>
        <v>33.863500000000002</v>
      </c>
      <c r="H472" s="17">
        <f>33.8279 * CHOOSE(CONTROL!$C$15, $E$9, 100%, $G$9) + CHOOSE(CONTROL!$C$38, 0.0356, 0)</f>
        <v>33.863500000000002</v>
      </c>
      <c r="I472" s="17">
        <f>33.8295 * CHOOSE(CONTROL!$C$15, $E$9, 100%, $G$9) + CHOOSE(CONTROL!$C$38, 0.0356, 0)</f>
        <v>33.865100000000005</v>
      </c>
      <c r="J472" s="45">
        <f>287.0887</f>
        <v>287.08870000000002</v>
      </c>
    </row>
    <row r="473" spans="1:10" ht="15.75" x14ac:dyDescent="0.25">
      <c r="A473" s="14">
        <v>55334</v>
      </c>
      <c r="B473" s="17">
        <f>36.3612 * CHOOSE(CONTROL!$C$15, $E$9, 100%, $G$9) + CHOOSE(CONTROL!$C$38, 0.0355, 0)</f>
        <v>36.396699999999996</v>
      </c>
      <c r="C473" s="17">
        <f>33.2651 * CHOOSE(CONTROL!$C$15, $E$9, 100%, $G$9) + CHOOSE(CONTROL!$C$38, 0.0356, 0)</f>
        <v>33.300699999999999</v>
      </c>
      <c r="D473" s="17">
        <f>33.2573 * CHOOSE(CONTROL!$C$15, $E$9, 100%, $G$9) + CHOOSE(CONTROL!$C$38, 0.0356, 0)</f>
        <v>33.292900000000003</v>
      </c>
      <c r="E473" s="17">
        <f>33.2573 * CHOOSE(CONTROL!$C$15, $E$9, 100%, $G$9) + CHOOSE(CONTROL!$C$38, 0.0356, 0)</f>
        <v>33.292900000000003</v>
      </c>
      <c r="F473" s="46">
        <f>36.3612 * CHOOSE(CONTROL!$C$15, $E$9, 100%, $G$9) + CHOOSE(CONTROL!$C$38, 0.0355, 0)</f>
        <v>36.396699999999996</v>
      </c>
      <c r="G473" s="17">
        <f>33.2636 * CHOOSE(CONTROL!$C$15, $E$9, 100%, $G$9) + CHOOSE(CONTROL!$C$38, 0.0356, 0)</f>
        <v>33.299199999999999</v>
      </c>
      <c r="H473" s="17">
        <f>33.2636 * CHOOSE(CONTROL!$C$15, $E$9, 100%, $G$9) + CHOOSE(CONTROL!$C$38, 0.0356, 0)</f>
        <v>33.299199999999999</v>
      </c>
      <c r="I473" s="17">
        <f>33.2651 * CHOOSE(CONTROL!$C$15, $E$9, 100%, $G$9) + CHOOSE(CONTROL!$C$38, 0.0356, 0)</f>
        <v>33.300699999999999</v>
      </c>
      <c r="J473" s="45">
        <f>291.2253</f>
        <v>291.2253</v>
      </c>
    </row>
    <row r="474" spans="1:10" ht="15.75" x14ac:dyDescent="0.25">
      <c r="A474" s="14">
        <v>55365</v>
      </c>
      <c r="B474" s="17">
        <f>36.0391 * CHOOSE(CONTROL!$C$15, $E$9, 100%, $G$9) + CHOOSE(CONTROL!$C$38, 0.0355, 0)</f>
        <v>36.074599999999997</v>
      </c>
      <c r="C474" s="17">
        <f>32.9431 * CHOOSE(CONTROL!$C$15, $E$9, 100%, $G$9) + CHOOSE(CONTROL!$C$38, 0.0356, 0)</f>
        <v>32.978700000000003</v>
      </c>
      <c r="D474" s="17">
        <f>32.9353 * CHOOSE(CONTROL!$C$15, $E$9, 100%, $G$9) + CHOOSE(CONTROL!$C$38, 0.0356, 0)</f>
        <v>32.9709</v>
      </c>
      <c r="E474" s="17">
        <f>32.9353 * CHOOSE(CONTROL!$C$15, $E$9, 100%, $G$9) + CHOOSE(CONTROL!$C$38, 0.0356, 0)</f>
        <v>32.9709</v>
      </c>
      <c r="F474" s="46">
        <f>36.0391 * CHOOSE(CONTROL!$C$15, $E$9, 100%, $G$9) + CHOOSE(CONTROL!$C$38, 0.0355, 0)</f>
        <v>36.074599999999997</v>
      </c>
      <c r="G474" s="17">
        <f>32.9415 * CHOOSE(CONTROL!$C$15, $E$9, 100%, $G$9) + CHOOSE(CONTROL!$C$38, 0.0356, 0)</f>
        <v>32.9771</v>
      </c>
      <c r="H474" s="17">
        <f>32.9415 * CHOOSE(CONTROL!$C$15, $E$9, 100%, $G$9) + CHOOSE(CONTROL!$C$38, 0.0356, 0)</f>
        <v>32.9771</v>
      </c>
      <c r="I474" s="17">
        <f>32.9431 * CHOOSE(CONTROL!$C$15, $E$9, 100%, $G$9) + CHOOSE(CONTROL!$C$38, 0.0356, 0)</f>
        <v>32.978700000000003</v>
      </c>
      <c r="J474" s="45">
        <f>289.8633</f>
        <v>289.86329999999998</v>
      </c>
    </row>
    <row r="475" spans="1:10" ht="15.75" x14ac:dyDescent="0.25">
      <c r="A475" s="14">
        <v>55396</v>
      </c>
      <c r="B475" s="17">
        <f>36.198 * CHOOSE(CONTROL!$C$15, $E$9, 100%, $G$9) + CHOOSE(CONTROL!$C$38, 0.0355, 0)</f>
        <v>36.233499999999999</v>
      </c>
      <c r="C475" s="17">
        <f>33.102 * CHOOSE(CONTROL!$C$15, $E$9, 100%, $G$9) + CHOOSE(CONTROL!$C$38, 0.0356, 0)</f>
        <v>33.137599999999999</v>
      </c>
      <c r="D475" s="17">
        <f>33.0942 * CHOOSE(CONTROL!$C$15, $E$9, 100%, $G$9) + CHOOSE(CONTROL!$C$38, 0.0356, 0)</f>
        <v>33.129800000000003</v>
      </c>
      <c r="E475" s="17">
        <f>33.0942 * CHOOSE(CONTROL!$C$15, $E$9, 100%, $G$9) + CHOOSE(CONTROL!$C$38, 0.0356, 0)</f>
        <v>33.129800000000003</v>
      </c>
      <c r="F475" s="46">
        <f>36.198 * CHOOSE(CONTROL!$C$15, $E$9, 100%, $G$9) + CHOOSE(CONTROL!$C$38, 0.0355, 0)</f>
        <v>36.233499999999999</v>
      </c>
      <c r="G475" s="17">
        <f>33.1005 * CHOOSE(CONTROL!$C$15, $E$9, 100%, $G$9) + CHOOSE(CONTROL!$C$38, 0.0356, 0)</f>
        <v>33.136099999999999</v>
      </c>
      <c r="H475" s="17">
        <f>33.1005 * CHOOSE(CONTROL!$C$15, $E$9, 100%, $G$9) + CHOOSE(CONTROL!$C$38, 0.0356, 0)</f>
        <v>33.136099999999999</v>
      </c>
      <c r="I475" s="17">
        <f>33.102 * CHOOSE(CONTROL!$C$15, $E$9, 100%, $G$9) + CHOOSE(CONTROL!$C$38, 0.0356, 0)</f>
        <v>33.137599999999999</v>
      </c>
      <c r="J475" s="45">
        <f>283.1154</f>
        <v>283.11540000000002</v>
      </c>
    </row>
    <row r="476" spans="1:10" ht="15.75" x14ac:dyDescent="0.25">
      <c r="A476" s="14">
        <v>55426</v>
      </c>
      <c r="B476" s="17">
        <f>36.6298 * CHOOSE(CONTROL!$C$15, $E$9, 100%, $G$9) + CHOOSE(CONTROL!$C$38, 0.0355, 0)</f>
        <v>36.665300000000002</v>
      </c>
      <c r="C476" s="17">
        <f>33.5337 * CHOOSE(CONTROL!$C$15, $E$9, 100%, $G$9) + CHOOSE(CONTROL!$C$38, 0.0356, 0)</f>
        <v>33.569300000000005</v>
      </c>
      <c r="D476" s="17">
        <f>33.5259 * CHOOSE(CONTROL!$C$15, $E$9, 100%, $G$9) + CHOOSE(CONTROL!$C$38, 0.0356, 0)</f>
        <v>33.561500000000002</v>
      </c>
      <c r="E476" s="17">
        <f>33.5259 * CHOOSE(CONTROL!$C$15, $E$9, 100%, $G$9) + CHOOSE(CONTROL!$C$38, 0.0356, 0)</f>
        <v>33.561500000000002</v>
      </c>
      <c r="F476" s="46">
        <f>36.6298 * CHOOSE(CONTROL!$C$15, $E$9, 100%, $G$9) + CHOOSE(CONTROL!$C$38, 0.0355, 0)</f>
        <v>36.665300000000002</v>
      </c>
      <c r="G476" s="17">
        <f>33.5322 * CHOOSE(CONTROL!$C$15, $E$9, 100%, $G$9) + CHOOSE(CONTROL!$C$38, 0.0356, 0)</f>
        <v>33.567800000000005</v>
      </c>
      <c r="H476" s="17">
        <f>33.5322 * CHOOSE(CONTROL!$C$15, $E$9, 100%, $G$9) + CHOOSE(CONTROL!$C$38, 0.0356, 0)</f>
        <v>33.567800000000005</v>
      </c>
      <c r="I476" s="17">
        <f>33.5337 * CHOOSE(CONTROL!$C$15, $E$9, 100%, $G$9) + CHOOSE(CONTROL!$C$38, 0.0356, 0)</f>
        <v>33.569300000000005</v>
      </c>
      <c r="J476" s="45">
        <f>273.7052</f>
        <v>273.70519999999999</v>
      </c>
    </row>
    <row r="477" spans="1:10" ht="15.75" x14ac:dyDescent="0.25">
      <c r="A477" s="14">
        <v>55457</v>
      </c>
      <c r="B477" s="17">
        <f>36.9913 * CHOOSE(CONTROL!$C$15, $E$9, 100%, $G$9) + CHOOSE(CONTROL!$C$38, 0.0342, 0)</f>
        <v>37.025500000000001</v>
      </c>
      <c r="C477" s="17">
        <f>34.0692 * CHOOSE(CONTROL!$C$15, $E$9, 100%, $G$9) + CHOOSE(CONTROL!$C$38, 0.0343, 0)</f>
        <v>34.103500000000004</v>
      </c>
      <c r="D477" s="17">
        <f>34.0614 * CHOOSE(CONTROL!$C$15, $E$9, 100%, $G$9) + CHOOSE(CONTROL!$C$38, 0.0343, 0)</f>
        <v>34.095700000000001</v>
      </c>
      <c r="E477" s="17">
        <f>34.0614 * CHOOSE(CONTROL!$C$15, $E$9, 100%, $G$9) + CHOOSE(CONTROL!$C$38, 0.0343, 0)</f>
        <v>34.095700000000001</v>
      </c>
      <c r="F477" s="46">
        <f>36.9913 * CHOOSE(CONTROL!$C$15, $E$9, 100%, $G$9) + CHOOSE(CONTROL!$C$38, 0.0342, 0)</f>
        <v>37.025500000000001</v>
      </c>
      <c r="G477" s="17">
        <f>34.0677 * CHOOSE(CONTROL!$C$15, $E$9, 100%, $G$9) + CHOOSE(CONTROL!$C$38, 0.0343, 0)</f>
        <v>34.102000000000004</v>
      </c>
      <c r="H477" s="17">
        <f>34.0677 * CHOOSE(CONTROL!$C$15, $E$9, 100%, $G$9) + CHOOSE(CONTROL!$C$38, 0.0343, 0)</f>
        <v>34.102000000000004</v>
      </c>
      <c r="I477" s="17">
        <f>34.0692 * CHOOSE(CONTROL!$C$15, $E$9, 100%, $G$9) + CHOOSE(CONTROL!$C$38, 0.0343, 0)</f>
        <v>34.103500000000004</v>
      </c>
      <c r="J477" s="45">
        <f>264.2402</f>
        <v>264.24020000000002</v>
      </c>
    </row>
    <row r="478" spans="1:10" ht="15.75" x14ac:dyDescent="0.25">
      <c r="A478" s="14">
        <v>55487</v>
      </c>
      <c r="B478" s="17">
        <f>37.293 * CHOOSE(CONTROL!$C$15, $E$9, 100%, $G$9) + CHOOSE(CONTROL!$C$38, 0.0342, 0)</f>
        <v>37.327199999999998</v>
      </c>
      <c r="C478" s="17">
        <f>34.197 * CHOOSE(CONTROL!$C$15, $E$9, 100%, $G$9) + CHOOSE(CONTROL!$C$38, 0.0343, 0)</f>
        <v>34.231300000000005</v>
      </c>
      <c r="D478" s="17">
        <f>34.1892 * CHOOSE(CONTROL!$C$15, $E$9, 100%, $G$9) + CHOOSE(CONTROL!$C$38, 0.0343, 0)</f>
        <v>34.223500000000001</v>
      </c>
      <c r="E478" s="17">
        <f>34.1892 * CHOOSE(CONTROL!$C$15, $E$9, 100%, $G$9) + CHOOSE(CONTROL!$C$38, 0.0343, 0)</f>
        <v>34.223500000000001</v>
      </c>
      <c r="F478" s="46">
        <f>37.293 * CHOOSE(CONTROL!$C$15, $E$9, 100%, $G$9) + CHOOSE(CONTROL!$C$38, 0.0342, 0)</f>
        <v>37.327199999999998</v>
      </c>
      <c r="G478" s="17">
        <f>34.1954 * CHOOSE(CONTROL!$C$15, $E$9, 100%, $G$9) + CHOOSE(CONTROL!$C$38, 0.0343, 0)</f>
        <v>34.229700000000001</v>
      </c>
      <c r="H478" s="17">
        <f>34.1954 * CHOOSE(CONTROL!$C$15, $E$9, 100%, $G$9) + CHOOSE(CONTROL!$C$38, 0.0343, 0)</f>
        <v>34.229700000000001</v>
      </c>
      <c r="I478" s="17">
        <f>34.197 * CHOOSE(CONTROL!$C$15, $E$9, 100%, $G$9) + CHOOSE(CONTROL!$C$38, 0.0343, 0)</f>
        <v>34.231300000000005</v>
      </c>
      <c r="J478" s="45">
        <f>262.3574</f>
        <v>262.35739999999998</v>
      </c>
    </row>
    <row r="479" spans="1:10" ht="15.75" x14ac:dyDescent="0.25">
      <c r="A479" s="14">
        <v>55518</v>
      </c>
      <c r="B479" s="17">
        <f>38.2227 * CHOOSE(CONTROL!$C$15, $E$9, 100%, $G$9) + CHOOSE(CONTROL!$C$38, 0.0342, 0)</f>
        <v>38.256900000000002</v>
      </c>
      <c r="C479" s="17">
        <f>35.1267 * CHOOSE(CONTROL!$C$15, $E$9, 100%, $G$9) + CHOOSE(CONTROL!$C$38, 0.0343, 0)</f>
        <v>35.161000000000001</v>
      </c>
      <c r="D479" s="17">
        <f>35.1188 * CHOOSE(CONTROL!$C$15, $E$9, 100%, $G$9) + CHOOSE(CONTROL!$C$38, 0.0343, 0)</f>
        <v>35.153100000000002</v>
      </c>
      <c r="E479" s="17">
        <f>35.1188 * CHOOSE(CONTROL!$C$15, $E$9, 100%, $G$9) + CHOOSE(CONTROL!$C$38, 0.0343, 0)</f>
        <v>35.153100000000002</v>
      </c>
      <c r="F479" s="46">
        <f>38.2227 * CHOOSE(CONTROL!$C$15, $E$9, 100%, $G$9) + CHOOSE(CONTROL!$C$38, 0.0342, 0)</f>
        <v>38.256900000000002</v>
      </c>
      <c r="G479" s="17">
        <f>35.1251 * CHOOSE(CONTROL!$C$15, $E$9, 100%, $G$9) + CHOOSE(CONTROL!$C$38, 0.0343, 0)</f>
        <v>35.159400000000005</v>
      </c>
      <c r="H479" s="17">
        <f>35.1251 * CHOOSE(CONTROL!$C$15, $E$9, 100%, $G$9) + CHOOSE(CONTROL!$C$38, 0.0343, 0)</f>
        <v>35.159400000000005</v>
      </c>
      <c r="I479" s="17">
        <f>35.1267 * CHOOSE(CONTROL!$C$15, $E$9, 100%, $G$9) + CHOOSE(CONTROL!$C$38, 0.0343, 0)</f>
        <v>35.161000000000001</v>
      </c>
      <c r="J479" s="45">
        <f>254.5719</f>
        <v>254.5719</v>
      </c>
    </row>
    <row r="480" spans="1:10" ht="15.75" x14ac:dyDescent="0.25">
      <c r="A480" s="14">
        <v>55549</v>
      </c>
      <c r="B480" s="17">
        <f>39.5739 * CHOOSE(CONTROL!$C$15, $E$9, 100%, $G$9) + CHOOSE(CONTROL!$C$38, 0.0342, 0)</f>
        <v>39.6081</v>
      </c>
      <c r="C480" s="17">
        <f>36.4285 * CHOOSE(CONTROL!$C$15, $E$9, 100%, $G$9) + CHOOSE(CONTROL!$C$38, 0.0343, 0)</f>
        <v>36.462800000000001</v>
      </c>
      <c r="D480" s="17">
        <f>36.4207 * CHOOSE(CONTROL!$C$15, $E$9, 100%, $G$9) + CHOOSE(CONTROL!$C$38, 0.0343, 0)</f>
        <v>36.454999999999998</v>
      </c>
      <c r="E480" s="17">
        <f>36.4207 * CHOOSE(CONTROL!$C$15, $E$9, 100%, $G$9) + CHOOSE(CONTROL!$C$38, 0.0343, 0)</f>
        <v>36.454999999999998</v>
      </c>
      <c r="F480" s="46">
        <f>39.5739 * CHOOSE(CONTROL!$C$15, $E$9, 100%, $G$9) + CHOOSE(CONTROL!$C$38, 0.0342, 0)</f>
        <v>39.6081</v>
      </c>
      <c r="G480" s="17">
        <f>36.4269 * CHOOSE(CONTROL!$C$15, $E$9, 100%, $G$9) + CHOOSE(CONTROL!$C$38, 0.0343, 0)</f>
        <v>36.461200000000005</v>
      </c>
      <c r="H480" s="17">
        <f>36.4269 * CHOOSE(CONTROL!$C$15, $E$9, 100%, $G$9) + CHOOSE(CONTROL!$C$38, 0.0343, 0)</f>
        <v>36.461200000000005</v>
      </c>
      <c r="I480" s="17">
        <f>36.4285 * CHOOSE(CONTROL!$C$15, $E$9, 100%, $G$9) + CHOOSE(CONTROL!$C$38, 0.0343, 0)</f>
        <v>36.462800000000001</v>
      </c>
      <c r="J480" s="45">
        <f>254.3881</f>
        <v>254.38810000000001</v>
      </c>
    </row>
    <row r="481" spans="1:10" ht="15.75" x14ac:dyDescent="0.25">
      <c r="A481" s="14">
        <v>55577</v>
      </c>
      <c r="B481" s="17">
        <f>39.9182 * CHOOSE(CONTROL!$C$15, $E$9, 100%, $G$9) + CHOOSE(CONTROL!$C$38, 0.0342, 0)</f>
        <v>39.952399999999997</v>
      </c>
      <c r="C481" s="17">
        <f>36.7728 * CHOOSE(CONTROL!$C$15, $E$9, 100%, $G$9) + CHOOSE(CONTROL!$C$38, 0.0343, 0)</f>
        <v>36.807099999999998</v>
      </c>
      <c r="D481" s="17">
        <f>36.765 * CHOOSE(CONTROL!$C$15, $E$9, 100%, $G$9) + CHOOSE(CONTROL!$C$38, 0.0343, 0)</f>
        <v>36.799300000000002</v>
      </c>
      <c r="E481" s="17">
        <f>36.765 * CHOOSE(CONTROL!$C$15, $E$9, 100%, $G$9) + CHOOSE(CONTROL!$C$38, 0.0343, 0)</f>
        <v>36.799300000000002</v>
      </c>
      <c r="F481" s="46">
        <f>39.9182 * CHOOSE(CONTROL!$C$15, $E$9, 100%, $G$9) + CHOOSE(CONTROL!$C$38, 0.0342, 0)</f>
        <v>39.952399999999997</v>
      </c>
      <c r="G481" s="17">
        <f>36.7713 * CHOOSE(CONTROL!$C$15, $E$9, 100%, $G$9) + CHOOSE(CONTROL!$C$38, 0.0343, 0)</f>
        <v>36.805599999999998</v>
      </c>
      <c r="H481" s="17">
        <f>36.7713 * CHOOSE(CONTROL!$C$15, $E$9, 100%, $G$9) + CHOOSE(CONTROL!$C$38, 0.0343, 0)</f>
        <v>36.805599999999998</v>
      </c>
      <c r="I481" s="17">
        <f>36.7728 * CHOOSE(CONTROL!$C$15, $E$9, 100%, $G$9) + CHOOSE(CONTROL!$C$38, 0.0343, 0)</f>
        <v>36.807099999999998</v>
      </c>
      <c r="J481" s="45">
        <f>253.681</f>
        <v>253.68100000000001</v>
      </c>
    </row>
    <row r="482" spans="1:10" ht="15.75" x14ac:dyDescent="0.25">
      <c r="A482" s="14">
        <v>55609</v>
      </c>
      <c r="B482" s="17">
        <f>39.1212 * CHOOSE(CONTROL!$C$15, $E$9, 100%, $G$9) + CHOOSE(CONTROL!$C$38, 0.0342, 0)</f>
        <v>39.1554</v>
      </c>
      <c r="C482" s="17">
        <f>35.9758 * CHOOSE(CONTROL!$C$15, $E$9, 100%, $G$9) + CHOOSE(CONTROL!$C$38, 0.0343, 0)</f>
        <v>36.010100000000001</v>
      </c>
      <c r="D482" s="17">
        <f>35.968 * CHOOSE(CONTROL!$C$15, $E$9, 100%, $G$9) + CHOOSE(CONTROL!$C$38, 0.0343, 0)</f>
        <v>36.002300000000005</v>
      </c>
      <c r="E482" s="17">
        <f>35.968 * CHOOSE(CONTROL!$C$15, $E$9, 100%, $G$9) + CHOOSE(CONTROL!$C$38, 0.0343, 0)</f>
        <v>36.002300000000005</v>
      </c>
      <c r="F482" s="46">
        <f>39.1212 * CHOOSE(CONTROL!$C$15, $E$9, 100%, $G$9) + CHOOSE(CONTROL!$C$38, 0.0342, 0)</f>
        <v>39.1554</v>
      </c>
      <c r="G482" s="17">
        <f>35.9742 * CHOOSE(CONTROL!$C$15, $E$9, 100%, $G$9) + CHOOSE(CONTROL!$C$38, 0.0343, 0)</f>
        <v>36.008500000000005</v>
      </c>
      <c r="H482" s="17">
        <f>35.9742 * CHOOSE(CONTROL!$C$15, $E$9, 100%, $G$9) + CHOOSE(CONTROL!$C$38, 0.0343, 0)</f>
        <v>36.008500000000005</v>
      </c>
      <c r="I482" s="17">
        <f>35.9758 * CHOOSE(CONTROL!$C$15, $E$9, 100%, $G$9) + CHOOSE(CONTROL!$C$38, 0.0343, 0)</f>
        <v>36.010100000000001</v>
      </c>
      <c r="J482" s="45">
        <f>267.0515</f>
        <v>267.05149999999998</v>
      </c>
    </row>
    <row r="483" spans="1:10" ht="15.75" x14ac:dyDescent="0.25">
      <c r="A483" s="14">
        <v>55639</v>
      </c>
      <c r="B483" s="17">
        <f>38.3489 * CHOOSE(CONTROL!$C$15, $E$9, 100%, $G$9) + CHOOSE(CONTROL!$C$38, 0.0342, 0)</f>
        <v>38.383099999999999</v>
      </c>
      <c r="C483" s="17">
        <f>35.2035 * CHOOSE(CONTROL!$C$15, $E$9, 100%, $G$9) + CHOOSE(CONTROL!$C$38, 0.0343, 0)</f>
        <v>35.2378</v>
      </c>
      <c r="D483" s="17">
        <f>35.1957 * CHOOSE(CONTROL!$C$15, $E$9, 100%, $G$9) + CHOOSE(CONTROL!$C$38, 0.0343, 0)</f>
        <v>35.230000000000004</v>
      </c>
      <c r="E483" s="17">
        <f>35.1957 * CHOOSE(CONTROL!$C$15, $E$9, 100%, $G$9) + CHOOSE(CONTROL!$C$38, 0.0343, 0)</f>
        <v>35.230000000000004</v>
      </c>
      <c r="F483" s="46">
        <f>38.3489 * CHOOSE(CONTROL!$C$15, $E$9, 100%, $G$9) + CHOOSE(CONTROL!$C$38, 0.0342, 0)</f>
        <v>38.383099999999999</v>
      </c>
      <c r="G483" s="17">
        <f>35.2019 * CHOOSE(CONTROL!$C$15, $E$9, 100%, $G$9) + CHOOSE(CONTROL!$C$38, 0.0343, 0)</f>
        <v>35.236200000000004</v>
      </c>
      <c r="H483" s="17">
        <f>35.2019 * CHOOSE(CONTROL!$C$15, $E$9, 100%, $G$9) + CHOOSE(CONTROL!$C$38, 0.0343, 0)</f>
        <v>35.236200000000004</v>
      </c>
      <c r="I483" s="17">
        <f>35.2035 * CHOOSE(CONTROL!$C$15, $E$9, 100%, $G$9) + CHOOSE(CONTROL!$C$38, 0.0343, 0)</f>
        <v>35.2378</v>
      </c>
      <c r="J483" s="45">
        <f>284.3897</f>
        <v>284.3897</v>
      </c>
    </row>
    <row r="484" spans="1:10" ht="15.75" x14ac:dyDescent="0.25">
      <c r="A484" s="14">
        <v>55670</v>
      </c>
      <c r="B484" s="17">
        <f>37.5439 * CHOOSE(CONTROL!$C$15, $E$9, 100%, $G$9) + CHOOSE(CONTROL!$C$38, 0.0355, 0)</f>
        <v>37.5794</v>
      </c>
      <c r="C484" s="17">
        <f>34.3985 * CHOOSE(CONTROL!$C$15, $E$9, 100%, $G$9) + CHOOSE(CONTROL!$C$38, 0.0356, 0)</f>
        <v>34.434100000000001</v>
      </c>
      <c r="D484" s="17">
        <f>34.3907 * CHOOSE(CONTROL!$C$15, $E$9, 100%, $G$9) + CHOOSE(CONTROL!$C$38, 0.0356, 0)</f>
        <v>34.426300000000005</v>
      </c>
      <c r="E484" s="17">
        <f>34.3907 * CHOOSE(CONTROL!$C$15, $E$9, 100%, $G$9) + CHOOSE(CONTROL!$C$38, 0.0356, 0)</f>
        <v>34.426300000000005</v>
      </c>
      <c r="F484" s="46">
        <f>37.5439 * CHOOSE(CONTROL!$C$15, $E$9, 100%, $G$9) + CHOOSE(CONTROL!$C$38, 0.0355, 0)</f>
        <v>37.5794</v>
      </c>
      <c r="G484" s="17">
        <f>34.3969 * CHOOSE(CONTROL!$C$15, $E$9, 100%, $G$9) + CHOOSE(CONTROL!$C$38, 0.0356, 0)</f>
        <v>34.432500000000005</v>
      </c>
      <c r="H484" s="17">
        <f>34.3969 * CHOOSE(CONTROL!$C$15, $E$9, 100%, $G$9) + CHOOSE(CONTROL!$C$38, 0.0356, 0)</f>
        <v>34.432500000000005</v>
      </c>
      <c r="I484" s="17">
        <f>34.3985 * CHOOSE(CONTROL!$C$15, $E$9, 100%, $G$9) + CHOOSE(CONTROL!$C$38, 0.0356, 0)</f>
        <v>34.434100000000001</v>
      </c>
      <c r="J484" s="45">
        <f>293.9333</f>
        <v>293.93329999999997</v>
      </c>
    </row>
    <row r="485" spans="1:10" ht="15.75" x14ac:dyDescent="0.25">
      <c r="A485" s="14">
        <v>55700</v>
      </c>
      <c r="B485" s="17">
        <f>36.9796 * CHOOSE(CONTROL!$C$15, $E$9, 100%, $G$9) + CHOOSE(CONTROL!$C$38, 0.0355, 0)</f>
        <v>37.015099999999997</v>
      </c>
      <c r="C485" s="17">
        <f>33.8342 * CHOOSE(CONTROL!$C$15, $E$9, 100%, $G$9) + CHOOSE(CONTROL!$C$38, 0.0356, 0)</f>
        <v>33.869800000000005</v>
      </c>
      <c r="D485" s="17">
        <f>33.8264 * CHOOSE(CONTROL!$C$15, $E$9, 100%, $G$9) + CHOOSE(CONTROL!$C$38, 0.0356, 0)</f>
        <v>33.862000000000002</v>
      </c>
      <c r="E485" s="17">
        <f>33.8264 * CHOOSE(CONTROL!$C$15, $E$9, 100%, $G$9) + CHOOSE(CONTROL!$C$38, 0.0356, 0)</f>
        <v>33.862000000000002</v>
      </c>
      <c r="F485" s="46">
        <f>36.9796 * CHOOSE(CONTROL!$C$15, $E$9, 100%, $G$9) + CHOOSE(CONTROL!$C$38, 0.0355, 0)</f>
        <v>37.015099999999997</v>
      </c>
      <c r="G485" s="17">
        <f>33.8326 * CHOOSE(CONTROL!$C$15, $E$9, 100%, $G$9) + CHOOSE(CONTROL!$C$38, 0.0356, 0)</f>
        <v>33.868200000000002</v>
      </c>
      <c r="H485" s="17">
        <f>33.8326 * CHOOSE(CONTROL!$C$15, $E$9, 100%, $G$9) + CHOOSE(CONTROL!$C$38, 0.0356, 0)</f>
        <v>33.868200000000002</v>
      </c>
      <c r="I485" s="17">
        <f>33.8342 * CHOOSE(CONTROL!$C$15, $E$9, 100%, $G$9) + CHOOSE(CONTROL!$C$38, 0.0356, 0)</f>
        <v>33.869800000000005</v>
      </c>
      <c r="J485" s="45">
        <f>298.1686</f>
        <v>298.16860000000003</v>
      </c>
    </row>
    <row r="486" spans="1:10" ht="15.75" x14ac:dyDescent="0.25">
      <c r="A486" s="14">
        <v>55731</v>
      </c>
      <c r="B486" s="17">
        <f>36.6575 * CHOOSE(CONTROL!$C$15, $E$9, 100%, $G$9) + CHOOSE(CONTROL!$C$38, 0.0355, 0)</f>
        <v>36.692999999999998</v>
      </c>
      <c r="C486" s="17">
        <f>33.5121 * CHOOSE(CONTROL!$C$15, $E$9, 100%, $G$9) + CHOOSE(CONTROL!$C$38, 0.0356, 0)</f>
        <v>33.547699999999999</v>
      </c>
      <c r="D486" s="17">
        <f>33.5043 * CHOOSE(CONTROL!$C$15, $E$9, 100%, $G$9) + CHOOSE(CONTROL!$C$38, 0.0356, 0)</f>
        <v>33.539900000000003</v>
      </c>
      <c r="E486" s="17">
        <f>33.5043 * CHOOSE(CONTROL!$C$15, $E$9, 100%, $G$9) + CHOOSE(CONTROL!$C$38, 0.0356, 0)</f>
        <v>33.539900000000003</v>
      </c>
      <c r="F486" s="46">
        <f>36.6575 * CHOOSE(CONTROL!$C$15, $E$9, 100%, $G$9) + CHOOSE(CONTROL!$C$38, 0.0355, 0)</f>
        <v>36.692999999999998</v>
      </c>
      <c r="G486" s="17">
        <f>33.5106 * CHOOSE(CONTROL!$C$15, $E$9, 100%, $G$9) + CHOOSE(CONTROL!$C$38, 0.0356, 0)</f>
        <v>33.546199999999999</v>
      </c>
      <c r="H486" s="17">
        <f>33.5106 * CHOOSE(CONTROL!$C$15, $E$9, 100%, $G$9) + CHOOSE(CONTROL!$C$38, 0.0356, 0)</f>
        <v>33.546199999999999</v>
      </c>
      <c r="I486" s="17">
        <f>33.5121 * CHOOSE(CONTROL!$C$15, $E$9, 100%, $G$9) + CHOOSE(CONTROL!$C$38, 0.0356, 0)</f>
        <v>33.547699999999999</v>
      </c>
      <c r="J486" s="45">
        <f>296.7741</f>
        <v>296.77409999999998</v>
      </c>
    </row>
    <row r="487" spans="1:10" ht="15.75" x14ac:dyDescent="0.25">
      <c r="A487" s="14">
        <v>55762</v>
      </c>
      <c r="B487" s="17">
        <f>36.8165 * CHOOSE(CONTROL!$C$15, $E$9, 100%, $G$9) + CHOOSE(CONTROL!$C$38, 0.0355, 0)</f>
        <v>36.851999999999997</v>
      </c>
      <c r="C487" s="17">
        <f>33.6711 * CHOOSE(CONTROL!$C$15, $E$9, 100%, $G$9) + CHOOSE(CONTROL!$C$38, 0.0356, 0)</f>
        <v>33.706700000000005</v>
      </c>
      <c r="D487" s="17">
        <f>33.6632 * CHOOSE(CONTROL!$C$15, $E$9, 100%, $G$9) + CHOOSE(CONTROL!$C$38, 0.0356, 0)</f>
        <v>33.698800000000006</v>
      </c>
      <c r="E487" s="17">
        <f>33.6632 * CHOOSE(CONTROL!$C$15, $E$9, 100%, $G$9) + CHOOSE(CONTROL!$C$38, 0.0356, 0)</f>
        <v>33.698800000000006</v>
      </c>
      <c r="F487" s="46">
        <f>36.8165 * CHOOSE(CONTROL!$C$15, $E$9, 100%, $G$9) + CHOOSE(CONTROL!$C$38, 0.0355, 0)</f>
        <v>36.851999999999997</v>
      </c>
      <c r="G487" s="17">
        <f>33.6695 * CHOOSE(CONTROL!$C$15, $E$9, 100%, $G$9) + CHOOSE(CONTROL!$C$38, 0.0356, 0)</f>
        <v>33.705100000000002</v>
      </c>
      <c r="H487" s="17">
        <f>33.6695 * CHOOSE(CONTROL!$C$15, $E$9, 100%, $G$9) + CHOOSE(CONTROL!$C$38, 0.0356, 0)</f>
        <v>33.705100000000002</v>
      </c>
      <c r="I487" s="17">
        <f>33.6711 * CHOOSE(CONTROL!$C$15, $E$9, 100%, $G$9) + CHOOSE(CONTROL!$C$38, 0.0356, 0)</f>
        <v>33.706700000000005</v>
      </c>
      <c r="J487" s="45">
        <f>289.8653</f>
        <v>289.86529999999999</v>
      </c>
    </row>
    <row r="488" spans="1:10" ht="15.75" x14ac:dyDescent="0.25">
      <c r="A488" s="14">
        <v>55792</v>
      </c>
      <c r="B488" s="17">
        <f>37.2482 * CHOOSE(CONTROL!$C$15, $E$9, 100%, $G$9) + CHOOSE(CONTROL!$C$38, 0.0355, 0)</f>
        <v>37.283699999999996</v>
      </c>
      <c r="C488" s="17">
        <f>34.1028 * CHOOSE(CONTROL!$C$15, $E$9, 100%, $G$9) + CHOOSE(CONTROL!$C$38, 0.0356, 0)</f>
        <v>34.138400000000004</v>
      </c>
      <c r="D488" s="17">
        <f>34.095 * CHOOSE(CONTROL!$C$15, $E$9, 100%, $G$9) + CHOOSE(CONTROL!$C$38, 0.0356, 0)</f>
        <v>34.130600000000001</v>
      </c>
      <c r="E488" s="17">
        <f>34.095 * CHOOSE(CONTROL!$C$15, $E$9, 100%, $G$9) + CHOOSE(CONTROL!$C$38, 0.0356, 0)</f>
        <v>34.130600000000001</v>
      </c>
      <c r="F488" s="46">
        <f>37.2482 * CHOOSE(CONTROL!$C$15, $E$9, 100%, $G$9) + CHOOSE(CONTROL!$C$38, 0.0355, 0)</f>
        <v>37.283699999999996</v>
      </c>
      <c r="G488" s="17">
        <f>34.1012 * CHOOSE(CONTROL!$C$15, $E$9, 100%, $G$9) + CHOOSE(CONTROL!$C$38, 0.0356, 0)</f>
        <v>34.136800000000001</v>
      </c>
      <c r="H488" s="17">
        <f>34.1012 * CHOOSE(CONTROL!$C$15, $E$9, 100%, $G$9) + CHOOSE(CONTROL!$C$38, 0.0356, 0)</f>
        <v>34.136800000000001</v>
      </c>
      <c r="I488" s="17">
        <f>34.1028 * CHOOSE(CONTROL!$C$15, $E$9, 100%, $G$9) + CHOOSE(CONTROL!$C$38, 0.0356, 0)</f>
        <v>34.138400000000004</v>
      </c>
      <c r="J488" s="45">
        <f>280.2307</f>
        <v>280.23070000000001</v>
      </c>
    </row>
    <row r="489" spans="1:10" ht="15.75" x14ac:dyDescent="0.25">
      <c r="A489" s="14">
        <v>55823</v>
      </c>
      <c r="B489" s="17">
        <f>37.6097 * CHOOSE(CONTROL!$C$15, $E$9, 100%, $G$9) + CHOOSE(CONTROL!$C$38, 0.0342, 0)</f>
        <v>37.643899999999995</v>
      </c>
      <c r="C489" s="17">
        <f>34.4643 * CHOOSE(CONTROL!$C$15, $E$9, 100%, $G$9) + CHOOSE(CONTROL!$C$38, 0.0343, 0)</f>
        <v>34.498600000000003</v>
      </c>
      <c r="D489" s="17">
        <f>34.4565 * CHOOSE(CONTROL!$C$15, $E$9, 100%, $G$9) + CHOOSE(CONTROL!$C$38, 0.0343, 0)</f>
        <v>34.4908</v>
      </c>
      <c r="E489" s="17">
        <f>34.4565 * CHOOSE(CONTROL!$C$15, $E$9, 100%, $G$9) + CHOOSE(CONTROL!$C$38, 0.0343, 0)</f>
        <v>34.4908</v>
      </c>
      <c r="F489" s="46">
        <f>37.6097 * CHOOSE(CONTROL!$C$15, $E$9, 100%, $G$9) + CHOOSE(CONTROL!$C$38, 0.0342, 0)</f>
        <v>37.643899999999995</v>
      </c>
      <c r="G489" s="17">
        <f>34.4628 * CHOOSE(CONTROL!$C$15, $E$9, 100%, $G$9) + CHOOSE(CONTROL!$C$38, 0.0343, 0)</f>
        <v>34.497100000000003</v>
      </c>
      <c r="H489" s="17">
        <f>34.4628 * CHOOSE(CONTROL!$C$15, $E$9, 100%, $G$9) + CHOOSE(CONTROL!$C$38, 0.0343, 0)</f>
        <v>34.497100000000003</v>
      </c>
      <c r="I489" s="17">
        <f>34.4643 * CHOOSE(CONTROL!$C$15, $E$9, 100%, $G$9) + CHOOSE(CONTROL!$C$38, 0.0343, 0)</f>
        <v>34.498600000000003</v>
      </c>
      <c r="J489" s="45">
        <f>270.5401</f>
        <v>270.5401</v>
      </c>
    </row>
    <row r="490" spans="1:10" ht="15.75" x14ac:dyDescent="0.25">
      <c r="A490" s="14">
        <v>55853</v>
      </c>
      <c r="B490" s="17">
        <f>37.9114 * CHOOSE(CONTROL!$C$15, $E$9, 100%, $G$9) + CHOOSE(CONTROL!$C$38, 0.0342, 0)</f>
        <v>37.945599999999999</v>
      </c>
      <c r="C490" s="17">
        <f>34.9429 * CHOOSE(CONTROL!$C$15, $E$9, 100%, $G$9) + CHOOSE(CONTROL!$C$38, 0.0343, 0)</f>
        <v>34.977200000000003</v>
      </c>
      <c r="D490" s="17">
        <f>34.9351 * CHOOSE(CONTROL!$C$15, $E$9, 100%, $G$9) + CHOOSE(CONTROL!$C$38, 0.0343, 0)</f>
        <v>34.9694</v>
      </c>
      <c r="E490" s="17">
        <f>34.9351 * CHOOSE(CONTROL!$C$15, $E$9, 100%, $G$9) + CHOOSE(CONTROL!$C$38, 0.0343, 0)</f>
        <v>34.9694</v>
      </c>
      <c r="F490" s="46">
        <f>37.9114 * CHOOSE(CONTROL!$C$15, $E$9, 100%, $G$9) + CHOOSE(CONTROL!$C$38, 0.0342, 0)</f>
        <v>37.945599999999999</v>
      </c>
      <c r="G490" s="17">
        <f>34.9413 * CHOOSE(CONTROL!$C$15, $E$9, 100%, $G$9) + CHOOSE(CONTROL!$C$38, 0.0343, 0)</f>
        <v>34.9756</v>
      </c>
      <c r="H490" s="17">
        <f>34.9413 * CHOOSE(CONTROL!$C$15, $E$9, 100%, $G$9) + CHOOSE(CONTROL!$C$38, 0.0343, 0)</f>
        <v>34.9756</v>
      </c>
      <c r="I490" s="17">
        <f>34.9429 * CHOOSE(CONTROL!$C$15, $E$9, 100%, $G$9) + CHOOSE(CONTROL!$C$38, 0.0343, 0)</f>
        <v>34.977200000000003</v>
      </c>
      <c r="J490" s="45">
        <f>268.6124</f>
        <v>268.61239999999998</v>
      </c>
    </row>
    <row r="491" spans="1:10" ht="15.75" x14ac:dyDescent="0.25">
      <c r="A491" s="14">
        <v>55884</v>
      </c>
      <c r="B491" s="17">
        <f>38.8411 * CHOOSE(CONTROL!$C$15, $E$9, 100%, $G$9) + CHOOSE(CONTROL!$C$38, 0.0342, 0)</f>
        <v>38.875299999999996</v>
      </c>
      <c r="C491" s="17">
        <f>35.6957 * CHOOSE(CONTROL!$C$15, $E$9, 100%, $G$9) + CHOOSE(CONTROL!$C$38, 0.0343, 0)</f>
        <v>35.730000000000004</v>
      </c>
      <c r="D491" s="17">
        <f>35.6879 * CHOOSE(CONTROL!$C$15, $E$9, 100%, $G$9) + CHOOSE(CONTROL!$C$38, 0.0343, 0)</f>
        <v>35.722200000000001</v>
      </c>
      <c r="E491" s="17">
        <f>35.6879 * CHOOSE(CONTROL!$C$15, $E$9, 100%, $G$9) + CHOOSE(CONTROL!$C$38, 0.0343, 0)</f>
        <v>35.722200000000001</v>
      </c>
      <c r="F491" s="46">
        <f>38.8411 * CHOOSE(CONTROL!$C$15, $E$9, 100%, $G$9) + CHOOSE(CONTROL!$C$38, 0.0342, 0)</f>
        <v>38.875299999999996</v>
      </c>
      <c r="G491" s="17">
        <f>35.6941 * CHOOSE(CONTROL!$C$15, $E$9, 100%, $G$9) + CHOOSE(CONTROL!$C$38, 0.0343, 0)</f>
        <v>35.728400000000001</v>
      </c>
      <c r="H491" s="17">
        <f>35.6941 * CHOOSE(CONTROL!$C$15, $E$9, 100%, $G$9) + CHOOSE(CONTROL!$C$38, 0.0343, 0)</f>
        <v>35.728400000000001</v>
      </c>
      <c r="I491" s="17">
        <f>35.6957 * CHOOSE(CONTROL!$C$15, $E$9, 100%, $G$9) + CHOOSE(CONTROL!$C$38, 0.0343, 0)</f>
        <v>35.730000000000004</v>
      </c>
      <c r="J491" s="45">
        <f>260.6413</f>
        <v>260.6413</v>
      </c>
    </row>
    <row r="492" spans="1:10" ht="15.75" x14ac:dyDescent="0.25">
      <c r="A492" s="14">
        <v>55915</v>
      </c>
      <c r="B492" s="17">
        <f>40.2027 * CHOOSE(CONTROL!$C$15, $E$9, 100%, $G$9) + CHOOSE(CONTROL!$C$38, 0.0342, 0)</f>
        <v>40.236899999999999</v>
      </c>
      <c r="C492" s="17">
        <f>37.0071 * CHOOSE(CONTROL!$C$15, $E$9, 100%, $G$9) + CHOOSE(CONTROL!$C$38, 0.0343, 0)</f>
        <v>37.041400000000003</v>
      </c>
      <c r="D492" s="17">
        <f>36.9993 * CHOOSE(CONTROL!$C$15, $E$9, 100%, $G$9) + CHOOSE(CONTROL!$C$38, 0.0343, 0)</f>
        <v>37.0336</v>
      </c>
      <c r="E492" s="17">
        <f>36.9993 * CHOOSE(CONTROL!$C$15, $E$9, 100%, $G$9) + CHOOSE(CONTROL!$C$38, 0.0343, 0)</f>
        <v>37.0336</v>
      </c>
      <c r="F492" s="46">
        <f>40.2027 * CHOOSE(CONTROL!$C$15, $E$9, 100%, $G$9) + CHOOSE(CONTROL!$C$38, 0.0342, 0)</f>
        <v>40.236899999999999</v>
      </c>
      <c r="G492" s="17">
        <f>37.0055 * CHOOSE(CONTROL!$C$15, $E$9, 100%, $G$9) + CHOOSE(CONTROL!$C$38, 0.0343, 0)</f>
        <v>37.0398</v>
      </c>
      <c r="H492" s="17">
        <f>37.0055 * CHOOSE(CONTROL!$C$15, $E$9, 100%, $G$9) + CHOOSE(CONTROL!$C$38, 0.0343, 0)</f>
        <v>37.0398</v>
      </c>
      <c r="I492" s="17">
        <f>37.0071 * CHOOSE(CONTROL!$C$15, $E$9, 100%, $G$9) + CHOOSE(CONTROL!$C$38, 0.0343, 0)</f>
        <v>37.041400000000003</v>
      </c>
      <c r="J492" s="45">
        <f>260.4531</f>
        <v>260.45310000000001</v>
      </c>
    </row>
    <row r="493" spans="1:10" ht="15.75" x14ac:dyDescent="0.25">
      <c r="A493" s="14">
        <v>55943</v>
      </c>
      <c r="B493" s="17">
        <f>40.547 * CHOOSE(CONTROL!$C$15, $E$9, 100%, $G$9) + CHOOSE(CONTROL!$C$38, 0.0342, 0)</f>
        <v>40.581199999999995</v>
      </c>
      <c r="C493" s="17">
        <f>37.3514 * CHOOSE(CONTROL!$C$15, $E$9, 100%, $G$9) + CHOOSE(CONTROL!$C$38, 0.0343, 0)</f>
        <v>37.3857</v>
      </c>
      <c r="D493" s="17">
        <f>37.3436 * CHOOSE(CONTROL!$C$15, $E$9, 100%, $G$9) + CHOOSE(CONTROL!$C$38, 0.0343, 0)</f>
        <v>37.377900000000004</v>
      </c>
      <c r="E493" s="17">
        <f>37.3436 * CHOOSE(CONTROL!$C$15, $E$9, 100%, $G$9) + CHOOSE(CONTROL!$C$38, 0.0343, 0)</f>
        <v>37.377900000000004</v>
      </c>
      <c r="F493" s="46">
        <f>40.547 * CHOOSE(CONTROL!$C$15, $E$9, 100%, $G$9) + CHOOSE(CONTROL!$C$38, 0.0342, 0)</f>
        <v>40.581199999999995</v>
      </c>
      <c r="G493" s="17">
        <f>37.3499 * CHOOSE(CONTROL!$C$15, $E$9, 100%, $G$9) + CHOOSE(CONTROL!$C$38, 0.0343, 0)</f>
        <v>37.3842</v>
      </c>
      <c r="H493" s="17">
        <f>37.3499 * CHOOSE(CONTROL!$C$15, $E$9, 100%, $G$9) + CHOOSE(CONTROL!$C$38, 0.0343, 0)</f>
        <v>37.3842</v>
      </c>
      <c r="I493" s="17">
        <f>37.3514 * CHOOSE(CONTROL!$C$15, $E$9, 100%, $G$9) + CHOOSE(CONTROL!$C$38, 0.0343, 0)</f>
        <v>37.3857</v>
      </c>
      <c r="J493" s="45">
        <f>259.7291</f>
        <v>259.72910000000002</v>
      </c>
    </row>
    <row r="494" spans="1:10" ht="15.75" x14ac:dyDescent="0.25">
      <c r="A494" s="14">
        <v>55974</v>
      </c>
      <c r="B494" s="17">
        <f>39.75 * CHOOSE(CONTROL!$C$15, $E$9, 100%, $G$9) + CHOOSE(CONTROL!$C$38, 0.0342, 0)</f>
        <v>39.784199999999998</v>
      </c>
      <c r="C494" s="17">
        <f>36.5544 * CHOOSE(CONTROL!$C$15, $E$9, 100%, $G$9) + CHOOSE(CONTROL!$C$38, 0.0343, 0)</f>
        <v>36.588700000000003</v>
      </c>
      <c r="D494" s="17">
        <f>36.5466 * CHOOSE(CONTROL!$C$15, $E$9, 100%, $G$9) + CHOOSE(CONTROL!$C$38, 0.0343, 0)</f>
        <v>36.5809</v>
      </c>
      <c r="E494" s="17">
        <f>36.5466 * CHOOSE(CONTROL!$C$15, $E$9, 100%, $G$9) + CHOOSE(CONTROL!$C$38, 0.0343, 0)</f>
        <v>36.5809</v>
      </c>
      <c r="F494" s="46">
        <f>39.75 * CHOOSE(CONTROL!$C$15, $E$9, 100%, $G$9) + CHOOSE(CONTROL!$C$38, 0.0342, 0)</f>
        <v>39.784199999999998</v>
      </c>
      <c r="G494" s="17">
        <f>36.5528 * CHOOSE(CONTROL!$C$15, $E$9, 100%, $G$9) + CHOOSE(CONTROL!$C$38, 0.0343, 0)</f>
        <v>36.5871</v>
      </c>
      <c r="H494" s="17">
        <f>36.5528 * CHOOSE(CONTROL!$C$15, $E$9, 100%, $G$9) + CHOOSE(CONTROL!$C$38, 0.0343, 0)</f>
        <v>36.5871</v>
      </c>
      <c r="I494" s="17">
        <f>36.5544 * CHOOSE(CONTROL!$C$15, $E$9, 100%, $G$9) + CHOOSE(CONTROL!$C$38, 0.0343, 0)</f>
        <v>36.588700000000003</v>
      </c>
      <c r="J494" s="45">
        <f>273.4184</f>
        <v>273.41840000000002</v>
      </c>
    </row>
    <row r="495" spans="1:10" ht="15.75" x14ac:dyDescent="0.25">
      <c r="A495" s="14">
        <v>56004</v>
      </c>
      <c r="B495" s="17">
        <f>38.9777 * CHOOSE(CONTROL!$C$15, $E$9, 100%, $G$9) + CHOOSE(CONTROL!$C$38, 0.0342, 0)</f>
        <v>39.011899999999997</v>
      </c>
      <c r="C495" s="17">
        <f>35.7821 * CHOOSE(CONTROL!$C$15, $E$9, 100%, $G$9) + CHOOSE(CONTROL!$C$38, 0.0343, 0)</f>
        <v>35.816400000000002</v>
      </c>
      <c r="D495" s="17">
        <f>35.7743 * CHOOSE(CONTROL!$C$15, $E$9, 100%, $G$9) + CHOOSE(CONTROL!$C$38, 0.0343, 0)</f>
        <v>35.808599999999998</v>
      </c>
      <c r="E495" s="17">
        <f>35.7743 * CHOOSE(CONTROL!$C$15, $E$9, 100%, $G$9) + CHOOSE(CONTROL!$C$38, 0.0343, 0)</f>
        <v>35.808599999999998</v>
      </c>
      <c r="F495" s="46">
        <f>38.9777 * CHOOSE(CONTROL!$C$15, $E$9, 100%, $G$9) + CHOOSE(CONTROL!$C$38, 0.0342, 0)</f>
        <v>39.011899999999997</v>
      </c>
      <c r="G495" s="17">
        <f>35.7805 * CHOOSE(CONTROL!$C$15, $E$9, 100%, $G$9) + CHOOSE(CONTROL!$C$38, 0.0343, 0)</f>
        <v>35.814800000000005</v>
      </c>
      <c r="H495" s="17">
        <f>35.7805 * CHOOSE(CONTROL!$C$15, $E$9, 100%, $G$9) + CHOOSE(CONTROL!$C$38, 0.0343, 0)</f>
        <v>35.814800000000005</v>
      </c>
      <c r="I495" s="17">
        <f>35.7821 * CHOOSE(CONTROL!$C$15, $E$9, 100%, $G$9) + CHOOSE(CONTROL!$C$38, 0.0343, 0)</f>
        <v>35.816400000000002</v>
      </c>
      <c r="J495" s="45">
        <f>291.17</f>
        <v>291.17</v>
      </c>
    </row>
    <row r="496" spans="1:10" ht="15.75" x14ac:dyDescent="0.25">
      <c r="A496" s="14">
        <v>56035</v>
      </c>
      <c r="B496" s="17">
        <f>38.1727 * CHOOSE(CONTROL!$C$15, $E$9, 100%, $G$9) + CHOOSE(CONTROL!$C$38, 0.0355, 0)</f>
        <v>38.208199999999998</v>
      </c>
      <c r="C496" s="17">
        <f>34.9771 * CHOOSE(CONTROL!$C$15, $E$9, 100%, $G$9) + CHOOSE(CONTROL!$C$38, 0.0356, 0)</f>
        <v>35.012700000000002</v>
      </c>
      <c r="D496" s="17">
        <f>34.9693 * CHOOSE(CONTROL!$C$15, $E$9, 100%, $G$9) + CHOOSE(CONTROL!$C$38, 0.0356, 0)</f>
        <v>35.004899999999999</v>
      </c>
      <c r="E496" s="17">
        <f>34.9693 * CHOOSE(CONTROL!$C$15, $E$9, 100%, $G$9) + CHOOSE(CONTROL!$C$38, 0.0356, 0)</f>
        <v>35.004899999999999</v>
      </c>
      <c r="F496" s="46">
        <f>38.1727 * CHOOSE(CONTROL!$C$15, $E$9, 100%, $G$9) + CHOOSE(CONTROL!$C$38, 0.0355, 0)</f>
        <v>38.208199999999998</v>
      </c>
      <c r="G496" s="17">
        <f>34.9755 * CHOOSE(CONTROL!$C$15, $E$9, 100%, $G$9) + CHOOSE(CONTROL!$C$38, 0.0356, 0)</f>
        <v>35.011099999999999</v>
      </c>
      <c r="H496" s="17">
        <f>34.9755 * CHOOSE(CONTROL!$C$15, $E$9, 100%, $G$9) + CHOOSE(CONTROL!$C$38, 0.0356, 0)</f>
        <v>35.011099999999999</v>
      </c>
      <c r="I496" s="17">
        <f>34.9771 * CHOOSE(CONTROL!$C$15, $E$9, 100%, $G$9) + CHOOSE(CONTROL!$C$38, 0.0356, 0)</f>
        <v>35.012700000000002</v>
      </c>
      <c r="J496" s="45">
        <f>300.9411</f>
        <v>300.94110000000001</v>
      </c>
    </row>
    <row r="497" spans="1:10" ht="15.75" x14ac:dyDescent="0.25">
      <c r="A497" s="14">
        <v>56065</v>
      </c>
      <c r="B497" s="17">
        <f>37.6084 * CHOOSE(CONTROL!$C$15, $E$9, 100%, $G$9) + CHOOSE(CONTROL!$C$38, 0.0355, 0)</f>
        <v>37.643900000000002</v>
      </c>
      <c r="C497" s="17">
        <f>34.4128 * CHOOSE(CONTROL!$C$15, $E$9, 100%, $G$9) + CHOOSE(CONTROL!$C$38, 0.0356, 0)</f>
        <v>34.448399999999999</v>
      </c>
      <c r="D497" s="17">
        <f>34.405 * CHOOSE(CONTROL!$C$15, $E$9, 100%, $G$9) + CHOOSE(CONTROL!$C$38, 0.0356, 0)</f>
        <v>34.440600000000003</v>
      </c>
      <c r="E497" s="17">
        <f>34.405 * CHOOSE(CONTROL!$C$15, $E$9, 100%, $G$9) + CHOOSE(CONTROL!$C$38, 0.0356, 0)</f>
        <v>34.440600000000003</v>
      </c>
      <c r="F497" s="46">
        <f>37.6084 * CHOOSE(CONTROL!$C$15, $E$9, 100%, $G$9) + CHOOSE(CONTROL!$C$38, 0.0355, 0)</f>
        <v>37.643900000000002</v>
      </c>
      <c r="G497" s="17">
        <f>34.4112 * CHOOSE(CONTROL!$C$15, $E$9, 100%, $G$9) + CHOOSE(CONTROL!$C$38, 0.0356, 0)</f>
        <v>34.446800000000003</v>
      </c>
      <c r="H497" s="17">
        <f>34.4112 * CHOOSE(CONTROL!$C$15, $E$9, 100%, $G$9) + CHOOSE(CONTROL!$C$38, 0.0356, 0)</f>
        <v>34.446800000000003</v>
      </c>
      <c r="I497" s="17">
        <f>34.4128 * CHOOSE(CONTROL!$C$15, $E$9, 100%, $G$9) + CHOOSE(CONTROL!$C$38, 0.0356, 0)</f>
        <v>34.448399999999999</v>
      </c>
      <c r="J497" s="45">
        <f>305.2774</f>
        <v>305.2774</v>
      </c>
    </row>
    <row r="498" spans="1:10" ht="15.75" x14ac:dyDescent="0.25">
      <c r="A498" s="14">
        <v>56096</v>
      </c>
      <c r="B498" s="17">
        <f>37.2864 * CHOOSE(CONTROL!$C$15, $E$9, 100%, $G$9) + CHOOSE(CONTROL!$C$38, 0.0355, 0)</f>
        <v>37.321899999999999</v>
      </c>
      <c r="C498" s="17">
        <f>34.0907 * CHOOSE(CONTROL!$C$15, $E$9, 100%, $G$9) + CHOOSE(CONTROL!$C$38, 0.0356, 0)</f>
        <v>34.126300000000001</v>
      </c>
      <c r="D498" s="17">
        <f>34.0829 * CHOOSE(CONTROL!$C$15, $E$9, 100%, $G$9) + CHOOSE(CONTROL!$C$38, 0.0356, 0)</f>
        <v>34.118500000000004</v>
      </c>
      <c r="E498" s="17">
        <f>34.0829 * CHOOSE(CONTROL!$C$15, $E$9, 100%, $G$9) + CHOOSE(CONTROL!$C$38, 0.0356, 0)</f>
        <v>34.118500000000004</v>
      </c>
      <c r="F498" s="46">
        <f>37.2864 * CHOOSE(CONTROL!$C$15, $E$9, 100%, $G$9) + CHOOSE(CONTROL!$C$38, 0.0355, 0)</f>
        <v>37.321899999999999</v>
      </c>
      <c r="G498" s="17">
        <f>34.0892 * CHOOSE(CONTROL!$C$15, $E$9, 100%, $G$9) + CHOOSE(CONTROL!$C$38, 0.0356, 0)</f>
        <v>34.1248</v>
      </c>
      <c r="H498" s="17">
        <f>34.0892 * CHOOSE(CONTROL!$C$15, $E$9, 100%, $G$9) + CHOOSE(CONTROL!$C$38, 0.0356, 0)</f>
        <v>34.1248</v>
      </c>
      <c r="I498" s="17">
        <f>34.0907 * CHOOSE(CONTROL!$C$15, $E$9, 100%, $G$9) + CHOOSE(CONTROL!$C$38, 0.0356, 0)</f>
        <v>34.126300000000001</v>
      </c>
      <c r="J498" s="45">
        <f>303.8497</f>
        <v>303.84969999999998</v>
      </c>
    </row>
    <row r="499" spans="1:10" ht="15.75" x14ac:dyDescent="0.25">
      <c r="A499" s="14">
        <v>56127</v>
      </c>
      <c r="B499" s="17">
        <f>37.4453 * CHOOSE(CONTROL!$C$15, $E$9, 100%, $G$9) + CHOOSE(CONTROL!$C$38, 0.0355, 0)</f>
        <v>37.480800000000002</v>
      </c>
      <c r="C499" s="17">
        <f>34.2497 * CHOOSE(CONTROL!$C$15, $E$9, 100%, $G$9) + CHOOSE(CONTROL!$C$38, 0.0356, 0)</f>
        <v>34.285299999999999</v>
      </c>
      <c r="D499" s="17">
        <f>34.2419 * CHOOSE(CONTROL!$C$15, $E$9, 100%, $G$9) + CHOOSE(CONTROL!$C$38, 0.0356, 0)</f>
        <v>34.277500000000003</v>
      </c>
      <c r="E499" s="17">
        <f>34.2419 * CHOOSE(CONTROL!$C$15, $E$9, 100%, $G$9) + CHOOSE(CONTROL!$C$38, 0.0356, 0)</f>
        <v>34.277500000000003</v>
      </c>
      <c r="F499" s="46">
        <f>37.4453 * CHOOSE(CONTROL!$C$15, $E$9, 100%, $G$9) + CHOOSE(CONTROL!$C$38, 0.0355, 0)</f>
        <v>37.480800000000002</v>
      </c>
      <c r="G499" s="17">
        <f>34.2481 * CHOOSE(CONTROL!$C$15, $E$9, 100%, $G$9) + CHOOSE(CONTROL!$C$38, 0.0356, 0)</f>
        <v>34.283700000000003</v>
      </c>
      <c r="H499" s="17">
        <f>34.2481 * CHOOSE(CONTROL!$C$15, $E$9, 100%, $G$9) + CHOOSE(CONTROL!$C$38, 0.0356, 0)</f>
        <v>34.283700000000003</v>
      </c>
      <c r="I499" s="17">
        <f>34.2497 * CHOOSE(CONTROL!$C$15, $E$9, 100%, $G$9) + CHOOSE(CONTROL!$C$38, 0.0356, 0)</f>
        <v>34.285299999999999</v>
      </c>
      <c r="J499" s="45">
        <f>296.7762</f>
        <v>296.77620000000002</v>
      </c>
    </row>
    <row r="500" spans="1:10" ht="15.75" x14ac:dyDescent="0.25">
      <c r="A500" s="14">
        <v>56157</v>
      </c>
      <c r="B500" s="17">
        <f>37.877 * CHOOSE(CONTROL!$C$15, $E$9, 100%, $G$9) + CHOOSE(CONTROL!$C$38, 0.0355, 0)</f>
        <v>37.912500000000001</v>
      </c>
      <c r="C500" s="17">
        <f>34.6814 * CHOOSE(CONTROL!$C$15, $E$9, 100%, $G$9) + CHOOSE(CONTROL!$C$38, 0.0356, 0)</f>
        <v>34.716999999999999</v>
      </c>
      <c r="D500" s="17">
        <f>34.6736 * CHOOSE(CONTROL!$C$15, $E$9, 100%, $G$9) + CHOOSE(CONTROL!$C$38, 0.0356, 0)</f>
        <v>34.709200000000003</v>
      </c>
      <c r="E500" s="17">
        <f>34.6736 * CHOOSE(CONTROL!$C$15, $E$9, 100%, $G$9) + CHOOSE(CONTROL!$C$38, 0.0356, 0)</f>
        <v>34.709200000000003</v>
      </c>
      <c r="F500" s="46">
        <f>37.877 * CHOOSE(CONTROL!$C$15, $E$9, 100%, $G$9) + CHOOSE(CONTROL!$C$38, 0.0355, 0)</f>
        <v>37.912500000000001</v>
      </c>
      <c r="G500" s="17">
        <f>34.6798 * CHOOSE(CONTROL!$C$15, $E$9, 100%, $G$9) + CHOOSE(CONTROL!$C$38, 0.0356, 0)</f>
        <v>34.715400000000002</v>
      </c>
      <c r="H500" s="17">
        <f>34.6798 * CHOOSE(CONTROL!$C$15, $E$9, 100%, $G$9) + CHOOSE(CONTROL!$C$38, 0.0356, 0)</f>
        <v>34.715400000000002</v>
      </c>
      <c r="I500" s="17">
        <f>34.6814 * CHOOSE(CONTROL!$C$15, $E$9, 100%, $G$9) + CHOOSE(CONTROL!$C$38, 0.0356, 0)</f>
        <v>34.716999999999999</v>
      </c>
      <c r="J500" s="45">
        <f>286.9118</f>
        <v>286.91180000000003</v>
      </c>
    </row>
    <row r="501" spans="1:10" ht="15.75" x14ac:dyDescent="0.25">
      <c r="A501" s="14">
        <v>56188</v>
      </c>
      <c r="B501" s="17">
        <f>38.2386 * CHOOSE(CONTROL!$C$15, $E$9, 100%, $G$9) + CHOOSE(CONTROL!$C$38, 0.0342, 0)</f>
        <v>38.272799999999997</v>
      </c>
      <c r="C501" s="17">
        <f>35.0429 * CHOOSE(CONTROL!$C$15, $E$9, 100%, $G$9) + CHOOSE(CONTROL!$C$38, 0.0343, 0)</f>
        <v>35.077200000000005</v>
      </c>
      <c r="D501" s="17">
        <f>35.0351 * CHOOSE(CONTROL!$C$15, $E$9, 100%, $G$9) + CHOOSE(CONTROL!$C$38, 0.0343, 0)</f>
        <v>35.069400000000002</v>
      </c>
      <c r="E501" s="17">
        <f>35.0351 * CHOOSE(CONTROL!$C$15, $E$9, 100%, $G$9) + CHOOSE(CONTROL!$C$38, 0.0343, 0)</f>
        <v>35.069400000000002</v>
      </c>
      <c r="F501" s="46">
        <f>38.2386 * CHOOSE(CONTROL!$C$15, $E$9, 100%, $G$9) + CHOOSE(CONTROL!$C$38, 0.0342, 0)</f>
        <v>38.272799999999997</v>
      </c>
      <c r="G501" s="17">
        <f>35.0414 * CHOOSE(CONTROL!$C$15, $E$9, 100%, $G$9) + CHOOSE(CONTROL!$C$38, 0.0343, 0)</f>
        <v>35.075700000000005</v>
      </c>
      <c r="H501" s="17">
        <f>35.0414 * CHOOSE(CONTROL!$C$15, $E$9, 100%, $G$9) + CHOOSE(CONTROL!$C$38, 0.0343, 0)</f>
        <v>35.075700000000005</v>
      </c>
      <c r="I501" s="17">
        <f>35.0429 * CHOOSE(CONTROL!$C$15, $E$9, 100%, $G$9) + CHOOSE(CONTROL!$C$38, 0.0343, 0)</f>
        <v>35.077200000000005</v>
      </c>
      <c r="J501" s="45">
        <f>276.9901</f>
        <v>276.99009999999998</v>
      </c>
    </row>
    <row r="502" spans="1:10" ht="15.75" x14ac:dyDescent="0.25">
      <c r="A502" s="14">
        <v>56218</v>
      </c>
      <c r="B502" s="17">
        <f>38.5403 * CHOOSE(CONTROL!$C$15, $E$9, 100%, $G$9) + CHOOSE(CONTROL!$C$38, 0.0342, 0)</f>
        <v>38.5745</v>
      </c>
      <c r="C502" s="17">
        <f>35.3446 * CHOOSE(CONTROL!$C$15, $E$9, 100%, $G$9) + CHOOSE(CONTROL!$C$38, 0.0343, 0)</f>
        <v>35.378900000000002</v>
      </c>
      <c r="D502" s="17">
        <f>35.3368 * CHOOSE(CONTROL!$C$15, $E$9, 100%, $G$9) + CHOOSE(CONTROL!$C$38, 0.0343, 0)</f>
        <v>35.371099999999998</v>
      </c>
      <c r="E502" s="17">
        <f>35.3368 * CHOOSE(CONTROL!$C$15, $E$9, 100%, $G$9) + CHOOSE(CONTROL!$C$38, 0.0343, 0)</f>
        <v>35.371099999999998</v>
      </c>
      <c r="F502" s="46">
        <f>38.5403 * CHOOSE(CONTROL!$C$15, $E$9, 100%, $G$9) + CHOOSE(CONTROL!$C$38, 0.0342, 0)</f>
        <v>38.5745</v>
      </c>
      <c r="G502" s="17">
        <f>35.3431 * CHOOSE(CONTROL!$C$15, $E$9, 100%, $G$9) + CHOOSE(CONTROL!$C$38, 0.0343, 0)</f>
        <v>35.377400000000002</v>
      </c>
      <c r="H502" s="17">
        <f>35.3431 * CHOOSE(CONTROL!$C$15, $E$9, 100%, $G$9) + CHOOSE(CONTROL!$C$38, 0.0343, 0)</f>
        <v>35.377400000000002</v>
      </c>
      <c r="I502" s="17">
        <f>35.3446 * CHOOSE(CONTROL!$C$15, $E$9, 100%, $G$9) + CHOOSE(CONTROL!$C$38, 0.0343, 0)</f>
        <v>35.378900000000002</v>
      </c>
      <c r="J502" s="45">
        <f>275.0165</f>
        <v>275.01650000000001</v>
      </c>
    </row>
    <row r="503" spans="1:10" ht="15.75" x14ac:dyDescent="0.25">
      <c r="A503" s="14">
        <v>56249</v>
      </c>
      <c r="B503" s="17">
        <f>39.4699 * CHOOSE(CONTROL!$C$15, $E$9, 100%, $G$9) + CHOOSE(CONTROL!$C$38, 0.0342, 0)</f>
        <v>39.504100000000001</v>
      </c>
      <c r="C503" s="17">
        <f>36.4541 * CHOOSE(CONTROL!$C$15, $E$9, 100%, $G$9) + CHOOSE(CONTROL!$C$38, 0.0343, 0)</f>
        <v>36.488399999999999</v>
      </c>
      <c r="D503" s="17">
        <f>36.4463 * CHOOSE(CONTROL!$C$15, $E$9, 100%, $G$9) + CHOOSE(CONTROL!$C$38, 0.0343, 0)</f>
        <v>36.480600000000003</v>
      </c>
      <c r="E503" s="17">
        <f>36.4463 * CHOOSE(CONTROL!$C$15, $E$9, 100%, $G$9) + CHOOSE(CONTROL!$C$38, 0.0343, 0)</f>
        <v>36.480600000000003</v>
      </c>
      <c r="F503" s="46">
        <f>39.4699 * CHOOSE(CONTROL!$C$15, $E$9, 100%, $G$9) + CHOOSE(CONTROL!$C$38, 0.0342, 0)</f>
        <v>39.504100000000001</v>
      </c>
      <c r="G503" s="17">
        <f>36.4526 * CHOOSE(CONTROL!$C$15, $E$9, 100%, $G$9) + CHOOSE(CONTROL!$C$38, 0.0343, 0)</f>
        <v>36.486899999999999</v>
      </c>
      <c r="H503" s="17">
        <f>36.4526 * CHOOSE(CONTROL!$C$15, $E$9, 100%, $G$9) + CHOOSE(CONTROL!$C$38, 0.0343, 0)</f>
        <v>36.486899999999999</v>
      </c>
      <c r="I503" s="17">
        <f>36.4541 * CHOOSE(CONTROL!$C$15, $E$9, 100%, $G$9) + CHOOSE(CONTROL!$C$38, 0.0343, 0)</f>
        <v>36.488399999999999</v>
      </c>
      <c r="J503" s="45">
        <f>266.8554</f>
        <v>266.85539999999997</v>
      </c>
    </row>
    <row r="504" spans="1:10" ht="15.75" x14ac:dyDescent="0.25">
      <c r="A504" s="14">
        <v>56280</v>
      </c>
      <c r="B504" s="17">
        <f>40.8421 * CHOOSE(CONTROL!$C$15, $E$9, 100%, $G$9) + CHOOSE(CONTROL!$C$38, 0.0342, 0)</f>
        <v>40.876300000000001</v>
      </c>
      <c r="C504" s="17">
        <f>37.5954 * CHOOSE(CONTROL!$C$15, $E$9, 100%, $G$9) + CHOOSE(CONTROL!$C$38, 0.0343, 0)</f>
        <v>37.6297</v>
      </c>
      <c r="D504" s="17">
        <f>37.5876 * CHOOSE(CONTROL!$C$15, $E$9, 100%, $G$9) + CHOOSE(CONTROL!$C$38, 0.0343, 0)</f>
        <v>37.621900000000004</v>
      </c>
      <c r="E504" s="17">
        <f>37.5876 * CHOOSE(CONTROL!$C$15, $E$9, 100%, $G$9) + CHOOSE(CONTROL!$C$38, 0.0343, 0)</f>
        <v>37.621900000000004</v>
      </c>
      <c r="F504" s="46">
        <f>40.8421 * CHOOSE(CONTROL!$C$15, $E$9, 100%, $G$9) + CHOOSE(CONTROL!$C$38, 0.0342, 0)</f>
        <v>40.876300000000001</v>
      </c>
      <c r="G504" s="17">
        <f>37.5939 * CHOOSE(CONTROL!$C$15, $E$9, 100%, $G$9) + CHOOSE(CONTROL!$C$38, 0.0343, 0)</f>
        <v>37.6282</v>
      </c>
      <c r="H504" s="17">
        <f>37.5939 * CHOOSE(CONTROL!$C$15, $E$9, 100%, $G$9) + CHOOSE(CONTROL!$C$38, 0.0343, 0)</f>
        <v>37.6282</v>
      </c>
      <c r="I504" s="17">
        <f>37.5954 * CHOOSE(CONTROL!$C$15, $E$9, 100%, $G$9) + CHOOSE(CONTROL!$C$38, 0.0343, 0)</f>
        <v>37.6297</v>
      </c>
      <c r="J504" s="45">
        <f>266.6627</f>
        <v>266.66269999999997</v>
      </c>
    </row>
    <row r="505" spans="1:10" ht="15.75" x14ac:dyDescent="0.25">
      <c r="A505" s="14">
        <v>56308</v>
      </c>
      <c r="B505" s="17">
        <f>41.1864 * CHOOSE(CONTROL!$C$15, $E$9, 100%, $G$9) + CHOOSE(CONTROL!$C$38, 0.0342, 0)</f>
        <v>41.220599999999997</v>
      </c>
      <c r="C505" s="17">
        <f>37.9397 * CHOOSE(CONTROL!$C$15, $E$9, 100%, $G$9) + CHOOSE(CONTROL!$C$38, 0.0343, 0)</f>
        <v>37.974000000000004</v>
      </c>
      <c r="D505" s="17">
        <f>37.9319 * CHOOSE(CONTROL!$C$15, $E$9, 100%, $G$9) + CHOOSE(CONTROL!$C$38, 0.0343, 0)</f>
        <v>37.966200000000001</v>
      </c>
      <c r="E505" s="17">
        <f>37.9319 * CHOOSE(CONTROL!$C$15, $E$9, 100%, $G$9) + CHOOSE(CONTROL!$C$38, 0.0343, 0)</f>
        <v>37.966200000000001</v>
      </c>
      <c r="F505" s="46">
        <f>41.1864 * CHOOSE(CONTROL!$C$15, $E$9, 100%, $G$9) + CHOOSE(CONTROL!$C$38, 0.0342, 0)</f>
        <v>41.220599999999997</v>
      </c>
      <c r="G505" s="17">
        <f>37.9382 * CHOOSE(CONTROL!$C$15, $E$9, 100%, $G$9) + CHOOSE(CONTROL!$C$38, 0.0343, 0)</f>
        <v>37.972500000000004</v>
      </c>
      <c r="H505" s="17">
        <f>37.9382 * CHOOSE(CONTROL!$C$15, $E$9, 100%, $G$9) + CHOOSE(CONTROL!$C$38, 0.0343, 0)</f>
        <v>37.972500000000004</v>
      </c>
      <c r="I505" s="17">
        <f>37.9397 * CHOOSE(CONTROL!$C$15, $E$9, 100%, $G$9) + CHOOSE(CONTROL!$C$38, 0.0343, 0)</f>
        <v>37.974000000000004</v>
      </c>
      <c r="J505" s="45">
        <f>265.9215</f>
        <v>265.92149999999998</v>
      </c>
    </row>
    <row r="506" spans="1:10" ht="15.75" x14ac:dyDescent="0.25">
      <c r="A506" s="14">
        <v>56339</v>
      </c>
      <c r="B506" s="17">
        <f>40.3894 * CHOOSE(CONTROL!$C$15, $E$9, 100%, $G$9) + CHOOSE(CONTROL!$C$38, 0.0342, 0)</f>
        <v>40.4236</v>
      </c>
      <c r="C506" s="17">
        <f>37.1427 * CHOOSE(CONTROL!$C$15, $E$9, 100%, $G$9) + CHOOSE(CONTROL!$C$38, 0.0343, 0)</f>
        <v>37.177</v>
      </c>
      <c r="D506" s="17">
        <f>37.1349 * CHOOSE(CONTROL!$C$15, $E$9, 100%, $G$9) + CHOOSE(CONTROL!$C$38, 0.0343, 0)</f>
        <v>37.169200000000004</v>
      </c>
      <c r="E506" s="17">
        <f>37.1349 * CHOOSE(CONTROL!$C$15, $E$9, 100%, $G$9) + CHOOSE(CONTROL!$C$38, 0.0343, 0)</f>
        <v>37.169200000000004</v>
      </c>
      <c r="F506" s="46">
        <f>40.3894 * CHOOSE(CONTROL!$C$15, $E$9, 100%, $G$9) + CHOOSE(CONTROL!$C$38, 0.0342, 0)</f>
        <v>40.4236</v>
      </c>
      <c r="G506" s="17">
        <f>37.1411 * CHOOSE(CONTROL!$C$15, $E$9, 100%, $G$9) + CHOOSE(CONTROL!$C$38, 0.0343, 0)</f>
        <v>37.175400000000003</v>
      </c>
      <c r="H506" s="17">
        <f>37.1411 * CHOOSE(CONTROL!$C$15, $E$9, 100%, $G$9) + CHOOSE(CONTROL!$C$38, 0.0343, 0)</f>
        <v>37.175400000000003</v>
      </c>
      <c r="I506" s="17">
        <f>37.1427 * CHOOSE(CONTROL!$C$15, $E$9, 100%, $G$9) + CHOOSE(CONTROL!$C$38, 0.0343, 0)</f>
        <v>37.177</v>
      </c>
      <c r="J506" s="45">
        <f>279.9371</f>
        <v>279.93709999999999</v>
      </c>
    </row>
    <row r="507" spans="1:10" ht="15.75" x14ac:dyDescent="0.25">
      <c r="A507" s="14">
        <v>56369</v>
      </c>
      <c r="B507" s="17">
        <f>39.6171 * CHOOSE(CONTROL!$C$15, $E$9, 100%, $G$9) + CHOOSE(CONTROL!$C$38, 0.0342, 0)</f>
        <v>39.651299999999999</v>
      </c>
      <c r="C507" s="17">
        <f>36.3704 * CHOOSE(CONTROL!$C$15, $E$9, 100%, $G$9) + CHOOSE(CONTROL!$C$38, 0.0343, 0)</f>
        <v>36.404699999999998</v>
      </c>
      <c r="D507" s="17">
        <f>36.3626 * CHOOSE(CONTROL!$C$15, $E$9, 100%, $G$9) + CHOOSE(CONTROL!$C$38, 0.0343, 0)</f>
        <v>36.396900000000002</v>
      </c>
      <c r="E507" s="17">
        <f>36.3626 * CHOOSE(CONTROL!$C$15, $E$9, 100%, $G$9) + CHOOSE(CONTROL!$C$38, 0.0343, 0)</f>
        <v>36.396900000000002</v>
      </c>
      <c r="F507" s="46">
        <f>39.6171 * CHOOSE(CONTROL!$C$15, $E$9, 100%, $G$9) + CHOOSE(CONTROL!$C$38, 0.0342, 0)</f>
        <v>39.651299999999999</v>
      </c>
      <c r="G507" s="17">
        <f>36.3688 * CHOOSE(CONTROL!$C$15, $E$9, 100%, $G$9) + CHOOSE(CONTROL!$C$38, 0.0343, 0)</f>
        <v>36.403100000000002</v>
      </c>
      <c r="H507" s="17">
        <f>36.3688 * CHOOSE(CONTROL!$C$15, $E$9, 100%, $G$9) + CHOOSE(CONTROL!$C$38, 0.0343, 0)</f>
        <v>36.403100000000002</v>
      </c>
      <c r="I507" s="17">
        <f>36.3704 * CHOOSE(CONTROL!$C$15, $E$9, 100%, $G$9) + CHOOSE(CONTROL!$C$38, 0.0343, 0)</f>
        <v>36.404699999999998</v>
      </c>
      <c r="J507" s="45">
        <f>298.112</f>
        <v>298.11200000000002</v>
      </c>
    </row>
    <row r="508" spans="1:10" ht="15.75" x14ac:dyDescent="0.25">
      <c r="A508" s="14">
        <v>56400</v>
      </c>
      <c r="B508" s="17">
        <f>38.8121 * CHOOSE(CONTROL!$C$15, $E$9, 100%, $G$9) + CHOOSE(CONTROL!$C$38, 0.0355, 0)</f>
        <v>38.8476</v>
      </c>
      <c r="C508" s="17">
        <f>35.5654 * CHOOSE(CONTROL!$C$15, $E$9, 100%, $G$9) + CHOOSE(CONTROL!$C$38, 0.0356, 0)</f>
        <v>35.600999999999999</v>
      </c>
      <c r="D508" s="17">
        <f>35.5576 * CHOOSE(CONTROL!$C$15, $E$9, 100%, $G$9) + CHOOSE(CONTROL!$C$38, 0.0356, 0)</f>
        <v>35.593200000000003</v>
      </c>
      <c r="E508" s="17">
        <f>35.5576 * CHOOSE(CONTROL!$C$15, $E$9, 100%, $G$9) + CHOOSE(CONTROL!$C$38, 0.0356, 0)</f>
        <v>35.593200000000003</v>
      </c>
      <c r="F508" s="46">
        <f>38.8121 * CHOOSE(CONTROL!$C$15, $E$9, 100%, $G$9) + CHOOSE(CONTROL!$C$38, 0.0355, 0)</f>
        <v>38.8476</v>
      </c>
      <c r="G508" s="17">
        <f>35.5639 * CHOOSE(CONTROL!$C$15, $E$9, 100%, $G$9) + CHOOSE(CONTROL!$C$38, 0.0356, 0)</f>
        <v>35.599499999999999</v>
      </c>
      <c r="H508" s="17">
        <f>35.5639 * CHOOSE(CONTROL!$C$15, $E$9, 100%, $G$9) + CHOOSE(CONTROL!$C$38, 0.0356, 0)</f>
        <v>35.599499999999999</v>
      </c>
      <c r="I508" s="17">
        <f>35.5654 * CHOOSE(CONTROL!$C$15, $E$9, 100%, $G$9) + CHOOSE(CONTROL!$C$38, 0.0356, 0)</f>
        <v>35.600999999999999</v>
      </c>
      <c r="J508" s="45">
        <f>308.116</f>
        <v>308.11599999999999</v>
      </c>
    </row>
    <row r="509" spans="1:10" ht="15.75" x14ac:dyDescent="0.25">
      <c r="A509" s="14">
        <v>56430</v>
      </c>
      <c r="B509" s="17">
        <f>38.2478 * CHOOSE(CONTROL!$C$15, $E$9, 100%, $G$9) + CHOOSE(CONTROL!$C$38, 0.0355, 0)</f>
        <v>38.283299999999997</v>
      </c>
      <c r="C509" s="17">
        <f>35.0011 * CHOOSE(CONTROL!$C$15, $E$9, 100%, $G$9) + CHOOSE(CONTROL!$C$38, 0.0356, 0)</f>
        <v>35.036700000000003</v>
      </c>
      <c r="D509" s="17">
        <f>34.9933 * CHOOSE(CONTROL!$C$15, $E$9, 100%, $G$9) + CHOOSE(CONTROL!$C$38, 0.0356, 0)</f>
        <v>35.0289</v>
      </c>
      <c r="E509" s="17">
        <f>34.9933 * CHOOSE(CONTROL!$C$15, $E$9, 100%, $G$9) + CHOOSE(CONTROL!$C$38, 0.0356, 0)</f>
        <v>35.0289</v>
      </c>
      <c r="F509" s="46">
        <f>38.2478 * CHOOSE(CONTROL!$C$15, $E$9, 100%, $G$9) + CHOOSE(CONTROL!$C$38, 0.0355, 0)</f>
        <v>38.283299999999997</v>
      </c>
      <c r="G509" s="17">
        <f>34.9995 * CHOOSE(CONTROL!$C$15, $E$9, 100%, $G$9) + CHOOSE(CONTROL!$C$38, 0.0356, 0)</f>
        <v>35.0351</v>
      </c>
      <c r="H509" s="17">
        <f>34.9995 * CHOOSE(CONTROL!$C$15, $E$9, 100%, $G$9) + CHOOSE(CONTROL!$C$38, 0.0356, 0)</f>
        <v>35.0351</v>
      </c>
      <c r="I509" s="17">
        <f>35.0011 * CHOOSE(CONTROL!$C$15, $E$9, 100%, $G$9) + CHOOSE(CONTROL!$C$38, 0.0356, 0)</f>
        <v>35.036700000000003</v>
      </c>
      <c r="J509" s="45">
        <f>312.5556</f>
        <v>312.55560000000003</v>
      </c>
    </row>
    <row r="510" spans="1:10" ht="15.75" x14ac:dyDescent="0.25">
      <c r="A510" s="14">
        <v>56461</v>
      </c>
      <c r="B510" s="17">
        <f>37.9257 * CHOOSE(CONTROL!$C$15, $E$9, 100%, $G$9) + CHOOSE(CONTROL!$C$38, 0.0355, 0)</f>
        <v>37.961199999999998</v>
      </c>
      <c r="C510" s="17">
        <f>34.679 * CHOOSE(CONTROL!$C$15, $E$9, 100%, $G$9) + CHOOSE(CONTROL!$C$38, 0.0356, 0)</f>
        <v>34.714600000000004</v>
      </c>
      <c r="D510" s="17">
        <f>34.6712 * CHOOSE(CONTROL!$C$15, $E$9, 100%, $G$9) + CHOOSE(CONTROL!$C$38, 0.0356, 0)</f>
        <v>34.706800000000001</v>
      </c>
      <c r="E510" s="17">
        <f>34.6712 * CHOOSE(CONTROL!$C$15, $E$9, 100%, $G$9) + CHOOSE(CONTROL!$C$38, 0.0356, 0)</f>
        <v>34.706800000000001</v>
      </c>
      <c r="F510" s="46">
        <f>37.9257 * CHOOSE(CONTROL!$C$15, $E$9, 100%, $G$9) + CHOOSE(CONTROL!$C$38, 0.0355, 0)</f>
        <v>37.961199999999998</v>
      </c>
      <c r="G510" s="17">
        <f>34.6775 * CHOOSE(CONTROL!$C$15, $E$9, 100%, $G$9) + CHOOSE(CONTROL!$C$38, 0.0356, 0)</f>
        <v>34.713100000000004</v>
      </c>
      <c r="H510" s="17">
        <f>34.6775 * CHOOSE(CONTROL!$C$15, $E$9, 100%, $G$9) + CHOOSE(CONTROL!$C$38, 0.0356, 0)</f>
        <v>34.713100000000004</v>
      </c>
      <c r="I510" s="17">
        <f>34.679 * CHOOSE(CONTROL!$C$15, $E$9, 100%, $G$9) + CHOOSE(CONTROL!$C$38, 0.0356, 0)</f>
        <v>34.714600000000004</v>
      </c>
      <c r="J510" s="45">
        <f>311.0939</f>
        <v>311.09390000000002</v>
      </c>
    </row>
    <row r="511" spans="1:10" ht="15.75" x14ac:dyDescent="0.25">
      <c r="A511" s="14">
        <v>56492</v>
      </c>
      <c r="B511" s="17">
        <f>38.0847 * CHOOSE(CONTROL!$C$15, $E$9, 100%, $G$9) + CHOOSE(CONTROL!$C$38, 0.0355, 0)</f>
        <v>38.120199999999997</v>
      </c>
      <c r="C511" s="17">
        <f>34.838 * CHOOSE(CONTROL!$C$15, $E$9, 100%, $G$9) + CHOOSE(CONTROL!$C$38, 0.0356, 0)</f>
        <v>34.873600000000003</v>
      </c>
      <c r="D511" s="17">
        <f>34.8302 * CHOOSE(CONTROL!$C$15, $E$9, 100%, $G$9) + CHOOSE(CONTROL!$C$38, 0.0356, 0)</f>
        <v>34.8658</v>
      </c>
      <c r="E511" s="17">
        <f>34.8302 * CHOOSE(CONTROL!$C$15, $E$9, 100%, $G$9) + CHOOSE(CONTROL!$C$38, 0.0356, 0)</f>
        <v>34.8658</v>
      </c>
      <c r="F511" s="46">
        <f>38.0847 * CHOOSE(CONTROL!$C$15, $E$9, 100%, $G$9) + CHOOSE(CONTROL!$C$38, 0.0355, 0)</f>
        <v>38.120199999999997</v>
      </c>
      <c r="G511" s="17">
        <f>34.8364 * CHOOSE(CONTROL!$C$15, $E$9, 100%, $G$9) + CHOOSE(CONTROL!$C$38, 0.0356, 0)</f>
        <v>34.872</v>
      </c>
      <c r="H511" s="17">
        <f>34.8364 * CHOOSE(CONTROL!$C$15, $E$9, 100%, $G$9) + CHOOSE(CONTROL!$C$38, 0.0356, 0)</f>
        <v>34.872</v>
      </c>
      <c r="I511" s="17">
        <f>34.838 * CHOOSE(CONTROL!$C$15, $E$9, 100%, $G$9) + CHOOSE(CONTROL!$C$38, 0.0356, 0)</f>
        <v>34.873600000000003</v>
      </c>
      <c r="J511" s="45">
        <f>303.8518</f>
        <v>303.85180000000003</v>
      </c>
    </row>
    <row r="512" spans="1:10" ht="15.75" x14ac:dyDescent="0.25">
      <c r="A512" s="14">
        <v>56522</v>
      </c>
      <c r="B512" s="17">
        <f>38.5164 * CHOOSE(CONTROL!$C$15, $E$9, 100%, $G$9) + CHOOSE(CONTROL!$C$38, 0.0355, 0)</f>
        <v>38.551899999999996</v>
      </c>
      <c r="C512" s="17">
        <f>35.2697 * CHOOSE(CONTROL!$C$15, $E$9, 100%, $G$9) + CHOOSE(CONTROL!$C$38, 0.0356, 0)</f>
        <v>35.305300000000003</v>
      </c>
      <c r="D512" s="17">
        <f>35.2619 * CHOOSE(CONTROL!$C$15, $E$9, 100%, $G$9) + CHOOSE(CONTROL!$C$38, 0.0356, 0)</f>
        <v>35.297499999999999</v>
      </c>
      <c r="E512" s="17">
        <f>35.2619 * CHOOSE(CONTROL!$C$15, $E$9, 100%, $G$9) + CHOOSE(CONTROL!$C$38, 0.0356, 0)</f>
        <v>35.297499999999999</v>
      </c>
      <c r="F512" s="46">
        <f>38.5164 * CHOOSE(CONTROL!$C$15, $E$9, 100%, $G$9) + CHOOSE(CONTROL!$C$38, 0.0355, 0)</f>
        <v>38.551899999999996</v>
      </c>
      <c r="G512" s="17">
        <f>35.2681 * CHOOSE(CONTROL!$C$15, $E$9, 100%, $G$9) + CHOOSE(CONTROL!$C$38, 0.0356, 0)</f>
        <v>35.303699999999999</v>
      </c>
      <c r="H512" s="17">
        <f>35.2681 * CHOOSE(CONTROL!$C$15, $E$9, 100%, $G$9) + CHOOSE(CONTROL!$C$38, 0.0356, 0)</f>
        <v>35.303699999999999</v>
      </c>
      <c r="I512" s="17">
        <f>35.2697 * CHOOSE(CONTROL!$C$15, $E$9, 100%, $G$9) + CHOOSE(CONTROL!$C$38, 0.0356, 0)</f>
        <v>35.305300000000003</v>
      </c>
      <c r="J512" s="45">
        <f>293.7522</f>
        <v>293.75220000000002</v>
      </c>
    </row>
    <row r="513" spans="1:10" ht="15.75" x14ac:dyDescent="0.25">
      <c r="A513" s="14">
        <v>56553</v>
      </c>
      <c r="B513" s="17">
        <f>38.878 * CHOOSE(CONTROL!$C$15, $E$9, 100%, $G$9) + CHOOSE(CONTROL!$C$38, 0.0342, 0)</f>
        <v>38.912199999999999</v>
      </c>
      <c r="C513" s="17">
        <f>35.6313 * CHOOSE(CONTROL!$C$15, $E$9, 100%, $G$9) + CHOOSE(CONTROL!$C$38, 0.0343, 0)</f>
        <v>35.665600000000005</v>
      </c>
      <c r="D513" s="17">
        <f>35.6234 * CHOOSE(CONTROL!$C$15, $E$9, 100%, $G$9) + CHOOSE(CONTROL!$C$38, 0.0343, 0)</f>
        <v>35.657699999999998</v>
      </c>
      <c r="E513" s="17">
        <f>35.6234 * CHOOSE(CONTROL!$C$15, $E$9, 100%, $G$9) + CHOOSE(CONTROL!$C$38, 0.0343, 0)</f>
        <v>35.657699999999998</v>
      </c>
      <c r="F513" s="46">
        <f>38.878 * CHOOSE(CONTROL!$C$15, $E$9, 100%, $G$9) + CHOOSE(CONTROL!$C$38, 0.0342, 0)</f>
        <v>38.912199999999999</v>
      </c>
      <c r="G513" s="17">
        <f>35.6297 * CHOOSE(CONTROL!$C$15, $E$9, 100%, $G$9) + CHOOSE(CONTROL!$C$38, 0.0343, 0)</f>
        <v>35.664000000000001</v>
      </c>
      <c r="H513" s="17">
        <f>35.6297 * CHOOSE(CONTROL!$C$15, $E$9, 100%, $G$9) + CHOOSE(CONTROL!$C$38, 0.0343, 0)</f>
        <v>35.664000000000001</v>
      </c>
      <c r="I513" s="17">
        <f>35.6313 * CHOOSE(CONTROL!$C$15, $E$9, 100%, $G$9) + CHOOSE(CONTROL!$C$38, 0.0343, 0)</f>
        <v>35.665600000000005</v>
      </c>
      <c r="J513" s="45">
        <f>283.594</f>
        <v>283.59399999999999</v>
      </c>
    </row>
    <row r="514" spans="1:10" ht="15.75" x14ac:dyDescent="0.25">
      <c r="A514" s="14">
        <v>56583</v>
      </c>
      <c r="B514" s="17">
        <f>39.1797 * CHOOSE(CONTROL!$C$15, $E$9, 100%, $G$9) + CHOOSE(CONTROL!$C$38, 0.0342, 0)</f>
        <v>39.213899999999995</v>
      </c>
      <c r="C514" s="17">
        <f>35.933 * CHOOSE(CONTROL!$C$15, $E$9, 100%, $G$9) + CHOOSE(CONTROL!$C$38, 0.0343, 0)</f>
        <v>35.967300000000002</v>
      </c>
      <c r="D514" s="17">
        <f>35.9251 * CHOOSE(CONTROL!$C$15, $E$9, 100%, $G$9) + CHOOSE(CONTROL!$C$38, 0.0343, 0)</f>
        <v>35.959400000000002</v>
      </c>
      <c r="E514" s="17">
        <f>35.9251 * CHOOSE(CONTROL!$C$15, $E$9, 100%, $G$9) + CHOOSE(CONTROL!$C$38, 0.0343, 0)</f>
        <v>35.959400000000002</v>
      </c>
      <c r="F514" s="46">
        <f>39.1797 * CHOOSE(CONTROL!$C$15, $E$9, 100%, $G$9) + CHOOSE(CONTROL!$C$38, 0.0342, 0)</f>
        <v>39.213899999999995</v>
      </c>
      <c r="G514" s="17">
        <f>35.9314 * CHOOSE(CONTROL!$C$15, $E$9, 100%, $G$9) + CHOOSE(CONTROL!$C$38, 0.0343, 0)</f>
        <v>35.965699999999998</v>
      </c>
      <c r="H514" s="17">
        <f>35.9314 * CHOOSE(CONTROL!$C$15, $E$9, 100%, $G$9) + CHOOSE(CONTROL!$C$38, 0.0343, 0)</f>
        <v>35.965699999999998</v>
      </c>
      <c r="I514" s="17">
        <f>35.933 * CHOOSE(CONTROL!$C$15, $E$9, 100%, $G$9) + CHOOSE(CONTROL!$C$38, 0.0343, 0)</f>
        <v>35.967300000000002</v>
      </c>
      <c r="J514" s="45">
        <f>281.5733</f>
        <v>281.57330000000002</v>
      </c>
    </row>
    <row r="515" spans="1:10" ht="15.75" x14ac:dyDescent="0.25">
      <c r="A515" s="14">
        <v>56614</v>
      </c>
      <c r="B515" s="17">
        <f>40.1093 * CHOOSE(CONTROL!$C$15, $E$9, 100%, $G$9) + CHOOSE(CONTROL!$C$38, 0.0342, 0)</f>
        <v>40.143499999999996</v>
      </c>
      <c r="C515" s="17">
        <f>36.8626 * CHOOSE(CONTROL!$C$15, $E$9, 100%, $G$9) + CHOOSE(CONTROL!$C$38, 0.0343, 0)</f>
        <v>36.896900000000002</v>
      </c>
      <c r="D515" s="17">
        <f>36.8548 * CHOOSE(CONTROL!$C$15, $E$9, 100%, $G$9) + CHOOSE(CONTROL!$C$38, 0.0343, 0)</f>
        <v>36.889099999999999</v>
      </c>
      <c r="E515" s="17">
        <f>36.8548 * CHOOSE(CONTROL!$C$15, $E$9, 100%, $G$9) + CHOOSE(CONTROL!$C$38, 0.0343, 0)</f>
        <v>36.889099999999999</v>
      </c>
      <c r="F515" s="46">
        <f>40.1093 * CHOOSE(CONTROL!$C$15, $E$9, 100%, $G$9) + CHOOSE(CONTROL!$C$38, 0.0342, 0)</f>
        <v>40.143499999999996</v>
      </c>
      <c r="G515" s="17">
        <f>36.8611 * CHOOSE(CONTROL!$C$15, $E$9, 100%, $G$9) + CHOOSE(CONTROL!$C$38, 0.0343, 0)</f>
        <v>36.895400000000002</v>
      </c>
      <c r="H515" s="17">
        <f>36.8611 * CHOOSE(CONTROL!$C$15, $E$9, 100%, $G$9) + CHOOSE(CONTROL!$C$38, 0.0343, 0)</f>
        <v>36.895400000000002</v>
      </c>
      <c r="I515" s="17">
        <f>36.8626 * CHOOSE(CONTROL!$C$15, $E$9, 100%, $G$9) + CHOOSE(CONTROL!$C$38, 0.0343, 0)</f>
        <v>36.896900000000002</v>
      </c>
      <c r="J515" s="45">
        <f>273.2176</f>
        <v>273.2176</v>
      </c>
    </row>
    <row r="516" spans="1:10" ht="15.75" x14ac:dyDescent="0.25">
      <c r="A516" s="13">
        <v>56645</v>
      </c>
      <c r="B516" s="17">
        <f>41.4922 * CHOOSE(CONTROL!$C$15, $E$9, 100%, $G$9) + CHOOSE(CONTROL!$C$38, 0.0342, 0)</f>
        <v>41.526399999999995</v>
      </c>
      <c r="C516" s="17">
        <f>38.3795 * CHOOSE(CONTROL!$C$15, $E$9, 100%, $G$9) + CHOOSE(CONTROL!$C$38, 0.0343, 0)</f>
        <v>38.413800000000002</v>
      </c>
      <c r="D516" s="17">
        <f>38.3717 * CHOOSE(CONTROL!$C$15, $E$9, 100%, $G$9) + CHOOSE(CONTROL!$C$38, 0.0343, 0)</f>
        <v>38.405999999999999</v>
      </c>
      <c r="E516" s="17">
        <f>38.3717 * CHOOSE(CONTROL!$C$15, $E$9, 100%, $G$9) + CHOOSE(CONTROL!$C$38, 0.0343, 0)</f>
        <v>38.405999999999999</v>
      </c>
      <c r="F516" s="46">
        <f>41.4922 * CHOOSE(CONTROL!$C$15, $E$9, 100%, $G$9) + CHOOSE(CONTROL!$C$38, 0.0342, 0)</f>
        <v>41.526399999999995</v>
      </c>
      <c r="G516" s="17">
        <f>38.378 * CHOOSE(CONTROL!$C$15, $E$9, 100%, $G$9) + CHOOSE(CONTROL!$C$38, 0.0343, 0)</f>
        <v>38.412300000000002</v>
      </c>
      <c r="H516" s="17">
        <f>38.378 * CHOOSE(CONTROL!$C$15, $E$9, 100%, $G$9) + CHOOSE(CONTROL!$C$38, 0.0343, 0)</f>
        <v>38.412300000000002</v>
      </c>
      <c r="I516" s="17">
        <f>38.3795 * CHOOSE(CONTROL!$C$15, $E$9, 100%, $G$9) + CHOOSE(CONTROL!$C$38, 0.0343, 0)</f>
        <v>38.413800000000002</v>
      </c>
      <c r="J516" s="45">
        <f>273.0203</f>
        <v>273.02030000000002</v>
      </c>
    </row>
    <row r="517" spans="1:10" ht="15.75" x14ac:dyDescent="0.25">
      <c r="A517" s="13">
        <v>56673</v>
      </c>
      <c r="B517" s="17">
        <f>41.8366 * CHOOSE(CONTROL!$C$15, $E$9, 100%, $G$9) + CHOOSE(CONTROL!$C$38, 0.0342, 0)</f>
        <v>41.870799999999996</v>
      </c>
      <c r="C517" s="17">
        <f>38.5379 * CHOOSE(CONTROL!$C$15, $E$9, 100%, $G$9) + CHOOSE(CONTROL!$C$38, 0.0343, 0)</f>
        <v>38.572200000000002</v>
      </c>
      <c r="D517" s="17">
        <f>38.5301 * CHOOSE(CONTROL!$C$15, $E$9, 100%, $G$9) + CHOOSE(CONTROL!$C$38, 0.0343, 0)</f>
        <v>38.564399999999999</v>
      </c>
      <c r="E517" s="17">
        <f>38.5301 * CHOOSE(CONTROL!$C$15, $E$9, 100%, $G$9) + CHOOSE(CONTROL!$C$38, 0.0343, 0)</f>
        <v>38.564399999999999</v>
      </c>
      <c r="F517" s="46">
        <f>41.8366 * CHOOSE(CONTROL!$C$15, $E$9, 100%, $G$9) + CHOOSE(CONTROL!$C$38, 0.0342, 0)</f>
        <v>41.870799999999996</v>
      </c>
      <c r="G517" s="17">
        <f>38.5364 * CHOOSE(CONTROL!$C$15, $E$9, 100%, $G$9) + CHOOSE(CONTROL!$C$38, 0.0343, 0)</f>
        <v>38.570700000000002</v>
      </c>
      <c r="H517" s="17">
        <f>38.5364 * CHOOSE(CONTROL!$C$15, $E$9, 100%, $G$9) + CHOOSE(CONTROL!$C$38, 0.0343, 0)</f>
        <v>38.570700000000002</v>
      </c>
      <c r="I517" s="17">
        <f>38.5379 * CHOOSE(CONTROL!$C$15, $E$9, 100%, $G$9) + CHOOSE(CONTROL!$C$38, 0.0343, 0)</f>
        <v>38.572200000000002</v>
      </c>
      <c r="J517" s="45">
        <f>272.2614</f>
        <v>272.26139999999998</v>
      </c>
    </row>
    <row r="518" spans="1:10" ht="15.75" x14ac:dyDescent="0.25">
      <c r="A518" s="13">
        <v>56704</v>
      </c>
      <c r="B518" s="17">
        <f>41.0395 * CHOOSE(CONTROL!$C$15, $E$9, 100%, $G$9) + CHOOSE(CONTROL!$C$38, 0.0342, 0)</f>
        <v>41.073699999999995</v>
      </c>
      <c r="C518" s="17">
        <f>37.7409 * CHOOSE(CONTROL!$C$15, $E$9, 100%, $G$9) + CHOOSE(CONTROL!$C$38, 0.0343, 0)</f>
        <v>37.775200000000005</v>
      </c>
      <c r="D518" s="17">
        <f>37.7331 * CHOOSE(CONTROL!$C$15, $E$9, 100%, $G$9) + CHOOSE(CONTROL!$C$38, 0.0343, 0)</f>
        <v>37.767400000000002</v>
      </c>
      <c r="E518" s="17">
        <f>37.7331 * CHOOSE(CONTROL!$C$15, $E$9, 100%, $G$9) + CHOOSE(CONTROL!$C$38, 0.0343, 0)</f>
        <v>37.767400000000002</v>
      </c>
      <c r="F518" s="46">
        <f>41.0395 * CHOOSE(CONTROL!$C$15, $E$9, 100%, $G$9) + CHOOSE(CONTROL!$C$38, 0.0342, 0)</f>
        <v>41.073699999999995</v>
      </c>
      <c r="G518" s="17">
        <f>37.7394 * CHOOSE(CONTROL!$C$15, $E$9, 100%, $G$9) + CHOOSE(CONTROL!$C$38, 0.0343, 0)</f>
        <v>37.773700000000005</v>
      </c>
      <c r="H518" s="17">
        <f>37.7394 * CHOOSE(CONTROL!$C$15, $E$9, 100%, $G$9) + CHOOSE(CONTROL!$C$38, 0.0343, 0)</f>
        <v>37.773700000000005</v>
      </c>
      <c r="I518" s="17">
        <f>37.7409 * CHOOSE(CONTROL!$C$15, $E$9, 100%, $G$9) + CHOOSE(CONTROL!$C$38, 0.0343, 0)</f>
        <v>37.775200000000005</v>
      </c>
      <c r="J518" s="45">
        <f>286.6112</f>
        <v>286.6112</v>
      </c>
    </row>
    <row r="519" spans="1:10" ht="15.75" x14ac:dyDescent="0.25">
      <c r="A519" s="13">
        <v>56734</v>
      </c>
      <c r="B519" s="17">
        <f>40.2672 * CHOOSE(CONTROL!$C$15, $E$9, 100%, $G$9) + CHOOSE(CONTROL!$C$38, 0.0342, 0)</f>
        <v>40.301400000000001</v>
      </c>
      <c r="C519" s="17">
        <f>36.9686 * CHOOSE(CONTROL!$C$15, $E$9, 100%, $G$9) + CHOOSE(CONTROL!$C$38, 0.0343, 0)</f>
        <v>37.002900000000004</v>
      </c>
      <c r="D519" s="17">
        <f>36.9608 * CHOOSE(CONTROL!$C$15, $E$9, 100%, $G$9) + CHOOSE(CONTROL!$C$38, 0.0343, 0)</f>
        <v>36.995100000000001</v>
      </c>
      <c r="E519" s="17">
        <f>36.9608 * CHOOSE(CONTROL!$C$15, $E$9, 100%, $G$9) + CHOOSE(CONTROL!$C$38, 0.0343, 0)</f>
        <v>36.995100000000001</v>
      </c>
      <c r="F519" s="46">
        <f>40.2672 * CHOOSE(CONTROL!$C$15, $E$9, 100%, $G$9) + CHOOSE(CONTROL!$C$38, 0.0342, 0)</f>
        <v>40.301400000000001</v>
      </c>
      <c r="G519" s="17">
        <f>36.967 * CHOOSE(CONTROL!$C$15, $E$9, 100%, $G$9) + CHOOSE(CONTROL!$C$38, 0.0343, 0)</f>
        <v>37.001300000000001</v>
      </c>
      <c r="H519" s="17">
        <f>36.967 * CHOOSE(CONTROL!$C$15, $E$9, 100%, $G$9) + CHOOSE(CONTROL!$C$38, 0.0343, 0)</f>
        <v>37.001300000000001</v>
      </c>
      <c r="I519" s="17">
        <f>36.9686 * CHOOSE(CONTROL!$C$15, $E$9, 100%, $G$9) + CHOOSE(CONTROL!$C$38, 0.0343, 0)</f>
        <v>37.002900000000004</v>
      </c>
      <c r="J519" s="45">
        <f>305.2194</f>
        <v>305.21940000000001</v>
      </c>
    </row>
    <row r="520" spans="1:10" ht="15.75" x14ac:dyDescent="0.25">
      <c r="A520" s="13">
        <v>56765</v>
      </c>
      <c r="B520" s="17">
        <f>39.4623 * CHOOSE(CONTROL!$C$15, $E$9, 100%, $G$9) + CHOOSE(CONTROL!$C$38, 0.0355, 0)</f>
        <v>39.497799999999998</v>
      </c>
      <c r="C520" s="17">
        <f>36.1636 * CHOOSE(CONTROL!$C$15, $E$9, 100%, $G$9) + CHOOSE(CONTROL!$C$38, 0.0356, 0)</f>
        <v>36.199200000000005</v>
      </c>
      <c r="D520" s="17">
        <f>36.1558 * CHOOSE(CONTROL!$C$15, $E$9, 100%, $G$9) + CHOOSE(CONTROL!$C$38, 0.0356, 0)</f>
        <v>36.191400000000002</v>
      </c>
      <c r="E520" s="17">
        <f>36.1558 * CHOOSE(CONTROL!$C$15, $E$9, 100%, $G$9) + CHOOSE(CONTROL!$C$38, 0.0356, 0)</f>
        <v>36.191400000000002</v>
      </c>
      <c r="F520" s="46">
        <f>39.4623 * CHOOSE(CONTROL!$C$15, $E$9, 100%, $G$9) + CHOOSE(CONTROL!$C$38, 0.0355, 0)</f>
        <v>39.497799999999998</v>
      </c>
      <c r="G520" s="17">
        <f>36.1621 * CHOOSE(CONTROL!$C$15, $E$9, 100%, $G$9) + CHOOSE(CONTROL!$C$38, 0.0356, 0)</f>
        <v>36.197700000000005</v>
      </c>
      <c r="H520" s="17">
        <f>36.1621 * CHOOSE(CONTROL!$C$15, $E$9, 100%, $G$9) + CHOOSE(CONTROL!$C$38, 0.0356, 0)</f>
        <v>36.197700000000005</v>
      </c>
      <c r="I520" s="17">
        <f>36.1636 * CHOOSE(CONTROL!$C$15, $E$9, 100%, $G$9) + CHOOSE(CONTROL!$C$38, 0.0356, 0)</f>
        <v>36.199200000000005</v>
      </c>
      <c r="J520" s="45">
        <f>315.462</f>
        <v>315.46199999999999</v>
      </c>
    </row>
    <row r="521" spans="1:10" ht="15.75" x14ac:dyDescent="0.25">
      <c r="A521" s="13">
        <v>56795</v>
      </c>
      <c r="B521" s="17">
        <f>38.8979 * CHOOSE(CONTROL!$C$15, $E$9, 100%, $G$9) + CHOOSE(CONTROL!$C$38, 0.0355, 0)</f>
        <v>38.933399999999999</v>
      </c>
      <c r="C521" s="17">
        <f>35.5993 * CHOOSE(CONTROL!$C$15, $E$9, 100%, $G$9) + CHOOSE(CONTROL!$C$38, 0.0356, 0)</f>
        <v>35.634900000000002</v>
      </c>
      <c r="D521" s="17">
        <f>35.5915 * CHOOSE(CONTROL!$C$15, $E$9, 100%, $G$9) + CHOOSE(CONTROL!$C$38, 0.0356, 0)</f>
        <v>35.627100000000006</v>
      </c>
      <c r="E521" s="17">
        <f>35.5915 * CHOOSE(CONTROL!$C$15, $E$9, 100%, $G$9) + CHOOSE(CONTROL!$C$38, 0.0356, 0)</f>
        <v>35.627100000000006</v>
      </c>
      <c r="F521" s="46">
        <f>38.8979 * CHOOSE(CONTROL!$C$15, $E$9, 100%, $G$9) + CHOOSE(CONTROL!$C$38, 0.0355, 0)</f>
        <v>38.933399999999999</v>
      </c>
      <c r="G521" s="17">
        <f>35.5977 * CHOOSE(CONTROL!$C$15, $E$9, 100%, $G$9) + CHOOSE(CONTROL!$C$38, 0.0356, 0)</f>
        <v>35.633300000000006</v>
      </c>
      <c r="H521" s="17">
        <f>35.5977 * CHOOSE(CONTROL!$C$15, $E$9, 100%, $G$9) + CHOOSE(CONTROL!$C$38, 0.0356, 0)</f>
        <v>35.633300000000006</v>
      </c>
      <c r="I521" s="17">
        <f>35.5993 * CHOOSE(CONTROL!$C$15, $E$9, 100%, $G$9) + CHOOSE(CONTROL!$C$38, 0.0356, 0)</f>
        <v>35.634900000000002</v>
      </c>
      <c r="J521" s="45">
        <f>320.0074</f>
        <v>320.00740000000002</v>
      </c>
    </row>
    <row r="522" spans="1:10" ht="15.75" x14ac:dyDescent="0.25">
      <c r="A522" s="13">
        <v>56826</v>
      </c>
      <c r="B522" s="17">
        <f>38.5759 * CHOOSE(CONTROL!$C$15, $E$9, 100%, $G$9) + CHOOSE(CONTROL!$C$38, 0.0355, 0)</f>
        <v>38.611399999999996</v>
      </c>
      <c r="C522" s="17">
        <f>35.2772 * CHOOSE(CONTROL!$C$15, $E$9, 100%, $G$9) + CHOOSE(CONTROL!$C$38, 0.0356, 0)</f>
        <v>35.312800000000003</v>
      </c>
      <c r="D522" s="17">
        <f>35.2694 * CHOOSE(CONTROL!$C$15, $E$9, 100%, $G$9) + CHOOSE(CONTROL!$C$38, 0.0356, 0)</f>
        <v>35.305</v>
      </c>
      <c r="E522" s="17">
        <f>35.2694 * CHOOSE(CONTROL!$C$15, $E$9, 100%, $G$9) + CHOOSE(CONTROL!$C$38, 0.0356, 0)</f>
        <v>35.305</v>
      </c>
      <c r="F522" s="46">
        <f>38.5759 * CHOOSE(CONTROL!$C$15, $E$9, 100%, $G$9) + CHOOSE(CONTROL!$C$38, 0.0355, 0)</f>
        <v>38.611399999999996</v>
      </c>
      <c r="G522" s="17">
        <f>35.2757 * CHOOSE(CONTROL!$C$15, $E$9, 100%, $G$9) + CHOOSE(CONTROL!$C$38, 0.0356, 0)</f>
        <v>35.311300000000003</v>
      </c>
      <c r="H522" s="17">
        <f>35.2757 * CHOOSE(CONTROL!$C$15, $E$9, 100%, $G$9) + CHOOSE(CONTROL!$C$38, 0.0356, 0)</f>
        <v>35.311300000000003</v>
      </c>
      <c r="I522" s="17">
        <f>35.2772 * CHOOSE(CONTROL!$C$15, $E$9, 100%, $G$9) + CHOOSE(CONTROL!$C$38, 0.0356, 0)</f>
        <v>35.312800000000003</v>
      </c>
      <c r="J522" s="45">
        <f>318.5108</f>
        <v>318.51080000000002</v>
      </c>
    </row>
    <row r="523" spans="1:10" ht="15.75" x14ac:dyDescent="0.25">
      <c r="A523" s="13">
        <v>56857</v>
      </c>
      <c r="B523" s="17">
        <f>38.7348 * CHOOSE(CONTROL!$C$15, $E$9, 100%, $G$9) + CHOOSE(CONTROL!$C$38, 0.0355, 0)</f>
        <v>38.770299999999999</v>
      </c>
      <c r="C523" s="17">
        <f>35.4362 * CHOOSE(CONTROL!$C$15, $E$9, 100%, $G$9) + CHOOSE(CONTROL!$C$38, 0.0356, 0)</f>
        <v>35.471800000000002</v>
      </c>
      <c r="D523" s="17">
        <f>35.4284 * CHOOSE(CONTROL!$C$15, $E$9, 100%, $G$9) + CHOOSE(CONTROL!$C$38, 0.0356, 0)</f>
        <v>35.464000000000006</v>
      </c>
      <c r="E523" s="17">
        <f>35.4284 * CHOOSE(CONTROL!$C$15, $E$9, 100%, $G$9) + CHOOSE(CONTROL!$C$38, 0.0356, 0)</f>
        <v>35.464000000000006</v>
      </c>
      <c r="F523" s="46">
        <f>38.7348 * CHOOSE(CONTROL!$C$15, $E$9, 100%, $G$9) + CHOOSE(CONTROL!$C$38, 0.0355, 0)</f>
        <v>38.770299999999999</v>
      </c>
      <c r="G523" s="17">
        <f>35.4346 * CHOOSE(CONTROL!$C$15, $E$9, 100%, $G$9) + CHOOSE(CONTROL!$C$38, 0.0356, 0)</f>
        <v>35.470200000000006</v>
      </c>
      <c r="H523" s="17">
        <f>35.4346 * CHOOSE(CONTROL!$C$15, $E$9, 100%, $G$9) + CHOOSE(CONTROL!$C$38, 0.0356, 0)</f>
        <v>35.470200000000006</v>
      </c>
      <c r="I523" s="17">
        <f>35.4362 * CHOOSE(CONTROL!$C$15, $E$9, 100%, $G$9) + CHOOSE(CONTROL!$C$38, 0.0356, 0)</f>
        <v>35.471800000000002</v>
      </c>
      <c r="J523" s="45">
        <f>311.096</f>
        <v>311.096</v>
      </c>
    </row>
    <row r="524" spans="1:10" ht="15.75" x14ac:dyDescent="0.25">
      <c r="A524" s="13">
        <v>56887</v>
      </c>
      <c r="B524" s="17">
        <f>39.1665 * CHOOSE(CONTROL!$C$15, $E$9, 100%, $G$9) + CHOOSE(CONTROL!$C$38, 0.0355, 0)</f>
        <v>39.201999999999998</v>
      </c>
      <c r="C524" s="17">
        <f>35.8679 * CHOOSE(CONTROL!$C$15, $E$9, 100%, $G$9) + CHOOSE(CONTROL!$C$38, 0.0356, 0)</f>
        <v>35.903500000000001</v>
      </c>
      <c r="D524" s="17">
        <f>35.8601 * CHOOSE(CONTROL!$C$15, $E$9, 100%, $G$9) + CHOOSE(CONTROL!$C$38, 0.0356, 0)</f>
        <v>35.895700000000005</v>
      </c>
      <c r="E524" s="17">
        <f>35.8601 * CHOOSE(CONTROL!$C$15, $E$9, 100%, $G$9) + CHOOSE(CONTROL!$C$38, 0.0356, 0)</f>
        <v>35.895700000000005</v>
      </c>
      <c r="F524" s="46">
        <f>39.1665 * CHOOSE(CONTROL!$C$15, $E$9, 100%, $G$9) + CHOOSE(CONTROL!$C$38, 0.0355, 0)</f>
        <v>39.201999999999998</v>
      </c>
      <c r="G524" s="17">
        <f>35.8663 * CHOOSE(CONTROL!$C$15, $E$9, 100%, $G$9) + CHOOSE(CONTROL!$C$38, 0.0356, 0)</f>
        <v>35.901900000000005</v>
      </c>
      <c r="H524" s="17">
        <f>35.8663 * CHOOSE(CONTROL!$C$15, $E$9, 100%, $G$9) + CHOOSE(CONTROL!$C$38, 0.0356, 0)</f>
        <v>35.901900000000005</v>
      </c>
      <c r="I524" s="17">
        <f>35.8679 * CHOOSE(CONTROL!$C$15, $E$9, 100%, $G$9) + CHOOSE(CONTROL!$C$38, 0.0356, 0)</f>
        <v>35.903500000000001</v>
      </c>
      <c r="J524" s="45">
        <f>300.7557</f>
        <v>300.75569999999999</v>
      </c>
    </row>
    <row r="525" spans="1:10" ht="15.75" x14ac:dyDescent="0.25">
      <c r="A525" s="13">
        <v>56918</v>
      </c>
      <c r="B525" s="17">
        <f>39.5281 * CHOOSE(CONTROL!$C$15, $E$9, 100%, $G$9) + CHOOSE(CONTROL!$C$38, 0.0342, 0)</f>
        <v>39.5623</v>
      </c>
      <c r="C525" s="17">
        <f>36.2295 * CHOOSE(CONTROL!$C$15, $E$9, 100%, $G$9) + CHOOSE(CONTROL!$C$38, 0.0343, 0)</f>
        <v>36.263800000000003</v>
      </c>
      <c r="D525" s="17">
        <f>36.2217 * CHOOSE(CONTROL!$C$15, $E$9, 100%, $G$9) + CHOOSE(CONTROL!$C$38, 0.0343, 0)</f>
        <v>36.256</v>
      </c>
      <c r="E525" s="17">
        <f>36.2217 * CHOOSE(CONTROL!$C$15, $E$9, 100%, $G$9) + CHOOSE(CONTROL!$C$38, 0.0343, 0)</f>
        <v>36.256</v>
      </c>
      <c r="F525" s="46">
        <f>39.5281 * CHOOSE(CONTROL!$C$15, $E$9, 100%, $G$9) + CHOOSE(CONTROL!$C$38, 0.0342, 0)</f>
        <v>39.5623</v>
      </c>
      <c r="G525" s="17">
        <f>36.2279 * CHOOSE(CONTROL!$C$15, $E$9, 100%, $G$9) + CHOOSE(CONTROL!$C$38, 0.0343, 0)</f>
        <v>36.2622</v>
      </c>
      <c r="H525" s="17">
        <f>36.2279 * CHOOSE(CONTROL!$C$15, $E$9, 100%, $G$9) + CHOOSE(CONTROL!$C$38, 0.0343, 0)</f>
        <v>36.2622</v>
      </c>
      <c r="I525" s="17">
        <f>36.2295 * CHOOSE(CONTROL!$C$15, $E$9, 100%, $G$9) + CHOOSE(CONTROL!$C$38, 0.0343, 0)</f>
        <v>36.263800000000003</v>
      </c>
      <c r="J525" s="45">
        <f>290.3553</f>
        <v>290.3553</v>
      </c>
    </row>
    <row r="526" spans="1:10" ht="15.75" x14ac:dyDescent="0.25">
      <c r="A526" s="13">
        <v>56948</v>
      </c>
      <c r="B526" s="17">
        <f>39.8298 * CHOOSE(CONTROL!$C$15, $E$9, 100%, $G$9) + CHOOSE(CONTROL!$C$38, 0.0342, 0)</f>
        <v>39.863999999999997</v>
      </c>
      <c r="C526" s="17">
        <f>36.5312 * CHOOSE(CONTROL!$C$15, $E$9, 100%, $G$9) + CHOOSE(CONTROL!$C$38, 0.0343, 0)</f>
        <v>36.5655</v>
      </c>
      <c r="D526" s="17">
        <f>36.5234 * CHOOSE(CONTROL!$C$15, $E$9, 100%, $G$9) + CHOOSE(CONTROL!$C$38, 0.0343, 0)</f>
        <v>36.557700000000004</v>
      </c>
      <c r="E526" s="17">
        <f>36.5234 * CHOOSE(CONTROL!$C$15, $E$9, 100%, $G$9) + CHOOSE(CONTROL!$C$38, 0.0343, 0)</f>
        <v>36.557700000000004</v>
      </c>
      <c r="F526" s="46">
        <f>39.8298 * CHOOSE(CONTROL!$C$15, $E$9, 100%, $G$9) + CHOOSE(CONTROL!$C$38, 0.0342, 0)</f>
        <v>39.863999999999997</v>
      </c>
      <c r="G526" s="17">
        <f>36.5296 * CHOOSE(CONTROL!$C$15, $E$9, 100%, $G$9) + CHOOSE(CONTROL!$C$38, 0.0343, 0)</f>
        <v>36.563900000000004</v>
      </c>
      <c r="H526" s="17">
        <f>36.5296 * CHOOSE(CONTROL!$C$15, $E$9, 100%, $G$9) + CHOOSE(CONTROL!$C$38, 0.0343, 0)</f>
        <v>36.563900000000004</v>
      </c>
      <c r="I526" s="17">
        <f>36.5312 * CHOOSE(CONTROL!$C$15, $E$9, 100%, $G$9) + CHOOSE(CONTROL!$C$38, 0.0343, 0)</f>
        <v>36.5655</v>
      </c>
      <c r="J526" s="45">
        <f>288.2864</f>
        <v>288.28640000000001</v>
      </c>
    </row>
    <row r="527" spans="1:10" ht="15.75" x14ac:dyDescent="0.25">
      <c r="A527" s="13">
        <v>56979</v>
      </c>
      <c r="B527" s="17">
        <f>40.7594 * CHOOSE(CONTROL!$C$15, $E$9, 100%, $G$9) + CHOOSE(CONTROL!$C$38, 0.0342, 0)</f>
        <v>40.793599999999998</v>
      </c>
      <c r="C527" s="17">
        <f>37.4608 * CHOOSE(CONTROL!$C$15, $E$9, 100%, $G$9) + CHOOSE(CONTROL!$C$38, 0.0343, 0)</f>
        <v>37.495100000000001</v>
      </c>
      <c r="D527" s="17">
        <f>37.453 * CHOOSE(CONTROL!$C$15, $E$9, 100%, $G$9) + CHOOSE(CONTROL!$C$38, 0.0343, 0)</f>
        <v>37.487300000000005</v>
      </c>
      <c r="E527" s="17">
        <f>37.453 * CHOOSE(CONTROL!$C$15, $E$9, 100%, $G$9) + CHOOSE(CONTROL!$C$38, 0.0343, 0)</f>
        <v>37.487300000000005</v>
      </c>
      <c r="F527" s="46">
        <f>40.7594 * CHOOSE(CONTROL!$C$15, $E$9, 100%, $G$9) + CHOOSE(CONTROL!$C$38, 0.0342, 0)</f>
        <v>40.793599999999998</v>
      </c>
      <c r="G527" s="17">
        <f>37.4593 * CHOOSE(CONTROL!$C$15, $E$9, 100%, $G$9) + CHOOSE(CONTROL!$C$38, 0.0343, 0)</f>
        <v>37.493600000000001</v>
      </c>
      <c r="H527" s="17">
        <f>37.4593 * CHOOSE(CONTROL!$C$15, $E$9, 100%, $G$9) + CHOOSE(CONTROL!$C$38, 0.0343, 0)</f>
        <v>37.493600000000001</v>
      </c>
      <c r="I527" s="17">
        <f>37.4608 * CHOOSE(CONTROL!$C$15, $E$9, 100%, $G$9) + CHOOSE(CONTROL!$C$38, 0.0343, 0)</f>
        <v>37.495100000000001</v>
      </c>
      <c r="J527" s="45">
        <f>279.7315</f>
        <v>279.73149999999998</v>
      </c>
    </row>
    <row r="528" spans="1:10" ht="15.75" x14ac:dyDescent="0.25">
      <c r="A528" s="13">
        <v>57010</v>
      </c>
      <c r="B528" s="17">
        <f>42.1533 * CHOOSE(CONTROL!$C$15, $E$9, 100%, $G$9) + CHOOSE(CONTROL!$C$38, 0.0342, 0)</f>
        <v>42.1875</v>
      </c>
      <c r="C528" s="17">
        <f>38.8019 * CHOOSE(CONTROL!$C$15, $E$9, 100%, $G$9) + CHOOSE(CONTROL!$C$38, 0.0343, 0)</f>
        <v>38.836200000000005</v>
      </c>
      <c r="D528" s="17">
        <f>38.7941 * CHOOSE(CONTROL!$C$15, $E$9, 100%, $G$9) + CHOOSE(CONTROL!$C$38, 0.0343, 0)</f>
        <v>38.828400000000002</v>
      </c>
      <c r="E528" s="17">
        <f>38.7941 * CHOOSE(CONTROL!$C$15, $E$9, 100%, $G$9) + CHOOSE(CONTROL!$C$38, 0.0343, 0)</f>
        <v>38.828400000000002</v>
      </c>
      <c r="F528" s="46">
        <f>42.1533 * CHOOSE(CONTROL!$C$15, $E$9, 100%, $G$9) + CHOOSE(CONTROL!$C$38, 0.0342, 0)</f>
        <v>42.1875</v>
      </c>
      <c r="G528" s="17">
        <f>38.8003 * CHOOSE(CONTROL!$C$15, $E$9, 100%, $G$9) + CHOOSE(CONTROL!$C$38, 0.0343, 0)</f>
        <v>38.834600000000002</v>
      </c>
      <c r="H528" s="17">
        <f>38.8003 * CHOOSE(CONTROL!$C$15, $E$9, 100%, $G$9) + CHOOSE(CONTROL!$C$38, 0.0343, 0)</f>
        <v>38.834600000000002</v>
      </c>
      <c r="I528" s="17">
        <f>38.8019 * CHOOSE(CONTROL!$C$15, $E$9, 100%, $G$9) + CHOOSE(CONTROL!$C$38, 0.0343, 0)</f>
        <v>38.836200000000005</v>
      </c>
      <c r="J528" s="45">
        <f>279.5296</f>
        <v>279.52960000000002</v>
      </c>
    </row>
    <row r="529" spans="1:10" ht="15.75" x14ac:dyDescent="0.25">
      <c r="A529" s="13">
        <v>57038</v>
      </c>
      <c r="B529" s="17">
        <f>42.4976 * CHOOSE(CONTROL!$C$15, $E$9, 100%, $G$9) + CHOOSE(CONTROL!$C$38, 0.0342, 0)</f>
        <v>42.531799999999997</v>
      </c>
      <c r="C529" s="17">
        <f>39.3352 * CHOOSE(CONTROL!$C$15, $E$9, 100%, $G$9) + CHOOSE(CONTROL!$C$38, 0.0343, 0)</f>
        <v>39.369500000000002</v>
      </c>
      <c r="D529" s="17">
        <f>39.3274 * CHOOSE(CONTROL!$C$15, $E$9, 100%, $G$9) + CHOOSE(CONTROL!$C$38, 0.0343, 0)</f>
        <v>39.361699999999999</v>
      </c>
      <c r="E529" s="17">
        <f>39.3274 * CHOOSE(CONTROL!$C$15, $E$9, 100%, $G$9) + CHOOSE(CONTROL!$C$38, 0.0343, 0)</f>
        <v>39.361699999999999</v>
      </c>
      <c r="F529" s="46">
        <f>42.4976 * CHOOSE(CONTROL!$C$15, $E$9, 100%, $G$9) + CHOOSE(CONTROL!$C$38, 0.0342, 0)</f>
        <v>42.531799999999997</v>
      </c>
      <c r="G529" s="17">
        <f>39.3337 * CHOOSE(CONTROL!$C$15, $E$9, 100%, $G$9) + CHOOSE(CONTROL!$C$38, 0.0343, 0)</f>
        <v>39.368000000000002</v>
      </c>
      <c r="H529" s="17">
        <f>39.3337 * CHOOSE(CONTROL!$C$15, $E$9, 100%, $G$9) + CHOOSE(CONTROL!$C$38, 0.0343, 0)</f>
        <v>39.368000000000002</v>
      </c>
      <c r="I529" s="17">
        <f>39.3352 * CHOOSE(CONTROL!$C$15, $E$9, 100%, $G$9) + CHOOSE(CONTROL!$C$38, 0.0343, 0)</f>
        <v>39.369500000000002</v>
      </c>
      <c r="J529" s="45">
        <f>278.7526</f>
        <v>278.75259999999997</v>
      </c>
    </row>
    <row r="530" spans="1:10" ht="15.75" x14ac:dyDescent="0.25">
      <c r="A530" s="13">
        <v>57070</v>
      </c>
      <c r="B530" s="17">
        <f>41.7006 * CHOOSE(CONTROL!$C$15, $E$9, 100%, $G$9) + CHOOSE(CONTROL!$C$38, 0.0342, 0)</f>
        <v>41.7348</v>
      </c>
      <c r="C530" s="17">
        <f>38.3492 * CHOOSE(CONTROL!$C$15, $E$9, 100%, $G$9) + CHOOSE(CONTROL!$C$38, 0.0343, 0)</f>
        <v>38.383500000000005</v>
      </c>
      <c r="D530" s="17">
        <f>38.3414 * CHOOSE(CONTROL!$C$15, $E$9, 100%, $G$9) + CHOOSE(CONTROL!$C$38, 0.0343, 0)</f>
        <v>38.375700000000002</v>
      </c>
      <c r="E530" s="17">
        <f>38.3414 * CHOOSE(CONTROL!$C$15, $E$9, 100%, $G$9) + CHOOSE(CONTROL!$C$38, 0.0343, 0)</f>
        <v>38.375700000000002</v>
      </c>
      <c r="F530" s="46">
        <f>41.7006 * CHOOSE(CONTROL!$C$15, $E$9, 100%, $G$9) + CHOOSE(CONTROL!$C$38, 0.0342, 0)</f>
        <v>41.7348</v>
      </c>
      <c r="G530" s="17">
        <f>38.3476 * CHOOSE(CONTROL!$C$15, $E$9, 100%, $G$9) + CHOOSE(CONTROL!$C$38, 0.0343, 0)</f>
        <v>38.381900000000002</v>
      </c>
      <c r="H530" s="17">
        <f>38.3476 * CHOOSE(CONTROL!$C$15, $E$9, 100%, $G$9) + CHOOSE(CONTROL!$C$38, 0.0343, 0)</f>
        <v>38.381900000000002</v>
      </c>
      <c r="I530" s="17">
        <f>38.3492 * CHOOSE(CONTROL!$C$15, $E$9, 100%, $G$9) + CHOOSE(CONTROL!$C$38, 0.0343, 0)</f>
        <v>38.383500000000005</v>
      </c>
      <c r="J530" s="45">
        <f>293.4444</f>
        <v>293.44439999999997</v>
      </c>
    </row>
    <row r="531" spans="1:10" ht="15.75" x14ac:dyDescent="0.25">
      <c r="A531" s="13">
        <v>57100</v>
      </c>
      <c r="B531" s="17">
        <f>40.9283 * CHOOSE(CONTROL!$C$15, $E$9, 100%, $G$9) + CHOOSE(CONTROL!$C$38, 0.0342, 0)</f>
        <v>40.962499999999999</v>
      </c>
      <c r="C531" s="17">
        <f>37.5769 * CHOOSE(CONTROL!$C$15, $E$9, 100%, $G$9) + CHOOSE(CONTROL!$C$38, 0.0343, 0)</f>
        <v>37.611200000000004</v>
      </c>
      <c r="D531" s="17">
        <f>37.569 * CHOOSE(CONTROL!$C$15, $E$9, 100%, $G$9) + CHOOSE(CONTROL!$C$38, 0.0343, 0)</f>
        <v>37.603300000000004</v>
      </c>
      <c r="E531" s="17">
        <f>37.569 * CHOOSE(CONTROL!$C$15, $E$9, 100%, $G$9) + CHOOSE(CONTROL!$C$38, 0.0343, 0)</f>
        <v>37.603300000000004</v>
      </c>
      <c r="F531" s="46">
        <f>40.9283 * CHOOSE(CONTROL!$C$15, $E$9, 100%, $G$9) + CHOOSE(CONTROL!$C$38, 0.0342, 0)</f>
        <v>40.962499999999999</v>
      </c>
      <c r="G531" s="17">
        <f>37.5753 * CHOOSE(CONTROL!$C$15, $E$9, 100%, $G$9) + CHOOSE(CONTROL!$C$38, 0.0343, 0)</f>
        <v>37.6096</v>
      </c>
      <c r="H531" s="17">
        <f>37.5753 * CHOOSE(CONTROL!$C$15, $E$9, 100%, $G$9) + CHOOSE(CONTROL!$C$38, 0.0343, 0)</f>
        <v>37.6096</v>
      </c>
      <c r="I531" s="17">
        <f>37.5769 * CHOOSE(CONTROL!$C$15, $E$9, 100%, $G$9) + CHOOSE(CONTROL!$C$38, 0.0343, 0)</f>
        <v>37.611200000000004</v>
      </c>
      <c r="J531" s="45">
        <f>312.4963</f>
        <v>312.49630000000002</v>
      </c>
    </row>
    <row r="532" spans="1:10" ht="15.75" x14ac:dyDescent="0.25">
      <c r="A532" s="13">
        <v>57131</v>
      </c>
      <c r="B532" s="17">
        <f>40.1233 * CHOOSE(CONTROL!$C$15, $E$9, 100%, $G$9) + CHOOSE(CONTROL!$C$38, 0.0355, 0)</f>
        <v>40.158799999999999</v>
      </c>
      <c r="C532" s="17">
        <f>36.7719 * CHOOSE(CONTROL!$C$15, $E$9, 100%, $G$9) + CHOOSE(CONTROL!$C$38, 0.0356, 0)</f>
        <v>36.807500000000005</v>
      </c>
      <c r="D532" s="17">
        <f>36.7641 * CHOOSE(CONTROL!$C$15, $E$9, 100%, $G$9) + CHOOSE(CONTROL!$C$38, 0.0356, 0)</f>
        <v>36.799700000000001</v>
      </c>
      <c r="E532" s="17">
        <f>36.7641 * CHOOSE(CONTROL!$C$15, $E$9, 100%, $G$9) + CHOOSE(CONTROL!$C$38, 0.0356, 0)</f>
        <v>36.799700000000001</v>
      </c>
      <c r="F532" s="46">
        <f>40.1233 * CHOOSE(CONTROL!$C$15, $E$9, 100%, $G$9) + CHOOSE(CONTROL!$C$38, 0.0355, 0)</f>
        <v>40.158799999999999</v>
      </c>
      <c r="G532" s="17">
        <f>36.7703 * CHOOSE(CONTROL!$C$15, $E$9, 100%, $G$9) + CHOOSE(CONTROL!$C$38, 0.0356, 0)</f>
        <v>36.805900000000001</v>
      </c>
      <c r="H532" s="17">
        <f>36.7703 * CHOOSE(CONTROL!$C$15, $E$9, 100%, $G$9) + CHOOSE(CONTROL!$C$38, 0.0356, 0)</f>
        <v>36.805900000000001</v>
      </c>
      <c r="I532" s="17">
        <f>36.7719 * CHOOSE(CONTROL!$C$15, $E$9, 100%, $G$9) + CHOOSE(CONTROL!$C$38, 0.0356, 0)</f>
        <v>36.807500000000005</v>
      </c>
      <c r="J532" s="45">
        <f>322.983</f>
        <v>322.983</v>
      </c>
    </row>
    <row r="533" spans="1:10" ht="15.75" x14ac:dyDescent="0.25">
      <c r="A533" s="13">
        <v>57161</v>
      </c>
      <c r="B533" s="17">
        <f>39.559 * CHOOSE(CONTROL!$C$15, $E$9, 100%, $G$9) + CHOOSE(CONTROL!$C$38, 0.0355, 0)</f>
        <v>39.594499999999996</v>
      </c>
      <c r="C533" s="17">
        <f>36.2076 * CHOOSE(CONTROL!$C$15, $E$9, 100%, $G$9) + CHOOSE(CONTROL!$C$38, 0.0356, 0)</f>
        <v>36.243200000000002</v>
      </c>
      <c r="D533" s="17">
        <f>36.1997 * CHOOSE(CONTROL!$C$15, $E$9, 100%, $G$9) + CHOOSE(CONTROL!$C$38, 0.0356, 0)</f>
        <v>36.235300000000002</v>
      </c>
      <c r="E533" s="17">
        <f>36.1997 * CHOOSE(CONTROL!$C$15, $E$9, 100%, $G$9) + CHOOSE(CONTROL!$C$38, 0.0356, 0)</f>
        <v>36.235300000000002</v>
      </c>
      <c r="F533" s="46">
        <f>39.559 * CHOOSE(CONTROL!$C$15, $E$9, 100%, $G$9) + CHOOSE(CONTROL!$C$38, 0.0355, 0)</f>
        <v>39.594499999999996</v>
      </c>
      <c r="G533" s="17">
        <f>36.206 * CHOOSE(CONTROL!$C$15, $E$9, 100%, $G$9) + CHOOSE(CONTROL!$C$38, 0.0356, 0)</f>
        <v>36.241600000000005</v>
      </c>
      <c r="H533" s="17">
        <f>36.206 * CHOOSE(CONTROL!$C$15, $E$9, 100%, $G$9) + CHOOSE(CONTROL!$C$38, 0.0356, 0)</f>
        <v>36.241600000000005</v>
      </c>
      <c r="I533" s="17">
        <f>36.2076 * CHOOSE(CONTROL!$C$15, $E$9, 100%, $G$9) + CHOOSE(CONTROL!$C$38, 0.0356, 0)</f>
        <v>36.243200000000002</v>
      </c>
      <c r="J533" s="45">
        <f>327.6369</f>
        <v>327.63690000000003</v>
      </c>
    </row>
    <row r="534" spans="1:10" ht="15.75" x14ac:dyDescent="0.25">
      <c r="A534" s="13">
        <v>57192</v>
      </c>
      <c r="B534" s="17">
        <f>39.2369 * CHOOSE(CONTROL!$C$15, $E$9, 100%, $G$9) + CHOOSE(CONTROL!$C$38, 0.0355, 0)</f>
        <v>39.272399999999998</v>
      </c>
      <c r="C534" s="17">
        <f>35.8855 * CHOOSE(CONTROL!$C$15, $E$9, 100%, $G$9) + CHOOSE(CONTROL!$C$38, 0.0356, 0)</f>
        <v>35.921100000000003</v>
      </c>
      <c r="D534" s="17">
        <f>35.8777 * CHOOSE(CONTROL!$C$15, $E$9, 100%, $G$9) + CHOOSE(CONTROL!$C$38, 0.0356, 0)</f>
        <v>35.9133</v>
      </c>
      <c r="E534" s="17">
        <f>35.8777 * CHOOSE(CONTROL!$C$15, $E$9, 100%, $G$9) + CHOOSE(CONTROL!$C$38, 0.0356, 0)</f>
        <v>35.9133</v>
      </c>
      <c r="F534" s="46">
        <f>39.2369 * CHOOSE(CONTROL!$C$15, $E$9, 100%, $G$9) + CHOOSE(CONTROL!$C$38, 0.0355, 0)</f>
        <v>39.272399999999998</v>
      </c>
      <c r="G534" s="17">
        <f>35.8839 * CHOOSE(CONTROL!$C$15, $E$9, 100%, $G$9) + CHOOSE(CONTROL!$C$38, 0.0356, 0)</f>
        <v>35.919499999999999</v>
      </c>
      <c r="H534" s="17">
        <f>35.8839 * CHOOSE(CONTROL!$C$15, $E$9, 100%, $G$9) + CHOOSE(CONTROL!$C$38, 0.0356, 0)</f>
        <v>35.919499999999999</v>
      </c>
      <c r="I534" s="17">
        <f>35.8855 * CHOOSE(CONTROL!$C$15, $E$9, 100%, $G$9) + CHOOSE(CONTROL!$C$38, 0.0356, 0)</f>
        <v>35.921100000000003</v>
      </c>
      <c r="J534" s="45">
        <f>326.1046</f>
        <v>326.1046</v>
      </c>
    </row>
    <row r="535" spans="1:10" ht="15.75" x14ac:dyDescent="0.25">
      <c r="A535" s="13">
        <v>57223</v>
      </c>
      <c r="B535" s="17">
        <f>39.3959 * CHOOSE(CONTROL!$C$15, $E$9, 100%, $G$9) + CHOOSE(CONTROL!$C$38, 0.0355, 0)</f>
        <v>39.431399999999996</v>
      </c>
      <c r="C535" s="17">
        <f>36.0444 * CHOOSE(CONTROL!$C$15, $E$9, 100%, $G$9) + CHOOSE(CONTROL!$C$38, 0.0356, 0)</f>
        <v>36.080000000000005</v>
      </c>
      <c r="D535" s="17">
        <f>36.0366 * CHOOSE(CONTROL!$C$15, $E$9, 100%, $G$9) + CHOOSE(CONTROL!$C$38, 0.0356, 0)</f>
        <v>36.072200000000002</v>
      </c>
      <c r="E535" s="17">
        <f>36.0366 * CHOOSE(CONTROL!$C$15, $E$9, 100%, $G$9) + CHOOSE(CONTROL!$C$38, 0.0356, 0)</f>
        <v>36.072200000000002</v>
      </c>
      <c r="F535" s="46">
        <f>39.3959 * CHOOSE(CONTROL!$C$15, $E$9, 100%, $G$9) + CHOOSE(CONTROL!$C$38, 0.0355, 0)</f>
        <v>39.431399999999996</v>
      </c>
      <c r="G535" s="17">
        <f>36.0429 * CHOOSE(CONTROL!$C$15, $E$9, 100%, $G$9) + CHOOSE(CONTROL!$C$38, 0.0356, 0)</f>
        <v>36.078500000000005</v>
      </c>
      <c r="H535" s="17">
        <f>36.0429 * CHOOSE(CONTROL!$C$15, $E$9, 100%, $G$9) + CHOOSE(CONTROL!$C$38, 0.0356, 0)</f>
        <v>36.078500000000005</v>
      </c>
      <c r="I535" s="17">
        <f>36.0444 * CHOOSE(CONTROL!$C$15, $E$9, 100%, $G$9) + CHOOSE(CONTROL!$C$38, 0.0356, 0)</f>
        <v>36.080000000000005</v>
      </c>
      <c r="J535" s="45">
        <f>318.513</f>
        <v>318.51299999999998</v>
      </c>
    </row>
    <row r="536" spans="1:10" ht="15.75" x14ac:dyDescent="0.25">
      <c r="A536" s="13">
        <v>57253</v>
      </c>
      <c r="B536" s="17">
        <f>39.8276 * CHOOSE(CONTROL!$C$15, $E$9, 100%, $G$9) + CHOOSE(CONTROL!$C$38, 0.0355, 0)</f>
        <v>39.863099999999996</v>
      </c>
      <c r="C536" s="17">
        <f>36.4762 * CHOOSE(CONTROL!$C$15, $E$9, 100%, $G$9) + CHOOSE(CONTROL!$C$38, 0.0356, 0)</f>
        <v>36.511800000000001</v>
      </c>
      <c r="D536" s="17">
        <f>36.4683 * CHOOSE(CONTROL!$C$15, $E$9, 100%, $G$9) + CHOOSE(CONTROL!$C$38, 0.0356, 0)</f>
        <v>36.503900000000002</v>
      </c>
      <c r="E536" s="17">
        <f>36.4683 * CHOOSE(CONTROL!$C$15, $E$9, 100%, $G$9) + CHOOSE(CONTROL!$C$38, 0.0356, 0)</f>
        <v>36.503900000000002</v>
      </c>
      <c r="F536" s="46">
        <f>39.8276 * CHOOSE(CONTROL!$C$15, $E$9, 100%, $G$9) + CHOOSE(CONTROL!$C$38, 0.0355, 0)</f>
        <v>39.863099999999996</v>
      </c>
      <c r="G536" s="17">
        <f>36.4746 * CHOOSE(CONTROL!$C$15, $E$9, 100%, $G$9) + CHOOSE(CONTROL!$C$38, 0.0356, 0)</f>
        <v>36.510200000000005</v>
      </c>
      <c r="H536" s="17">
        <f>36.4746 * CHOOSE(CONTROL!$C$15, $E$9, 100%, $G$9) + CHOOSE(CONTROL!$C$38, 0.0356, 0)</f>
        <v>36.510200000000005</v>
      </c>
      <c r="I536" s="17">
        <f>36.4762 * CHOOSE(CONTROL!$C$15, $E$9, 100%, $G$9) + CHOOSE(CONTROL!$C$38, 0.0356, 0)</f>
        <v>36.511800000000001</v>
      </c>
      <c r="J536" s="45">
        <f>307.9262</f>
        <v>307.92619999999999</v>
      </c>
    </row>
    <row r="537" spans="1:10" ht="15.75" x14ac:dyDescent="0.25">
      <c r="A537" s="13">
        <v>57284</v>
      </c>
      <c r="B537" s="17">
        <f>40.1891 * CHOOSE(CONTROL!$C$15, $E$9, 100%, $G$9) + CHOOSE(CONTROL!$C$38, 0.0342, 0)</f>
        <v>40.223300000000002</v>
      </c>
      <c r="C537" s="17">
        <f>36.8377 * CHOOSE(CONTROL!$C$15, $E$9, 100%, $G$9) + CHOOSE(CONTROL!$C$38, 0.0343, 0)</f>
        <v>36.872</v>
      </c>
      <c r="D537" s="17">
        <f>36.8299 * CHOOSE(CONTROL!$C$15, $E$9, 100%, $G$9) + CHOOSE(CONTROL!$C$38, 0.0343, 0)</f>
        <v>36.864200000000004</v>
      </c>
      <c r="E537" s="17">
        <f>36.8299 * CHOOSE(CONTROL!$C$15, $E$9, 100%, $G$9) + CHOOSE(CONTROL!$C$38, 0.0343, 0)</f>
        <v>36.864200000000004</v>
      </c>
      <c r="F537" s="46">
        <f>40.1891 * CHOOSE(CONTROL!$C$15, $E$9, 100%, $G$9) + CHOOSE(CONTROL!$C$38, 0.0342, 0)</f>
        <v>40.223300000000002</v>
      </c>
      <c r="G537" s="17">
        <f>36.8362 * CHOOSE(CONTROL!$C$15, $E$9, 100%, $G$9) + CHOOSE(CONTROL!$C$38, 0.0343, 0)</f>
        <v>36.8705</v>
      </c>
      <c r="H537" s="17">
        <f>36.8362 * CHOOSE(CONTROL!$C$15, $E$9, 100%, $G$9) + CHOOSE(CONTROL!$C$38, 0.0343, 0)</f>
        <v>36.8705</v>
      </c>
      <c r="I537" s="17">
        <f>36.8377 * CHOOSE(CONTROL!$C$15, $E$9, 100%, $G$9) + CHOOSE(CONTROL!$C$38, 0.0343, 0)</f>
        <v>36.872</v>
      </c>
      <c r="J537" s="45">
        <f>297.2778</f>
        <v>297.27780000000001</v>
      </c>
    </row>
    <row r="538" spans="1:10" ht="15.75" x14ac:dyDescent="0.25">
      <c r="A538" s="13">
        <v>57314</v>
      </c>
      <c r="B538" s="17">
        <f>40.4908 * CHOOSE(CONTROL!$C$15, $E$9, 100%, $G$9) + CHOOSE(CONTROL!$C$38, 0.0342, 0)</f>
        <v>40.524999999999999</v>
      </c>
      <c r="C538" s="17">
        <f>37.1394 * CHOOSE(CONTROL!$C$15, $E$9, 100%, $G$9) + CHOOSE(CONTROL!$C$38, 0.0343, 0)</f>
        <v>37.173700000000004</v>
      </c>
      <c r="D538" s="17">
        <f>37.1316 * CHOOSE(CONTROL!$C$15, $E$9, 100%, $G$9) + CHOOSE(CONTROL!$C$38, 0.0343, 0)</f>
        <v>37.165900000000001</v>
      </c>
      <c r="E538" s="17">
        <f>37.1316 * CHOOSE(CONTROL!$C$15, $E$9, 100%, $G$9) + CHOOSE(CONTROL!$C$38, 0.0343, 0)</f>
        <v>37.165900000000001</v>
      </c>
      <c r="F538" s="46">
        <f>40.4908 * CHOOSE(CONTROL!$C$15, $E$9, 100%, $G$9) + CHOOSE(CONTROL!$C$38, 0.0342, 0)</f>
        <v>40.524999999999999</v>
      </c>
      <c r="G538" s="17">
        <f>37.1379 * CHOOSE(CONTROL!$C$15, $E$9, 100%, $G$9) + CHOOSE(CONTROL!$C$38, 0.0343, 0)</f>
        <v>37.172200000000004</v>
      </c>
      <c r="H538" s="17">
        <f>37.1379 * CHOOSE(CONTROL!$C$15, $E$9, 100%, $G$9) + CHOOSE(CONTROL!$C$38, 0.0343, 0)</f>
        <v>37.172200000000004</v>
      </c>
      <c r="I538" s="17">
        <f>37.1394 * CHOOSE(CONTROL!$C$15, $E$9, 100%, $G$9) + CHOOSE(CONTROL!$C$38, 0.0343, 0)</f>
        <v>37.173700000000004</v>
      </c>
      <c r="J538" s="45">
        <f>295.1596</f>
        <v>295.15960000000001</v>
      </c>
    </row>
    <row r="539" spans="1:10" ht="15.75" x14ac:dyDescent="0.25">
      <c r="A539" s="13">
        <v>57345</v>
      </c>
      <c r="B539" s="17">
        <f>41.4205 * CHOOSE(CONTROL!$C$15, $E$9, 100%, $G$9) + CHOOSE(CONTROL!$C$38, 0.0342, 0)</f>
        <v>41.454699999999995</v>
      </c>
      <c r="C539" s="17">
        <f>38.0691 * CHOOSE(CONTROL!$C$15, $E$9, 100%, $G$9) + CHOOSE(CONTROL!$C$38, 0.0343, 0)</f>
        <v>38.103400000000001</v>
      </c>
      <c r="D539" s="17">
        <f>38.0613 * CHOOSE(CONTROL!$C$15, $E$9, 100%, $G$9) + CHOOSE(CONTROL!$C$38, 0.0343, 0)</f>
        <v>38.095600000000005</v>
      </c>
      <c r="E539" s="17">
        <f>38.0613 * CHOOSE(CONTROL!$C$15, $E$9, 100%, $G$9) + CHOOSE(CONTROL!$C$38, 0.0343, 0)</f>
        <v>38.095600000000005</v>
      </c>
      <c r="F539" s="46">
        <f>41.4205 * CHOOSE(CONTROL!$C$15, $E$9, 100%, $G$9) + CHOOSE(CONTROL!$C$38, 0.0342, 0)</f>
        <v>41.454699999999995</v>
      </c>
      <c r="G539" s="17">
        <f>38.0675 * CHOOSE(CONTROL!$C$15, $E$9, 100%, $G$9) + CHOOSE(CONTROL!$C$38, 0.0343, 0)</f>
        <v>38.101800000000004</v>
      </c>
      <c r="H539" s="17">
        <f>38.0675 * CHOOSE(CONTROL!$C$15, $E$9, 100%, $G$9) + CHOOSE(CONTROL!$C$38, 0.0343, 0)</f>
        <v>38.101800000000004</v>
      </c>
      <c r="I539" s="17">
        <f>38.0691 * CHOOSE(CONTROL!$C$15, $E$9, 100%, $G$9) + CHOOSE(CONTROL!$C$38, 0.0343, 0)</f>
        <v>38.103400000000001</v>
      </c>
      <c r="J539" s="45">
        <f>286.4007</f>
        <v>286.40069999999997</v>
      </c>
    </row>
    <row r="540" spans="1:10" ht="15.75" x14ac:dyDescent="0.25">
      <c r="A540" s="13">
        <v>57376</v>
      </c>
      <c r="B540" s="17">
        <f>42.8254 * CHOOSE(CONTROL!$C$15, $E$9, 100%, $G$9) + CHOOSE(CONTROL!$C$38, 0.0342, 0)</f>
        <v>42.8596</v>
      </c>
      <c r="C540" s="17">
        <f>39.4204 * CHOOSE(CONTROL!$C$15, $E$9, 100%, $G$9) + CHOOSE(CONTROL!$C$38, 0.0343, 0)</f>
        <v>39.454700000000003</v>
      </c>
      <c r="D540" s="17">
        <f>39.4126 * CHOOSE(CONTROL!$C$15, $E$9, 100%, $G$9) + CHOOSE(CONTROL!$C$38, 0.0343, 0)</f>
        <v>39.446899999999999</v>
      </c>
      <c r="E540" s="17">
        <f>39.4126 * CHOOSE(CONTROL!$C$15, $E$9, 100%, $G$9) + CHOOSE(CONTROL!$C$38, 0.0343, 0)</f>
        <v>39.446899999999999</v>
      </c>
      <c r="F540" s="46">
        <f>42.8254 * CHOOSE(CONTROL!$C$15, $E$9, 100%, $G$9) + CHOOSE(CONTROL!$C$38, 0.0342, 0)</f>
        <v>42.8596</v>
      </c>
      <c r="G540" s="17">
        <f>39.4188 * CHOOSE(CONTROL!$C$15, $E$9, 100%, $G$9) + CHOOSE(CONTROL!$C$38, 0.0343, 0)</f>
        <v>39.453099999999999</v>
      </c>
      <c r="H540" s="17">
        <f>39.4188 * CHOOSE(CONTROL!$C$15, $E$9, 100%, $G$9) + CHOOSE(CONTROL!$C$38, 0.0343, 0)</f>
        <v>39.453099999999999</v>
      </c>
      <c r="I540" s="17">
        <f>39.4204 * CHOOSE(CONTROL!$C$15, $E$9, 100%, $G$9) + CHOOSE(CONTROL!$C$38, 0.0343, 0)</f>
        <v>39.454700000000003</v>
      </c>
      <c r="J540" s="45">
        <f>286.194</f>
        <v>286.19400000000002</v>
      </c>
    </row>
    <row r="541" spans="1:10" ht="15.75" x14ac:dyDescent="0.25">
      <c r="A541" s="13">
        <v>57404</v>
      </c>
      <c r="B541" s="17">
        <f>43.1698 * CHOOSE(CONTROL!$C$15, $E$9, 100%, $G$9) + CHOOSE(CONTROL!$C$38, 0.0342, 0)</f>
        <v>43.204000000000001</v>
      </c>
      <c r="C541" s="17">
        <f>39.7647 * CHOOSE(CONTROL!$C$15, $E$9, 100%, $G$9) + CHOOSE(CONTROL!$C$38, 0.0343, 0)</f>
        <v>39.798999999999999</v>
      </c>
      <c r="D541" s="17">
        <f>39.7569 * CHOOSE(CONTROL!$C$15, $E$9, 100%, $G$9) + CHOOSE(CONTROL!$C$38, 0.0343, 0)</f>
        <v>39.791200000000003</v>
      </c>
      <c r="E541" s="17">
        <f>39.7569 * CHOOSE(CONTROL!$C$15, $E$9, 100%, $G$9) + CHOOSE(CONTROL!$C$38, 0.0343, 0)</f>
        <v>39.791200000000003</v>
      </c>
      <c r="F541" s="46">
        <f>43.1698 * CHOOSE(CONTROL!$C$15, $E$9, 100%, $G$9) + CHOOSE(CONTROL!$C$38, 0.0342, 0)</f>
        <v>43.204000000000001</v>
      </c>
      <c r="G541" s="17">
        <f>39.7631 * CHOOSE(CONTROL!$C$15, $E$9, 100%, $G$9) + CHOOSE(CONTROL!$C$38, 0.0343, 0)</f>
        <v>39.797400000000003</v>
      </c>
      <c r="H541" s="17">
        <f>39.7631 * CHOOSE(CONTROL!$C$15, $E$9, 100%, $G$9) + CHOOSE(CONTROL!$C$38, 0.0343, 0)</f>
        <v>39.797400000000003</v>
      </c>
      <c r="I541" s="17">
        <f>39.7647 * CHOOSE(CONTROL!$C$15, $E$9, 100%, $G$9) + CHOOSE(CONTROL!$C$38, 0.0343, 0)</f>
        <v>39.798999999999999</v>
      </c>
      <c r="J541" s="45">
        <f>285.3984</f>
        <v>285.39839999999998</v>
      </c>
    </row>
    <row r="542" spans="1:10" ht="15.75" x14ac:dyDescent="0.25">
      <c r="A542" s="13">
        <v>57435</v>
      </c>
      <c r="B542" s="17">
        <f>42.3727 * CHOOSE(CONTROL!$C$15, $E$9, 100%, $G$9) + CHOOSE(CONTROL!$C$38, 0.0342, 0)</f>
        <v>42.4069</v>
      </c>
      <c r="C542" s="17">
        <f>39.1599 * CHOOSE(CONTROL!$C$15, $E$9, 100%, $G$9) + CHOOSE(CONTROL!$C$38, 0.0343, 0)</f>
        <v>39.194200000000002</v>
      </c>
      <c r="D542" s="17">
        <f>39.152 * CHOOSE(CONTROL!$C$15, $E$9, 100%, $G$9) + CHOOSE(CONTROL!$C$38, 0.0343, 0)</f>
        <v>39.186300000000003</v>
      </c>
      <c r="E542" s="17">
        <f>39.152 * CHOOSE(CONTROL!$C$15, $E$9, 100%, $G$9) + CHOOSE(CONTROL!$C$38, 0.0343, 0)</f>
        <v>39.186300000000003</v>
      </c>
      <c r="F542" s="46">
        <f>42.3727 * CHOOSE(CONTROL!$C$15, $E$9, 100%, $G$9) + CHOOSE(CONTROL!$C$38, 0.0342, 0)</f>
        <v>42.4069</v>
      </c>
      <c r="G542" s="17">
        <f>39.1583 * CHOOSE(CONTROL!$C$15, $E$9, 100%, $G$9) + CHOOSE(CONTROL!$C$38, 0.0343, 0)</f>
        <v>39.192599999999999</v>
      </c>
      <c r="H542" s="17">
        <f>39.1583 * CHOOSE(CONTROL!$C$15, $E$9, 100%, $G$9) + CHOOSE(CONTROL!$C$38, 0.0343, 0)</f>
        <v>39.192599999999999</v>
      </c>
      <c r="I542" s="17">
        <f>39.1599 * CHOOSE(CONTROL!$C$15, $E$9, 100%, $G$9) + CHOOSE(CONTROL!$C$38, 0.0343, 0)</f>
        <v>39.194200000000002</v>
      </c>
      <c r="J542" s="45">
        <f>300.4406</f>
        <v>300.44060000000002</v>
      </c>
    </row>
    <row r="543" spans="1:10" ht="15.75" x14ac:dyDescent="0.25">
      <c r="A543" s="13">
        <v>57465</v>
      </c>
      <c r="B543" s="17">
        <f>41.6004 * CHOOSE(CONTROL!$C$15, $E$9, 100%, $G$9) + CHOOSE(CONTROL!$C$38, 0.0342, 0)</f>
        <v>41.634599999999999</v>
      </c>
      <c r="C543" s="17">
        <f>38.1953 * CHOOSE(CONTROL!$C$15, $E$9, 100%, $G$9) + CHOOSE(CONTROL!$C$38, 0.0343, 0)</f>
        <v>38.229600000000005</v>
      </c>
      <c r="D543" s="17">
        <f>38.1875 * CHOOSE(CONTROL!$C$15, $E$9, 100%, $G$9) + CHOOSE(CONTROL!$C$38, 0.0343, 0)</f>
        <v>38.221800000000002</v>
      </c>
      <c r="E543" s="17">
        <f>38.1875 * CHOOSE(CONTROL!$C$15, $E$9, 100%, $G$9) + CHOOSE(CONTROL!$C$38, 0.0343, 0)</f>
        <v>38.221800000000002</v>
      </c>
      <c r="F543" s="46">
        <f>41.6004 * CHOOSE(CONTROL!$C$15, $E$9, 100%, $G$9) + CHOOSE(CONTROL!$C$38, 0.0342, 0)</f>
        <v>41.634599999999999</v>
      </c>
      <c r="G543" s="17">
        <f>38.1938 * CHOOSE(CONTROL!$C$15, $E$9, 100%, $G$9) + CHOOSE(CONTROL!$C$38, 0.0343, 0)</f>
        <v>38.228100000000005</v>
      </c>
      <c r="H543" s="17">
        <f>38.1938 * CHOOSE(CONTROL!$C$15, $E$9, 100%, $G$9) + CHOOSE(CONTROL!$C$38, 0.0343, 0)</f>
        <v>38.228100000000005</v>
      </c>
      <c r="I543" s="17">
        <f>38.1953 * CHOOSE(CONTROL!$C$15, $E$9, 100%, $G$9) + CHOOSE(CONTROL!$C$38, 0.0343, 0)</f>
        <v>38.229600000000005</v>
      </c>
      <c r="J543" s="45">
        <f>319.9467</f>
        <v>319.94670000000002</v>
      </c>
    </row>
    <row r="544" spans="1:10" ht="15.75" x14ac:dyDescent="0.25">
      <c r="A544" s="13">
        <v>57496</v>
      </c>
      <c r="B544" s="17">
        <f>40.7955 * CHOOSE(CONTROL!$C$15, $E$9, 100%, $G$9) + CHOOSE(CONTROL!$C$38, 0.0355, 0)</f>
        <v>40.830999999999996</v>
      </c>
      <c r="C544" s="17">
        <f>37.3904 * CHOOSE(CONTROL!$C$15, $E$9, 100%, $G$9) + CHOOSE(CONTROL!$C$38, 0.0356, 0)</f>
        <v>37.426000000000002</v>
      </c>
      <c r="D544" s="17">
        <f>37.3826 * CHOOSE(CONTROL!$C$15, $E$9, 100%, $G$9) + CHOOSE(CONTROL!$C$38, 0.0356, 0)</f>
        <v>37.418199999999999</v>
      </c>
      <c r="E544" s="17">
        <f>37.3826 * CHOOSE(CONTROL!$C$15, $E$9, 100%, $G$9) + CHOOSE(CONTROL!$C$38, 0.0356, 0)</f>
        <v>37.418199999999999</v>
      </c>
      <c r="F544" s="46">
        <f>40.7955 * CHOOSE(CONTROL!$C$15, $E$9, 100%, $G$9) + CHOOSE(CONTROL!$C$38, 0.0355, 0)</f>
        <v>40.830999999999996</v>
      </c>
      <c r="G544" s="17">
        <f>37.3888 * CHOOSE(CONTROL!$C$15, $E$9, 100%, $G$9) + CHOOSE(CONTROL!$C$38, 0.0356, 0)</f>
        <v>37.424400000000006</v>
      </c>
      <c r="H544" s="17">
        <f>37.3888 * CHOOSE(CONTROL!$C$15, $E$9, 100%, $G$9) + CHOOSE(CONTROL!$C$38, 0.0356, 0)</f>
        <v>37.424400000000006</v>
      </c>
      <c r="I544" s="17">
        <f>37.3904 * CHOOSE(CONTROL!$C$15, $E$9, 100%, $G$9) + CHOOSE(CONTROL!$C$38, 0.0356, 0)</f>
        <v>37.426000000000002</v>
      </c>
      <c r="J544" s="45">
        <f>330.6834</f>
        <v>330.68340000000001</v>
      </c>
    </row>
    <row r="545" spans="1:10" ht="15.75" x14ac:dyDescent="0.25">
      <c r="A545" s="13">
        <v>57526</v>
      </c>
      <c r="B545" s="17">
        <f>40.2311 * CHOOSE(CONTROL!$C$15, $E$9, 100%, $G$9) + CHOOSE(CONTROL!$C$38, 0.0355, 0)</f>
        <v>40.266599999999997</v>
      </c>
      <c r="C545" s="17">
        <f>36.826 * CHOOSE(CONTROL!$C$15, $E$9, 100%, $G$9) + CHOOSE(CONTROL!$C$38, 0.0356, 0)</f>
        <v>36.861600000000003</v>
      </c>
      <c r="D545" s="17">
        <f>36.8182 * CHOOSE(CONTROL!$C$15, $E$9, 100%, $G$9) + CHOOSE(CONTROL!$C$38, 0.0356, 0)</f>
        <v>36.8538</v>
      </c>
      <c r="E545" s="17">
        <f>36.8182 * CHOOSE(CONTROL!$C$15, $E$9, 100%, $G$9) + CHOOSE(CONTROL!$C$38, 0.0356, 0)</f>
        <v>36.8538</v>
      </c>
      <c r="F545" s="46">
        <f>40.2311 * CHOOSE(CONTROL!$C$15, $E$9, 100%, $G$9) + CHOOSE(CONTROL!$C$38, 0.0355, 0)</f>
        <v>40.266599999999997</v>
      </c>
      <c r="G545" s="17">
        <f>36.8245 * CHOOSE(CONTROL!$C$15, $E$9, 100%, $G$9) + CHOOSE(CONTROL!$C$38, 0.0356, 0)</f>
        <v>36.860100000000003</v>
      </c>
      <c r="H545" s="17">
        <f>36.8245 * CHOOSE(CONTROL!$C$15, $E$9, 100%, $G$9) + CHOOSE(CONTROL!$C$38, 0.0356, 0)</f>
        <v>36.860100000000003</v>
      </c>
      <c r="I545" s="17">
        <f>36.826 * CHOOSE(CONTROL!$C$15, $E$9, 100%, $G$9) + CHOOSE(CONTROL!$C$38, 0.0356, 0)</f>
        <v>36.861600000000003</v>
      </c>
      <c r="J545" s="45">
        <f>335.4482</f>
        <v>335.44819999999999</v>
      </c>
    </row>
    <row r="546" spans="1:10" ht="15.75" x14ac:dyDescent="0.25">
      <c r="A546" s="13">
        <v>57557</v>
      </c>
      <c r="B546" s="17">
        <f>39.9091 * CHOOSE(CONTROL!$C$15, $E$9, 100%, $G$9) + CHOOSE(CONTROL!$C$38, 0.0355, 0)</f>
        <v>39.944600000000001</v>
      </c>
      <c r="C546" s="17">
        <f>36.504 * CHOOSE(CONTROL!$C$15, $E$9, 100%, $G$9) + CHOOSE(CONTROL!$C$38, 0.0356, 0)</f>
        <v>36.5396</v>
      </c>
      <c r="D546" s="17">
        <f>36.4962 * CHOOSE(CONTROL!$C$15, $E$9, 100%, $G$9) + CHOOSE(CONTROL!$C$38, 0.0356, 0)</f>
        <v>36.531800000000004</v>
      </c>
      <c r="E546" s="17">
        <f>36.4962 * CHOOSE(CONTROL!$C$15, $E$9, 100%, $G$9) + CHOOSE(CONTROL!$C$38, 0.0356, 0)</f>
        <v>36.531800000000004</v>
      </c>
      <c r="F546" s="46">
        <f>39.9091 * CHOOSE(CONTROL!$C$15, $E$9, 100%, $G$9) + CHOOSE(CONTROL!$C$38, 0.0355, 0)</f>
        <v>39.944600000000001</v>
      </c>
      <c r="G546" s="17">
        <f>36.5024 * CHOOSE(CONTROL!$C$15, $E$9, 100%, $G$9) + CHOOSE(CONTROL!$C$38, 0.0356, 0)</f>
        <v>36.538000000000004</v>
      </c>
      <c r="H546" s="17">
        <f>36.5024 * CHOOSE(CONTROL!$C$15, $E$9, 100%, $G$9) + CHOOSE(CONTROL!$C$38, 0.0356, 0)</f>
        <v>36.538000000000004</v>
      </c>
      <c r="I546" s="17">
        <f>36.504 * CHOOSE(CONTROL!$C$15, $E$9, 100%, $G$9) + CHOOSE(CONTROL!$C$38, 0.0356, 0)</f>
        <v>36.5396</v>
      </c>
      <c r="J546" s="45">
        <f>333.8794</f>
        <v>333.87939999999998</v>
      </c>
    </row>
    <row r="547" spans="1:10" ht="15.75" x14ac:dyDescent="0.25">
      <c r="A547" s="13">
        <v>57588</v>
      </c>
      <c r="B547" s="17">
        <f>40.068 * CHOOSE(CONTROL!$C$15, $E$9, 100%, $G$9) + CHOOSE(CONTROL!$C$38, 0.0355, 0)</f>
        <v>40.103499999999997</v>
      </c>
      <c r="C547" s="17">
        <f>36.6629 * CHOOSE(CONTROL!$C$15, $E$9, 100%, $G$9) + CHOOSE(CONTROL!$C$38, 0.0356, 0)</f>
        <v>36.698500000000003</v>
      </c>
      <c r="D547" s="17">
        <f>36.6551 * CHOOSE(CONTROL!$C$15, $E$9, 100%, $G$9) + CHOOSE(CONTROL!$C$38, 0.0356, 0)</f>
        <v>36.6907</v>
      </c>
      <c r="E547" s="17">
        <f>36.6551 * CHOOSE(CONTROL!$C$15, $E$9, 100%, $G$9) + CHOOSE(CONTROL!$C$38, 0.0356, 0)</f>
        <v>36.6907</v>
      </c>
      <c r="F547" s="46">
        <f>40.068 * CHOOSE(CONTROL!$C$15, $E$9, 100%, $G$9) + CHOOSE(CONTROL!$C$38, 0.0355, 0)</f>
        <v>40.103499999999997</v>
      </c>
      <c r="G547" s="17">
        <f>36.6614 * CHOOSE(CONTROL!$C$15, $E$9, 100%, $G$9) + CHOOSE(CONTROL!$C$38, 0.0356, 0)</f>
        <v>36.697000000000003</v>
      </c>
      <c r="H547" s="17">
        <f>36.6614 * CHOOSE(CONTROL!$C$15, $E$9, 100%, $G$9) + CHOOSE(CONTROL!$C$38, 0.0356, 0)</f>
        <v>36.697000000000003</v>
      </c>
      <c r="I547" s="17">
        <f>36.6629 * CHOOSE(CONTROL!$C$15, $E$9, 100%, $G$9) + CHOOSE(CONTROL!$C$38, 0.0356, 0)</f>
        <v>36.698500000000003</v>
      </c>
      <c r="J547" s="45">
        <f>326.1069</f>
        <v>326.1069</v>
      </c>
    </row>
    <row r="548" spans="1:10" ht="15.75" x14ac:dyDescent="0.25">
      <c r="A548" s="13">
        <v>57618</v>
      </c>
      <c r="B548" s="17">
        <f>40.4997 * CHOOSE(CONTROL!$C$15, $E$9, 100%, $G$9) + CHOOSE(CONTROL!$C$38, 0.0355, 0)</f>
        <v>40.535199999999996</v>
      </c>
      <c r="C548" s="17">
        <f>37.0946 * CHOOSE(CONTROL!$C$15, $E$9, 100%, $G$9) + CHOOSE(CONTROL!$C$38, 0.0356, 0)</f>
        <v>37.130200000000002</v>
      </c>
      <c r="D548" s="17">
        <f>37.0868 * CHOOSE(CONTROL!$C$15, $E$9, 100%, $G$9) + CHOOSE(CONTROL!$C$38, 0.0356, 0)</f>
        <v>37.122399999999999</v>
      </c>
      <c r="E548" s="17">
        <f>37.0868 * CHOOSE(CONTROL!$C$15, $E$9, 100%, $G$9) + CHOOSE(CONTROL!$C$38, 0.0356, 0)</f>
        <v>37.122399999999999</v>
      </c>
      <c r="F548" s="46">
        <f>40.4997 * CHOOSE(CONTROL!$C$15, $E$9, 100%, $G$9) + CHOOSE(CONTROL!$C$38, 0.0355, 0)</f>
        <v>40.535199999999996</v>
      </c>
      <c r="G548" s="17">
        <f>37.0931 * CHOOSE(CONTROL!$C$15, $E$9, 100%, $G$9) + CHOOSE(CONTROL!$C$38, 0.0356, 0)</f>
        <v>37.128700000000002</v>
      </c>
      <c r="H548" s="17">
        <f>37.0931 * CHOOSE(CONTROL!$C$15, $E$9, 100%, $G$9) + CHOOSE(CONTROL!$C$38, 0.0356, 0)</f>
        <v>37.128700000000002</v>
      </c>
      <c r="I548" s="17">
        <f>37.0946 * CHOOSE(CONTROL!$C$15, $E$9, 100%, $G$9) + CHOOSE(CONTROL!$C$38, 0.0356, 0)</f>
        <v>37.130200000000002</v>
      </c>
      <c r="J548" s="45">
        <f>315.2676</f>
        <v>315.26760000000002</v>
      </c>
    </row>
    <row r="549" spans="1:10" ht="15.75" x14ac:dyDescent="0.25">
      <c r="A549" s="13">
        <v>57649</v>
      </c>
      <c r="B549" s="17">
        <f>40.8613 * CHOOSE(CONTROL!$C$15, $E$9, 100%, $G$9) + CHOOSE(CONTROL!$C$38, 0.0342, 0)</f>
        <v>40.895499999999998</v>
      </c>
      <c r="C549" s="17">
        <f>37.4562 * CHOOSE(CONTROL!$C$15, $E$9, 100%, $G$9) + CHOOSE(CONTROL!$C$38, 0.0343, 0)</f>
        <v>37.490500000000004</v>
      </c>
      <c r="D549" s="17">
        <f>37.4484 * CHOOSE(CONTROL!$C$15, $E$9, 100%, $G$9) + CHOOSE(CONTROL!$C$38, 0.0343, 0)</f>
        <v>37.482700000000001</v>
      </c>
      <c r="E549" s="17">
        <f>37.4484 * CHOOSE(CONTROL!$C$15, $E$9, 100%, $G$9) + CHOOSE(CONTROL!$C$38, 0.0343, 0)</f>
        <v>37.482700000000001</v>
      </c>
      <c r="F549" s="46">
        <f>40.8613 * CHOOSE(CONTROL!$C$15, $E$9, 100%, $G$9) + CHOOSE(CONTROL!$C$38, 0.0342, 0)</f>
        <v>40.895499999999998</v>
      </c>
      <c r="G549" s="17">
        <f>37.4546 * CHOOSE(CONTROL!$C$15, $E$9, 100%, $G$9) + CHOOSE(CONTROL!$C$38, 0.0343, 0)</f>
        <v>37.488900000000001</v>
      </c>
      <c r="H549" s="17">
        <f>37.4546 * CHOOSE(CONTROL!$C$15, $E$9, 100%, $G$9) + CHOOSE(CONTROL!$C$38, 0.0343, 0)</f>
        <v>37.488900000000001</v>
      </c>
      <c r="I549" s="17">
        <f>37.4562 * CHOOSE(CONTROL!$C$15, $E$9, 100%, $G$9) + CHOOSE(CONTROL!$C$38, 0.0343, 0)</f>
        <v>37.490500000000004</v>
      </c>
      <c r="J549" s="45">
        <f>304.3654</f>
        <v>304.36540000000002</v>
      </c>
    </row>
    <row r="550" spans="1:10" ht="15.75" x14ac:dyDescent="0.25">
      <c r="A550" s="13">
        <v>57679</v>
      </c>
      <c r="B550" s="17">
        <f>41.163 * CHOOSE(CONTROL!$C$15, $E$9, 100%, $G$9) + CHOOSE(CONTROL!$C$38, 0.0342, 0)</f>
        <v>41.197199999999995</v>
      </c>
      <c r="C550" s="17">
        <f>37.7579 * CHOOSE(CONTROL!$C$15, $E$9, 100%, $G$9) + CHOOSE(CONTROL!$C$38, 0.0343, 0)</f>
        <v>37.792200000000001</v>
      </c>
      <c r="D550" s="17">
        <f>37.7501 * CHOOSE(CONTROL!$C$15, $E$9, 100%, $G$9) + CHOOSE(CONTROL!$C$38, 0.0343, 0)</f>
        <v>37.784400000000005</v>
      </c>
      <c r="E550" s="17">
        <f>37.7501 * CHOOSE(CONTROL!$C$15, $E$9, 100%, $G$9) + CHOOSE(CONTROL!$C$38, 0.0343, 0)</f>
        <v>37.784400000000005</v>
      </c>
      <c r="F550" s="46">
        <f>41.163 * CHOOSE(CONTROL!$C$15, $E$9, 100%, $G$9) + CHOOSE(CONTROL!$C$38, 0.0342, 0)</f>
        <v>41.197199999999995</v>
      </c>
      <c r="G550" s="17">
        <f>37.7563 * CHOOSE(CONTROL!$C$15, $E$9, 100%, $G$9) + CHOOSE(CONTROL!$C$38, 0.0343, 0)</f>
        <v>37.790600000000005</v>
      </c>
      <c r="H550" s="17">
        <f>37.7563 * CHOOSE(CONTROL!$C$15, $E$9, 100%, $G$9) + CHOOSE(CONTROL!$C$38, 0.0343, 0)</f>
        <v>37.790600000000005</v>
      </c>
      <c r="I550" s="17">
        <f>37.7579 * CHOOSE(CONTROL!$C$15, $E$9, 100%, $G$9) + CHOOSE(CONTROL!$C$38, 0.0343, 0)</f>
        <v>37.792200000000001</v>
      </c>
      <c r="J550" s="45">
        <f>302.1967</f>
        <v>302.19670000000002</v>
      </c>
    </row>
    <row r="551" spans="1:10" ht="15.75" x14ac:dyDescent="0.25">
      <c r="A551" s="13">
        <v>57710</v>
      </c>
      <c r="B551" s="17">
        <f>42.0926 * CHOOSE(CONTROL!$C$15, $E$9, 100%, $G$9) + CHOOSE(CONTROL!$C$38, 0.0342, 0)</f>
        <v>42.126799999999996</v>
      </c>
      <c r="C551" s="17">
        <f>38.6876 * CHOOSE(CONTROL!$C$15, $E$9, 100%, $G$9) + CHOOSE(CONTROL!$C$38, 0.0343, 0)</f>
        <v>38.721900000000005</v>
      </c>
      <c r="D551" s="17">
        <f>38.6798 * CHOOSE(CONTROL!$C$15, $E$9, 100%, $G$9) + CHOOSE(CONTROL!$C$38, 0.0343, 0)</f>
        <v>38.714100000000002</v>
      </c>
      <c r="E551" s="17">
        <f>38.6798 * CHOOSE(CONTROL!$C$15, $E$9, 100%, $G$9) + CHOOSE(CONTROL!$C$38, 0.0343, 0)</f>
        <v>38.714100000000002</v>
      </c>
      <c r="F551" s="46">
        <f>42.0926 * CHOOSE(CONTROL!$C$15, $E$9, 100%, $G$9) + CHOOSE(CONTROL!$C$38, 0.0342, 0)</f>
        <v>42.126799999999996</v>
      </c>
      <c r="G551" s="17">
        <f>38.686 * CHOOSE(CONTROL!$C$15, $E$9, 100%, $G$9) + CHOOSE(CONTROL!$C$38, 0.0343, 0)</f>
        <v>38.720300000000002</v>
      </c>
      <c r="H551" s="17">
        <f>38.686 * CHOOSE(CONTROL!$C$15, $E$9, 100%, $G$9) + CHOOSE(CONTROL!$C$38, 0.0343, 0)</f>
        <v>38.720300000000002</v>
      </c>
      <c r="I551" s="17">
        <f>38.6876 * CHOOSE(CONTROL!$C$15, $E$9, 100%, $G$9) + CHOOSE(CONTROL!$C$38, 0.0343, 0)</f>
        <v>38.721900000000005</v>
      </c>
      <c r="J551" s="45">
        <f>293.229</f>
        <v>293.22899999999998</v>
      </c>
    </row>
    <row r="552" spans="1:10" ht="15.75" x14ac:dyDescent="0.25">
      <c r="A552" s="13">
        <v>57741</v>
      </c>
      <c r="B552" s="17">
        <f>43.5089 * CHOOSE(CONTROL!$C$15, $E$9, 100%, $G$9) + CHOOSE(CONTROL!$C$38, 0.0342, 0)</f>
        <v>43.543099999999995</v>
      </c>
      <c r="C552" s="17">
        <f>40.0492 * CHOOSE(CONTROL!$C$15, $E$9, 100%, $G$9) + CHOOSE(CONTROL!$C$38, 0.0343, 0)</f>
        <v>40.083500000000001</v>
      </c>
      <c r="D552" s="17">
        <f>40.0414 * CHOOSE(CONTROL!$C$15, $E$9, 100%, $G$9) + CHOOSE(CONTROL!$C$38, 0.0343, 0)</f>
        <v>40.075700000000005</v>
      </c>
      <c r="E552" s="17">
        <f>40.0414 * CHOOSE(CONTROL!$C$15, $E$9, 100%, $G$9) + CHOOSE(CONTROL!$C$38, 0.0343, 0)</f>
        <v>40.075700000000005</v>
      </c>
      <c r="F552" s="46">
        <f>43.5089 * CHOOSE(CONTROL!$C$15, $E$9, 100%, $G$9) + CHOOSE(CONTROL!$C$38, 0.0342, 0)</f>
        <v>43.543099999999995</v>
      </c>
      <c r="G552" s="17">
        <f>40.0477 * CHOOSE(CONTROL!$C$15, $E$9, 100%, $G$9) + CHOOSE(CONTROL!$C$38, 0.0343, 0)</f>
        <v>40.082000000000001</v>
      </c>
      <c r="H552" s="17">
        <f>40.0477 * CHOOSE(CONTROL!$C$15, $E$9, 100%, $G$9) + CHOOSE(CONTROL!$C$38, 0.0343, 0)</f>
        <v>40.082000000000001</v>
      </c>
      <c r="I552" s="17">
        <f>40.0492 * CHOOSE(CONTROL!$C$15, $E$9, 100%, $G$9) + CHOOSE(CONTROL!$C$38, 0.0343, 0)</f>
        <v>40.083500000000001</v>
      </c>
      <c r="J552" s="45">
        <f>293.0173</f>
        <v>293.01729999999998</v>
      </c>
    </row>
    <row r="553" spans="1:10" ht="15.75" x14ac:dyDescent="0.25">
      <c r="A553" s="13">
        <v>57769</v>
      </c>
      <c r="B553" s="17">
        <f>43.8532 * CHOOSE(CONTROL!$C$15, $E$9, 100%, $G$9) + CHOOSE(CONTROL!$C$38, 0.0342, 0)</f>
        <v>43.8874</v>
      </c>
      <c r="C553" s="17">
        <f>40.3935 * CHOOSE(CONTROL!$C$15, $E$9, 100%, $G$9) + CHOOSE(CONTROL!$C$38, 0.0343, 0)</f>
        <v>40.427800000000005</v>
      </c>
      <c r="D553" s="17">
        <f>40.3857 * CHOOSE(CONTROL!$C$15, $E$9, 100%, $G$9) + CHOOSE(CONTROL!$C$38, 0.0343, 0)</f>
        <v>40.42</v>
      </c>
      <c r="E553" s="17">
        <f>40.3857 * CHOOSE(CONTROL!$C$15, $E$9, 100%, $G$9) + CHOOSE(CONTROL!$C$38, 0.0343, 0)</f>
        <v>40.42</v>
      </c>
      <c r="F553" s="46">
        <f>43.8532 * CHOOSE(CONTROL!$C$15, $E$9, 100%, $G$9) + CHOOSE(CONTROL!$C$38, 0.0342, 0)</f>
        <v>43.8874</v>
      </c>
      <c r="G553" s="17">
        <f>40.392 * CHOOSE(CONTROL!$C$15, $E$9, 100%, $G$9) + CHOOSE(CONTROL!$C$38, 0.0343, 0)</f>
        <v>40.426300000000005</v>
      </c>
      <c r="H553" s="17">
        <f>40.392 * CHOOSE(CONTROL!$C$15, $E$9, 100%, $G$9) + CHOOSE(CONTROL!$C$38, 0.0343, 0)</f>
        <v>40.426300000000005</v>
      </c>
      <c r="I553" s="17">
        <f>40.3935 * CHOOSE(CONTROL!$C$15, $E$9, 100%, $G$9) + CHOOSE(CONTROL!$C$38, 0.0343, 0)</f>
        <v>40.427800000000005</v>
      </c>
      <c r="J553" s="45">
        <f>292.2028</f>
        <v>292.20280000000002</v>
      </c>
    </row>
    <row r="554" spans="1:10" ht="15.75" x14ac:dyDescent="0.25">
      <c r="A554" s="13">
        <v>57800</v>
      </c>
      <c r="B554" s="17">
        <f>43.0562 * CHOOSE(CONTROL!$C$15, $E$9, 100%, $G$9) + CHOOSE(CONTROL!$C$38, 0.0342, 0)</f>
        <v>43.090399999999995</v>
      </c>
      <c r="C554" s="17">
        <f>39.5965 * CHOOSE(CONTROL!$C$15, $E$9, 100%, $G$9) + CHOOSE(CONTROL!$C$38, 0.0343, 0)</f>
        <v>39.630800000000001</v>
      </c>
      <c r="D554" s="17">
        <f>39.5887 * CHOOSE(CONTROL!$C$15, $E$9, 100%, $G$9) + CHOOSE(CONTROL!$C$38, 0.0343, 0)</f>
        <v>39.623000000000005</v>
      </c>
      <c r="E554" s="17">
        <f>39.5887 * CHOOSE(CONTROL!$C$15, $E$9, 100%, $G$9) + CHOOSE(CONTROL!$C$38, 0.0343, 0)</f>
        <v>39.623000000000005</v>
      </c>
      <c r="F554" s="46">
        <f>43.0562 * CHOOSE(CONTROL!$C$15, $E$9, 100%, $G$9) + CHOOSE(CONTROL!$C$38, 0.0342, 0)</f>
        <v>43.090399999999995</v>
      </c>
      <c r="G554" s="17">
        <f>39.5949 * CHOOSE(CONTROL!$C$15, $E$9, 100%, $G$9) + CHOOSE(CONTROL!$C$38, 0.0343, 0)</f>
        <v>39.629200000000004</v>
      </c>
      <c r="H554" s="17">
        <f>39.5949 * CHOOSE(CONTROL!$C$15, $E$9, 100%, $G$9) + CHOOSE(CONTROL!$C$38, 0.0343, 0)</f>
        <v>39.629200000000004</v>
      </c>
      <c r="I554" s="17">
        <f>39.5965 * CHOOSE(CONTROL!$C$15, $E$9, 100%, $G$9) + CHOOSE(CONTROL!$C$38, 0.0343, 0)</f>
        <v>39.630800000000001</v>
      </c>
      <c r="J554" s="45">
        <f>307.6035</f>
        <v>307.6035</v>
      </c>
    </row>
    <row r="555" spans="1:10" ht="15.75" x14ac:dyDescent="0.25">
      <c r="A555" s="13">
        <v>57830</v>
      </c>
      <c r="B555" s="17">
        <f>42.2839 * CHOOSE(CONTROL!$C$15, $E$9, 100%, $G$9) + CHOOSE(CONTROL!$C$38, 0.0342, 0)</f>
        <v>42.318100000000001</v>
      </c>
      <c r="C555" s="17">
        <f>39.0196 * CHOOSE(CONTROL!$C$15, $E$9, 100%, $G$9) + CHOOSE(CONTROL!$C$38, 0.0343, 0)</f>
        <v>39.053899999999999</v>
      </c>
      <c r="D555" s="17">
        <f>39.0118 * CHOOSE(CONTROL!$C$15, $E$9, 100%, $G$9) + CHOOSE(CONTROL!$C$38, 0.0343, 0)</f>
        <v>39.046100000000003</v>
      </c>
      <c r="E555" s="17">
        <f>39.0118 * CHOOSE(CONTROL!$C$15, $E$9, 100%, $G$9) + CHOOSE(CONTROL!$C$38, 0.0343, 0)</f>
        <v>39.046100000000003</v>
      </c>
      <c r="F555" s="46">
        <f>42.2839 * CHOOSE(CONTROL!$C$15, $E$9, 100%, $G$9) + CHOOSE(CONTROL!$C$38, 0.0342, 0)</f>
        <v>42.318100000000001</v>
      </c>
      <c r="G555" s="17">
        <f>39.0181 * CHOOSE(CONTROL!$C$15, $E$9, 100%, $G$9) + CHOOSE(CONTROL!$C$38, 0.0343, 0)</f>
        <v>39.052399999999999</v>
      </c>
      <c r="H555" s="17">
        <f>39.0181 * CHOOSE(CONTROL!$C$15, $E$9, 100%, $G$9) + CHOOSE(CONTROL!$C$38, 0.0343, 0)</f>
        <v>39.052399999999999</v>
      </c>
      <c r="I555" s="17">
        <f>39.0196 * CHOOSE(CONTROL!$C$15, $E$9, 100%, $G$9) + CHOOSE(CONTROL!$C$38, 0.0343, 0)</f>
        <v>39.053899999999999</v>
      </c>
      <c r="J555" s="45">
        <f>327.5747</f>
        <v>327.57470000000001</v>
      </c>
    </row>
    <row r="556" spans="1:10" ht="15.75" x14ac:dyDescent="0.25">
      <c r="A556" s="13">
        <v>57861</v>
      </c>
      <c r="B556" s="17">
        <f>41.4789 * CHOOSE(CONTROL!$C$15, $E$9, 100%, $G$9) + CHOOSE(CONTROL!$C$38, 0.0355, 0)</f>
        <v>41.514400000000002</v>
      </c>
      <c r="C556" s="17">
        <f>38.0192 * CHOOSE(CONTROL!$C$15, $E$9, 100%, $G$9) + CHOOSE(CONTROL!$C$38, 0.0356, 0)</f>
        <v>38.0548</v>
      </c>
      <c r="D556" s="17">
        <f>38.0114 * CHOOSE(CONTROL!$C$15, $E$9, 100%, $G$9) + CHOOSE(CONTROL!$C$38, 0.0356, 0)</f>
        <v>38.047000000000004</v>
      </c>
      <c r="E556" s="17">
        <f>38.0114 * CHOOSE(CONTROL!$C$15, $E$9, 100%, $G$9) + CHOOSE(CONTROL!$C$38, 0.0356, 0)</f>
        <v>38.047000000000004</v>
      </c>
      <c r="F556" s="46">
        <f>41.4789 * CHOOSE(CONTROL!$C$15, $E$9, 100%, $G$9) + CHOOSE(CONTROL!$C$38, 0.0355, 0)</f>
        <v>41.514400000000002</v>
      </c>
      <c r="G556" s="17">
        <f>38.0177 * CHOOSE(CONTROL!$C$15, $E$9, 100%, $G$9) + CHOOSE(CONTROL!$C$38, 0.0356, 0)</f>
        <v>38.0533</v>
      </c>
      <c r="H556" s="17">
        <f>38.0177 * CHOOSE(CONTROL!$C$15, $E$9, 100%, $G$9) + CHOOSE(CONTROL!$C$38, 0.0356, 0)</f>
        <v>38.0533</v>
      </c>
      <c r="I556" s="17">
        <f>38.0192 * CHOOSE(CONTROL!$C$15, $E$9, 100%, $G$9) + CHOOSE(CONTROL!$C$38, 0.0356, 0)</f>
        <v>38.0548</v>
      </c>
      <c r="J556" s="45">
        <f>338.5674</f>
        <v>338.56740000000002</v>
      </c>
    </row>
    <row r="557" spans="1:10" ht="15.75" x14ac:dyDescent="0.25">
      <c r="A557" s="13">
        <v>57891</v>
      </c>
      <c r="B557" s="17">
        <f>40.9146 * CHOOSE(CONTROL!$C$15, $E$9, 100%, $G$9) + CHOOSE(CONTROL!$C$38, 0.0355, 0)</f>
        <v>40.950099999999999</v>
      </c>
      <c r="C557" s="17">
        <f>37.4549 * CHOOSE(CONTROL!$C$15, $E$9, 100%, $G$9) + CHOOSE(CONTROL!$C$38, 0.0356, 0)</f>
        <v>37.490500000000004</v>
      </c>
      <c r="D557" s="17">
        <f>37.4471 * CHOOSE(CONTROL!$C$15, $E$9, 100%, $G$9) + CHOOSE(CONTROL!$C$38, 0.0356, 0)</f>
        <v>37.482700000000001</v>
      </c>
      <c r="E557" s="17">
        <f>37.4471 * CHOOSE(CONTROL!$C$15, $E$9, 100%, $G$9) + CHOOSE(CONTROL!$C$38, 0.0356, 0)</f>
        <v>37.482700000000001</v>
      </c>
      <c r="F557" s="46">
        <f>40.9146 * CHOOSE(CONTROL!$C$15, $E$9, 100%, $G$9) + CHOOSE(CONTROL!$C$38, 0.0355, 0)</f>
        <v>40.950099999999999</v>
      </c>
      <c r="G557" s="17">
        <f>37.4533 * CHOOSE(CONTROL!$C$15, $E$9, 100%, $G$9) + CHOOSE(CONTROL!$C$38, 0.0356, 0)</f>
        <v>37.488900000000001</v>
      </c>
      <c r="H557" s="17">
        <f>37.4533 * CHOOSE(CONTROL!$C$15, $E$9, 100%, $G$9) + CHOOSE(CONTROL!$C$38, 0.0356, 0)</f>
        <v>37.488900000000001</v>
      </c>
      <c r="I557" s="17">
        <f>37.4549 * CHOOSE(CONTROL!$C$15, $E$9, 100%, $G$9) + CHOOSE(CONTROL!$C$38, 0.0356, 0)</f>
        <v>37.490500000000004</v>
      </c>
      <c r="J557" s="45">
        <f>343.4458</f>
        <v>343.44580000000002</v>
      </c>
    </row>
    <row r="558" spans="1:10" ht="15.75" x14ac:dyDescent="0.25">
      <c r="A558" s="13">
        <v>57922</v>
      </c>
      <c r="B558" s="17">
        <f>40.5925 * CHOOSE(CONTROL!$C$15, $E$9, 100%, $G$9) + CHOOSE(CONTROL!$C$38, 0.0355, 0)</f>
        <v>40.628</v>
      </c>
      <c r="C558" s="17">
        <f>37.1328 * CHOOSE(CONTROL!$C$15, $E$9, 100%, $G$9) + CHOOSE(CONTROL!$C$38, 0.0356, 0)</f>
        <v>37.168400000000005</v>
      </c>
      <c r="D558" s="17">
        <f>37.125 * CHOOSE(CONTROL!$C$15, $E$9, 100%, $G$9) + CHOOSE(CONTROL!$C$38, 0.0356, 0)</f>
        <v>37.160600000000002</v>
      </c>
      <c r="E558" s="17">
        <f>37.125 * CHOOSE(CONTROL!$C$15, $E$9, 100%, $G$9) + CHOOSE(CONTROL!$C$38, 0.0356, 0)</f>
        <v>37.160600000000002</v>
      </c>
      <c r="F558" s="46">
        <f>40.5925 * CHOOSE(CONTROL!$C$15, $E$9, 100%, $G$9) + CHOOSE(CONTROL!$C$38, 0.0355, 0)</f>
        <v>40.628</v>
      </c>
      <c r="G558" s="17">
        <f>37.1313 * CHOOSE(CONTROL!$C$15, $E$9, 100%, $G$9) + CHOOSE(CONTROL!$C$38, 0.0356, 0)</f>
        <v>37.166900000000005</v>
      </c>
      <c r="H558" s="17">
        <f>37.1313 * CHOOSE(CONTROL!$C$15, $E$9, 100%, $G$9) + CHOOSE(CONTROL!$C$38, 0.0356, 0)</f>
        <v>37.166900000000005</v>
      </c>
      <c r="I558" s="17">
        <f>37.1328 * CHOOSE(CONTROL!$C$15, $E$9, 100%, $G$9) + CHOOSE(CONTROL!$C$38, 0.0356, 0)</f>
        <v>37.168400000000005</v>
      </c>
      <c r="J558" s="45">
        <f>341.8396</f>
        <v>341.83960000000002</v>
      </c>
    </row>
    <row r="559" spans="1:10" ht="15.75" x14ac:dyDescent="0.25">
      <c r="A559" s="13">
        <v>57953</v>
      </c>
      <c r="B559" s="17">
        <f>40.7514 * CHOOSE(CONTROL!$C$15, $E$9, 100%, $G$9) + CHOOSE(CONTROL!$C$38, 0.0355, 0)</f>
        <v>40.786899999999996</v>
      </c>
      <c r="C559" s="17">
        <f>37.2918 * CHOOSE(CONTROL!$C$15, $E$9, 100%, $G$9) + CHOOSE(CONTROL!$C$38, 0.0356, 0)</f>
        <v>37.327400000000004</v>
      </c>
      <c r="D559" s="17">
        <f>37.284 * CHOOSE(CONTROL!$C$15, $E$9, 100%, $G$9) + CHOOSE(CONTROL!$C$38, 0.0356, 0)</f>
        <v>37.319600000000001</v>
      </c>
      <c r="E559" s="17">
        <f>37.284 * CHOOSE(CONTROL!$C$15, $E$9, 100%, $G$9) + CHOOSE(CONTROL!$C$38, 0.0356, 0)</f>
        <v>37.319600000000001</v>
      </c>
      <c r="F559" s="46">
        <f>40.7514 * CHOOSE(CONTROL!$C$15, $E$9, 100%, $G$9) + CHOOSE(CONTROL!$C$38, 0.0355, 0)</f>
        <v>40.786899999999996</v>
      </c>
      <c r="G559" s="17">
        <f>37.2902 * CHOOSE(CONTROL!$C$15, $E$9, 100%, $G$9) + CHOOSE(CONTROL!$C$38, 0.0356, 0)</f>
        <v>37.325800000000001</v>
      </c>
      <c r="H559" s="17">
        <f>37.2902 * CHOOSE(CONTROL!$C$15, $E$9, 100%, $G$9) + CHOOSE(CONTROL!$C$38, 0.0356, 0)</f>
        <v>37.325800000000001</v>
      </c>
      <c r="I559" s="17">
        <f>37.2918 * CHOOSE(CONTROL!$C$15, $E$9, 100%, $G$9) + CHOOSE(CONTROL!$C$38, 0.0356, 0)</f>
        <v>37.327400000000004</v>
      </c>
      <c r="J559" s="45">
        <f>333.8817</f>
        <v>333.88170000000002</v>
      </c>
    </row>
    <row r="560" spans="1:10" ht="15.75" x14ac:dyDescent="0.25">
      <c r="A560" s="13">
        <v>57983</v>
      </c>
      <c r="B560" s="17">
        <f>41.1832 * CHOOSE(CONTROL!$C$15, $E$9, 100%, $G$9) + CHOOSE(CONTROL!$C$38, 0.0355, 0)</f>
        <v>41.218699999999998</v>
      </c>
      <c r="C560" s="17">
        <f>37.7235 * CHOOSE(CONTROL!$C$15, $E$9, 100%, $G$9) + CHOOSE(CONTROL!$C$38, 0.0356, 0)</f>
        <v>37.759100000000004</v>
      </c>
      <c r="D560" s="17">
        <f>37.7157 * CHOOSE(CONTROL!$C$15, $E$9, 100%, $G$9) + CHOOSE(CONTROL!$C$38, 0.0356, 0)</f>
        <v>37.751300000000001</v>
      </c>
      <c r="E560" s="17">
        <f>37.7157 * CHOOSE(CONTROL!$C$15, $E$9, 100%, $G$9) + CHOOSE(CONTROL!$C$38, 0.0356, 0)</f>
        <v>37.751300000000001</v>
      </c>
      <c r="F560" s="46">
        <f>41.1832 * CHOOSE(CONTROL!$C$15, $E$9, 100%, $G$9) + CHOOSE(CONTROL!$C$38, 0.0355, 0)</f>
        <v>41.218699999999998</v>
      </c>
      <c r="G560" s="17">
        <f>37.7219 * CHOOSE(CONTROL!$C$15, $E$9, 100%, $G$9) + CHOOSE(CONTROL!$C$38, 0.0356, 0)</f>
        <v>37.7575</v>
      </c>
      <c r="H560" s="17">
        <f>37.7219 * CHOOSE(CONTROL!$C$15, $E$9, 100%, $G$9) + CHOOSE(CONTROL!$C$38, 0.0356, 0)</f>
        <v>37.7575</v>
      </c>
      <c r="I560" s="17">
        <f>37.7235 * CHOOSE(CONTROL!$C$15, $E$9, 100%, $G$9) + CHOOSE(CONTROL!$C$38, 0.0356, 0)</f>
        <v>37.759100000000004</v>
      </c>
      <c r="J560" s="45">
        <f>322.7841</f>
        <v>322.78410000000002</v>
      </c>
    </row>
    <row r="561" spans="1:10" ht="15.75" x14ac:dyDescent="0.25">
      <c r="A561" s="13">
        <v>58014</v>
      </c>
      <c r="B561" s="17">
        <f>41.5447 * CHOOSE(CONTROL!$C$15, $E$9, 100%, $G$9) + CHOOSE(CONTROL!$C$38, 0.0342, 0)</f>
        <v>41.578899999999997</v>
      </c>
      <c r="C561" s="17">
        <f>38.0851 * CHOOSE(CONTROL!$C$15, $E$9, 100%, $G$9) + CHOOSE(CONTROL!$C$38, 0.0343, 0)</f>
        <v>38.119399999999999</v>
      </c>
      <c r="D561" s="17">
        <f>38.0773 * CHOOSE(CONTROL!$C$15, $E$9, 100%, $G$9) + CHOOSE(CONTROL!$C$38, 0.0343, 0)</f>
        <v>38.111600000000003</v>
      </c>
      <c r="E561" s="17">
        <f>38.0773 * CHOOSE(CONTROL!$C$15, $E$9, 100%, $G$9) + CHOOSE(CONTROL!$C$38, 0.0343, 0)</f>
        <v>38.111600000000003</v>
      </c>
      <c r="F561" s="46">
        <f>41.5447 * CHOOSE(CONTROL!$C$15, $E$9, 100%, $G$9) + CHOOSE(CONTROL!$C$38, 0.0342, 0)</f>
        <v>41.578899999999997</v>
      </c>
      <c r="G561" s="17">
        <f>38.0835 * CHOOSE(CONTROL!$C$15, $E$9, 100%, $G$9) + CHOOSE(CONTROL!$C$38, 0.0343, 0)</f>
        <v>38.117800000000003</v>
      </c>
      <c r="H561" s="17">
        <f>38.0835 * CHOOSE(CONTROL!$C$15, $E$9, 100%, $G$9) + CHOOSE(CONTROL!$C$38, 0.0343, 0)</f>
        <v>38.117800000000003</v>
      </c>
      <c r="I561" s="17">
        <f>38.0851 * CHOOSE(CONTROL!$C$15, $E$9, 100%, $G$9) + CHOOSE(CONTROL!$C$38, 0.0343, 0)</f>
        <v>38.119399999999999</v>
      </c>
      <c r="J561" s="45">
        <f>311.6219</f>
        <v>311.62189999999998</v>
      </c>
    </row>
    <row r="562" spans="1:10" ht="15.75" x14ac:dyDescent="0.25">
      <c r="A562" s="13">
        <v>58044</v>
      </c>
      <c r="B562" s="17">
        <f>41.8464 * CHOOSE(CONTROL!$C$15, $E$9, 100%, $G$9) + CHOOSE(CONTROL!$C$38, 0.0342, 0)</f>
        <v>41.880600000000001</v>
      </c>
      <c r="C562" s="17">
        <f>38.3868 * CHOOSE(CONTROL!$C$15, $E$9, 100%, $G$9) + CHOOSE(CONTROL!$C$38, 0.0343, 0)</f>
        <v>38.421100000000003</v>
      </c>
      <c r="D562" s="17">
        <f>38.379 * CHOOSE(CONTROL!$C$15, $E$9, 100%, $G$9) + CHOOSE(CONTROL!$C$38, 0.0343, 0)</f>
        <v>38.4133</v>
      </c>
      <c r="E562" s="17">
        <f>38.379 * CHOOSE(CONTROL!$C$15, $E$9, 100%, $G$9) + CHOOSE(CONTROL!$C$38, 0.0343, 0)</f>
        <v>38.4133</v>
      </c>
      <c r="F562" s="46">
        <f>41.8464 * CHOOSE(CONTROL!$C$15, $E$9, 100%, $G$9) + CHOOSE(CONTROL!$C$38, 0.0342, 0)</f>
        <v>41.880600000000001</v>
      </c>
      <c r="G562" s="17">
        <f>38.3852 * CHOOSE(CONTROL!$C$15, $E$9, 100%, $G$9) + CHOOSE(CONTROL!$C$38, 0.0343, 0)</f>
        <v>38.419499999999999</v>
      </c>
      <c r="H562" s="17">
        <f>38.3852 * CHOOSE(CONTROL!$C$15, $E$9, 100%, $G$9) + CHOOSE(CONTROL!$C$38, 0.0343, 0)</f>
        <v>38.419499999999999</v>
      </c>
      <c r="I562" s="17">
        <f>38.3868 * CHOOSE(CONTROL!$C$15, $E$9, 100%, $G$9) + CHOOSE(CONTROL!$C$38, 0.0343, 0)</f>
        <v>38.421100000000003</v>
      </c>
      <c r="J562" s="45">
        <f>309.4015</f>
        <v>309.4015</v>
      </c>
    </row>
    <row r="563" spans="1:10" ht="15.75" x14ac:dyDescent="0.25">
      <c r="A563" s="13">
        <v>58075</v>
      </c>
      <c r="B563" s="17">
        <f>42.7761 * CHOOSE(CONTROL!$C$15, $E$9, 100%, $G$9) + CHOOSE(CONTROL!$C$38, 0.0342, 0)</f>
        <v>42.810299999999998</v>
      </c>
      <c r="C563" s="17">
        <f>39.3164 * CHOOSE(CONTROL!$C$15, $E$9, 100%, $G$9) + CHOOSE(CONTROL!$C$38, 0.0343, 0)</f>
        <v>39.350700000000003</v>
      </c>
      <c r="D563" s="17">
        <f>39.3086 * CHOOSE(CONTROL!$C$15, $E$9, 100%, $G$9) + CHOOSE(CONTROL!$C$38, 0.0343, 0)</f>
        <v>39.3429</v>
      </c>
      <c r="E563" s="17">
        <f>39.3086 * CHOOSE(CONTROL!$C$15, $E$9, 100%, $G$9) + CHOOSE(CONTROL!$C$38, 0.0343, 0)</f>
        <v>39.3429</v>
      </c>
      <c r="F563" s="46">
        <f>42.7761 * CHOOSE(CONTROL!$C$15, $E$9, 100%, $G$9) + CHOOSE(CONTROL!$C$38, 0.0342, 0)</f>
        <v>42.810299999999998</v>
      </c>
      <c r="G563" s="17">
        <f>39.3149 * CHOOSE(CONTROL!$C$15, $E$9, 100%, $G$9) + CHOOSE(CONTROL!$C$38, 0.0343, 0)</f>
        <v>39.349200000000003</v>
      </c>
      <c r="H563" s="17">
        <f>39.3149 * CHOOSE(CONTROL!$C$15, $E$9, 100%, $G$9) + CHOOSE(CONTROL!$C$38, 0.0343, 0)</f>
        <v>39.349200000000003</v>
      </c>
      <c r="I563" s="17">
        <f>39.3164 * CHOOSE(CONTROL!$C$15, $E$9, 100%, $G$9) + CHOOSE(CONTROL!$C$38, 0.0343, 0)</f>
        <v>39.350700000000003</v>
      </c>
      <c r="J563" s="45">
        <f>300.22</f>
        <v>300.22000000000003</v>
      </c>
    </row>
    <row r="564" spans="1:10" ht="15.75" x14ac:dyDescent="0.25">
      <c r="A564" s="13">
        <v>58106</v>
      </c>
      <c r="B564" s="17">
        <f>44.2038 * CHOOSE(CONTROL!$C$15, $E$9, 100%, $G$9) + CHOOSE(CONTROL!$C$38, 0.0342, 0)</f>
        <v>44.238</v>
      </c>
      <c r="C564" s="17">
        <f>40.6887 * CHOOSE(CONTROL!$C$15, $E$9, 100%, $G$9) + CHOOSE(CONTROL!$C$38, 0.0343, 0)</f>
        <v>40.722999999999999</v>
      </c>
      <c r="D564" s="17">
        <f>40.6808 * CHOOSE(CONTROL!$C$15, $E$9, 100%, $G$9) + CHOOSE(CONTROL!$C$38, 0.0343, 0)</f>
        <v>40.7151</v>
      </c>
      <c r="E564" s="17">
        <f>40.6808 * CHOOSE(CONTROL!$C$15, $E$9, 100%, $G$9) + CHOOSE(CONTROL!$C$38, 0.0343, 0)</f>
        <v>40.7151</v>
      </c>
      <c r="F564" s="46">
        <f>44.2038 * CHOOSE(CONTROL!$C$15, $E$9, 100%, $G$9) + CHOOSE(CONTROL!$C$38, 0.0342, 0)</f>
        <v>44.238</v>
      </c>
      <c r="G564" s="17">
        <f>40.6871 * CHOOSE(CONTROL!$C$15, $E$9, 100%, $G$9) + CHOOSE(CONTROL!$C$38, 0.0343, 0)</f>
        <v>40.721400000000003</v>
      </c>
      <c r="H564" s="17">
        <f>40.6871 * CHOOSE(CONTROL!$C$15, $E$9, 100%, $G$9) + CHOOSE(CONTROL!$C$38, 0.0343, 0)</f>
        <v>40.721400000000003</v>
      </c>
      <c r="I564" s="17">
        <f>40.6887 * CHOOSE(CONTROL!$C$15, $E$9, 100%, $G$9) + CHOOSE(CONTROL!$C$38, 0.0343, 0)</f>
        <v>40.722999999999999</v>
      </c>
      <c r="J564" s="45">
        <f>300.0032</f>
        <v>300.00319999999999</v>
      </c>
    </row>
    <row r="565" spans="1:10" ht="15.75" x14ac:dyDescent="0.25">
      <c r="A565" s="13">
        <v>58134</v>
      </c>
      <c r="B565" s="17">
        <f>44.5481 * CHOOSE(CONTROL!$C$15, $E$9, 100%, $G$9) + CHOOSE(CONTROL!$C$38, 0.0342, 0)</f>
        <v>44.582299999999996</v>
      </c>
      <c r="C565" s="17">
        <f>41.033 * CHOOSE(CONTROL!$C$15, $E$9, 100%, $G$9) + CHOOSE(CONTROL!$C$38, 0.0343, 0)</f>
        <v>41.067300000000003</v>
      </c>
      <c r="D565" s="17">
        <f>41.0252 * CHOOSE(CONTROL!$C$15, $E$9, 100%, $G$9) + CHOOSE(CONTROL!$C$38, 0.0343, 0)</f>
        <v>41.0595</v>
      </c>
      <c r="E565" s="17">
        <f>41.0252 * CHOOSE(CONTROL!$C$15, $E$9, 100%, $G$9) + CHOOSE(CONTROL!$C$38, 0.0343, 0)</f>
        <v>41.0595</v>
      </c>
      <c r="F565" s="46">
        <f>44.5481 * CHOOSE(CONTROL!$C$15, $E$9, 100%, $G$9) + CHOOSE(CONTROL!$C$38, 0.0342, 0)</f>
        <v>44.582299999999996</v>
      </c>
      <c r="G565" s="17">
        <f>41.0314 * CHOOSE(CONTROL!$C$15, $E$9, 100%, $G$9) + CHOOSE(CONTROL!$C$38, 0.0343, 0)</f>
        <v>41.0657</v>
      </c>
      <c r="H565" s="17">
        <f>41.0314 * CHOOSE(CONTROL!$C$15, $E$9, 100%, $G$9) + CHOOSE(CONTROL!$C$38, 0.0343, 0)</f>
        <v>41.0657</v>
      </c>
      <c r="I565" s="17">
        <f>41.033 * CHOOSE(CONTROL!$C$15, $E$9, 100%, $G$9) + CHOOSE(CONTROL!$C$38, 0.0343, 0)</f>
        <v>41.067300000000003</v>
      </c>
      <c r="J565" s="45">
        <f>299.1693</f>
        <v>299.16930000000002</v>
      </c>
    </row>
    <row r="566" spans="1:10" ht="15.75" x14ac:dyDescent="0.25">
      <c r="A566" s="13">
        <v>58165</v>
      </c>
      <c r="B566" s="17">
        <f>43.7511 * CHOOSE(CONTROL!$C$15, $E$9, 100%, $G$9) + CHOOSE(CONTROL!$C$38, 0.0342, 0)</f>
        <v>43.785299999999999</v>
      </c>
      <c r="C566" s="17">
        <f>40.2359 * CHOOSE(CONTROL!$C$15, $E$9, 100%, $G$9) + CHOOSE(CONTROL!$C$38, 0.0343, 0)</f>
        <v>40.270200000000003</v>
      </c>
      <c r="D566" s="17">
        <f>40.2281 * CHOOSE(CONTROL!$C$15, $E$9, 100%, $G$9) + CHOOSE(CONTROL!$C$38, 0.0343, 0)</f>
        <v>40.2624</v>
      </c>
      <c r="E566" s="17">
        <f>40.2281 * CHOOSE(CONTROL!$C$15, $E$9, 100%, $G$9) + CHOOSE(CONTROL!$C$38, 0.0343, 0)</f>
        <v>40.2624</v>
      </c>
      <c r="F566" s="46">
        <f>43.7511 * CHOOSE(CONTROL!$C$15, $E$9, 100%, $G$9) + CHOOSE(CONTROL!$C$38, 0.0342, 0)</f>
        <v>43.785299999999999</v>
      </c>
      <c r="G566" s="17">
        <f>40.2344 * CHOOSE(CONTROL!$C$15, $E$9, 100%, $G$9) + CHOOSE(CONTROL!$C$38, 0.0343, 0)</f>
        <v>40.268700000000003</v>
      </c>
      <c r="H566" s="17">
        <f>40.2344 * CHOOSE(CONTROL!$C$15, $E$9, 100%, $G$9) + CHOOSE(CONTROL!$C$38, 0.0343, 0)</f>
        <v>40.268700000000003</v>
      </c>
      <c r="I566" s="17">
        <f>40.2359 * CHOOSE(CONTROL!$C$15, $E$9, 100%, $G$9) + CHOOSE(CONTROL!$C$38, 0.0343, 0)</f>
        <v>40.270200000000003</v>
      </c>
      <c r="J566" s="45">
        <f>314.9373</f>
        <v>314.93729999999999</v>
      </c>
    </row>
    <row r="567" spans="1:10" ht="15.75" x14ac:dyDescent="0.25">
      <c r="A567" s="13">
        <v>58195</v>
      </c>
      <c r="B567" s="17">
        <f>42.9788 * CHOOSE(CONTROL!$C$15, $E$9, 100%, $G$9) + CHOOSE(CONTROL!$C$38, 0.0342, 0)</f>
        <v>43.012999999999998</v>
      </c>
      <c r="C567" s="17">
        <f>39.4636 * CHOOSE(CONTROL!$C$15, $E$9, 100%, $G$9) + CHOOSE(CONTROL!$C$38, 0.0343, 0)</f>
        <v>39.497900000000001</v>
      </c>
      <c r="D567" s="17">
        <f>39.4558 * CHOOSE(CONTROL!$C$15, $E$9, 100%, $G$9) + CHOOSE(CONTROL!$C$38, 0.0343, 0)</f>
        <v>39.490100000000005</v>
      </c>
      <c r="E567" s="17">
        <f>39.4558 * CHOOSE(CONTROL!$C$15, $E$9, 100%, $G$9) + CHOOSE(CONTROL!$C$38, 0.0343, 0)</f>
        <v>39.490100000000005</v>
      </c>
      <c r="F567" s="46">
        <f>42.9788 * CHOOSE(CONTROL!$C$15, $E$9, 100%, $G$9) + CHOOSE(CONTROL!$C$38, 0.0342, 0)</f>
        <v>43.012999999999998</v>
      </c>
      <c r="G567" s="17">
        <f>39.4621 * CHOOSE(CONTROL!$C$15, $E$9, 100%, $G$9) + CHOOSE(CONTROL!$C$38, 0.0343, 0)</f>
        <v>39.496400000000001</v>
      </c>
      <c r="H567" s="17">
        <f>39.4621 * CHOOSE(CONTROL!$C$15, $E$9, 100%, $G$9) + CHOOSE(CONTROL!$C$38, 0.0343, 0)</f>
        <v>39.496400000000001</v>
      </c>
      <c r="I567" s="17">
        <f>39.4636 * CHOOSE(CONTROL!$C$15, $E$9, 100%, $G$9) + CHOOSE(CONTROL!$C$38, 0.0343, 0)</f>
        <v>39.497900000000001</v>
      </c>
      <c r="J567" s="45">
        <f>335.3845</f>
        <v>335.3845</v>
      </c>
    </row>
    <row r="568" spans="1:10" ht="15.75" x14ac:dyDescent="0.25">
      <c r="A568" s="13">
        <v>58226</v>
      </c>
      <c r="B568" s="17">
        <f>42.1738 * CHOOSE(CONTROL!$C$15, $E$9, 100%, $G$9) + CHOOSE(CONTROL!$C$38, 0.0355, 0)</f>
        <v>42.209299999999999</v>
      </c>
      <c r="C568" s="17">
        <f>38.8574 * CHOOSE(CONTROL!$C$15, $E$9, 100%, $G$9) + CHOOSE(CONTROL!$C$38, 0.0356, 0)</f>
        <v>38.893000000000001</v>
      </c>
      <c r="D568" s="17">
        <f>38.8496 * CHOOSE(CONTROL!$C$15, $E$9, 100%, $G$9) + CHOOSE(CONTROL!$C$38, 0.0356, 0)</f>
        <v>38.885200000000005</v>
      </c>
      <c r="E568" s="17">
        <f>38.8496 * CHOOSE(CONTROL!$C$15, $E$9, 100%, $G$9) + CHOOSE(CONTROL!$C$38, 0.0356, 0)</f>
        <v>38.885200000000005</v>
      </c>
      <c r="F568" s="46">
        <f>42.1738 * CHOOSE(CONTROL!$C$15, $E$9, 100%, $G$9) + CHOOSE(CONTROL!$C$38, 0.0355, 0)</f>
        <v>42.209299999999999</v>
      </c>
      <c r="G568" s="17">
        <f>38.8558 * CHOOSE(CONTROL!$C$15, $E$9, 100%, $G$9) + CHOOSE(CONTROL!$C$38, 0.0356, 0)</f>
        <v>38.891400000000004</v>
      </c>
      <c r="H568" s="17">
        <f>38.8558 * CHOOSE(CONTROL!$C$15, $E$9, 100%, $G$9) + CHOOSE(CONTROL!$C$38, 0.0356, 0)</f>
        <v>38.891400000000004</v>
      </c>
      <c r="I568" s="17">
        <f>38.8574 * CHOOSE(CONTROL!$C$15, $E$9, 100%, $G$9) + CHOOSE(CONTROL!$C$38, 0.0356, 0)</f>
        <v>38.893000000000001</v>
      </c>
      <c r="J568" s="45">
        <f>346.6394</f>
        <v>346.63940000000002</v>
      </c>
    </row>
    <row r="569" spans="1:10" ht="15.75" x14ac:dyDescent="0.25">
      <c r="A569" s="13">
        <v>58256</v>
      </c>
      <c r="B569" s="17">
        <f>41.6095 * CHOOSE(CONTROL!$C$15, $E$9, 100%, $G$9) + CHOOSE(CONTROL!$C$38, 0.0355, 0)</f>
        <v>41.644999999999996</v>
      </c>
      <c r="C569" s="17">
        <f>38.0943 * CHOOSE(CONTROL!$C$15, $E$9, 100%, $G$9) + CHOOSE(CONTROL!$C$38, 0.0356, 0)</f>
        <v>38.129899999999999</v>
      </c>
      <c r="D569" s="17">
        <f>38.0865 * CHOOSE(CONTROL!$C$15, $E$9, 100%, $G$9) + CHOOSE(CONTROL!$C$38, 0.0356, 0)</f>
        <v>38.122100000000003</v>
      </c>
      <c r="E569" s="17">
        <f>38.0865 * CHOOSE(CONTROL!$C$15, $E$9, 100%, $G$9) + CHOOSE(CONTROL!$C$38, 0.0356, 0)</f>
        <v>38.122100000000003</v>
      </c>
      <c r="F569" s="46">
        <f>41.6095 * CHOOSE(CONTROL!$C$15, $E$9, 100%, $G$9) + CHOOSE(CONTROL!$C$38, 0.0355, 0)</f>
        <v>41.644999999999996</v>
      </c>
      <c r="G569" s="17">
        <f>38.0928 * CHOOSE(CONTROL!$C$15, $E$9, 100%, $G$9) + CHOOSE(CONTROL!$C$38, 0.0356, 0)</f>
        <v>38.128399999999999</v>
      </c>
      <c r="H569" s="17">
        <f>38.0928 * CHOOSE(CONTROL!$C$15, $E$9, 100%, $G$9) + CHOOSE(CONTROL!$C$38, 0.0356, 0)</f>
        <v>38.128399999999999</v>
      </c>
      <c r="I569" s="17">
        <f>38.0943 * CHOOSE(CONTROL!$C$15, $E$9, 100%, $G$9) + CHOOSE(CONTROL!$C$38, 0.0356, 0)</f>
        <v>38.129899999999999</v>
      </c>
      <c r="J569" s="45">
        <f>351.6341</f>
        <v>351.63409999999999</v>
      </c>
    </row>
    <row r="570" spans="1:10" ht="15.75" x14ac:dyDescent="0.25">
      <c r="A570" s="13">
        <v>58287</v>
      </c>
      <c r="B570" s="17">
        <f>41.2874 * CHOOSE(CONTROL!$C$15, $E$9, 100%, $G$9) + CHOOSE(CONTROL!$C$38, 0.0355, 0)</f>
        <v>41.322899999999997</v>
      </c>
      <c r="C570" s="17">
        <f>37.7723 * CHOOSE(CONTROL!$C$15, $E$9, 100%, $G$9) + CHOOSE(CONTROL!$C$38, 0.0356, 0)</f>
        <v>37.807900000000004</v>
      </c>
      <c r="D570" s="17">
        <f>37.7645 * CHOOSE(CONTROL!$C$15, $E$9, 100%, $G$9) + CHOOSE(CONTROL!$C$38, 0.0356, 0)</f>
        <v>37.8001</v>
      </c>
      <c r="E570" s="17">
        <f>37.7645 * CHOOSE(CONTROL!$C$15, $E$9, 100%, $G$9) + CHOOSE(CONTROL!$C$38, 0.0356, 0)</f>
        <v>37.8001</v>
      </c>
      <c r="F570" s="46">
        <f>41.2874 * CHOOSE(CONTROL!$C$15, $E$9, 100%, $G$9) + CHOOSE(CONTROL!$C$38, 0.0355, 0)</f>
        <v>41.322899999999997</v>
      </c>
      <c r="G570" s="17">
        <f>37.7707 * CHOOSE(CONTROL!$C$15, $E$9, 100%, $G$9) + CHOOSE(CONTROL!$C$38, 0.0356, 0)</f>
        <v>37.8063</v>
      </c>
      <c r="H570" s="17">
        <f>37.7707 * CHOOSE(CONTROL!$C$15, $E$9, 100%, $G$9) + CHOOSE(CONTROL!$C$38, 0.0356, 0)</f>
        <v>37.8063</v>
      </c>
      <c r="I570" s="17">
        <f>37.7723 * CHOOSE(CONTROL!$C$15, $E$9, 100%, $G$9) + CHOOSE(CONTROL!$C$38, 0.0356, 0)</f>
        <v>37.807900000000004</v>
      </c>
      <c r="J570" s="45">
        <f>349.9896</f>
        <v>349.9896</v>
      </c>
    </row>
    <row r="571" spans="1:10" ht="15.75" x14ac:dyDescent="0.25">
      <c r="A571" s="13">
        <v>58318</v>
      </c>
      <c r="B571" s="17">
        <f>41.4464 * CHOOSE(CONTROL!$C$15, $E$9, 100%, $G$9) + CHOOSE(CONTROL!$C$38, 0.0355, 0)</f>
        <v>41.481899999999996</v>
      </c>
      <c r="C571" s="17">
        <f>37.9312 * CHOOSE(CONTROL!$C$15, $E$9, 100%, $G$9) + CHOOSE(CONTROL!$C$38, 0.0356, 0)</f>
        <v>37.966799999999999</v>
      </c>
      <c r="D571" s="17">
        <f>37.9234 * CHOOSE(CONTROL!$C$15, $E$9, 100%, $G$9) + CHOOSE(CONTROL!$C$38, 0.0356, 0)</f>
        <v>37.959000000000003</v>
      </c>
      <c r="E571" s="17">
        <f>37.9234 * CHOOSE(CONTROL!$C$15, $E$9, 100%, $G$9) + CHOOSE(CONTROL!$C$38, 0.0356, 0)</f>
        <v>37.959000000000003</v>
      </c>
      <c r="F571" s="46">
        <f>41.4464 * CHOOSE(CONTROL!$C$15, $E$9, 100%, $G$9) + CHOOSE(CONTROL!$C$38, 0.0355, 0)</f>
        <v>41.481899999999996</v>
      </c>
      <c r="G571" s="17">
        <f>37.9297 * CHOOSE(CONTROL!$C$15, $E$9, 100%, $G$9) + CHOOSE(CONTROL!$C$38, 0.0356, 0)</f>
        <v>37.965299999999999</v>
      </c>
      <c r="H571" s="17">
        <f>37.9297 * CHOOSE(CONTROL!$C$15, $E$9, 100%, $G$9) + CHOOSE(CONTROL!$C$38, 0.0356, 0)</f>
        <v>37.965299999999999</v>
      </c>
      <c r="I571" s="17">
        <f>37.9312 * CHOOSE(CONTROL!$C$15, $E$9, 100%, $G$9) + CHOOSE(CONTROL!$C$38, 0.0356, 0)</f>
        <v>37.966799999999999</v>
      </c>
      <c r="J571" s="45">
        <f>341.842</f>
        <v>341.84199999999998</v>
      </c>
    </row>
    <row r="572" spans="1:10" ht="15.75" x14ac:dyDescent="0.25">
      <c r="A572" s="13">
        <v>58348</v>
      </c>
      <c r="B572" s="17">
        <f>41.8781 * CHOOSE(CONTROL!$C$15, $E$9, 100%, $G$9) + CHOOSE(CONTROL!$C$38, 0.0355, 0)</f>
        <v>41.913600000000002</v>
      </c>
      <c r="C572" s="17">
        <f>38.3629 * CHOOSE(CONTROL!$C$15, $E$9, 100%, $G$9) + CHOOSE(CONTROL!$C$38, 0.0356, 0)</f>
        <v>38.398500000000006</v>
      </c>
      <c r="D572" s="17">
        <f>38.3551 * CHOOSE(CONTROL!$C$15, $E$9, 100%, $G$9) + CHOOSE(CONTROL!$C$38, 0.0356, 0)</f>
        <v>38.390700000000002</v>
      </c>
      <c r="E572" s="17">
        <f>38.3551 * CHOOSE(CONTROL!$C$15, $E$9, 100%, $G$9) + CHOOSE(CONTROL!$C$38, 0.0356, 0)</f>
        <v>38.390700000000002</v>
      </c>
      <c r="F572" s="46">
        <f>41.8781 * CHOOSE(CONTROL!$C$15, $E$9, 100%, $G$9) + CHOOSE(CONTROL!$C$38, 0.0355, 0)</f>
        <v>41.913600000000002</v>
      </c>
      <c r="G572" s="17">
        <f>38.3614 * CHOOSE(CONTROL!$C$15, $E$9, 100%, $G$9) + CHOOSE(CONTROL!$C$38, 0.0356, 0)</f>
        <v>38.397000000000006</v>
      </c>
      <c r="H572" s="17">
        <f>38.3614 * CHOOSE(CONTROL!$C$15, $E$9, 100%, $G$9) + CHOOSE(CONTROL!$C$38, 0.0356, 0)</f>
        <v>38.397000000000006</v>
      </c>
      <c r="I572" s="17">
        <f>38.3629 * CHOOSE(CONTROL!$C$15, $E$9, 100%, $G$9) + CHOOSE(CONTROL!$C$38, 0.0356, 0)</f>
        <v>38.398500000000006</v>
      </c>
      <c r="J572" s="45">
        <f>330.4797</f>
        <v>330.47969999999998</v>
      </c>
    </row>
    <row r="573" spans="1:10" ht="15.75" x14ac:dyDescent="0.25">
      <c r="A573" s="13">
        <v>58379</v>
      </c>
      <c r="B573" s="17">
        <f>42.2396 * CHOOSE(CONTROL!$C$15, $E$9, 100%, $G$9) + CHOOSE(CONTROL!$C$38, 0.0342, 0)</f>
        <v>42.273800000000001</v>
      </c>
      <c r="C573" s="17">
        <f>38.7245 * CHOOSE(CONTROL!$C$15, $E$9, 100%, $G$9) + CHOOSE(CONTROL!$C$38, 0.0343, 0)</f>
        <v>38.758800000000001</v>
      </c>
      <c r="D573" s="17">
        <f>38.7167 * CHOOSE(CONTROL!$C$15, $E$9, 100%, $G$9) + CHOOSE(CONTROL!$C$38, 0.0343, 0)</f>
        <v>38.751000000000005</v>
      </c>
      <c r="E573" s="17">
        <f>38.7167 * CHOOSE(CONTROL!$C$15, $E$9, 100%, $G$9) + CHOOSE(CONTROL!$C$38, 0.0343, 0)</f>
        <v>38.751000000000005</v>
      </c>
      <c r="F573" s="46">
        <f>42.2396 * CHOOSE(CONTROL!$C$15, $E$9, 100%, $G$9) + CHOOSE(CONTROL!$C$38, 0.0342, 0)</f>
        <v>42.273800000000001</v>
      </c>
      <c r="G573" s="17">
        <f>38.7229 * CHOOSE(CONTROL!$C$15, $E$9, 100%, $G$9) + CHOOSE(CONTROL!$C$38, 0.0343, 0)</f>
        <v>38.757200000000005</v>
      </c>
      <c r="H573" s="17">
        <f>38.7229 * CHOOSE(CONTROL!$C$15, $E$9, 100%, $G$9) + CHOOSE(CONTROL!$C$38, 0.0343, 0)</f>
        <v>38.757200000000005</v>
      </c>
      <c r="I573" s="17">
        <f>38.7245 * CHOOSE(CONTROL!$C$15, $E$9, 100%, $G$9) + CHOOSE(CONTROL!$C$38, 0.0343, 0)</f>
        <v>38.758800000000001</v>
      </c>
      <c r="J573" s="45">
        <f>319.0514</f>
        <v>319.0514</v>
      </c>
    </row>
    <row r="574" spans="1:10" ht="15.75" x14ac:dyDescent="0.25">
      <c r="A574" s="13">
        <v>58409</v>
      </c>
      <c r="B574" s="17">
        <f>42.5414 * CHOOSE(CONTROL!$C$15, $E$9, 100%, $G$9) + CHOOSE(CONTROL!$C$38, 0.0342, 0)</f>
        <v>42.575600000000001</v>
      </c>
      <c r="C574" s="17">
        <f>39.0262 * CHOOSE(CONTROL!$C$15, $E$9, 100%, $G$9) + CHOOSE(CONTROL!$C$38, 0.0343, 0)</f>
        <v>39.060500000000005</v>
      </c>
      <c r="D574" s="17">
        <f>39.0184 * CHOOSE(CONTROL!$C$15, $E$9, 100%, $G$9) + CHOOSE(CONTROL!$C$38, 0.0343, 0)</f>
        <v>39.052700000000002</v>
      </c>
      <c r="E574" s="17">
        <f>39.0184 * CHOOSE(CONTROL!$C$15, $E$9, 100%, $G$9) + CHOOSE(CONTROL!$C$38, 0.0343, 0)</f>
        <v>39.052700000000002</v>
      </c>
      <c r="F574" s="46">
        <f>42.5414 * CHOOSE(CONTROL!$C$15, $E$9, 100%, $G$9) + CHOOSE(CONTROL!$C$38, 0.0342, 0)</f>
        <v>42.575600000000001</v>
      </c>
      <c r="G574" s="17">
        <f>39.0246 * CHOOSE(CONTROL!$C$15, $E$9, 100%, $G$9) + CHOOSE(CONTROL!$C$38, 0.0343, 0)</f>
        <v>39.058900000000001</v>
      </c>
      <c r="H574" s="17">
        <f>39.0246 * CHOOSE(CONTROL!$C$15, $E$9, 100%, $G$9) + CHOOSE(CONTROL!$C$38, 0.0343, 0)</f>
        <v>39.058900000000001</v>
      </c>
      <c r="I574" s="17">
        <f>39.0262 * CHOOSE(CONTROL!$C$15, $E$9, 100%, $G$9) + CHOOSE(CONTROL!$C$38, 0.0343, 0)</f>
        <v>39.060500000000005</v>
      </c>
      <c r="J574" s="45">
        <f>316.7781</f>
        <v>316.77809999999999</v>
      </c>
    </row>
    <row r="575" spans="1:10" ht="15.75" x14ac:dyDescent="0.25">
      <c r="A575" s="13">
        <v>58440</v>
      </c>
      <c r="B575" s="17">
        <f>43.471 * CHOOSE(CONTROL!$C$15, $E$9, 100%, $G$9) + CHOOSE(CONTROL!$C$38, 0.0342, 0)</f>
        <v>43.505199999999995</v>
      </c>
      <c r="C575" s="17">
        <f>39.9559 * CHOOSE(CONTROL!$C$15, $E$9, 100%, $G$9) + CHOOSE(CONTROL!$C$38, 0.0343, 0)</f>
        <v>39.990200000000002</v>
      </c>
      <c r="D575" s="17">
        <f>39.948 * CHOOSE(CONTROL!$C$15, $E$9, 100%, $G$9) + CHOOSE(CONTROL!$C$38, 0.0343, 0)</f>
        <v>39.982300000000002</v>
      </c>
      <c r="E575" s="17">
        <f>39.948 * CHOOSE(CONTROL!$C$15, $E$9, 100%, $G$9) + CHOOSE(CONTROL!$C$38, 0.0343, 0)</f>
        <v>39.982300000000002</v>
      </c>
      <c r="F575" s="46">
        <f>43.471 * CHOOSE(CONTROL!$C$15, $E$9, 100%, $G$9) + CHOOSE(CONTROL!$C$38, 0.0342, 0)</f>
        <v>43.505199999999995</v>
      </c>
      <c r="G575" s="17">
        <f>39.9543 * CHOOSE(CONTROL!$C$15, $E$9, 100%, $G$9) + CHOOSE(CONTROL!$C$38, 0.0343, 0)</f>
        <v>39.988600000000005</v>
      </c>
      <c r="H575" s="17">
        <f>39.9543 * CHOOSE(CONTROL!$C$15, $E$9, 100%, $G$9) + CHOOSE(CONTROL!$C$38, 0.0343, 0)</f>
        <v>39.988600000000005</v>
      </c>
      <c r="I575" s="17">
        <f>39.9559 * CHOOSE(CONTROL!$C$15, $E$9, 100%, $G$9) + CHOOSE(CONTROL!$C$38, 0.0343, 0)</f>
        <v>39.990200000000002</v>
      </c>
      <c r="J575" s="45">
        <f>307.3777</f>
        <v>307.3777</v>
      </c>
    </row>
    <row r="576" spans="1:10" ht="15.75" x14ac:dyDescent="0.25">
      <c r="A576" s="13">
        <v>58471</v>
      </c>
      <c r="B576" s="17">
        <f>44.9104 * CHOOSE(CONTROL!$C$15, $E$9, 100%, $G$9) + CHOOSE(CONTROL!$C$38, 0.0342, 0)</f>
        <v>44.944600000000001</v>
      </c>
      <c r="C576" s="17">
        <f>41.3388 * CHOOSE(CONTROL!$C$15, $E$9, 100%, $G$9) + CHOOSE(CONTROL!$C$38, 0.0343, 0)</f>
        <v>41.373100000000001</v>
      </c>
      <c r="D576" s="17">
        <f>41.331 * CHOOSE(CONTROL!$C$15, $E$9, 100%, $G$9) + CHOOSE(CONTROL!$C$38, 0.0343, 0)</f>
        <v>41.365300000000005</v>
      </c>
      <c r="E576" s="17">
        <f>41.331 * CHOOSE(CONTROL!$C$15, $E$9, 100%, $G$9) + CHOOSE(CONTROL!$C$38, 0.0343, 0)</f>
        <v>41.365300000000005</v>
      </c>
      <c r="F576" s="46">
        <f>44.9104 * CHOOSE(CONTROL!$C$15, $E$9, 100%, $G$9) + CHOOSE(CONTROL!$C$38, 0.0342, 0)</f>
        <v>44.944600000000001</v>
      </c>
      <c r="G576" s="17">
        <f>41.3373 * CHOOSE(CONTROL!$C$15, $E$9, 100%, $G$9) + CHOOSE(CONTROL!$C$38, 0.0343, 0)</f>
        <v>41.371600000000001</v>
      </c>
      <c r="H576" s="17">
        <f>41.3373 * CHOOSE(CONTROL!$C$15, $E$9, 100%, $G$9) + CHOOSE(CONTROL!$C$38, 0.0343, 0)</f>
        <v>41.371600000000001</v>
      </c>
      <c r="I576" s="17">
        <f>41.3388 * CHOOSE(CONTROL!$C$15, $E$9, 100%, $G$9) + CHOOSE(CONTROL!$C$38, 0.0343, 0)</f>
        <v>41.373100000000001</v>
      </c>
      <c r="J576" s="45">
        <f>307.1558</f>
        <v>307.1558</v>
      </c>
    </row>
    <row r="577" spans="1:10" ht="15.75" x14ac:dyDescent="0.25">
      <c r="A577" s="13">
        <v>58499</v>
      </c>
      <c r="B577" s="17">
        <f>45.2547 * CHOOSE(CONTROL!$C$15, $E$9, 100%, $G$9) + CHOOSE(CONTROL!$C$38, 0.0342, 0)</f>
        <v>45.288899999999998</v>
      </c>
      <c r="C577" s="17">
        <f>41.6831 * CHOOSE(CONTROL!$C$15, $E$9, 100%, $G$9) + CHOOSE(CONTROL!$C$38, 0.0343, 0)</f>
        <v>41.717400000000005</v>
      </c>
      <c r="D577" s="17">
        <f>41.6753 * CHOOSE(CONTROL!$C$15, $E$9, 100%, $G$9) + CHOOSE(CONTROL!$C$38, 0.0343, 0)</f>
        <v>41.709600000000002</v>
      </c>
      <c r="E577" s="17">
        <f>41.6753 * CHOOSE(CONTROL!$C$15, $E$9, 100%, $G$9) + CHOOSE(CONTROL!$C$38, 0.0343, 0)</f>
        <v>41.709600000000002</v>
      </c>
      <c r="F577" s="46">
        <f>45.2547 * CHOOSE(CONTROL!$C$15, $E$9, 100%, $G$9) + CHOOSE(CONTROL!$C$38, 0.0342, 0)</f>
        <v>45.288899999999998</v>
      </c>
      <c r="G577" s="17">
        <f>41.6816 * CHOOSE(CONTROL!$C$15, $E$9, 100%, $G$9) + CHOOSE(CONTROL!$C$38, 0.0343, 0)</f>
        <v>41.715900000000005</v>
      </c>
      <c r="H577" s="17">
        <f>41.6816 * CHOOSE(CONTROL!$C$15, $E$9, 100%, $G$9) + CHOOSE(CONTROL!$C$38, 0.0343, 0)</f>
        <v>41.715900000000005</v>
      </c>
      <c r="I577" s="17">
        <f>41.6831 * CHOOSE(CONTROL!$C$15, $E$9, 100%, $G$9) + CHOOSE(CONTROL!$C$38, 0.0343, 0)</f>
        <v>41.717400000000005</v>
      </c>
      <c r="J577" s="45">
        <f>306.302</f>
        <v>306.30200000000002</v>
      </c>
    </row>
    <row r="578" spans="1:10" ht="15.75" x14ac:dyDescent="0.25">
      <c r="A578" s="13">
        <v>58531</v>
      </c>
      <c r="B578" s="17">
        <f>44.4577 * CHOOSE(CONTROL!$C$15, $E$9, 100%, $G$9) + CHOOSE(CONTROL!$C$38, 0.0342, 0)</f>
        <v>44.491900000000001</v>
      </c>
      <c r="C578" s="17">
        <f>40.8861 * CHOOSE(CONTROL!$C$15, $E$9, 100%, $G$9) + CHOOSE(CONTROL!$C$38, 0.0343, 0)</f>
        <v>40.920400000000001</v>
      </c>
      <c r="D578" s="17">
        <f>40.8783 * CHOOSE(CONTROL!$C$15, $E$9, 100%, $G$9) + CHOOSE(CONTROL!$C$38, 0.0343, 0)</f>
        <v>40.912600000000005</v>
      </c>
      <c r="E578" s="17">
        <f>40.8783 * CHOOSE(CONTROL!$C$15, $E$9, 100%, $G$9) + CHOOSE(CONTROL!$C$38, 0.0343, 0)</f>
        <v>40.912600000000005</v>
      </c>
      <c r="F578" s="46">
        <f>44.4577 * CHOOSE(CONTROL!$C$15, $E$9, 100%, $G$9) + CHOOSE(CONTROL!$C$38, 0.0342, 0)</f>
        <v>44.491900000000001</v>
      </c>
      <c r="G578" s="17">
        <f>40.8846 * CHOOSE(CONTROL!$C$15, $E$9, 100%, $G$9) + CHOOSE(CONTROL!$C$38, 0.0343, 0)</f>
        <v>40.918900000000001</v>
      </c>
      <c r="H578" s="17">
        <f>40.8846 * CHOOSE(CONTROL!$C$15, $E$9, 100%, $G$9) + CHOOSE(CONTROL!$C$38, 0.0343, 0)</f>
        <v>40.918900000000001</v>
      </c>
      <c r="I578" s="17">
        <f>40.8861 * CHOOSE(CONTROL!$C$15, $E$9, 100%, $G$9) + CHOOSE(CONTROL!$C$38, 0.0343, 0)</f>
        <v>40.920400000000001</v>
      </c>
      <c r="J578" s="45">
        <f>322.4459</f>
        <v>322.44589999999999</v>
      </c>
    </row>
    <row r="579" spans="1:10" ht="15.75" x14ac:dyDescent="0.25">
      <c r="A579" s="13">
        <v>58561</v>
      </c>
      <c r="B579" s="17">
        <f>43.6854 * CHOOSE(CONTROL!$C$15, $E$9, 100%, $G$9) + CHOOSE(CONTROL!$C$38, 0.0342, 0)</f>
        <v>43.7196</v>
      </c>
      <c r="C579" s="17">
        <f>40.1138 * CHOOSE(CONTROL!$C$15, $E$9, 100%, $G$9) + CHOOSE(CONTROL!$C$38, 0.0343, 0)</f>
        <v>40.148099999999999</v>
      </c>
      <c r="D579" s="17">
        <f>40.106 * CHOOSE(CONTROL!$C$15, $E$9, 100%, $G$9) + CHOOSE(CONTROL!$C$38, 0.0343, 0)</f>
        <v>40.140300000000003</v>
      </c>
      <c r="E579" s="17">
        <f>40.106 * CHOOSE(CONTROL!$C$15, $E$9, 100%, $G$9) + CHOOSE(CONTROL!$C$38, 0.0343, 0)</f>
        <v>40.140300000000003</v>
      </c>
      <c r="F579" s="46">
        <f>43.6854 * CHOOSE(CONTROL!$C$15, $E$9, 100%, $G$9) + CHOOSE(CONTROL!$C$38, 0.0342, 0)</f>
        <v>43.7196</v>
      </c>
      <c r="G579" s="17">
        <f>40.1122 * CHOOSE(CONTROL!$C$15, $E$9, 100%, $G$9) + CHOOSE(CONTROL!$C$38, 0.0343, 0)</f>
        <v>40.146500000000003</v>
      </c>
      <c r="H579" s="17">
        <f>40.1122 * CHOOSE(CONTROL!$C$15, $E$9, 100%, $G$9) + CHOOSE(CONTROL!$C$38, 0.0343, 0)</f>
        <v>40.146500000000003</v>
      </c>
      <c r="I579" s="17">
        <f>40.1138 * CHOOSE(CONTROL!$C$15, $E$9, 100%, $G$9) + CHOOSE(CONTROL!$C$38, 0.0343, 0)</f>
        <v>40.148099999999999</v>
      </c>
      <c r="J579" s="45">
        <f>343.3806</f>
        <v>343.38060000000002</v>
      </c>
    </row>
    <row r="580" spans="1:10" ht="15.75" x14ac:dyDescent="0.25">
      <c r="A580" s="13">
        <v>58592</v>
      </c>
      <c r="B580" s="17">
        <f>42.8804 * CHOOSE(CONTROL!$C$15, $E$9, 100%, $G$9) + CHOOSE(CONTROL!$C$38, 0.0355, 0)</f>
        <v>42.915900000000001</v>
      </c>
      <c r="C580" s="17">
        <f>39.3088 * CHOOSE(CONTROL!$C$15, $E$9, 100%, $G$9) + CHOOSE(CONTROL!$C$38, 0.0356, 0)</f>
        <v>39.3444</v>
      </c>
      <c r="D580" s="17">
        <f>39.301 * CHOOSE(CONTROL!$C$15, $E$9, 100%, $G$9) + CHOOSE(CONTROL!$C$38, 0.0356, 0)</f>
        <v>39.336600000000004</v>
      </c>
      <c r="E580" s="17">
        <f>39.301 * CHOOSE(CONTROL!$C$15, $E$9, 100%, $G$9) + CHOOSE(CONTROL!$C$38, 0.0356, 0)</f>
        <v>39.336600000000004</v>
      </c>
      <c r="F580" s="46">
        <f>42.8804 * CHOOSE(CONTROL!$C$15, $E$9, 100%, $G$9) + CHOOSE(CONTROL!$C$38, 0.0355, 0)</f>
        <v>42.915900000000001</v>
      </c>
      <c r="G580" s="17">
        <f>39.3073 * CHOOSE(CONTROL!$C$15, $E$9, 100%, $G$9) + CHOOSE(CONTROL!$C$38, 0.0356, 0)</f>
        <v>39.3429</v>
      </c>
      <c r="H580" s="17">
        <f>39.3073 * CHOOSE(CONTROL!$C$15, $E$9, 100%, $G$9) + CHOOSE(CONTROL!$C$38, 0.0356, 0)</f>
        <v>39.3429</v>
      </c>
      <c r="I580" s="17">
        <f>39.3088 * CHOOSE(CONTROL!$C$15, $E$9, 100%, $G$9) + CHOOSE(CONTROL!$C$38, 0.0356, 0)</f>
        <v>39.3444</v>
      </c>
      <c r="J580" s="45">
        <f>354.9038</f>
        <v>354.90379999999999</v>
      </c>
    </row>
    <row r="581" spans="1:10" ht="15.75" x14ac:dyDescent="0.25">
      <c r="A581" s="13">
        <v>58622</v>
      </c>
      <c r="B581" s="17">
        <f>42.3161 * CHOOSE(CONTROL!$C$15, $E$9, 100%, $G$9) + CHOOSE(CONTROL!$C$38, 0.0355, 0)</f>
        <v>42.351599999999998</v>
      </c>
      <c r="C581" s="17">
        <f>38.9466 * CHOOSE(CONTROL!$C$15, $E$9, 100%, $G$9) + CHOOSE(CONTROL!$C$38, 0.0356, 0)</f>
        <v>38.982199999999999</v>
      </c>
      <c r="D581" s="17">
        <f>38.9387 * CHOOSE(CONTROL!$C$15, $E$9, 100%, $G$9) + CHOOSE(CONTROL!$C$38, 0.0356, 0)</f>
        <v>38.974299999999999</v>
      </c>
      <c r="E581" s="17">
        <f>38.9387 * CHOOSE(CONTROL!$C$15, $E$9, 100%, $G$9) + CHOOSE(CONTROL!$C$38, 0.0356, 0)</f>
        <v>38.974299999999999</v>
      </c>
      <c r="F581" s="46">
        <f>42.3161 * CHOOSE(CONTROL!$C$15, $E$9, 100%, $G$9) + CHOOSE(CONTROL!$C$38, 0.0355, 0)</f>
        <v>42.351599999999998</v>
      </c>
      <c r="G581" s="17">
        <f>38.945 * CHOOSE(CONTROL!$C$15, $E$9, 100%, $G$9) + CHOOSE(CONTROL!$C$38, 0.0356, 0)</f>
        <v>38.980600000000003</v>
      </c>
      <c r="H581" s="17">
        <f>38.945 * CHOOSE(CONTROL!$C$15, $E$9, 100%, $G$9) + CHOOSE(CONTROL!$C$38, 0.0356, 0)</f>
        <v>38.980600000000003</v>
      </c>
      <c r="I581" s="17">
        <f>38.9466 * CHOOSE(CONTROL!$C$15, $E$9, 100%, $G$9) + CHOOSE(CONTROL!$C$38, 0.0356, 0)</f>
        <v>38.982199999999999</v>
      </c>
      <c r="J581" s="45">
        <f>360.0176</f>
        <v>360.01760000000002</v>
      </c>
    </row>
    <row r="582" spans="1:10" ht="15.75" x14ac:dyDescent="0.25">
      <c r="A582" s="13">
        <v>58653</v>
      </c>
      <c r="B582" s="17">
        <f>41.994 * CHOOSE(CONTROL!$C$15, $E$9, 100%, $G$9) + CHOOSE(CONTROL!$C$38, 0.0355, 0)</f>
        <v>42.029499999999999</v>
      </c>
      <c r="C582" s="17">
        <f>38.4225 * CHOOSE(CONTROL!$C$15, $E$9, 100%, $G$9) + CHOOSE(CONTROL!$C$38, 0.0356, 0)</f>
        <v>38.458100000000002</v>
      </c>
      <c r="D582" s="17">
        <f>38.4146 * CHOOSE(CONTROL!$C$15, $E$9, 100%, $G$9) + CHOOSE(CONTROL!$C$38, 0.0356, 0)</f>
        <v>38.450200000000002</v>
      </c>
      <c r="E582" s="17">
        <f>38.4146 * CHOOSE(CONTROL!$C$15, $E$9, 100%, $G$9) + CHOOSE(CONTROL!$C$38, 0.0356, 0)</f>
        <v>38.450200000000002</v>
      </c>
      <c r="F582" s="46">
        <f>41.994 * CHOOSE(CONTROL!$C$15, $E$9, 100%, $G$9) + CHOOSE(CONTROL!$C$38, 0.0355, 0)</f>
        <v>42.029499999999999</v>
      </c>
      <c r="G582" s="17">
        <f>38.4209 * CHOOSE(CONTROL!$C$15, $E$9, 100%, $G$9) + CHOOSE(CONTROL!$C$38, 0.0356, 0)</f>
        <v>38.456500000000005</v>
      </c>
      <c r="H582" s="17">
        <f>38.4209 * CHOOSE(CONTROL!$C$15, $E$9, 100%, $G$9) + CHOOSE(CONTROL!$C$38, 0.0356, 0)</f>
        <v>38.456500000000005</v>
      </c>
      <c r="I582" s="17">
        <f>38.4225 * CHOOSE(CONTROL!$C$15, $E$9, 100%, $G$9) + CHOOSE(CONTROL!$C$38, 0.0356, 0)</f>
        <v>38.458100000000002</v>
      </c>
      <c r="J582" s="45">
        <f>358.3339</f>
        <v>358.33390000000003</v>
      </c>
    </row>
    <row r="583" spans="1:10" ht="15.75" x14ac:dyDescent="0.25">
      <c r="A583" s="13">
        <v>58684</v>
      </c>
      <c r="B583" s="17">
        <f>42.153 * CHOOSE(CONTROL!$C$15, $E$9, 100%, $G$9) + CHOOSE(CONTROL!$C$38, 0.0355, 0)</f>
        <v>42.188499999999998</v>
      </c>
      <c r="C583" s="17">
        <f>38.5814 * CHOOSE(CONTROL!$C$15, $E$9, 100%, $G$9) + CHOOSE(CONTROL!$C$38, 0.0356, 0)</f>
        <v>38.617000000000004</v>
      </c>
      <c r="D583" s="17">
        <f>38.5736 * CHOOSE(CONTROL!$C$15, $E$9, 100%, $G$9) + CHOOSE(CONTROL!$C$38, 0.0356, 0)</f>
        <v>38.609200000000001</v>
      </c>
      <c r="E583" s="17">
        <f>38.5736 * CHOOSE(CONTROL!$C$15, $E$9, 100%, $G$9) + CHOOSE(CONTROL!$C$38, 0.0356, 0)</f>
        <v>38.609200000000001</v>
      </c>
      <c r="F583" s="46">
        <f>42.153 * CHOOSE(CONTROL!$C$15, $E$9, 100%, $G$9) + CHOOSE(CONTROL!$C$38, 0.0355, 0)</f>
        <v>42.188499999999998</v>
      </c>
      <c r="G583" s="17">
        <f>38.5798 * CHOOSE(CONTROL!$C$15, $E$9, 100%, $G$9) + CHOOSE(CONTROL!$C$38, 0.0356, 0)</f>
        <v>38.615400000000001</v>
      </c>
      <c r="H583" s="17">
        <f>38.5798 * CHOOSE(CONTROL!$C$15, $E$9, 100%, $G$9) + CHOOSE(CONTROL!$C$38, 0.0356, 0)</f>
        <v>38.615400000000001</v>
      </c>
      <c r="I583" s="17">
        <f>38.5814 * CHOOSE(CONTROL!$C$15, $E$9, 100%, $G$9) + CHOOSE(CONTROL!$C$38, 0.0356, 0)</f>
        <v>38.617000000000004</v>
      </c>
      <c r="J583" s="45">
        <f>349.992</f>
        <v>349.99200000000002</v>
      </c>
    </row>
    <row r="584" spans="1:10" ht="15.75" x14ac:dyDescent="0.25">
      <c r="A584" s="13">
        <v>58714</v>
      </c>
      <c r="B584" s="17">
        <f>42.5847 * CHOOSE(CONTROL!$C$15, $E$9, 100%, $G$9) + CHOOSE(CONTROL!$C$38, 0.0355, 0)</f>
        <v>42.620199999999997</v>
      </c>
      <c r="C584" s="17">
        <f>39.0131 * CHOOSE(CONTROL!$C$15, $E$9, 100%, $G$9) + CHOOSE(CONTROL!$C$38, 0.0356, 0)</f>
        <v>39.048700000000004</v>
      </c>
      <c r="D584" s="17">
        <f>39.0053 * CHOOSE(CONTROL!$C$15, $E$9, 100%, $G$9) + CHOOSE(CONTROL!$C$38, 0.0356, 0)</f>
        <v>39.040900000000001</v>
      </c>
      <c r="E584" s="17">
        <f>39.0053 * CHOOSE(CONTROL!$C$15, $E$9, 100%, $G$9) + CHOOSE(CONTROL!$C$38, 0.0356, 0)</f>
        <v>39.040900000000001</v>
      </c>
      <c r="F584" s="46">
        <f>42.5847 * CHOOSE(CONTROL!$C$15, $E$9, 100%, $G$9) + CHOOSE(CONTROL!$C$38, 0.0355, 0)</f>
        <v>42.620199999999997</v>
      </c>
      <c r="G584" s="17">
        <f>39.0115 * CHOOSE(CONTROL!$C$15, $E$9, 100%, $G$9) + CHOOSE(CONTROL!$C$38, 0.0356, 0)</f>
        <v>39.0471</v>
      </c>
      <c r="H584" s="17">
        <f>39.0115 * CHOOSE(CONTROL!$C$15, $E$9, 100%, $G$9) + CHOOSE(CONTROL!$C$38, 0.0356, 0)</f>
        <v>39.0471</v>
      </c>
      <c r="I584" s="17">
        <f>39.0131 * CHOOSE(CONTROL!$C$15, $E$9, 100%, $G$9) + CHOOSE(CONTROL!$C$38, 0.0356, 0)</f>
        <v>39.048700000000004</v>
      </c>
      <c r="J584" s="45">
        <f>338.3589</f>
        <v>338.35890000000001</v>
      </c>
    </row>
    <row r="585" spans="1:10" ht="15.75" x14ac:dyDescent="0.25">
      <c r="A585" s="13">
        <v>58745</v>
      </c>
      <c r="B585" s="17">
        <f>42.9463 * CHOOSE(CONTROL!$C$15, $E$9, 100%, $G$9) + CHOOSE(CONTROL!$C$38, 0.0342, 0)</f>
        <v>42.980499999999999</v>
      </c>
      <c r="C585" s="17">
        <f>39.3747 * CHOOSE(CONTROL!$C$15, $E$9, 100%, $G$9) + CHOOSE(CONTROL!$C$38, 0.0343, 0)</f>
        <v>39.408999999999999</v>
      </c>
      <c r="D585" s="17">
        <f>39.3669 * CHOOSE(CONTROL!$C$15, $E$9, 100%, $G$9) + CHOOSE(CONTROL!$C$38, 0.0343, 0)</f>
        <v>39.401200000000003</v>
      </c>
      <c r="E585" s="17">
        <f>39.3669 * CHOOSE(CONTROL!$C$15, $E$9, 100%, $G$9) + CHOOSE(CONTROL!$C$38, 0.0343, 0)</f>
        <v>39.401200000000003</v>
      </c>
      <c r="F585" s="46">
        <f>42.9463 * CHOOSE(CONTROL!$C$15, $E$9, 100%, $G$9) + CHOOSE(CONTROL!$C$38, 0.0342, 0)</f>
        <v>42.980499999999999</v>
      </c>
      <c r="G585" s="17">
        <f>39.3731 * CHOOSE(CONTROL!$C$15, $E$9, 100%, $G$9) + CHOOSE(CONTROL!$C$38, 0.0343, 0)</f>
        <v>39.407400000000003</v>
      </c>
      <c r="H585" s="17">
        <f>39.3731 * CHOOSE(CONTROL!$C$15, $E$9, 100%, $G$9) + CHOOSE(CONTROL!$C$38, 0.0343, 0)</f>
        <v>39.407400000000003</v>
      </c>
      <c r="I585" s="17">
        <f>39.3747 * CHOOSE(CONTROL!$C$15, $E$9, 100%, $G$9) + CHOOSE(CONTROL!$C$38, 0.0343, 0)</f>
        <v>39.408999999999999</v>
      </c>
      <c r="J585" s="45">
        <f>326.6581</f>
        <v>326.65809999999999</v>
      </c>
    </row>
    <row r="586" spans="1:10" ht="15.75" x14ac:dyDescent="0.25">
      <c r="A586" s="13">
        <v>58775</v>
      </c>
      <c r="B586" s="17">
        <f>43.248 * CHOOSE(CONTROL!$C$15, $E$9, 100%, $G$9) + CHOOSE(CONTROL!$C$38, 0.0342, 0)</f>
        <v>43.282199999999996</v>
      </c>
      <c r="C586" s="17">
        <f>39.6764 * CHOOSE(CONTROL!$C$15, $E$9, 100%, $G$9) + CHOOSE(CONTROL!$C$38, 0.0343, 0)</f>
        <v>39.710700000000003</v>
      </c>
      <c r="D586" s="17">
        <f>39.6686 * CHOOSE(CONTROL!$C$15, $E$9, 100%, $G$9) + CHOOSE(CONTROL!$C$38, 0.0343, 0)</f>
        <v>39.7029</v>
      </c>
      <c r="E586" s="17">
        <f>39.6686 * CHOOSE(CONTROL!$C$15, $E$9, 100%, $G$9) + CHOOSE(CONTROL!$C$38, 0.0343, 0)</f>
        <v>39.7029</v>
      </c>
      <c r="F586" s="46">
        <f>43.248 * CHOOSE(CONTROL!$C$15, $E$9, 100%, $G$9) + CHOOSE(CONTROL!$C$38, 0.0342, 0)</f>
        <v>43.282199999999996</v>
      </c>
      <c r="G586" s="17">
        <f>39.6748 * CHOOSE(CONTROL!$C$15, $E$9, 100%, $G$9) + CHOOSE(CONTROL!$C$38, 0.0343, 0)</f>
        <v>39.709099999999999</v>
      </c>
      <c r="H586" s="17">
        <f>39.6748 * CHOOSE(CONTROL!$C$15, $E$9, 100%, $G$9) + CHOOSE(CONTROL!$C$38, 0.0343, 0)</f>
        <v>39.709099999999999</v>
      </c>
      <c r="I586" s="17">
        <f>39.6764 * CHOOSE(CONTROL!$C$15, $E$9, 100%, $G$9) + CHOOSE(CONTROL!$C$38, 0.0343, 0)</f>
        <v>39.710700000000003</v>
      </c>
      <c r="J586" s="45">
        <f>324.3306</f>
        <v>324.3306</v>
      </c>
    </row>
    <row r="587" spans="1:10" ht="15.75" x14ac:dyDescent="0.25">
      <c r="A587" s="13">
        <v>58806</v>
      </c>
      <c r="B587" s="17">
        <f>44.1776 * CHOOSE(CONTROL!$C$15, $E$9, 100%, $G$9) + CHOOSE(CONTROL!$C$38, 0.0342, 0)</f>
        <v>44.211799999999997</v>
      </c>
      <c r="C587" s="17">
        <f>40.606 * CHOOSE(CONTROL!$C$15, $E$9, 100%, $G$9) + CHOOSE(CONTROL!$C$38, 0.0343, 0)</f>
        <v>40.640300000000003</v>
      </c>
      <c r="D587" s="17">
        <f>40.5982 * CHOOSE(CONTROL!$C$15, $E$9, 100%, $G$9) + CHOOSE(CONTROL!$C$38, 0.0343, 0)</f>
        <v>40.6325</v>
      </c>
      <c r="E587" s="17">
        <f>40.5982 * CHOOSE(CONTROL!$C$15, $E$9, 100%, $G$9) + CHOOSE(CONTROL!$C$38, 0.0343, 0)</f>
        <v>40.6325</v>
      </c>
      <c r="F587" s="46">
        <f>44.1776 * CHOOSE(CONTROL!$C$15, $E$9, 100%, $G$9) + CHOOSE(CONTROL!$C$38, 0.0342, 0)</f>
        <v>44.211799999999997</v>
      </c>
      <c r="G587" s="17">
        <f>40.6045 * CHOOSE(CONTROL!$C$15, $E$9, 100%, $G$9) + CHOOSE(CONTROL!$C$38, 0.0343, 0)</f>
        <v>40.638800000000003</v>
      </c>
      <c r="H587" s="17">
        <f>40.6045 * CHOOSE(CONTROL!$C$15, $E$9, 100%, $G$9) + CHOOSE(CONTROL!$C$38, 0.0343, 0)</f>
        <v>40.638800000000003</v>
      </c>
      <c r="I587" s="17">
        <f>40.606 * CHOOSE(CONTROL!$C$15, $E$9, 100%, $G$9) + CHOOSE(CONTROL!$C$38, 0.0343, 0)</f>
        <v>40.640300000000003</v>
      </c>
      <c r="J587" s="45">
        <f>314.706</f>
        <v>314.70600000000002</v>
      </c>
    </row>
    <row r="588" spans="1:10" ht="15.75" x14ac:dyDescent="0.25">
      <c r="A588" s="13">
        <v>58837</v>
      </c>
      <c r="B588" s="17">
        <f>45.6289 * CHOOSE(CONTROL!$C$15, $E$9, 100%, $G$9) + CHOOSE(CONTROL!$C$38, 0.0342, 0)</f>
        <v>45.6631</v>
      </c>
      <c r="C588" s="17">
        <f>41.9999 * CHOOSE(CONTROL!$C$15, $E$9, 100%, $G$9) + CHOOSE(CONTROL!$C$38, 0.0343, 0)</f>
        <v>42.034199999999998</v>
      </c>
      <c r="D588" s="17">
        <f>41.9921 * CHOOSE(CONTROL!$C$15, $E$9, 100%, $G$9) + CHOOSE(CONTROL!$C$38, 0.0343, 0)</f>
        <v>42.026400000000002</v>
      </c>
      <c r="E588" s="17">
        <f>41.9921 * CHOOSE(CONTROL!$C$15, $E$9, 100%, $G$9) + CHOOSE(CONTROL!$C$38, 0.0343, 0)</f>
        <v>42.026400000000002</v>
      </c>
      <c r="F588" s="46">
        <f>45.6289 * CHOOSE(CONTROL!$C$15, $E$9, 100%, $G$9) + CHOOSE(CONTROL!$C$38, 0.0342, 0)</f>
        <v>45.6631</v>
      </c>
      <c r="G588" s="17">
        <f>41.9984 * CHOOSE(CONTROL!$C$15, $E$9, 100%, $G$9) + CHOOSE(CONTROL!$C$38, 0.0343, 0)</f>
        <v>42.032699999999998</v>
      </c>
      <c r="H588" s="17">
        <f>41.9984 * CHOOSE(CONTROL!$C$15, $E$9, 100%, $G$9) + CHOOSE(CONTROL!$C$38, 0.0343, 0)</f>
        <v>42.032699999999998</v>
      </c>
      <c r="I588" s="17">
        <f>41.9999 * CHOOSE(CONTROL!$C$15, $E$9, 100%, $G$9) + CHOOSE(CONTROL!$C$38, 0.0343, 0)</f>
        <v>42.034199999999998</v>
      </c>
      <c r="J588" s="45">
        <f>314.4788</f>
        <v>314.47879999999998</v>
      </c>
    </row>
    <row r="589" spans="1:10" ht="15.75" x14ac:dyDescent="0.25">
      <c r="A589" s="13">
        <v>58865</v>
      </c>
      <c r="B589" s="17">
        <f>45.9732 * CHOOSE(CONTROL!$C$15, $E$9, 100%, $G$9) + CHOOSE(CONTROL!$C$38, 0.0342, 0)</f>
        <v>46.007399999999997</v>
      </c>
      <c r="C589" s="17">
        <f>42.3442 * CHOOSE(CONTROL!$C$15, $E$9, 100%, $G$9) + CHOOSE(CONTROL!$C$38, 0.0343, 0)</f>
        <v>42.378500000000003</v>
      </c>
      <c r="D589" s="17">
        <f>42.3364 * CHOOSE(CONTROL!$C$15, $E$9, 100%, $G$9) + CHOOSE(CONTROL!$C$38, 0.0343, 0)</f>
        <v>42.370699999999999</v>
      </c>
      <c r="E589" s="17">
        <f>42.3364 * CHOOSE(CONTROL!$C$15, $E$9, 100%, $G$9) + CHOOSE(CONTROL!$C$38, 0.0343, 0)</f>
        <v>42.370699999999999</v>
      </c>
      <c r="F589" s="46">
        <f>45.9732 * CHOOSE(CONTROL!$C$15, $E$9, 100%, $G$9) + CHOOSE(CONTROL!$C$38, 0.0342, 0)</f>
        <v>46.007399999999997</v>
      </c>
      <c r="G589" s="17">
        <f>42.3427 * CHOOSE(CONTROL!$C$15, $E$9, 100%, $G$9) + CHOOSE(CONTROL!$C$38, 0.0343, 0)</f>
        <v>42.377000000000002</v>
      </c>
      <c r="H589" s="17">
        <f>42.3427 * CHOOSE(CONTROL!$C$15, $E$9, 100%, $G$9) + CHOOSE(CONTROL!$C$38, 0.0343, 0)</f>
        <v>42.377000000000002</v>
      </c>
      <c r="I589" s="17">
        <f>42.3442 * CHOOSE(CONTROL!$C$15, $E$9, 100%, $G$9) + CHOOSE(CONTROL!$C$38, 0.0343, 0)</f>
        <v>42.378500000000003</v>
      </c>
      <c r="J589" s="45">
        <f>313.6047</f>
        <v>313.60469999999998</v>
      </c>
    </row>
    <row r="590" spans="1:10" ht="15.75" x14ac:dyDescent="0.25">
      <c r="A590" s="13">
        <v>58893</v>
      </c>
      <c r="B590" s="17">
        <f>45.1762 * CHOOSE(CONTROL!$C$15, $E$9, 100%, $G$9) + CHOOSE(CONTROL!$C$38, 0.0342, 0)</f>
        <v>45.2104</v>
      </c>
      <c r="C590" s="17">
        <f>41.5472 * CHOOSE(CONTROL!$C$15, $E$9, 100%, $G$9) + CHOOSE(CONTROL!$C$38, 0.0343, 0)</f>
        <v>41.581499999999998</v>
      </c>
      <c r="D590" s="17">
        <f>41.5394 * CHOOSE(CONTROL!$C$15, $E$9, 100%, $G$9) + CHOOSE(CONTROL!$C$38, 0.0343, 0)</f>
        <v>41.573700000000002</v>
      </c>
      <c r="E590" s="17">
        <f>41.5394 * CHOOSE(CONTROL!$C$15, $E$9, 100%, $G$9) + CHOOSE(CONTROL!$C$38, 0.0343, 0)</f>
        <v>41.573700000000002</v>
      </c>
      <c r="F590" s="46">
        <f>45.1762 * CHOOSE(CONTROL!$C$15, $E$9, 100%, $G$9) + CHOOSE(CONTROL!$C$38, 0.0342, 0)</f>
        <v>45.2104</v>
      </c>
      <c r="G590" s="17">
        <f>41.5456 * CHOOSE(CONTROL!$C$15, $E$9, 100%, $G$9) + CHOOSE(CONTROL!$C$38, 0.0343, 0)</f>
        <v>41.579900000000002</v>
      </c>
      <c r="H590" s="17">
        <f>41.5456 * CHOOSE(CONTROL!$C$15, $E$9, 100%, $G$9) + CHOOSE(CONTROL!$C$38, 0.0343, 0)</f>
        <v>41.579900000000002</v>
      </c>
      <c r="I590" s="17">
        <f>41.5472 * CHOOSE(CONTROL!$C$15, $E$9, 100%, $G$9) + CHOOSE(CONTROL!$C$38, 0.0343, 0)</f>
        <v>41.581499999999998</v>
      </c>
      <c r="J590" s="45">
        <f>330.1334</f>
        <v>330.13339999999999</v>
      </c>
    </row>
    <row r="591" spans="1:10" ht="15.75" x14ac:dyDescent="0.25">
      <c r="A591" s="13">
        <v>58926</v>
      </c>
      <c r="B591" s="17">
        <f>44.4039 * CHOOSE(CONTROL!$C$15, $E$9, 100%, $G$9) + CHOOSE(CONTROL!$C$38, 0.0342, 0)</f>
        <v>44.438099999999999</v>
      </c>
      <c r="C591" s="17">
        <f>40.7749 * CHOOSE(CONTROL!$C$15, $E$9, 100%, $G$9) + CHOOSE(CONTROL!$C$38, 0.0343, 0)</f>
        <v>40.809200000000004</v>
      </c>
      <c r="D591" s="17">
        <f>40.7671 * CHOOSE(CONTROL!$C$15, $E$9, 100%, $G$9) + CHOOSE(CONTROL!$C$38, 0.0343, 0)</f>
        <v>40.801400000000001</v>
      </c>
      <c r="E591" s="17">
        <f>40.7671 * CHOOSE(CONTROL!$C$15, $E$9, 100%, $G$9) + CHOOSE(CONTROL!$C$38, 0.0343, 0)</f>
        <v>40.801400000000001</v>
      </c>
      <c r="F591" s="46">
        <f>44.4039 * CHOOSE(CONTROL!$C$15, $E$9, 100%, $G$9) + CHOOSE(CONTROL!$C$38, 0.0342, 0)</f>
        <v>44.438099999999999</v>
      </c>
      <c r="G591" s="17">
        <f>40.7733 * CHOOSE(CONTROL!$C$15, $E$9, 100%, $G$9) + CHOOSE(CONTROL!$C$38, 0.0343, 0)</f>
        <v>40.807600000000001</v>
      </c>
      <c r="H591" s="17">
        <f>40.7733 * CHOOSE(CONTROL!$C$15, $E$9, 100%, $G$9) + CHOOSE(CONTROL!$C$38, 0.0343, 0)</f>
        <v>40.807600000000001</v>
      </c>
      <c r="I591" s="17">
        <f>40.7749 * CHOOSE(CONTROL!$C$15, $E$9, 100%, $G$9) + CHOOSE(CONTROL!$C$38, 0.0343, 0)</f>
        <v>40.809200000000004</v>
      </c>
      <c r="J591" s="45">
        <f>351.5673</f>
        <v>351.56729999999999</v>
      </c>
    </row>
    <row r="592" spans="1:10" ht="15.75" x14ac:dyDescent="0.25">
      <c r="A592" s="13">
        <v>58957</v>
      </c>
      <c r="B592" s="17">
        <f>43.5989 * CHOOSE(CONTROL!$C$15, $E$9, 100%, $G$9) + CHOOSE(CONTROL!$C$38, 0.0355, 0)</f>
        <v>43.634399999999999</v>
      </c>
      <c r="C592" s="17">
        <f>39.9699 * CHOOSE(CONTROL!$C$15, $E$9, 100%, $G$9) + CHOOSE(CONTROL!$C$38, 0.0356, 0)</f>
        <v>40.005500000000005</v>
      </c>
      <c r="D592" s="17">
        <f>39.9621 * CHOOSE(CONTROL!$C$15, $E$9, 100%, $G$9) + CHOOSE(CONTROL!$C$38, 0.0356, 0)</f>
        <v>39.997700000000002</v>
      </c>
      <c r="E592" s="17">
        <f>39.9621 * CHOOSE(CONTROL!$C$15, $E$9, 100%, $G$9) + CHOOSE(CONTROL!$C$38, 0.0356, 0)</f>
        <v>39.997700000000002</v>
      </c>
      <c r="F592" s="46">
        <f>43.5989 * CHOOSE(CONTROL!$C$15, $E$9, 100%, $G$9) + CHOOSE(CONTROL!$C$38, 0.0355, 0)</f>
        <v>43.634399999999999</v>
      </c>
      <c r="G592" s="17">
        <f>39.9684 * CHOOSE(CONTROL!$C$15, $E$9, 100%, $G$9) + CHOOSE(CONTROL!$C$38, 0.0356, 0)</f>
        <v>40.004000000000005</v>
      </c>
      <c r="H592" s="17">
        <f>39.9684 * CHOOSE(CONTROL!$C$15, $E$9, 100%, $G$9) + CHOOSE(CONTROL!$C$38, 0.0356, 0)</f>
        <v>40.004000000000005</v>
      </c>
      <c r="I592" s="17">
        <f>39.9699 * CHOOSE(CONTROL!$C$15, $E$9, 100%, $G$9) + CHOOSE(CONTROL!$C$38, 0.0356, 0)</f>
        <v>40.005500000000005</v>
      </c>
      <c r="J592" s="45">
        <f>363.3652</f>
        <v>363.36520000000002</v>
      </c>
    </row>
    <row r="593" spans="1:11" ht="15.75" x14ac:dyDescent="0.25">
      <c r="A593" s="13">
        <v>58987</v>
      </c>
      <c r="B593" s="17">
        <f>43.0346 * CHOOSE(CONTROL!$C$15, $E$9, 100%, $G$9) + CHOOSE(CONTROL!$C$38, 0.0355, 0)</f>
        <v>43.070099999999996</v>
      </c>
      <c r="C593" s="17">
        <f>39.4056 * CHOOSE(CONTROL!$C$15, $E$9, 100%, $G$9) + CHOOSE(CONTROL!$C$38, 0.0356, 0)</f>
        <v>39.441200000000002</v>
      </c>
      <c r="D593" s="17">
        <f>39.3978 * CHOOSE(CONTROL!$C$15, $E$9, 100%, $G$9) + CHOOSE(CONTROL!$C$38, 0.0356, 0)</f>
        <v>39.433399999999999</v>
      </c>
      <c r="E593" s="17">
        <f>39.3978 * CHOOSE(CONTROL!$C$15, $E$9, 100%, $G$9) + CHOOSE(CONTROL!$C$38, 0.0356, 0)</f>
        <v>39.433399999999999</v>
      </c>
      <c r="F593" s="46">
        <f>43.0346 * CHOOSE(CONTROL!$C$15, $E$9, 100%, $G$9) + CHOOSE(CONTROL!$C$38, 0.0355, 0)</f>
        <v>43.070099999999996</v>
      </c>
      <c r="G593" s="17">
        <f>39.404 * CHOOSE(CONTROL!$C$15, $E$9, 100%, $G$9) + CHOOSE(CONTROL!$C$38, 0.0356, 0)</f>
        <v>39.439600000000006</v>
      </c>
      <c r="H593" s="17">
        <f>39.404 * CHOOSE(CONTROL!$C$15, $E$9, 100%, $G$9) + CHOOSE(CONTROL!$C$38, 0.0356, 0)</f>
        <v>39.439600000000006</v>
      </c>
      <c r="I593" s="17">
        <f>39.4056 * CHOOSE(CONTROL!$C$15, $E$9, 100%, $G$9) + CHOOSE(CONTROL!$C$38, 0.0356, 0)</f>
        <v>39.441200000000002</v>
      </c>
      <c r="J593" s="45">
        <f>368.6009</f>
        <v>368.60090000000002</v>
      </c>
    </row>
    <row r="594" spans="1:11" ht="15.75" x14ac:dyDescent="0.25">
      <c r="A594" s="13">
        <v>59018</v>
      </c>
      <c r="B594" s="17">
        <f>42.7125 * CHOOSE(CONTROL!$C$15, $E$9, 100%, $G$9) + CHOOSE(CONTROL!$C$38, 0.0355, 0)</f>
        <v>42.747999999999998</v>
      </c>
      <c r="C594" s="17">
        <f>39.289 * CHOOSE(CONTROL!$C$15, $E$9, 100%, $G$9) + CHOOSE(CONTROL!$C$38, 0.0356, 0)</f>
        <v>39.324600000000004</v>
      </c>
      <c r="D594" s="17">
        <f>39.2812 * CHOOSE(CONTROL!$C$15, $E$9, 100%, $G$9) + CHOOSE(CONTROL!$C$38, 0.0356, 0)</f>
        <v>39.316800000000001</v>
      </c>
      <c r="E594" s="17">
        <f>39.2812 * CHOOSE(CONTROL!$C$15, $E$9, 100%, $G$9) + CHOOSE(CONTROL!$C$38, 0.0356, 0)</f>
        <v>39.316800000000001</v>
      </c>
      <c r="F594" s="46">
        <f>42.7125 * CHOOSE(CONTROL!$C$15, $E$9, 100%, $G$9) + CHOOSE(CONTROL!$C$38, 0.0355, 0)</f>
        <v>42.747999999999998</v>
      </c>
      <c r="G594" s="17">
        <f>39.2874 * CHOOSE(CONTROL!$C$15, $E$9, 100%, $G$9) + CHOOSE(CONTROL!$C$38, 0.0356, 0)</f>
        <v>39.323</v>
      </c>
      <c r="H594" s="17">
        <f>39.2874 * CHOOSE(CONTROL!$C$15, $E$9, 100%, $G$9) + CHOOSE(CONTROL!$C$38, 0.0356, 0)</f>
        <v>39.323</v>
      </c>
      <c r="I594" s="17">
        <f>39.289 * CHOOSE(CONTROL!$C$15, $E$9, 100%, $G$9) + CHOOSE(CONTROL!$C$38, 0.0356, 0)</f>
        <v>39.324600000000004</v>
      </c>
      <c r="J594" s="45">
        <f>366.8771</f>
        <v>366.87709999999998</v>
      </c>
    </row>
    <row r="595" spans="1:11" ht="15.75" x14ac:dyDescent="0.25">
      <c r="A595" s="13">
        <v>59049</v>
      </c>
      <c r="B595" s="17">
        <f>42.8714 * CHOOSE(CONTROL!$C$15, $E$9, 100%, $G$9) + CHOOSE(CONTROL!$C$38, 0.0355, 0)</f>
        <v>42.9069</v>
      </c>
      <c r="C595" s="17">
        <f>39.2425 * CHOOSE(CONTROL!$C$15, $E$9, 100%, $G$9) + CHOOSE(CONTROL!$C$38, 0.0356, 0)</f>
        <v>39.278100000000002</v>
      </c>
      <c r="D595" s="17">
        <f>39.2347 * CHOOSE(CONTROL!$C$15, $E$9, 100%, $G$9) + CHOOSE(CONTROL!$C$38, 0.0356, 0)</f>
        <v>39.270299999999999</v>
      </c>
      <c r="E595" s="17">
        <f>39.2347 * CHOOSE(CONTROL!$C$15, $E$9, 100%, $G$9) + CHOOSE(CONTROL!$C$38, 0.0356, 0)</f>
        <v>39.270299999999999</v>
      </c>
      <c r="F595" s="46">
        <f>42.8714 * CHOOSE(CONTROL!$C$15, $E$9, 100%, $G$9) + CHOOSE(CONTROL!$C$38, 0.0355, 0)</f>
        <v>42.9069</v>
      </c>
      <c r="G595" s="17">
        <f>39.2409 * CHOOSE(CONTROL!$C$15, $E$9, 100%, $G$9) + CHOOSE(CONTROL!$C$38, 0.0356, 0)</f>
        <v>39.276500000000006</v>
      </c>
      <c r="H595" s="17">
        <f>39.2409 * CHOOSE(CONTROL!$C$15, $E$9, 100%, $G$9) + CHOOSE(CONTROL!$C$38, 0.0356, 0)</f>
        <v>39.276500000000006</v>
      </c>
      <c r="I595" s="17">
        <f>39.2425 * CHOOSE(CONTROL!$C$15, $E$9, 100%, $G$9) + CHOOSE(CONTROL!$C$38, 0.0356, 0)</f>
        <v>39.278100000000002</v>
      </c>
      <c r="J595" s="45">
        <f>358.3363</f>
        <v>358.33629999999999</v>
      </c>
    </row>
    <row r="596" spans="1:11" ht="15.75" x14ac:dyDescent="0.25">
      <c r="A596" s="13">
        <v>59079</v>
      </c>
      <c r="B596" s="17">
        <f>43.3032 * CHOOSE(CONTROL!$C$15, $E$9, 100%, $G$9) + CHOOSE(CONTROL!$C$38, 0.0355, 0)</f>
        <v>43.338699999999996</v>
      </c>
      <c r="C596" s="17">
        <f>39.6742 * CHOOSE(CONTROL!$C$15, $E$9, 100%, $G$9) + CHOOSE(CONTROL!$C$38, 0.0356, 0)</f>
        <v>39.709800000000001</v>
      </c>
      <c r="D596" s="17">
        <f>39.6664 * CHOOSE(CONTROL!$C$15, $E$9, 100%, $G$9) + CHOOSE(CONTROL!$C$38, 0.0356, 0)</f>
        <v>39.702000000000005</v>
      </c>
      <c r="E596" s="17">
        <f>39.6664 * CHOOSE(CONTROL!$C$15, $E$9, 100%, $G$9) + CHOOSE(CONTROL!$C$38, 0.0356, 0)</f>
        <v>39.702000000000005</v>
      </c>
      <c r="F596" s="46">
        <f>43.3032 * CHOOSE(CONTROL!$C$15, $E$9, 100%, $G$9) + CHOOSE(CONTROL!$C$38, 0.0355, 0)</f>
        <v>43.338699999999996</v>
      </c>
      <c r="G596" s="17">
        <f>39.6726 * CHOOSE(CONTROL!$C$15, $E$9, 100%, $G$9) + CHOOSE(CONTROL!$C$38, 0.0356, 0)</f>
        <v>39.708200000000005</v>
      </c>
      <c r="H596" s="17">
        <f>39.6726 * CHOOSE(CONTROL!$C$15, $E$9, 100%, $G$9) + CHOOSE(CONTROL!$C$38, 0.0356, 0)</f>
        <v>39.708200000000005</v>
      </c>
      <c r="I596" s="17">
        <f>39.6742 * CHOOSE(CONTROL!$C$15, $E$9, 100%, $G$9) + CHOOSE(CONTROL!$C$38, 0.0356, 0)</f>
        <v>39.709800000000001</v>
      </c>
      <c r="J596" s="45">
        <f>346.4259</f>
        <v>346.42590000000001</v>
      </c>
    </row>
    <row r="597" spans="1:11" ht="15.75" x14ac:dyDescent="0.25">
      <c r="A597" s="13">
        <v>59110</v>
      </c>
      <c r="B597" s="17">
        <f>43.6647 * CHOOSE(CONTROL!$C$15, $E$9, 100%, $G$9) + CHOOSE(CONTROL!$C$38, 0.0342, 0)</f>
        <v>43.698900000000002</v>
      </c>
      <c r="C597" s="17">
        <f>40.0358 * CHOOSE(CONTROL!$C$15, $E$9, 100%, $G$9) + CHOOSE(CONTROL!$C$38, 0.0343, 0)</f>
        <v>40.070100000000004</v>
      </c>
      <c r="D597" s="17">
        <f>40.0279 * CHOOSE(CONTROL!$C$15, $E$9, 100%, $G$9) + CHOOSE(CONTROL!$C$38, 0.0343, 0)</f>
        <v>40.062200000000004</v>
      </c>
      <c r="E597" s="17">
        <f>40.0279 * CHOOSE(CONTROL!$C$15, $E$9, 100%, $G$9) + CHOOSE(CONTROL!$C$38, 0.0343, 0)</f>
        <v>40.062200000000004</v>
      </c>
      <c r="F597" s="46">
        <f>43.6647 * CHOOSE(CONTROL!$C$15, $E$9, 100%, $G$9) + CHOOSE(CONTROL!$C$38, 0.0342, 0)</f>
        <v>43.698900000000002</v>
      </c>
      <c r="G597" s="17">
        <f>40.0342 * CHOOSE(CONTROL!$C$15, $E$9, 100%, $G$9) + CHOOSE(CONTROL!$C$38, 0.0343, 0)</f>
        <v>40.0685</v>
      </c>
      <c r="H597" s="17">
        <f>40.0342 * CHOOSE(CONTROL!$C$15, $E$9, 100%, $G$9) + CHOOSE(CONTROL!$C$38, 0.0343, 0)</f>
        <v>40.0685</v>
      </c>
      <c r="I597" s="17">
        <f>40.0358 * CHOOSE(CONTROL!$C$15, $E$9, 100%, $G$9) + CHOOSE(CONTROL!$C$38, 0.0343, 0)</f>
        <v>40.070100000000004</v>
      </c>
      <c r="J597" s="45">
        <f>334.4461</f>
        <v>334.4461</v>
      </c>
    </row>
    <row r="598" spans="1:11" ht="15.75" x14ac:dyDescent="0.25">
      <c r="A598" s="13">
        <v>59140</v>
      </c>
      <c r="B598" s="17">
        <f>43.9664 * CHOOSE(CONTROL!$C$15, $E$9, 100%, $G$9) + CHOOSE(CONTROL!$C$38, 0.0342, 0)</f>
        <v>44.000599999999999</v>
      </c>
      <c r="C598" s="17">
        <f>40.3375 * CHOOSE(CONTROL!$C$15, $E$9, 100%, $G$9) + CHOOSE(CONTROL!$C$38, 0.0343, 0)</f>
        <v>40.3718</v>
      </c>
      <c r="D598" s="17">
        <f>40.3297 * CHOOSE(CONTROL!$C$15, $E$9, 100%, $G$9) + CHOOSE(CONTROL!$C$38, 0.0343, 0)</f>
        <v>40.364000000000004</v>
      </c>
      <c r="E598" s="17">
        <f>40.3297 * CHOOSE(CONTROL!$C$15, $E$9, 100%, $G$9) + CHOOSE(CONTROL!$C$38, 0.0343, 0)</f>
        <v>40.364000000000004</v>
      </c>
      <c r="F598" s="46">
        <f>43.9664 * CHOOSE(CONTROL!$C$15, $E$9, 100%, $G$9) + CHOOSE(CONTROL!$C$38, 0.0342, 0)</f>
        <v>44.000599999999999</v>
      </c>
      <c r="G598" s="17">
        <f>40.3359 * CHOOSE(CONTROL!$C$15, $E$9, 100%, $G$9) + CHOOSE(CONTROL!$C$38, 0.0343, 0)</f>
        <v>40.370200000000004</v>
      </c>
      <c r="H598" s="17">
        <f>40.3359 * CHOOSE(CONTROL!$C$15, $E$9, 100%, $G$9) + CHOOSE(CONTROL!$C$38, 0.0343, 0)</f>
        <v>40.370200000000004</v>
      </c>
      <c r="I598" s="17">
        <f>40.3375 * CHOOSE(CONTROL!$C$15, $E$9, 100%, $G$9) + CHOOSE(CONTROL!$C$38, 0.0343, 0)</f>
        <v>40.3718</v>
      </c>
      <c r="J598" s="45">
        <f>332.0631</f>
        <v>332.06310000000002</v>
      </c>
    </row>
    <row r="599" spans="1:11" ht="15.75" x14ac:dyDescent="0.25">
      <c r="A599" s="13">
        <v>59171</v>
      </c>
      <c r="B599" s="17">
        <f>44.8961 * CHOOSE(CONTROL!$C$15, $E$9, 100%, $G$9) + CHOOSE(CONTROL!$C$38, 0.0342, 0)</f>
        <v>44.930299999999995</v>
      </c>
      <c r="C599" s="17">
        <f>41.2671 * CHOOSE(CONTROL!$C$15, $E$9, 100%, $G$9) + CHOOSE(CONTROL!$C$38, 0.0343, 0)</f>
        <v>41.301400000000001</v>
      </c>
      <c r="D599" s="17">
        <f>41.2593 * CHOOSE(CONTROL!$C$15, $E$9, 100%, $G$9) + CHOOSE(CONTROL!$C$38, 0.0343, 0)</f>
        <v>41.293600000000005</v>
      </c>
      <c r="E599" s="17">
        <f>41.2593 * CHOOSE(CONTROL!$C$15, $E$9, 100%, $G$9) + CHOOSE(CONTROL!$C$38, 0.0343, 0)</f>
        <v>41.293600000000005</v>
      </c>
      <c r="F599" s="46">
        <f>44.8961 * CHOOSE(CONTROL!$C$15, $E$9, 100%, $G$9) + CHOOSE(CONTROL!$C$38, 0.0342, 0)</f>
        <v>44.930299999999995</v>
      </c>
      <c r="G599" s="17">
        <f>41.2656 * CHOOSE(CONTROL!$C$15, $E$9, 100%, $G$9) + CHOOSE(CONTROL!$C$38, 0.0343, 0)</f>
        <v>41.299900000000001</v>
      </c>
      <c r="H599" s="17">
        <f>41.2656 * CHOOSE(CONTROL!$C$15, $E$9, 100%, $G$9) + CHOOSE(CONTROL!$C$38, 0.0343, 0)</f>
        <v>41.299900000000001</v>
      </c>
      <c r="I599" s="17">
        <f>41.2671 * CHOOSE(CONTROL!$C$15, $E$9, 100%, $G$9) + CHOOSE(CONTROL!$C$38, 0.0343, 0)</f>
        <v>41.301400000000001</v>
      </c>
      <c r="J599" s="45">
        <f>322.2091</f>
        <v>322.20909999999998</v>
      </c>
    </row>
    <row r="600" spans="1:11" ht="15" x14ac:dyDescent="0.2">
      <c r="A600" s="12"/>
      <c r="B600" s="17"/>
      <c r="C600" s="17"/>
      <c r="D600" s="17"/>
      <c r="E600" s="17"/>
      <c r="F600" s="17"/>
      <c r="G600" s="17"/>
      <c r="H600" s="17"/>
      <c r="I600" s="17"/>
    </row>
    <row r="601" spans="1:11" ht="15" x14ac:dyDescent="0.2">
      <c r="A601" s="11">
        <v>2013</v>
      </c>
      <c r="B601" s="17">
        <f t="shared" ref="B601:J601" si="0">AVERAGE(B12:B23)</f>
        <v>16.781220554325994</v>
      </c>
      <c r="C601" s="17">
        <f t="shared" si="0"/>
        <v>16.007417168444299</v>
      </c>
      <c r="D601" s="17">
        <f t="shared" si="0"/>
        <v>15.9996077934443</v>
      </c>
      <c r="E601" s="17">
        <f t="shared" si="0"/>
        <v>15.9996077934443</v>
      </c>
      <c r="F601" s="17">
        <f t="shared" si="0"/>
        <v>16.581555710110965</v>
      </c>
      <c r="G601" s="17">
        <f t="shared" si="0"/>
        <v>16.005853626777633</v>
      </c>
      <c r="H601" s="17">
        <f t="shared" si="0"/>
        <v>16.005853626777633</v>
      </c>
      <c r="I601" s="17">
        <f t="shared" si="0"/>
        <v>16.007417168444299</v>
      </c>
      <c r="J601" s="17">
        <f t="shared" si="0"/>
        <v>93.80749999999999</v>
      </c>
      <c r="K601" s="17"/>
    </row>
    <row r="602" spans="1:11" ht="15" x14ac:dyDescent="0.2">
      <c r="A602" s="11">
        <v>2014</v>
      </c>
      <c r="B602" s="17">
        <f t="shared" ref="B602:J602" si="1">AVERAGE(B24:B35)</f>
        <v>16.588341666666661</v>
      </c>
      <c r="C602" s="17">
        <f t="shared" si="1"/>
        <v>15.550441666666666</v>
      </c>
      <c r="D602" s="17">
        <f t="shared" si="1"/>
        <v>15.542641666666668</v>
      </c>
      <c r="E602" s="17">
        <f t="shared" si="1"/>
        <v>15.542641666666668</v>
      </c>
      <c r="F602" s="17">
        <f t="shared" si="1"/>
        <v>16.588341666666661</v>
      </c>
      <c r="G602" s="17">
        <f t="shared" si="1"/>
        <v>15.548941666666662</v>
      </c>
      <c r="H602" s="17">
        <f t="shared" si="1"/>
        <v>15.548941666666662</v>
      </c>
      <c r="I602" s="17">
        <f t="shared" si="1"/>
        <v>15.550441666666666</v>
      </c>
      <c r="J602" s="17">
        <f t="shared" si="1"/>
        <v>92.515833333333333</v>
      </c>
      <c r="K602" s="17"/>
    </row>
    <row r="603" spans="1:11" ht="15" x14ac:dyDescent="0.2">
      <c r="A603" s="11">
        <v>2015</v>
      </c>
      <c r="B603" s="17">
        <f t="shared" ref="B603:J603" si="2">AVERAGE(B36:B47)</f>
        <v>16.185741666666669</v>
      </c>
      <c r="C603" s="17">
        <f t="shared" si="2"/>
        <v>15.270808333333335</v>
      </c>
      <c r="D603" s="17">
        <f t="shared" si="2"/>
        <v>15.262983333333333</v>
      </c>
      <c r="E603" s="17">
        <f t="shared" si="2"/>
        <v>15.262983333333333</v>
      </c>
      <c r="F603" s="17">
        <f t="shared" si="2"/>
        <v>16.185741666666669</v>
      </c>
      <c r="G603" s="17">
        <f t="shared" si="2"/>
        <v>15.269241666666666</v>
      </c>
      <c r="H603" s="17">
        <f t="shared" si="2"/>
        <v>15.269241666666666</v>
      </c>
      <c r="I603" s="17">
        <f t="shared" si="2"/>
        <v>15.270808333333335</v>
      </c>
      <c r="J603" s="17">
        <f t="shared" si="2"/>
        <v>89.939166666666665</v>
      </c>
      <c r="K603" s="17"/>
    </row>
    <row r="604" spans="1:11" ht="15" x14ac:dyDescent="0.2">
      <c r="A604" s="11">
        <v>2016</v>
      </c>
      <c r="B604" s="17">
        <f t="shared" ref="B604:J604" si="3">AVERAGE(B48:B59)</f>
        <v>16.400766666666666</v>
      </c>
      <c r="C604" s="17">
        <f t="shared" si="3"/>
        <v>15.460341666666665</v>
      </c>
      <c r="D604" s="17">
        <f t="shared" si="3"/>
        <v>15.452541666666667</v>
      </c>
      <c r="E604" s="17">
        <f t="shared" si="3"/>
        <v>15.452541666666667</v>
      </c>
      <c r="F604" s="17">
        <f t="shared" si="3"/>
        <v>16.400766666666666</v>
      </c>
      <c r="G604" s="17">
        <f t="shared" si="3"/>
        <v>15.458783333333335</v>
      </c>
      <c r="H604" s="17">
        <f t="shared" si="3"/>
        <v>15.458783333333335</v>
      </c>
      <c r="I604" s="17">
        <f t="shared" si="3"/>
        <v>15.460341666666665</v>
      </c>
      <c r="J604" s="17">
        <f t="shared" si="3"/>
        <v>95.550474999999992</v>
      </c>
      <c r="K604" s="17"/>
    </row>
    <row r="605" spans="1:11" ht="15" x14ac:dyDescent="0.2">
      <c r="A605" s="11">
        <v>2017</v>
      </c>
      <c r="B605" s="17">
        <f t="shared" ref="B605:J605" si="4">AVERAGE(B60:B71)</f>
        <v>16.363141666666667</v>
      </c>
      <c r="C605" s="17">
        <f t="shared" si="4"/>
        <v>15.427375</v>
      </c>
      <c r="D605" s="17">
        <f t="shared" si="4"/>
        <v>15.419549999999999</v>
      </c>
      <c r="E605" s="17">
        <f t="shared" si="4"/>
        <v>15.419549999999999</v>
      </c>
      <c r="F605" s="17">
        <f t="shared" si="4"/>
        <v>16.363141666666667</v>
      </c>
      <c r="G605" s="17">
        <f t="shared" si="4"/>
        <v>15.42581666666667</v>
      </c>
      <c r="H605" s="17">
        <f t="shared" si="4"/>
        <v>15.42581666666667</v>
      </c>
      <c r="I605" s="17">
        <f t="shared" si="4"/>
        <v>15.427375</v>
      </c>
      <c r="J605" s="17">
        <f t="shared" si="4"/>
        <v>95.875941666666662</v>
      </c>
      <c r="K605" s="17"/>
    </row>
    <row r="606" spans="1:11" ht="15" x14ac:dyDescent="0.2">
      <c r="A606" s="11">
        <v>2018</v>
      </c>
      <c r="B606" s="17">
        <f t="shared" ref="B606:J606" si="5">AVERAGE(B72:B83)</f>
        <v>17.538158333333332</v>
      </c>
      <c r="C606" s="17">
        <f t="shared" si="5"/>
        <v>16.591683333333332</v>
      </c>
      <c r="D606" s="17">
        <f t="shared" si="5"/>
        <v>16.583866666666665</v>
      </c>
      <c r="E606" s="17">
        <f t="shared" si="5"/>
        <v>16.583866666666665</v>
      </c>
      <c r="F606" s="17">
        <f t="shared" si="5"/>
        <v>17.538158333333332</v>
      </c>
      <c r="G606" s="17">
        <f t="shared" si="5"/>
        <v>16.590125</v>
      </c>
      <c r="H606" s="17">
        <f t="shared" si="5"/>
        <v>16.590125</v>
      </c>
      <c r="I606" s="17">
        <f t="shared" si="5"/>
        <v>16.591683333333332</v>
      </c>
      <c r="J606" s="17">
        <f t="shared" si="5"/>
        <v>108.27100000000002</v>
      </c>
      <c r="K606" s="17"/>
    </row>
    <row r="607" spans="1:11" ht="15" x14ac:dyDescent="0.2">
      <c r="A607" s="11">
        <v>2019</v>
      </c>
      <c r="B607" s="17">
        <f t="shared" ref="B607:J607" si="6">AVERAGE(B84:B95)</f>
        <v>17.929566666666663</v>
      </c>
      <c r="C607" s="17">
        <f t="shared" si="6"/>
        <v>16.947041666666667</v>
      </c>
      <c r="D607" s="17">
        <f t="shared" si="6"/>
        <v>16.939233333333334</v>
      </c>
      <c r="E607" s="17">
        <f t="shared" si="6"/>
        <v>16.939233333333334</v>
      </c>
      <c r="F607" s="17">
        <f t="shared" si="6"/>
        <v>17.929566666666663</v>
      </c>
      <c r="G607" s="17">
        <f t="shared" si="6"/>
        <v>16.945516666666666</v>
      </c>
      <c r="H607" s="17">
        <f t="shared" si="6"/>
        <v>16.945516666666666</v>
      </c>
      <c r="I607" s="17">
        <f t="shared" si="6"/>
        <v>16.947041666666667</v>
      </c>
      <c r="J607" s="17">
        <f t="shared" si="6"/>
        <v>110.77589166666667</v>
      </c>
      <c r="K607" s="17"/>
    </row>
    <row r="608" spans="1:11" ht="15" x14ac:dyDescent="0.2">
      <c r="A608" s="11">
        <v>2020</v>
      </c>
      <c r="B608" s="17">
        <f t="shared" ref="B608:J608" si="7">AVERAGE(B96:B107)</f>
        <v>18.432708333333331</v>
      </c>
      <c r="C608" s="17">
        <f t="shared" si="7"/>
        <v>17.25825833333333</v>
      </c>
      <c r="D608" s="17">
        <f t="shared" si="7"/>
        <v>17.250433333333334</v>
      </c>
      <c r="E608" s="17">
        <f t="shared" si="7"/>
        <v>17.250433333333334</v>
      </c>
      <c r="F608" s="17">
        <f t="shared" si="7"/>
        <v>18.432708333333331</v>
      </c>
      <c r="G608" s="17">
        <f t="shared" si="7"/>
        <v>17.256666666666668</v>
      </c>
      <c r="H608" s="17">
        <f t="shared" si="7"/>
        <v>17.256666666666668</v>
      </c>
      <c r="I608" s="17">
        <f t="shared" si="7"/>
        <v>17.25825833333333</v>
      </c>
      <c r="J608" s="17">
        <f t="shared" si="7"/>
        <v>113.26529999999998</v>
      </c>
      <c r="K608" s="17"/>
    </row>
    <row r="609" spans="1:11" ht="15" x14ac:dyDescent="0.2">
      <c r="A609" s="11">
        <v>2021</v>
      </c>
      <c r="B609" s="17">
        <f t="shared" ref="B609:J609" si="8">AVERAGE(B108:B119)</f>
        <v>19.456</v>
      </c>
      <c r="C609" s="17">
        <f t="shared" si="8"/>
        <v>17.938616666666665</v>
      </c>
      <c r="D609" s="17">
        <f t="shared" si="8"/>
        <v>17.930808333333335</v>
      </c>
      <c r="E609" s="17">
        <f t="shared" si="8"/>
        <v>17.930808333333335</v>
      </c>
      <c r="F609" s="17">
        <f t="shared" si="8"/>
        <v>19.456</v>
      </c>
      <c r="G609" s="17">
        <f t="shared" si="8"/>
        <v>17.937041666666666</v>
      </c>
      <c r="H609" s="17">
        <f t="shared" si="8"/>
        <v>17.937041666666666</v>
      </c>
      <c r="I609" s="17">
        <f t="shared" si="8"/>
        <v>17.938616666666665</v>
      </c>
      <c r="J609" s="17">
        <f t="shared" si="8"/>
        <v>119.06644166666668</v>
      </c>
      <c r="K609" s="17"/>
    </row>
    <row r="610" spans="1:11" ht="15" x14ac:dyDescent="0.2">
      <c r="A610" s="11">
        <v>2022</v>
      </c>
      <c r="B610" s="17">
        <f t="shared" ref="B610:J610" si="9">AVERAGE(B120:B131)</f>
        <v>20.301166666666663</v>
      </c>
      <c r="C610" s="17">
        <f t="shared" si="9"/>
        <v>18.749025</v>
      </c>
      <c r="D610" s="17">
        <f t="shared" si="9"/>
        <v>18.741216666666663</v>
      </c>
      <c r="E610" s="17">
        <f t="shared" si="9"/>
        <v>18.741216666666663</v>
      </c>
      <c r="F610" s="17">
        <f t="shared" si="9"/>
        <v>20.301166666666663</v>
      </c>
      <c r="G610" s="17">
        <f t="shared" si="9"/>
        <v>18.747441666666667</v>
      </c>
      <c r="H610" s="17">
        <f t="shared" si="9"/>
        <v>18.747441666666667</v>
      </c>
      <c r="I610" s="17">
        <f t="shared" si="9"/>
        <v>18.749025</v>
      </c>
      <c r="J610" s="17">
        <f t="shared" si="9"/>
        <v>125.13797500000003</v>
      </c>
      <c r="K610" s="17"/>
    </row>
    <row r="611" spans="1:11" ht="15" x14ac:dyDescent="0.2">
      <c r="A611" s="11">
        <v>2023</v>
      </c>
      <c r="B611" s="17">
        <f t="shared" ref="B611:J611" si="10">AVERAGE(B132:B143)</f>
        <v>21.40676666666667</v>
      </c>
      <c r="C611" s="17">
        <f t="shared" si="10"/>
        <v>19.677091666666666</v>
      </c>
      <c r="D611" s="17">
        <f t="shared" si="10"/>
        <v>19.669266666666665</v>
      </c>
      <c r="E611" s="17">
        <f t="shared" si="10"/>
        <v>19.669266666666665</v>
      </c>
      <c r="F611" s="17">
        <f t="shared" si="10"/>
        <v>21.40676666666667</v>
      </c>
      <c r="G611" s="17">
        <f t="shared" si="10"/>
        <v>19.67553333333333</v>
      </c>
      <c r="H611" s="17">
        <f t="shared" si="10"/>
        <v>19.67553333333333</v>
      </c>
      <c r="I611" s="17">
        <f t="shared" si="10"/>
        <v>19.677091666666666</v>
      </c>
      <c r="J611" s="17">
        <f t="shared" si="10"/>
        <v>131.53042500000001</v>
      </c>
      <c r="K611" s="17"/>
    </row>
    <row r="612" spans="1:11" ht="15" x14ac:dyDescent="0.2">
      <c r="A612" s="11">
        <v>2024</v>
      </c>
      <c r="B612" s="17">
        <f t="shared" ref="B612:J612" si="11">AVERAGE(B144:B155)</f>
        <v>22.549341666666663</v>
      </c>
      <c r="C612" s="17">
        <f t="shared" si="11"/>
        <v>20.617083333333333</v>
      </c>
      <c r="D612" s="17">
        <f t="shared" si="11"/>
        <v>20.609249999999999</v>
      </c>
      <c r="E612" s="17">
        <f t="shared" si="11"/>
        <v>20.609249999999999</v>
      </c>
      <c r="F612" s="17">
        <f t="shared" si="11"/>
        <v>22.549341666666663</v>
      </c>
      <c r="G612" s="17">
        <f t="shared" si="11"/>
        <v>20.615508333333334</v>
      </c>
      <c r="H612" s="17">
        <f t="shared" si="11"/>
        <v>20.615508333333334</v>
      </c>
      <c r="I612" s="17">
        <f t="shared" si="11"/>
        <v>20.617083333333333</v>
      </c>
      <c r="J612" s="17">
        <f t="shared" si="11"/>
        <v>138.23147499999999</v>
      </c>
      <c r="K612" s="17"/>
    </row>
    <row r="613" spans="1:11" ht="15" x14ac:dyDescent="0.2">
      <c r="A613" s="11">
        <v>2025</v>
      </c>
      <c r="B613" s="17">
        <f t="shared" ref="B613:J613" si="12">AVERAGE(B156:B167)</f>
        <v>23.698391666666662</v>
      </c>
      <c r="C613" s="17">
        <f t="shared" si="12"/>
        <v>21.569791666666664</v>
      </c>
      <c r="D613" s="17">
        <f t="shared" si="12"/>
        <v>21.56198333333333</v>
      </c>
      <c r="E613" s="17">
        <f t="shared" si="12"/>
        <v>21.56198333333333</v>
      </c>
      <c r="F613" s="17">
        <f t="shared" si="12"/>
        <v>23.698391666666662</v>
      </c>
      <c r="G613" s="17">
        <f t="shared" si="12"/>
        <v>21.568216666666661</v>
      </c>
      <c r="H613" s="17">
        <f t="shared" si="12"/>
        <v>21.568216666666661</v>
      </c>
      <c r="I613" s="17">
        <f t="shared" si="12"/>
        <v>21.569791666666664</v>
      </c>
      <c r="J613" s="17">
        <f t="shared" si="12"/>
        <v>145.26801666666668</v>
      </c>
      <c r="K613" s="17"/>
    </row>
    <row r="614" spans="1:11" ht="15" x14ac:dyDescent="0.2">
      <c r="A614" s="11">
        <v>2026</v>
      </c>
      <c r="B614" s="17">
        <f t="shared" ref="B614:J614" si="13">AVERAGE(B168:B179)</f>
        <v>24.247058333333332</v>
      </c>
      <c r="C614" s="17">
        <f t="shared" si="13"/>
        <v>22.086474999999997</v>
      </c>
      <c r="D614" s="17">
        <f t="shared" si="13"/>
        <v>22.078675</v>
      </c>
      <c r="E614" s="17">
        <f t="shared" si="13"/>
        <v>22.078675</v>
      </c>
      <c r="F614" s="17">
        <f t="shared" si="13"/>
        <v>24.247058333333332</v>
      </c>
      <c r="G614" s="17">
        <f t="shared" si="13"/>
        <v>22.084916666666661</v>
      </c>
      <c r="H614" s="17">
        <f t="shared" si="13"/>
        <v>22.084916666666661</v>
      </c>
      <c r="I614" s="17">
        <f t="shared" si="13"/>
        <v>22.086474999999997</v>
      </c>
      <c r="J614" s="17">
        <f t="shared" si="13"/>
        <v>148.92795833333332</v>
      </c>
      <c r="K614" s="17"/>
    </row>
    <row r="615" spans="1:11" ht="15" x14ac:dyDescent="0.2">
      <c r="A615" s="11">
        <v>2027</v>
      </c>
      <c r="B615" s="17">
        <f t="shared" ref="B615:J615" si="14">AVERAGE(B180:B191)</f>
        <v>24.852874999999994</v>
      </c>
      <c r="C615" s="17">
        <f t="shared" si="14"/>
        <v>22.658741666666661</v>
      </c>
      <c r="D615" s="17">
        <f t="shared" si="14"/>
        <v>22.650941666666668</v>
      </c>
      <c r="E615" s="17">
        <f t="shared" si="14"/>
        <v>22.650941666666668</v>
      </c>
      <c r="F615" s="17">
        <f t="shared" si="14"/>
        <v>24.852874999999994</v>
      </c>
      <c r="G615" s="17">
        <f t="shared" si="14"/>
        <v>22.6572</v>
      </c>
      <c r="H615" s="17">
        <f t="shared" si="14"/>
        <v>22.6572</v>
      </c>
      <c r="I615" s="17">
        <f t="shared" si="14"/>
        <v>22.658741666666661</v>
      </c>
      <c r="J615" s="17">
        <f t="shared" si="14"/>
        <v>152.68007500000002</v>
      </c>
      <c r="K615" s="17"/>
    </row>
    <row r="616" spans="1:11" ht="15" x14ac:dyDescent="0.2">
      <c r="A616" s="11">
        <v>2028</v>
      </c>
      <c r="B616" s="17">
        <f t="shared" ref="B616:J616" si="15">AVERAGE(B192:B203)</f>
        <v>25.408474999999999</v>
      </c>
      <c r="C616" s="17">
        <f t="shared" si="15"/>
        <v>23.168408333333332</v>
      </c>
      <c r="D616" s="17">
        <f t="shared" si="15"/>
        <v>23.160583333333332</v>
      </c>
      <c r="E616" s="17">
        <f t="shared" si="15"/>
        <v>23.160583333333332</v>
      </c>
      <c r="F616" s="17">
        <f t="shared" si="15"/>
        <v>25.408474999999999</v>
      </c>
      <c r="G616" s="17">
        <f t="shared" si="15"/>
        <v>23.166833333333333</v>
      </c>
      <c r="H616" s="17">
        <f t="shared" si="15"/>
        <v>23.166833333333333</v>
      </c>
      <c r="I616" s="17">
        <f t="shared" si="15"/>
        <v>23.168408333333332</v>
      </c>
      <c r="J616" s="17">
        <f t="shared" si="15"/>
        <v>156.52674999999999</v>
      </c>
      <c r="K616" s="17"/>
    </row>
    <row r="617" spans="1:11" ht="15" x14ac:dyDescent="0.2">
      <c r="A617" s="11">
        <v>2029</v>
      </c>
      <c r="B617" s="17">
        <f t="shared" ref="B617:J617" si="16">AVERAGE(B204:B215)</f>
        <v>26.047441666666668</v>
      </c>
      <c r="C617" s="17">
        <f t="shared" si="16"/>
        <v>23.786666666666665</v>
      </c>
      <c r="D617" s="17">
        <f t="shared" si="16"/>
        <v>23.778858333333332</v>
      </c>
      <c r="E617" s="17">
        <f t="shared" si="16"/>
        <v>23.778858333333332</v>
      </c>
      <c r="F617" s="17">
        <f t="shared" si="16"/>
        <v>26.047441666666668</v>
      </c>
      <c r="G617" s="17">
        <f t="shared" si="16"/>
        <v>23.78510833333333</v>
      </c>
      <c r="H617" s="17">
        <f t="shared" si="16"/>
        <v>23.78510833333333</v>
      </c>
      <c r="I617" s="17">
        <f t="shared" si="16"/>
        <v>23.786666666666665</v>
      </c>
      <c r="J617" s="17">
        <f t="shared" si="16"/>
        <v>160.47031666666666</v>
      </c>
      <c r="K617" s="17"/>
    </row>
    <row r="618" spans="1:11" ht="15" x14ac:dyDescent="0.2">
      <c r="A618" s="11">
        <v>2030</v>
      </c>
      <c r="B618" s="17">
        <f t="shared" ref="B618:J618" si="17">AVERAGE(B216:B227)</f>
        <v>26.499649999999999</v>
      </c>
      <c r="C618" s="17">
        <f t="shared" si="17"/>
        <v>24.289158333333333</v>
      </c>
      <c r="D618" s="17">
        <f t="shared" si="17"/>
        <v>24.281325000000006</v>
      </c>
      <c r="E618" s="17">
        <f t="shared" si="17"/>
        <v>24.281325000000006</v>
      </c>
      <c r="F618" s="17">
        <f t="shared" si="17"/>
        <v>26.499649999999999</v>
      </c>
      <c r="G618" s="17">
        <f t="shared" si="17"/>
        <v>24.287575</v>
      </c>
      <c r="H618" s="17">
        <f t="shared" si="17"/>
        <v>24.287575</v>
      </c>
      <c r="I618" s="17">
        <f t="shared" si="17"/>
        <v>24.289158333333333</v>
      </c>
      <c r="J618" s="17">
        <f t="shared" si="17"/>
        <v>164.09920833333334</v>
      </c>
      <c r="K618" s="17"/>
    </row>
    <row r="619" spans="1:11" ht="15" x14ac:dyDescent="0.2">
      <c r="A619" s="11">
        <v>2031</v>
      </c>
      <c r="B619" s="17">
        <f t="shared" ref="B619:J619" si="18">AVERAGE(B228:B239)</f>
        <v>27.03221666666667</v>
      </c>
      <c r="C619" s="17">
        <f t="shared" si="18"/>
        <v>24.779733333333336</v>
      </c>
      <c r="D619" s="17">
        <f t="shared" si="18"/>
        <v>24.771933333333326</v>
      </c>
      <c r="E619" s="17">
        <f t="shared" si="18"/>
        <v>24.771933333333326</v>
      </c>
      <c r="F619" s="17">
        <f t="shared" si="18"/>
        <v>27.03221666666667</v>
      </c>
      <c r="G619" s="17">
        <f t="shared" si="18"/>
        <v>24.778191666666668</v>
      </c>
      <c r="H619" s="17">
        <f t="shared" si="18"/>
        <v>24.778191666666668</v>
      </c>
      <c r="I619" s="17">
        <f t="shared" si="18"/>
        <v>24.779733333333336</v>
      </c>
      <c r="J619" s="17">
        <f t="shared" si="18"/>
        <v>168.59471666666664</v>
      </c>
      <c r="K619" s="17"/>
    </row>
    <row r="620" spans="1:11" ht="15" x14ac:dyDescent="0.2">
      <c r="A620" s="11">
        <v>2032</v>
      </c>
      <c r="B620" s="17">
        <f t="shared" ref="B620:J620" si="19">AVERAGE(B240:B251)</f>
        <v>27.475408333333334</v>
      </c>
      <c r="C620" s="17">
        <f t="shared" si="19"/>
        <v>25.18770833333333</v>
      </c>
      <c r="D620" s="17">
        <f t="shared" si="19"/>
        <v>25.1799</v>
      </c>
      <c r="E620" s="17">
        <f t="shared" si="19"/>
        <v>25.1799</v>
      </c>
      <c r="F620" s="17">
        <f t="shared" si="19"/>
        <v>27.475408333333334</v>
      </c>
      <c r="G620" s="17">
        <f t="shared" si="19"/>
        <v>25.186141666666668</v>
      </c>
      <c r="H620" s="17">
        <f t="shared" si="19"/>
        <v>25.186141666666668</v>
      </c>
      <c r="I620" s="17">
        <f t="shared" si="19"/>
        <v>25.18770833333333</v>
      </c>
      <c r="J620" s="17">
        <f t="shared" si="19"/>
        <v>172.61425833333337</v>
      </c>
      <c r="K620" s="17"/>
    </row>
    <row r="621" spans="1:11" ht="15" x14ac:dyDescent="0.2">
      <c r="A621" s="11">
        <v>2033</v>
      </c>
      <c r="B621" s="17">
        <f t="shared" ref="B621:J621" si="20">AVERAGE(B252:B263)</f>
        <v>27.926041666666663</v>
      </c>
      <c r="C621" s="17">
        <f t="shared" si="20"/>
        <v>25.602525</v>
      </c>
      <c r="D621" s="17">
        <f t="shared" si="20"/>
        <v>25.594708333333333</v>
      </c>
      <c r="E621" s="17">
        <f t="shared" si="20"/>
        <v>25.594708333333333</v>
      </c>
      <c r="F621" s="17">
        <f t="shared" si="20"/>
        <v>27.926041666666663</v>
      </c>
      <c r="G621" s="17">
        <f t="shared" si="20"/>
        <v>25.600949999999997</v>
      </c>
      <c r="H621" s="17">
        <f t="shared" si="20"/>
        <v>25.600949999999997</v>
      </c>
      <c r="I621" s="17">
        <f t="shared" si="20"/>
        <v>25.602525</v>
      </c>
      <c r="J621" s="17">
        <f t="shared" si="20"/>
        <v>176.72964999999999</v>
      </c>
      <c r="K621" s="17"/>
    </row>
    <row r="622" spans="1:11" ht="15" x14ac:dyDescent="0.2">
      <c r="A622" s="11">
        <v>2034</v>
      </c>
      <c r="B622" s="17">
        <f t="shared" ref="B622:J622" si="21">AVERAGE(B264:B275)</f>
        <v>28.384241666666668</v>
      </c>
      <c r="C622" s="17">
        <f t="shared" si="21"/>
        <v>26.024316666666667</v>
      </c>
      <c r="D622" s="17">
        <f t="shared" si="21"/>
        <v>26.016500000000004</v>
      </c>
      <c r="E622" s="17">
        <f t="shared" si="21"/>
        <v>26.016500000000004</v>
      </c>
      <c r="F622" s="17">
        <f t="shared" si="21"/>
        <v>28.384241666666668</v>
      </c>
      <c r="G622" s="17">
        <f t="shared" si="21"/>
        <v>26.022758333333332</v>
      </c>
      <c r="H622" s="17">
        <f t="shared" si="21"/>
        <v>26.022758333333332</v>
      </c>
      <c r="I622" s="17">
        <f t="shared" si="21"/>
        <v>26.024316666666667</v>
      </c>
      <c r="J622" s="17">
        <f t="shared" si="21"/>
        <v>180.94315000000003</v>
      </c>
      <c r="K622" s="17"/>
    </row>
    <row r="623" spans="1:11" ht="15" x14ac:dyDescent="0.2">
      <c r="A623" s="11">
        <v>2035</v>
      </c>
      <c r="B623" s="17">
        <f t="shared" ref="B623:J623" si="22">AVERAGE(B276:B287)</f>
        <v>28.850116666666665</v>
      </c>
      <c r="C623" s="17">
        <f t="shared" si="22"/>
        <v>26.453183333333332</v>
      </c>
      <c r="D623" s="17">
        <f t="shared" si="22"/>
        <v>26.445375000000002</v>
      </c>
      <c r="E623" s="17">
        <f t="shared" si="22"/>
        <v>26.445375000000002</v>
      </c>
      <c r="F623" s="17">
        <f t="shared" si="22"/>
        <v>28.850116666666665</v>
      </c>
      <c r="G623" s="17">
        <f t="shared" si="22"/>
        <v>26.451616666666666</v>
      </c>
      <c r="H623" s="17">
        <f t="shared" si="22"/>
        <v>26.451616666666666</v>
      </c>
      <c r="I623" s="17">
        <f t="shared" si="22"/>
        <v>26.453183333333332</v>
      </c>
      <c r="J623" s="17">
        <f t="shared" si="22"/>
        <v>185.25710833333335</v>
      </c>
      <c r="K623" s="17"/>
    </row>
    <row r="624" spans="1:11" ht="15" x14ac:dyDescent="0.2">
      <c r="A624" s="11">
        <v>2036</v>
      </c>
      <c r="B624" s="17">
        <f t="shared" ref="B624:J624" si="23">AVERAGE(B288:B299)</f>
        <v>29.323849999999997</v>
      </c>
      <c r="C624" s="17">
        <f t="shared" si="23"/>
        <v>26.889258333333331</v>
      </c>
      <c r="D624" s="17">
        <f t="shared" si="23"/>
        <v>26.881450000000001</v>
      </c>
      <c r="E624" s="17">
        <f t="shared" si="23"/>
        <v>26.881450000000001</v>
      </c>
      <c r="F624" s="17">
        <f t="shared" si="23"/>
        <v>29.323849999999997</v>
      </c>
      <c r="G624" s="17">
        <f t="shared" si="23"/>
        <v>26.887700000000006</v>
      </c>
      <c r="H624" s="17">
        <f t="shared" si="23"/>
        <v>26.887700000000006</v>
      </c>
      <c r="I624" s="17">
        <f t="shared" si="23"/>
        <v>26.889258333333331</v>
      </c>
      <c r="J624" s="17">
        <f t="shared" si="23"/>
        <v>189.67390833333332</v>
      </c>
      <c r="K624" s="17"/>
    </row>
    <row r="625" spans="1:11" ht="15" x14ac:dyDescent="0.2">
      <c r="A625" s="11">
        <v>2037</v>
      </c>
      <c r="B625" s="17">
        <f t="shared" ref="B625:J625" si="24">AVERAGE(B300:B311)</f>
        <v>29.805541666666667</v>
      </c>
      <c r="C625" s="17">
        <f t="shared" si="24"/>
        <v>27.332674999999998</v>
      </c>
      <c r="D625" s="17">
        <f t="shared" si="24"/>
        <v>27.324841666666671</v>
      </c>
      <c r="E625" s="17">
        <f t="shared" si="24"/>
        <v>27.324841666666671</v>
      </c>
      <c r="F625" s="17">
        <f t="shared" si="24"/>
        <v>29.805541666666667</v>
      </c>
      <c r="G625" s="17">
        <f t="shared" si="24"/>
        <v>27.331108333333333</v>
      </c>
      <c r="H625" s="17">
        <f t="shared" si="24"/>
        <v>27.331108333333333</v>
      </c>
      <c r="I625" s="17">
        <f t="shared" si="24"/>
        <v>27.332674999999998</v>
      </c>
      <c r="J625" s="17">
        <f t="shared" si="24"/>
        <v>194.1960333333333</v>
      </c>
      <c r="K625" s="17"/>
    </row>
    <row r="626" spans="1:11" ht="15" x14ac:dyDescent="0.2">
      <c r="A626" s="11">
        <f t="shared" ref="A626:A649" si="25">A625+1</f>
        <v>2038</v>
      </c>
      <c r="B626" s="17">
        <f t="shared" ref="B626:J626" si="26">AVERAGE(B312:B323)</f>
        <v>30.295308333333335</v>
      </c>
      <c r="C626" s="17">
        <f t="shared" si="26"/>
        <v>27.783524999999997</v>
      </c>
      <c r="D626" s="17">
        <f t="shared" si="26"/>
        <v>27.775724999999998</v>
      </c>
      <c r="E626" s="17">
        <f t="shared" si="26"/>
        <v>27.775724999999998</v>
      </c>
      <c r="F626" s="17">
        <f t="shared" si="26"/>
        <v>30.295308333333335</v>
      </c>
      <c r="G626" s="17">
        <f t="shared" si="26"/>
        <v>27.781949999999995</v>
      </c>
      <c r="H626" s="17">
        <f t="shared" si="26"/>
        <v>27.781949999999995</v>
      </c>
      <c r="I626" s="17">
        <f t="shared" si="26"/>
        <v>27.783524999999997</v>
      </c>
      <c r="J626" s="17">
        <f t="shared" si="26"/>
        <v>198.82595833333335</v>
      </c>
    </row>
    <row r="627" spans="1:11" ht="15" x14ac:dyDescent="0.2">
      <c r="A627" s="11">
        <f t="shared" si="25"/>
        <v>2039</v>
      </c>
      <c r="B627" s="17">
        <f t="shared" ref="B627:J627" si="27">AVERAGE(B324:B335)</f>
        <v>30.793308333333339</v>
      </c>
      <c r="C627" s="17">
        <f t="shared" si="27"/>
        <v>28.241950000000003</v>
      </c>
      <c r="D627" s="17">
        <f t="shared" si="27"/>
        <v>28.234133333333332</v>
      </c>
      <c r="E627" s="17">
        <f t="shared" si="27"/>
        <v>28.234133333333332</v>
      </c>
      <c r="F627" s="17">
        <f t="shared" si="27"/>
        <v>30.793308333333339</v>
      </c>
      <c r="G627" s="17">
        <f t="shared" si="27"/>
        <v>28.24038333333333</v>
      </c>
      <c r="H627" s="17">
        <f t="shared" si="27"/>
        <v>28.24038333333333</v>
      </c>
      <c r="I627" s="17">
        <f t="shared" si="27"/>
        <v>28.241950000000003</v>
      </c>
      <c r="J627" s="17">
        <f t="shared" si="27"/>
        <v>203.56624999999997</v>
      </c>
    </row>
    <row r="628" spans="1:11" ht="15" x14ac:dyDescent="0.2">
      <c r="A628" s="11">
        <f t="shared" si="25"/>
        <v>2040</v>
      </c>
      <c r="B628" s="17">
        <f t="shared" ref="B628:J628" si="28">AVERAGE(B336:B347)</f>
        <v>31.299666666666663</v>
      </c>
      <c r="C628" s="17">
        <f t="shared" si="28"/>
        <v>28.708074999999994</v>
      </c>
      <c r="D628" s="17">
        <f t="shared" si="28"/>
        <v>28.700275000000001</v>
      </c>
      <c r="E628" s="17">
        <f t="shared" si="28"/>
        <v>28.700275000000001</v>
      </c>
      <c r="F628" s="17">
        <f t="shared" si="28"/>
        <v>31.299666666666663</v>
      </c>
      <c r="G628" s="17">
        <f t="shared" si="28"/>
        <v>28.706516666666662</v>
      </c>
      <c r="H628" s="17">
        <f t="shared" si="28"/>
        <v>28.706516666666662</v>
      </c>
      <c r="I628" s="17">
        <f t="shared" si="28"/>
        <v>28.708074999999994</v>
      </c>
      <c r="J628" s="17">
        <f t="shared" si="28"/>
        <v>208.41958333333332</v>
      </c>
    </row>
    <row r="629" spans="1:11" ht="15" x14ac:dyDescent="0.2">
      <c r="A629" s="11">
        <f t="shared" si="25"/>
        <v>2041</v>
      </c>
      <c r="B629" s="17">
        <f t="shared" ref="B629:J629" si="29">AVERAGE(B348:B359)</f>
        <v>31.814550000000001</v>
      </c>
      <c r="C629" s="17">
        <f t="shared" si="29"/>
        <v>29.169766666666664</v>
      </c>
      <c r="D629" s="17">
        <f t="shared" si="29"/>
        <v>29.161950000000001</v>
      </c>
      <c r="E629" s="17">
        <f t="shared" si="29"/>
        <v>29.161950000000001</v>
      </c>
      <c r="F629" s="17">
        <f t="shared" si="29"/>
        <v>31.814550000000001</v>
      </c>
      <c r="G629" s="17">
        <f t="shared" si="29"/>
        <v>29.168208333333329</v>
      </c>
      <c r="H629" s="17">
        <f t="shared" si="29"/>
        <v>29.168208333333329</v>
      </c>
      <c r="I629" s="17">
        <f t="shared" si="29"/>
        <v>29.169766666666664</v>
      </c>
      <c r="J629" s="17">
        <f t="shared" si="29"/>
        <v>213.38863333333336</v>
      </c>
    </row>
    <row r="630" spans="1:11" ht="15" x14ac:dyDescent="0.2">
      <c r="A630" s="11">
        <f t="shared" si="25"/>
        <v>2042</v>
      </c>
      <c r="B630" s="17">
        <f t="shared" ref="B630:J630" si="30">AVERAGE(B360:B371)</f>
        <v>32.33806666666667</v>
      </c>
      <c r="C630" s="17">
        <f t="shared" si="30"/>
        <v>29.663958333333337</v>
      </c>
      <c r="D630" s="17">
        <f t="shared" si="30"/>
        <v>29.656141666666667</v>
      </c>
      <c r="E630" s="17">
        <f t="shared" si="30"/>
        <v>29.656141666666667</v>
      </c>
      <c r="F630" s="17">
        <f t="shared" si="30"/>
        <v>32.33806666666667</v>
      </c>
      <c r="G630" s="17">
        <f t="shared" si="30"/>
        <v>29.662391666666664</v>
      </c>
      <c r="H630" s="17">
        <f t="shared" si="30"/>
        <v>29.662391666666664</v>
      </c>
      <c r="I630" s="17">
        <f t="shared" si="30"/>
        <v>29.663958333333337</v>
      </c>
      <c r="J630" s="17">
        <f t="shared" si="30"/>
        <v>218.47611666666668</v>
      </c>
    </row>
    <row r="631" spans="1:11" ht="15" x14ac:dyDescent="0.2">
      <c r="A631" s="11">
        <f t="shared" si="25"/>
        <v>2043</v>
      </c>
      <c r="B631" s="17">
        <f t="shared" ref="B631:J631" si="31">AVERAGE(B372:B383)</f>
        <v>32.87039166666667</v>
      </c>
      <c r="C631" s="17">
        <f t="shared" si="31"/>
        <v>30.153974999999999</v>
      </c>
      <c r="D631" s="17">
        <f t="shared" si="31"/>
        <v>30.146166666666662</v>
      </c>
      <c r="E631" s="17">
        <f t="shared" si="31"/>
        <v>30.146166666666662</v>
      </c>
      <c r="F631" s="17">
        <f t="shared" si="31"/>
        <v>32.87039166666667</v>
      </c>
      <c r="G631" s="17">
        <f t="shared" si="31"/>
        <v>30.152424999999997</v>
      </c>
      <c r="H631" s="17">
        <f t="shared" si="31"/>
        <v>30.152424999999997</v>
      </c>
      <c r="I631" s="17">
        <f t="shared" si="31"/>
        <v>30.153974999999999</v>
      </c>
      <c r="J631" s="17">
        <f t="shared" si="31"/>
        <v>223.6849333333333</v>
      </c>
    </row>
    <row r="632" spans="1:11" ht="15" x14ac:dyDescent="0.2">
      <c r="A632" s="11">
        <f t="shared" si="25"/>
        <v>2044</v>
      </c>
      <c r="B632" s="17">
        <f t="shared" ref="B632:J632" si="32">AVERAGE(B384:B395)</f>
        <v>33.411649999999995</v>
      </c>
      <c r="C632" s="17">
        <f t="shared" si="32"/>
        <v>30.652233333333339</v>
      </c>
      <c r="D632" s="17">
        <f t="shared" si="32"/>
        <v>30.644408333333335</v>
      </c>
      <c r="E632" s="17">
        <f t="shared" si="32"/>
        <v>30.644408333333335</v>
      </c>
      <c r="F632" s="17">
        <f t="shared" si="32"/>
        <v>33.411649999999995</v>
      </c>
      <c r="G632" s="17">
        <f t="shared" si="32"/>
        <v>30.650666666666666</v>
      </c>
      <c r="H632" s="17">
        <f t="shared" si="32"/>
        <v>30.650666666666666</v>
      </c>
      <c r="I632" s="17">
        <f t="shared" si="32"/>
        <v>30.652233333333339</v>
      </c>
      <c r="J632" s="17">
        <f t="shared" si="32"/>
        <v>229.01791666666665</v>
      </c>
    </row>
    <row r="633" spans="1:11" ht="15" x14ac:dyDescent="0.2">
      <c r="A633" s="11">
        <f t="shared" si="25"/>
        <v>2045</v>
      </c>
      <c r="B633" s="17">
        <f t="shared" ref="B633:J633" si="33">AVERAGE(B396:B407)</f>
        <v>33.96200833333333</v>
      </c>
      <c r="C633" s="17">
        <f t="shared" si="33"/>
        <v>31.158850000000001</v>
      </c>
      <c r="D633" s="17">
        <f t="shared" si="33"/>
        <v>31.151033333333327</v>
      </c>
      <c r="E633" s="17">
        <f t="shared" si="33"/>
        <v>31.151033333333327</v>
      </c>
      <c r="F633" s="17">
        <f t="shared" si="33"/>
        <v>33.96200833333333</v>
      </c>
      <c r="G633" s="17">
        <f t="shared" si="33"/>
        <v>31.157283333333336</v>
      </c>
      <c r="H633" s="17">
        <f t="shared" si="33"/>
        <v>31.157283333333336</v>
      </c>
      <c r="I633" s="17">
        <f t="shared" si="33"/>
        <v>31.158850000000001</v>
      </c>
      <c r="J633" s="17">
        <f t="shared" si="33"/>
        <v>234.478025</v>
      </c>
    </row>
    <row r="634" spans="1:11" ht="15" x14ac:dyDescent="0.2">
      <c r="A634" s="11">
        <f t="shared" si="25"/>
        <v>2046</v>
      </c>
      <c r="B634" s="17">
        <f t="shared" ref="B634:J634" si="34">AVERAGE(B408:B419)</f>
        <v>34.521608333333333</v>
      </c>
      <c r="C634" s="17">
        <f t="shared" si="34"/>
        <v>31.673983333333336</v>
      </c>
      <c r="D634" s="17">
        <f t="shared" si="34"/>
        <v>31.666174999999996</v>
      </c>
      <c r="E634" s="17">
        <f t="shared" si="34"/>
        <v>31.666174999999996</v>
      </c>
      <c r="F634" s="17">
        <f t="shared" si="34"/>
        <v>34.521608333333333</v>
      </c>
      <c r="G634" s="17">
        <f t="shared" si="34"/>
        <v>31.672424999999993</v>
      </c>
      <c r="H634" s="17">
        <f t="shared" si="34"/>
        <v>31.672424999999993</v>
      </c>
      <c r="I634" s="17">
        <f t="shared" si="34"/>
        <v>31.673983333333336</v>
      </c>
      <c r="J634" s="17">
        <f t="shared" si="34"/>
        <v>240.06835000000001</v>
      </c>
    </row>
    <row r="635" spans="1:11" ht="15" x14ac:dyDescent="0.2">
      <c r="A635" s="11">
        <f t="shared" si="25"/>
        <v>2047</v>
      </c>
      <c r="B635" s="17">
        <f t="shared" ref="B635:J635" si="35">AVERAGE(B420:B431)</f>
        <v>35.090608333333329</v>
      </c>
      <c r="C635" s="17">
        <f t="shared" si="35"/>
        <v>32.197766666666666</v>
      </c>
      <c r="D635" s="17">
        <f t="shared" si="35"/>
        <v>32.189958333333337</v>
      </c>
      <c r="E635" s="17">
        <f t="shared" si="35"/>
        <v>32.189958333333337</v>
      </c>
      <c r="F635" s="17">
        <f t="shared" si="35"/>
        <v>35.090608333333329</v>
      </c>
      <c r="G635" s="17">
        <f t="shared" si="35"/>
        <v>32.196208333333331</v>
      </c>
      <c r="H635" s="17">
        <f t="shared" si="35"/>
        <v>32.196208333333331</v>
      </c>
      <c r="I635" s="17">
        <f t="shared" si="35"/>
        <v>32.197766666666666</v>
      </c>
      <c r="J635" s="17">
        <f t="shared" si="35"/>
        <v>245.79194999999996</v>
      </c>
    </row>
    <row r="636" spans="1:11" ht="15" x14ac:dyDescent="0.2">
      <c r="A636" s="11">
        <f t="shared" si="25"/>
        <v>2048</v>
      </c>
      <c r="B636" s="17">
        <f t="shared" ref="B636:J636" si="36">AVERAGE(B432:B443)</f>
        <v>35.669166666666669</v>
      </c>
      <c r="C636" s="17">
        <f t="shared" si="36"/>
        <v>32.730358333333335</v>
      </c>
      <c r="D636" s="17">
        <f t="shared" si="36"/>
        <v>32.722541666666665</v>
      </c>
      <c r="E636" s="17">
        <f t="shared" si="36"/>
        <v>32.722541666666665</v>
      </c>
      <c r="F636" s="17">
        <f t="shared" si="36"/>
        <v>35.669166666666669</v>
      </c>
      <c r="G636" s="17">
        <f t="shared" si="36"/>
        <v>32.728791666666666</v>
      </c>
      <c r="H636" s="17">
        <f t="shared" si="36"/>
        <v>32.728791666666666</v>
      </c>
      <c r="I636" s="17">
        <f t="shared" si="36"/>
        <v>32.730358333333335</v>
      </c>
      <c r="J636" s="17">
        <f t="shared" si="36"/>
        <v>251.65198333333333</v>
      </c>
    </row>
    <row r="637" spans="1:11" ht="15" x14ac:dyDescent="0.2">
      <c r="A637" s="11">
        <f t="shared" si="25"/>
        <v>2049</v>
      </c>
      <c r="B637" s="17">
        <f t="shared" ref="B637:J637" si="37">AVERAGE(B444:B455)</f>
        <v>36.257449999999999</v>
      </c>
      <c r="C637" s="17">
        <f t="shared" si="37"/>
        <v>33.271883333333328</v>
      </c>
      <c r="D637" s="17">
        <f t="shared" si="37"/>
        <v>33.264066666666665</v>
      </c>
      <c r="E637" s="17">
        <f t="shared" si="37"/>
        <v>33.264066666666665</v>
      </c>
      <c r="F637" s="17">
        <f t="shared" si="37"/>
        <v>36.257449999999999</v>
      </c>
      <c r="G637" s="17">
        <f t="shared" si="37"/>
        <v>33.270325</v>
      </c>
      <c r="H637" s="17">
        <f t="shared" si="37"/>
        <v>33.270325</v>
      </c>
      <c r="I637" s="17">
        <f t="shared" si="37"/>
        <v>33.271883333333328</v>
      </c>
      <c r="J637" s="17">
        <f t="shared" si="37"/>
        <v>257.65174166666668</v>
      </c>
    </row>
    <row r="638" spans="1:11" ht="15" x14ac:dyDescent="0.2">
      <c r="A638" s="11">
        <f t="shared" si="25"/>
        <v>2050</v>
      </c>
      <c r="B638" s="17">
        <f t="shared" ref="B638:J638" si="38">AVERAGE(B456:B467)</f>
        <v>36.855608333333336</v>
      </c>
      <c r="C638" s="17">
        <f t="shared" si="38"/>
        <v>33.822508333333339</v>
      </c>
      <c r="D638" s="17">
        <f t="shared" si="38"/>
        <v>33.814700000000002</v>
      </c>
      <c r="E638" s="17">
        <f t="shared" si="38"/>
        <v>33.814700000000002</v>
      </c>
      <c r="F638" s="17">
        <f t="shared" si="38"/>
        <v>36.855608333333336</v>
      </c>
      <c r="G638" s="17">
        <f t="shared" si="38"/>
        <v>33.820966666666664</v>
      </c>
      <c r="H638" s="17">
        <f t="shared" si="38"/>
        <v>33.820966666666664</v>
      </c>
      <c r="I638" s="17">
        <f t="shared" si="38"/>
        <v>33.822508333333339</v>
      </c>
      <c r="J638" s="17">
        <f t="shared" si="38"/>
        <v>263.79455833333333</v>
      </c>
    </row>
    <row r="639" spans="1:11" ht="15" x14ac:dyDescent="0.2">
      <c r="A639" s="11">
        <f t="shared" si="25"/>
        <v>2051</v>
      </c>
      <c r="B639" s="17">
        <f t="shared" ref="B639:J639" si="39">AVERAGE(B468:B479)</f>
        <v>37.463841666666667</v>
      </c>
      <c r="C639" s="17">
        <f t="shared" si="39"/>
        <v>34.382400000000004</v>
      </c>
      <c r="D639" s="17">
        <f t="shared" si="39"/>
        <v>34.374583333333341</v>
      </c>
      <c r="E639" s="17">
        <f t="shared" si="39"/>
        <v>34.374583333333341</v>
      </c>
      <c r="F639" s="17">
        <f t="shared" si="39"/>
        <v>37.463841666666667</v>
      </c>
      <c r="G639" s="17">
        <f t="shared" si="39"/>
        <v>34.380850000000002</v>
      </c>
      <c r="H639" s="17">
        <f t="shared" si="39"/>
        <v>34.380850000000002</v>
      </c>
      <c r="I639" s="17">
        <f t="shared" si="39"/>
        <v>34.382400000000004</v>
      </c>
      <c r="J639" s="17">
        <f t="shared" si="39"/>
        <v>270.08380833333337</v>
      </c>
    </row>
    <row r="640" spans="1:11" ht="15" x14ac:dyDescent="0.2">
      <c r="A640" s="11">
        <f t="shared" si="25"/>
        <v>2052</v>
      </c>
      <c r="B640" s="17">
        <f t="shared" ref="B640:J640" si="40">AVERAGE(B480:B491)</f>
        <v>38.082249999999995</v>
      </c>
      <c r="C640" s="17">
        <f t="shared" si="40"/>
        <v>34.951691666666669</v>
      </c>
      <c r="D640" s="17">
        <f t="shared" si="40"/>
        <v>34.943883333333332</v>
      </c>
      <c r="E640" s="17">
        <f t="shared" si="40"/>
        <v>34.943883333333332</v>
      </c>
      <c r="F640" s="17">
        <f t="shared" si="40"/>
        <v>38.082249999999995</v>
      </c>
      <c r="G640" s="17">
        <f t="shared" si="40"/>
        <v>34.950116666666666</v>
      </c>
      <c r="H640" s="17">
        <f t="shared" si="40"/>
        <v>34.950116666666666</v>
      </c>
      <c r="I640" s="17">
        <f t="shared" si="40"/>
        <v>34.951691666666669</v>
      </c>
      <c r="J640" s="17">
        <f t="shared" si="40"/>
        <v>276.52300833333334</v>
      </c>
    </row>
    <row r="641" spans="1:10" ht="15" x14ac:dyDescent="0.2">
      <c r="A641" s="11">
        <f t="shared" si="25"/>
        <v>2053</v>
      </c>
      <c r="B641" s="17">
        <f t="shared" ref="B641:J641" si="41">AVERAGE(B492:B503)</f>
        <v>38.711075000000001</v>
      </c>
      <c r="C641" s="17">
        <f t="shared" si="41"/>
        <v>35.530533333333331</v>
      </c>
      <c r="D641" s="17">
        <f t="shared" si="41"/>
        <v>35.522733333333335</v>
      </c>
      <c r="E641" s="17">
        <f t="shared" si="41"/>
        <v>35.522733333333335</v>
      </c>
      <c r="F641" s="17">
        <f t="shared" si="41"/>
        <v>38.711075000000001</v>
      </c>
      <c r="G641" s="17">
        <f t="shared" si="41"/>
        <v>35.528974999999996</v>
      </c>
      <c r="H641" s="17">
        <f t="shared" si="41"/>
        <v>35.528974999999996</v>
      </c>
      <c r="I641" s="17">
        <f t="shared" si="41"/>
        <v>35.530533333333331</v>
      </c>
      <c r="J641" s="17">
        <f t="shared" si="41"/>
        <v>283.11573333333331</v>
      </c>
    </row>
    <row r="642" spans="1:10" ht="15" x14ac:dyDescent="0.2">
      <c r="A642" s="11">
        <f t="shared" si="25"/>
        <v>2054</v>
      </c>
      <c r="B642" s="17">
        <f t="shared" ref="B642:J642" si="42">AVERAGE(B504:B515)</f>
        <v>39.350466666666669</v>
      </c>
      <c r="C642" s="17">
        <f t="shared" si="42"/>
        <v>36.103866666666669</v>
      </c>
      <c r="D642" s="17">
        <f t="shared" si="42"/>
        <v>36.096049999999998</v>
      </c>
      <c r="E642" s="17">
        <f t="shared" si="42"/>
        <v>36.096049999999998</v>
      </c>
      <c r="F642" s="17">
        <f t="shared" si="42"/>
        <v>39.350466666666669</v>
      </c>
      <c r="G642" s="17">
        <f t="shared" si="42"/>
        <v>36.102308333333333</v>
      </c>
      <c r="H642" s="17">
        <f t="shared" si="42"/>
        <v>36.102308333333333</v>
      </c>
      <c r="I642" s="17">
        <f t="shared" si="42"/>
        <v>36.103866666666669</v>
      </c>
      <c r="J642" s="17">
        <f t="shared" si="42"/>
        <v>289.8656416666667</v>
      </c>
    </row>
    <row r="643" spans="1:10" ht="15" x14ac:dyDescent="0.2">
      <c r="A643" s="11">
        <f t="shared" si="25"/>
        <v>2055</v>
      </c>
      <c r="B643" s="17">
        <f t="shared" ref="B643:J643" si="43">AVERAGE(B516:B527)</f>
        <v>40.000591666666672</v>
      </c>
      <c r="C643" s="17">
        <f t="shared" si="43"/>
        <v>36.717558333333329</v>
      </c>
      <c r="D643" s="17">
        <f t="shared" si="43"/>
        <v>36.709758333333333</v>
      </c>
      <c r="E643" s="17">
        <f t="shared" si="43"/>
        <v>36.709758333333333</v>
      </c>
      <c r="F643" s="17">
        <f t="shared" si="43"/>
        <v>40.000591666666672</v>
      </c>
      <c r="G643" s="17">
        <f t="shared" si="43"/>
        <v>36.716008333333335</v>
      </c>
      <c r="H643" s="17">
        <f t="shared" si="43"/>
        <v>36.716008333333335</v>
      </c>
      <c r="I643" s="17">
        <f t="shared" si="43"/>
        <v>36.717558333333329</v>
      </c>
      <c r="J643" s="17">
        <f t="shared" si="43"/>
        <v>296.77645000000001</v>
      </c>
    </row>
    <row r="644" spans="1:10" ht="15" x14ac:dyDescent="0.2">
      <c r="A644" s="11">
        <f t="shared" si="25"/>
        <v>2056</v>
      </c>
      <c r="B644" s="17">
        <f t="shared" ref="B644:J644" si="44">AVERAGE(B528:B539)</f>
        <v>40.661649999999995</v>
      </c>
      <c r="C644" s="17">
        <f t="shared" si="44"/>
        <v>37.32609166666667</v>
      </c>
      <c r="D644" s="17">
        <f t="shared" si="44"/>
        <v>37.318266666666666</v>
      </c>
      <c r="E644" s="17">
        <f t="shared" si="44"/>
        <v>37.318266666666666</v>
      </c>
      <c r="F644" s="17">
        <f t="shared" si="44"/>
        <v>40.661649999999995</v>
      </c>
      <c r="G644" s="17">
        <f t="shared" si="44"/>
        <v>37.324525000000001</v>
      </c>
      <c r="H644" s="17">
        <f t="shared" si="44"/>
        <v>37.324525000000001</v>
      </c>
      <c r="I644" s="17">
        <f t="shared" si="44"/>
        <v>37.32609166666667</v>
      </c>
      <c r="J644" s="17">
        <f t="shared" si="44"/>
        <v>303.85205833333333</v>
      </c>
    </row>
    <row r="645" spans="1:10" ht="15" x14ac:dyDescent="0.2">
      <c r="A645" s="11">
        <f t="shared" si="25"/>
        <v>2057</v>
      </c>
      <c r="B645" s="17">
        <f t="shared" ref="B645:J645" si="45">AVERAGE(B540:B551)</f>
        <v>41.333791666666663</v>
      </c>
      <c r="C645" s="17">
        <f t="shared" si="45"/>
        <v>37.944833333333335</v>
      </c>
      <c r="D645" s="17">
        <f t="shared" si="45"/>
        <v>37.937025000000006</v>
      </c>
      <c r="E645" s="17">
        <f t="shared" si="45"/>
        <v>37.937025000000006</v>
      </c>
      <c r="F645" s="17">
        <f t="shared" si="45"/>
        <v>41.333791666666663</v>
      </c>
      <c r="G645" s="17">
        <f t="shared" si="45"/>
        <v>37.943266666666666</v>
      </c>
      <c r="H645" s="17">
        <f t="shared" si="45"/>
        <v>37.943266666666666</v>
      </c>
      <c r="I645" s="17">
        <f t="shared" si="45"/>
        <v>37.944833333333335</v>
      </c>
      <c r="J645" s="17">
        <f t="shared" si="45"/>
        <v>311.09635833333334</v>
      </c>
    </row>
    <row r="646" spans="1:10" ht="15" x14ac:dyDescent="0.2">
      <c r="A646" s="11">
        <f t="shared" si="25"/>
        <v>2058</v>
      </c>
      <c r="B646" s="17">
        <f t="shared" ref="B646:J646" si="46">AVERAGE(B552:B563)</f>
        <v>42.017241666666663</v>
      </c>
      <c r="C646" s="17">
        <f t="shared" si="46"/>
        <v>38.573950000000004</v>
      </c>
      <c r="D646" s="17">
        <f t="shared" si="46"/>
        <v>38.56615</v>
      </c>
      <c r="E646" s="17">
        <f t="shared" si="46"/>
        <v>38.56615</v>
      </c>
      <c r="F646" s="17">
        <f t="shared" si="46"/>
        <v>42.017241666666663</v>
      </c>
      <c r="G646" s="17">
        <f t="shared" si="46"/>
        <v>38.572400000000009</v>
      </c>
      <c r="H646" s="17">
        <f t="shared" si="46"/>
        <v>38.572400000000009</v>
      </c>
      <c r="I646" s="17">
        <f t="shared" si="46"/>
        <v>38.573950000000004</v>
      </c>
      <c r="J646" s="17">
        <f t="shared" si="46"/>
        <v>318.51335833333331</v>
      </c>
    </row>
    <row r="647" spans="1:10" ht="15" x14ac:dyDescent="0.2">
      <c r="A647" s="11">
        <f t="shared" si="25"/>
        <v>2059</v>
      </c>
      <c r="B647" s="17">
        <f t="shared" ref="B647:J647" si="47">AVERAGE(B564:B575)</f>
        <v>42.712158333333328</v>
      </c>
      <c r="C647" s="17">
        <f t="shared" si="47"/>
        <v>39.213666666666668</v>
      </c>
      <c r="D647" s="17">
        <f t="shared" si="47"/>
        <v>39.205850000000005</v>
      </c>
      <c r="E647" s="17">
        <f t="shared" si="47"/>
        <v>39.205850000000005</v>
      </c>
      <c r="F647" s="17">
        <f t="shared" si="47"/>
        <v>42.712158333333328</v>
      </c>
      <c r="G647" s="17">
        <f t="shared" si="47"/>
        <v>39.21210833333334</v>
      </c>
      <c r="H647" s="17">
        <f t="shared" si="47"/>
        <v>39.21210833333334</v>
      </c>
      <c r="I647" s="17">
        <f t="shared" si="47"/>
        <v>39.213666666666668</v>
      </c>
      <c r="J647" s="17">
        <f t="shared" si="47"/>
        <v>326.10719166666667</v>
      </c>
    </row>
    <row r="648" spans="1:10" ht="15" x14ac:dyDescent="0.2">
      <c r="A648" s="11">
        <f t="shared" si="25"/>
        <v>2060</v>
      </c>
      <c r="B648" s="17">
        <f t="shared" ref="B648:J648" si="48">AVERAGE(B576:B587)</f>
        <v>43.418766666666663</v>
      </c>
      <c r="C648" s="17">
        <f t="shared" si="48"/>
        <v>39.864116666666668</v>
      </c>
      <c r="D648" s="17">
        <f t="shared" si="48"/>
        <v>39.856300000000005</v>
      </c>
      <c r="E648" s="17">
        <f t="shared" si="48"/>
        <v>39.856300000000005</v>
      </c>
      <c r="F648" s="17">
        <f t="shared" si="48"/>
        <v>43.418766666666663</v>
      </c>
      <c r="G648" s="17">
        <f t="shared" si="48"/>
        <v>39.862558333333332</v>
      </c>
      <c r="H648" s="17">
        <f t="shared" si="48"/>
        <v>39.862558333333332</v>
      </c>
      <c r="I648" s="17">
        <f t="shared" si="48"/>
        <v>39.864116666666668</v>
      </c>
      <c r="J648" s="17">
        <f t="shared" si="48"/>
        <v>333.88210000000004</v>
      </c>
    </row>
    <row r="649" spans="1:10" ht="15" x14ac:dyDescent="0.2">
      <c r="A649" s="11">
        <f t="shared" si="25"/>
        <v>2061</v>
      </c>
      <c r="B649" s="17">
        <f t="shared" ref="B649:J649" si="49">AVERAGE(B588:B599)</f>
        <v>44.137241666666675</v>
      </c>
      <c r="C649" s="17">
        <f t="shared" si="49"/>
        <v>40.525491666666667</v>
      </c>
      <c r="D649" s="17">
        <f t="shared" si="49"/>
        <v>40.517683333333345</v>
      </c>
      <c r="E649" s="17">
        <f t="shared" si="49"/>
        <v>40.517683333333345</v>
      </c>
      <c r="F649" s="17">
        <f t="shared" si="49"/>
        <v>44.137241666666675</v>
      </c>
      <c r="G649" s="17">
        <f t="shared" si="49"/>
        <v>40.523924999999998</v>
      </c>
      <c r="H649" s="17">
        <f t="shared" si="49"/>
        <v>40.523924999999998</v>
      </c>
      <c r="I649" s="17">
        <f t="shared" si="49"/>
        <v>40.525491666666667</v>
      </c>
      <c r="J649" s="17">
        <f t="shared" si="49"/>
        <v>341.84232500000002</v>
      </c>
    </row>
    <row r="650" spans="1:10" ht="15" x14ac:dyDescent="0.2">
      <c r="A650" s="44"/>
    </row>
    <row r="651" spans="1:10" x14ac:dyDescent="0.2">
      <c r="A651" s="8"/>
    </row>
    <row r="652" spans="1:10" x14ac:dyDescent="0.2">
      <c r="A652" s="8"/>
    </row>
    <row r="653" spans="1:10" x14ac:dyDescent="0.2">
      <c r="A653" s="8"/>
    </row>
    <row r="654" spans="1:10" x14ac:dyDescent="0.2">
      <c r="A654" s="8"/>
    </row>
    <row r="655" spans="1:10" x14ac:dyDescent="0.2">
      <c r="A655" s="8"/>
    </row>
    <row r="656" spans="1:10" x14ac:dyDescent="0.2">
      <c r="A656" s="8"/>
    </row>
    <row r="657" spans="1:1" x14ac:dyDescent="0.2">
      <c r="A657" s="8"/>
    </row>
    <row r="658" spans="1:1" x14ac:dyDescent="0.2">
      <c r="A658" s="8"/>
    </row>
    <row r="659" spans="1:1" x14ac:dyDescent="0.2">
      <c r="A659" s="8"/>
    </row>
    <row r="660" spans="1:1" x14ac:dyDescent="0.2">
      <c r="A660" s="8"/>
    </row>
    <row r="661" spans="1:1" x14ac:dyDescent="0.2">
      <c r="A661" s="8"/>
    </row>
    <row r="662" spans="1:1" x14ac:dyDescent="0.2">
      <c r="A662" s="8"/>
    </row>
    <row r="663" spans="1:1" x14ac:dyDescent="0.2">
      <c r="A663" s="8"/>
    </row>
    <row r="664" spans="1:1" x14ac:dyDescent="0.2">
      <c r="A664" s="8"/>
    </row>
    <row r="665" spans="1:1" x14ac:dyDescent="0.2">
      <c r="A665" s="8"/>
    </row>
    <row r="666" spans="1:1" x14ac:dyDescent="0.2">
      <c r="A666" s="8"/>
    </row>
    <row r="667" spans="1:1" x14ac:dyDescent="0.2">
      <c r="A667" s="8"/>
    </row>
    <row r="668" spans="1:1" x14ac:dyDescent="0.2">
      <c r="A668" s="8"/>
    </row>
    <row r="669" spans="1:1" x14ac:dyDescent="0.2">
      <c r="A669" s="8"/>
    </row>
    <row r="670" spans="1:1" x14ac:dyDescent="0.2">
      <c r="A670" s="8"/>
    </row>
    <row r="671" spans="1:1" x14ac:dyDescent="0.2">
      <c r="A671" s="8"/>
    </row>
    <row r="672" spans="1:1" x14ac:dyDescent="0.2">
      <c r="A672" s="8"/>
    </row>
    <row r="673" spans="1:1" x14ac:dyDescent="0.2">
      <c r="A673" s="8"/>
    </row>
    <row r="674" spans="1:1" x14ac:dyDescent="0.2">
      <c r="A674" s="8"/>
    </row>
    <row r="675" spans="1:1" x14ac:dyDescent="0.2">
      <c r="A675" s="8"/>
    </row>
    <row r="676" spans="1:1" x14ac:dyDescent="0.2">
      <c r="A676" s="8"/>
    </row>
    <row r="677" spans="1:1" x14ac:dyDescent="0.2">
      <c r="A677" s="8"/>
    </row>
    <row r="678" spans="1:1" x14ac:dyDescent="0.2">
      <c r="A678" s="8"/>
    </row>
    <row r="679" spans="1:1" x14ac:dyDescent="0.2">
      <c r="A679" s="8"/>
    </row>
    <row r="680" spans="1:1" x14ac:dyDescent="0.2">
      <c r="A680" s="8"/>
    </row>
    <row r="681" spans="1:1" x14ac:dyDescent="0.2">
      <c r="A681" s="8"/>
    </row>
    <row r="682" spans="1:1" x14ac:dyDescent="0.2">
      <c r="A682" s="8"/>
    </row>
    <row r="683" spans="1:1" x14ac:dyDescent="0.2">
      <c r="A683" s="8"/>
    </row>
    <row r="684" spans="1:1" x14ac:dyDescent="0.2">
      <c r="A684" s="8"/>
    </row>
    <row r="685" spans="1:1" x14ac:dyDescent="0.2">
      <c r="A685" s="8"/>
    </row>
    <row r="686" spans="1:1" x14ac:dyDescent="0.2">
      <c r="A686" s="8"/>
    </row>
    <row r="687" spans="1:1" x14ac:dyDescent="0.2">
      <c r="A687" s="8"/>
    </row>
    <row r="688" spans="1:1" x14ac:dyDescent="0.2">
      <c r="A688" s="8"/>
    </row>
    <row r="689" spans="1:1" x14ac:dyDescent="0.2">
      <c r="A689" s="8"/>
    </row>
    <row r="690" spans="1:1" x14ac:dyDescent="0.2">
      <c r="A690" s="8"/>
    </row>
    <row r="691" spans="1:1" x14ac:dyDescent="0.2">
      <c r="A691" s="8"/>
    </row>
    <row r="692" spans="1:1" x14ac:dyDescent="0.2">
      <c r="A692" s="8"/>
    </row>
    <row r="693" spans="1:1" x14ac:dyDescent="0.2">
      <c r="A693" s="8"/>
    </row>
    <row r="694" spans="1:1" x14ac:dyDescent="0.2">
      <c r="A694" s="8"/>
    </row>
    <row r="695" spans="1:1" x14ac:dyDescent="0.2">
      <c r="A695" s="8"/>
    </row>
    <row r="696" spans="1:1" x14ac:dyDescent="0.2">
      <c r="A696" s="8"/>
    </row>
    <row r="697" spans="1:1" x14ac:dyDescent="0.2">
      <c r="A697" s="8"/>
    </row>
    <row r="698" spans="1:1" x14ac:dyDescent="0.2">
      <c r="A698" s="8"/>
    </row>
    <row r="699" spans="1:1" x14ac:dyDescent="0.2">
      <c r="A699" s="8"/>
    </row>
    <row r="700" spans="1:1" x14ac:dyDescent="0.2">
      <c r="A700" s="8"/>
    </row>
    <row r="701" spans="1:1" x14ac:dyDescent="0.2">
      <c r="A701" s="8"/>
    </row>
    <row r="702" spans="1:1" x14ac:dyDescent="0.2">
      <c r="A702" s="8"/>
    </row>
    <row r="703" spans="1:1" x14ac:dyDescent="0.2">
      <c r="A703" s="8"/>
    </row>
    <row r="704" spans="1:1" x14ac:dyDescent="0.2">
      <c r="A704" s="8"/>
    </row>
    <row r="705" spans="1:1" x14ac:dyDescent="0.2">
      <c r="A705" s="8"/>
    </row>
    <row r="706" spans="1:1" x14ac:dyDescent="0.2">
      <c r="A706" s="8"/>
    </row>
    <row r="707" spans="1:1" x14ac:dyDescent="0.2">
      <c r="A707" s="8"/>
    </row>
    <row r="708" spans="1:1" x14ac:dyDescent="0.2">
      <c r="A708" s="8"/>
    </row>
  </sheetData>
  <pageMargins left="0.25" right="0.25" top="0.5" bottom="0.5" header="0.25" footer="0.25"/>
  <pageSetup paperSize="5" scale="95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7</xdr:col>
                    <xdr:colOff>209550</xdr:colOff>
                    <xdr:row>7</xdr:row>
                    <xdr:rowOff>180975</xdr:rowOff>
                  </from>
                  <to>
                    <xdr:col>8</xdr:col>
                    <xdr:colOff>342900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locked="0" defaultSize="0" autoLine="0" autoPict="0">
                <anchor moveWithCells="1">
                  <from>
                    <xdr:col>8</xdr:col>
                    <xdr:colOff>476250</xdr:colOff>
                    <xdr:row>7</xdr:row>
                    <xdr:rowOff>180975</xdr:rowOff>
                  </from>
                  <to>
                    <xdr:col>9</xdr:col>
                    <xdr:colOff>609600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AC656"/>
  <sheetViews>
    <sheetView zoomScale="75" zoomScaleNormal="75" workbookViewId="0">
      <pane xSplit="1" ySplit="12" topLeftCell="B13" activePane="bottomRight" state="frozen"/>
      <selection activeCell="A6" sqref="A6"/>
      <selection pane="topRight" activeCell="A6" sqref="A6"/>
      <selection pane="bottomLeft" activeCell="A6" sqref="A6"/>
      <selection pane="bottomRight" activeCell="B13" sqref="B13"/>
    </sheetView>
  </sheetViews>
  <sheetFormatPr defaultColWidth="7.109375" defaultRowHeight="12.75" x14ac:dyDescent="0.2"/>
  <cols>
    <col min="1" max="1" width="18.21875" style="34" customWidth="1"/>
    <col min="2" max="10" width="13" style="34" customWidth="1"/>
    <col min="11" max="11" width="18.6640625" style="34" customWidth="1"/>
    <col min="12" max="12" width="13" style="34" customWidth="1"/>
    <col min="13" max="16" width="20.6640625" style="34" customWidth="1"/>
    <col min="17" max="17" width="15.5546875" style="34" customWidth="1"/>
    <col min="18" max="18" width="16.21875" style="34" customWidth="1"/>
    <col min="19" max="19" width="13" style="8" customWidth="1"/>
    <col min="20" max="24" width="17.6640625" style="8" customWidth="1"/>
    <col min="25" max="25" width="20.6640625" style="8" customWidth="1"/>
    <col min="26" max="26" width="15.5546875" style="8" customWidth="1"/>
    <col min="27" max="27" width="16.88671875" style="8" customWidth="1"/>
    <col min="28" max="29" width="14.77734375" style="8" customWidth="1"/>
    <col min="30" max="30" width="14" style="8" customWidth="1"/>
    <col min="31" max="31" width="10.21875" style="8" customWidth="1"/>
    <col min="32" max="32" width="11.77734375" style="8" customWidth="1"/>
    <col min="33" max="33" width="7.109375" style="8" customWidth="1"/>
    <col min="34" max="34" width="8.77734375" style="8" customWidth="1"/>
    <col min="35" max="35" width="9.21875" style="8" customWidth="1"/>
    <col min="36" max="36" width="11.77734375" style="8" customWidth="1"/>
    <col min="37" max="37" width="7.109375" style="8" customWidth="1"/>
    <col min="38" max="38" width="9.21875" style="8" customWidth="1"/>
    <col min="39" max="39" width="9.33203125" style="8" customWidth="1"/>
    <col min="40" max="40" width="8.21875" style="8" customWidth="1"/>
    <col min="41" max="41" width="9" style="8" customWidth="1"/>
    <col min="42" max="16384" width="7.109375" style="8"/>
  </cols>
  <sheetData>
    <row r="1" spans="1:29" ht="15.75" x14ac:dyDescent="0.25">
      <c r="A1" s="103" t="s">
        <v>91</v>
      </c>
    </row>
    <row r="2" spans="1:29" ht="15.75" x14ac:dyDescent="0.25">
      <c r="A2" s="103" t="s">
        <v>92</v>
      </c>
    </row>
    <row r="3" spans="1:29" ht="15.75" x14ac:dyDescent="0.25">
      <c r="A3" s="103" t="s">
        <v>93</v>
      </c>
    </row>
    <row r="4" spans="1:29" ht="15.75" x14ac:dyDescent="0.25">
      <c r="A4" s="103" t="s">
        <v>94</v>
      </c>
    </row>
    <row r="5" spans="1:29" ht="15.75" x14ac:dyDescent="0.25">
      <c r="A5" s="103" t="s">
        <v>96</v>
      </c>
    </row>
    <row r="6" spans="1:29" ht="15.75" x14ac:dyDescent="0.25">
      <c r="A6" s="103" t="s">
        <v>100</v>
      </c>
    </row>
    <row r="8" spans="1:29" ht="15.75" x14ac:dyDescent="0.25">
      <c r="A8" s="43" t="s">
        <v>27</v>
      </c>
      <c r="M8" s="76"/>
      <c r="N8" s="76"/>
      <c r="O8" s="72"/>
      <c r="P8" s="72"/>
      <c r="T8" s="112" t="s">
        <v>80</v>
      </c>
      <c r="U8" s="112"/>
      <c r="V8" s="112"/>
      <c r="W8" s="112"/>
      <c r="X8" s="112"/>
      <c r="Y8" s="112"/>
    </row>
    <row r="9" spans="1:29" ht="16.5" thickBot="1" x14ac:dyDescent="0.3">
      <c r="A9" s="43"/>
      <c r="B9" s="41" t="s">
        <v>25</v>
      </c>
      <c r="C9" s="75">
        <f>1-0.208</f>
        <v>0.79200000000000004</v>
      </c>
      <c r="D9" s="41"/>
      <c r="E9" s="75">
        <v>1.208</v>
      </c>
      <c r="F9" s="75"/>
      <c r="G9" s="75"/>
      <c r="H9" s="1"/>
      <c r="I9" s="1"/>
      <c r="J9" s="1"/>
      <c r="K9" s="1"/>
      <c r="L9" s="1"/>
      <c r="M9" s="1"/>
      <c r="N9" s="1"/>
      <c r="O9" s="1"/>
      <c r="P9" s="1"/>
      <c r="T9" s="112" t="s">
        <v>79</v>
      </c>
      <c r="U9" s="112"/>
      <c r="V9" s="112"/>
      <c r="W9" s="112"/>
      <c r="X9" s="112"/>
      <c r="Y9" s="112"/>
      <c r="Z9" s="108"/>
      <c r="AA9" s="108"/>
      <c r="AB9" s="1"/>
    </row>
    <row r="10" spans="1:29" ht="21.75" thickTop="1" thickBot="1" x14ac:dyDescent="0.35">
      <c r="B10" s="74"/>
      <c r="C10" s="73"/>
      <c r="D10" s="74"/>
      <c r="E10" s="73"/>
      <c r="F10" s="73"/>
      <c r="G10" s="73"/>
      <c r="H10" s="1"/>
      <c r="I10" s="1"/>
      <c r="J10" s="1"/>
      <c r="K10" s="1"/>
      <c r="L10" s="1"/>
      <c r="M10" s="1"/>
      <c r="N10" s="1"/>
      <c r="O10" s="1"/>
      <c r="P10" s="1"/>
      <c r="T10" s="113" t="s">
        <v>78</v>
      </c>
      <c r="U10" s="114"/>
      <c r="V10" s="114"/>
      <c r="W10" s="114"/>
      <c r="X10" s="114"/>
      <c r="Y10" s="115"/>
      <c r="Z10" s="72"/>
      <c r="AA10" s="72"/>
      <c r="AB10" s="1"/>
    </row>
    <row r="11" spans="1:29" s="36" customFormat="1" ht="112.5" customHeight="1" thickTop="1" x14ac:dyDescent="0.25">
      <c r="B11" s="67" t="s">
        <v>77</v>
      </c>
      <c r="C11" s="71" t="s">
        <v>76</v>
      </c>
      <c r="D11" s="67" t="s">
        <v>75</v>
      </c>
      <c r="E11" s="67" t="s">
        <v>74</v>
      </c>
      <c r="F11" s="71" t="s">
        <v>73</v>
      </c>
      <c r="G11" s="71" t="s">
        <v>72</v>
      </c>
      <c r="H11" s="71" t="s">
        <v>71</v>
      </c>
      <c r="I11" s="71" t="s">
        <v>70</v>
      </c>
      <c r="J11" s="71" t="s">
        <v>69</v>
      </c>
      <c r="K11" s="68" t="s">
        <v>68</v>
      </c>
      <c r="L11" s="37" t="s">
        <v>67</v>
      </c>
      <c r="M11" s="70" t="s">
        <v>66</v>
      </c>
      <c r="N11" s="70" t="s">
        <v>65</v>
      </c>
      <c r="O11" s="70" t="s">
        <v>64</v>
      </c>
      <c r="P11" s="70" t="s">
        <v>63</v>
      </c>
      <c r="Q11" s="37" t="s">
        <v>62</v>
      </c>
      <c r="R11" s="39" t="s">
        <v>61</v>
      </c>
      <c r="S11" s="37" t="s">
        <v>60</v>
      </c>
      <c r="T11" s="66" t="s">
        <v>59</v>
      </c>
      <c r="U11" s="66" t="s">
        <v>58</v>
      </c>
      <c r="V11" s="66" t="s">
        <v>57</v>
      </c>
      <c r="W11" s="66" t="s">
        <v>56</v>
      </c>
      <c r="X11" s="66" t="s">
        <v>55</v>
      </c>
      <c r="Y11" s="66" t="s">
        <v>54</v>
      </c>
      <c r="Z11" s="39" t="s">
        <v>53</v>
      </c>
      <c r="AA11" s="39" t="s">
        <v>52</v>
      </c>
      <c r="AB11" s="67" t="s">
        <v>51</v>
      </c>
      <c r="AC11" s="69" t="s">
        <v>50</v>
      </c>
    </row>
    <row r="12" spans="1:29" s="36" customFormat="1" ht="15.75" x14ac:dyDescent="0.25">
      <c r="A12" s="38" t="s">
        <v>15</v>
      </c>
      <c r="B12" s="37" t="s">
        <v>14</v>
      </c>
      <c r="C12" s="37" t="s">
        <v>14</v>
      </c>
      <c r="D12" s="37" t="s">
        <v>14</v>
      </c>
      <c r="E12" s="37" t="s">
        <v>14</v>
      </c>
      <c r="F12" s="37" t="s">
        <v>14</v>
      </c>
      <c r="G12" s="37" t="s">
        <v>14</v>
      </c>
      <c r="H12" s="37" t="s">
        <v>14</v>
      </c>
      <c r="I12" s="37" t="s">
        <v>14</v>
      </c>
      <c r="J12" s="37" t="s">
        <v>14</v>
      </c>
      <c r="K12" s="68" t="s">
        <v>14</v>
      </c>
      <c r="L12" s="37" t="s">
        <v>14</v>
      </c>
      <c r="M12" s="37" t="s">
        <v>14</v>
      </c>
      <c r="N12" s="37" t="s">
        <v>14</v>
      </c>
      <c r="O12" s="37" t="s">
        <v>14</v>
      </c>
      <c r="P12" s="37" t="s">
        <v>14</v>
      </c>
      <c r="Q12" s="37" t="s">
        <v>14</v>
      </c>
      <c r="R12" s="37" t="s">
        <v>14</v>
      </c>
      <c r="S12" s="37" t="s">
        <v>14</v>
      </c>
      <c r="T12" s="66" t="s">
        <v>49</v>
      </c>
      <c r="U12" s="66" t="s">
        <v>49</v>
      </c>
      <c r="V12" s="66" t="s">
        <v>49</v>
      </c>
      <c r="W12" s="66" t="s">
        <v>49</v>
      </c>
      <c r="X12" s="66" t="s">
        <v>49</v>
      </c>
      <c r="Y12" s="66" t="s">
        <v>49</v>
      </c>
      <c r="Z12" s="37" t="s">
        <v>14</v>
      </c>
      <c r="AA12" s="37" t="s">
        <v>49</v>
      </c>
      <c r="AB12" s="67" t="s">
        <v>14</v>
      </c>
      <c r="AC12" s="66" t="s">
        <v>14</v>
      </c>
    </row>
    <row r="13" spans="1:29" ht="15.75" x14ac:dyDescent="0.25">
      <c r="A13" s="16">
        <v>41275</v>
      </c>
      <c r="B13" s="63">
        <v>3.4693411405589898</v>
      </c>
      <c r="C13" s="63">
        <v>3.47442538832698</v>
      </c>
      <c r="D13" s="63">
        <v>3.5918799851734899</v>
      </c>
      <c r="E13" s="63">
        <v>3.62563976038513</v>
      </c>
      <c r="F13" s="63">
        <v>3.4827097294503502</v>
      </c>
      <c r="G13" s="63">
        <v>3.4975364689593298</v>
      </c>
      <c r="H13" s="63">
        <v>3.6145177663942398</v>
      </c>
      <c r="I13" s="63">
        <v>3.5091919375943799</v>
      </c>
      <c r="J13" s="63">
        <v>3.4753097294503501</v>
      </c>
      <c r="K13" s="65"/>
      <c r="L13" s="63">
        <v>4.2015177663942396</v>
      </c>
      <c r="M13" s="63">
        <v>3.4510577257516601</v>
      </c>
      <c r="N13" s="63">
        <v>3.46575112309643</v>
      </c>
      <c r="O13" s="63">
        <v>3.5890138150970801</v>
      </c>
      <c r="P13" s="63">
        <v>3.4845926581983502</v>
      </c>
      <c r="Q13" s="63">
        <v>4.1837138150970796</v>
      </c>
      <c r="R13" s="63">
        <v>4.7811730996348203</v>
      </c>
      <c r="S13" s="63">
        <v>3.3547069680724899</v>
      </c>
      <c r="T13" s="64">
        <v>29.034112</v>
      </c>
      <c r="U13" s="64">
        <v>12.063650000000001</v>
      </c>
      <c r="V13" s="64">
        <v>4.9444999999999997</v>
      </c>
      <c r="W13" s="64">
        <v>0.56798199999999999</v>
      </c>
      <c r="X13" s="64">
        <v>0</v>
      </c>
      <c r="Y13" s="64">
        <v>0.39</v>
      </c>
      <c r="Z13" s="63">
        <v>3.49160559679886</v>
      </c>
      <c r="AA13" s="62">
        <v>0.78900000000000003</v>
      </c>
      <c r="AB13" s="61">
        <v>3.5128713827202498</v>
      </c>
      <c r="AC13" s="60">
        <v>3.5263496753376899</v>
      </c>
    </row>
    <row r="14" spans="1:29" ht="15.75" x14ac:dyDescent="0.25">
      <c r="A14" s="16">
        <v>41306</v>
      </c>
      <c r="B14" s="17">
        <f>CHOOSE(CONTROL!$C$42, 3.3786, 3.3786) * CHOOSE(CONTROL!$C$21, $C$9, 100%, $E$9)</f>
        <v>3.3786</v>
      </c>
      <c r="C14" s="17">
        <f>CHOOSE(CONTROL!$C$42, 3.3837, 3.3837) * CHOOSE(CONTROL!$C$21, $C$9, 100%, $E$9)</f>
        <v>3.3837000000000002</v>
      </c>
      <c r="D14" s="17">
        <f>CHOOSE(CONTROL!$C$42, 3.4687, 3.4687) * CHOOSE(CONTROL!$C$21, $C$9, 100%, $E$9)</f>
        <v>3.4687000000000001</v>
      </c>
      <c r="E14" s="17">
        <f>CHOOSE(CONTROL!$C$42, 3.5025, 3.5025) * CHOOSE(CONTROL!$C$21, $C$9, 100%, $E$9)</f>
        <v>3.5024999999999999</v>
      </c>
      <c r="F14" s="17">
        <f>CHOOSE(CONTROL!$C$42, 3.3705, 3.3705)*CHOOSE(CONTROL!$C$21, $C$9, 100%, $E$9)</f>
        <v>3.3704999999999998</v>
      </c>
      <c r="G14" s="17">
        <f>CHOOSE(CONTROL!$C$42, 3.3841, 3.3841)*CHOOSE(CONTROL!$C$21, $C$9, 100%, $E$9)</f>
        <v>3.3841000000000001</v>
      </c>
      <c r="H14" s="17">
        <f>CHOOSE(CONTROL!$C$42, 3.4913, 3.4913) * CHOOSE(CONTROL!$C$21, $C$9, 100%, $E$9)</f>
        <v>3.4912999999999998</v>
      </c>
      <c r="I14" s="17">
        <f>CHOOSE(CONTROL!$C$42, 3.4037, 3.4037)* CHOOSE(CONTROL!$C$21, $C$9, 100%, $E$9)</f>
        <v>3.4037000000000002</v>
      </c>
      <c r="J14" s="17">
        <f>CHOOSE(CONTROL!$C$42, 3.3631, 3.3631)* CHOOSE(CONTROL!$C$21, $C$9, 100%, $E$9)</f>
        <v>3.3631000000000002</v>
      </c>
      <c r="K14" s="53"/>
      <c r="L14" s="17">
        <f>CHOOSE(CONTROL!$C$42, 4.0783, 4.0783) * CHOOSE(CONTROL!$C$21, $C$9, 100%, $E$9)</f>
        <v>4.0782999999999996</v>
      </c>
      <c r="M14" s="17">
        <f>CHOOSE(CONTROL!$C$42, 3.3398, 3.3398) * CHOOSE(CONTROL!$C$21, $C$9, 100%, $E$9)</f>
        <v>3.3397999999999999</v>
      </c>
      <c r="N14" s="17">
        <f>CHOOSE(CONTROL!$C$42, 3.3534, 3.3534) * CHOOSE(CONTROL!$C$21, $C$9, 100%, $E$9)</f>
        <v>3.3534000000000002</v>
      </c>
      <c r="O14" s="17">
        <f>CHOOSE(CONTROL!$C$42, 3.4669, 3.4669) * CHOOSE(CONTROL!$C$21, $C$9, 100%, $E$9)</f>
        <v>3.4668999999999999</v>
      </c>
      <c r="P14" s="17">
        <f>CHOOSE(CONTROL!$C$42, 3.3801, 3.3801) * CHOOSE(CONTROL!$C$21, $C$9, 100%, $E$9)</f>
        <v>3.3801000000000001</v>
      </c>
      <c r="Q14" s="17">
        <f>CHOOSE(CONTROL!$C$42, 4.0616, 4.0616) * CHOOSE(CONTROL!$C$21, $C$9, 100%, $E$9)</f>
        <v>4.0616000000000003</v>
      </c>
      <c r="R14" s="17">
        <f>CHOOSE(CONTROL!$C$42, 4.6588, 4.6588) * CHOOSE(CONTROL!$C$21, $C$9, 100%, $E$9)</f>
        <v>4.6588000000000003</v>
      </c>
      <c r="S14" s="17">
        <f>CHOOSE(CONTROL!$C$42, 3.2668, 3.2668) * CHOOSE(CONTROL!$C$21, $C$9, 100%, $E$9)</f>
        <v>3.2667999999999999</v>
      </c>
      <c r="T14" s="57">
        <f>(((255000*CHOOSE(CONTROL!$C$42, 0.4694, 0.4694)+(750000-255000)*CHOOSE(CONTROL!$C$42, 0.7185, 0.7185)+400000*CHOOSE(CONTROL!$C$42, 1.14, 1.14))*CHOOSE(CONTROL!$C$42, 28, 28))/1000000)+CHOOSE(CONTROL!$C$42, 0.2026, 0.2026)+CHOOSE(CONTROL!$C$42, 0, 0)</f>
        <v>26.280526000000002</v>
      </c>
      <c r="U14" s="57">
        <f>(1000*CHOOSE(CONTROL!$C$42, 695, 695)*CHOOSE(CONTROL!$C$42, 0.5599, 0.5599)*CHOOSE(CONTROL!$C$42, 28, 28))/1000000</f>
        <v>10.895653999999999</v>
      </c>
      <c r="V14" s="57">
        <f>(1000*CHOOSE(CONTROL!$C$42, 580, 580)*CHOOSE(CONTROL!$C$42, 0.275, 0.275)*CHOOSE(CONTROL!$C$42, 28, 28))/1000000</f>
        <v>4.4660000000000002</v>
      </c>
      <c r="W14" s="57">
        <f>(1000*CHOOSE(CONTROL!$C$42, 0.0916, 0.0916)*CHOOSE(CONTROL!$C$42, 200, 200)*CHOOSE(CONTROL!$C$42, 28, 28))/1000000</f>
        <v>0.51295999999999997</v>
      </c>
      <c r="X14" s="57">
        <v>0</v>
      </c>
      <c r="Y14" s="57">
        <f>(0.195*2000000)/1000000</f>
        <v>0.39</v>
      </c>
      <c r="Z14" s="17">
        <f>CHOOSE(CONTROL!$C$42, 3.3785, 3.3785) * CHOOSE(CONTROL!$C$21, $C$9, 100%, $E$9)</f>
        <v>3.3784999999999998</v>
      </c>
      <c r="AA14" s="56">
        <f>(131500*28*(6/28))/1000000</f>
        <v>0.78900000000000003</v>
      </c>
      <c r="AB14" s="49">
        <f>(B14*122.58+C14*297.941+D14*89.177+E14*200.302+F14*40+G14*0+H14*0+I14*100+J14*300)/(122.58+297.941+89.177+200.302+0+40+0+100+300)</f>
        <v>3.4063458822608697</v>
      </c>
      <c r="AC14" s="46">
        <f>(M14*240+N14*0+O14*355+P14*100)/(240+0+355+100)</f>
        <v>3.410520143884892</v>
      </c>
    </row>
    <row r="15" spans="1:29" ht="15.75" x14ac:dyDescent="0.25">
      <c r="A15" s="16">
        <v>41334</v>
      </c>
      <c r="B15" s="17">
        <f>CHOOSE(CONTROL!$C$42, 3.3941, 3.3941) * CHOOSE(CONTROL!$C$21, $C$9, 100%, $E$9)</f>
        <v>3.3940999999999999</v>
      </c>
      <c r="C15" s="17">
        <f>CHOOSE(CONTROL!$C$42, 3.3992, 3.3992) * CHOOSE(CONTROL!$C$21, $C$9, 100%, $E$9)</f>
        <v>3.3992</v>
      </c>
      <c r="D15" s="17">
        <f>CHOOSE(CONTROL!$C$42, 3.5038, 3.5038) * CHOOSE(CONTROL!$C$21, $C$9, 100%, $E$9)</f>
        <v>3.5038</v>
      </c>
      <c r="E15" s="17">
        <f>CHOOSE(CONTROL!$C$42, 3.5375, 3.5375) * CHOOSE(CONTROL!$C$21, $C$9, 100%, $E$9)</f>
        <v>3.5375000000000001</v>
      </c>
      <c r="F15" s="17">
        <f>CHOOSE(CONTROL!$C$42, 3.3851, 3.3851)*CHOOSE(CONTROL!$C$21, $C$9, 100%, $E$9)</f>
        <v>3.3851</v>
      </c>
      <c r="G15" s="17">
        <f>CHOOSE(CONTROL!$C$42, 3.3988, 3.3988)*CHOOSE(CONTROL!$C$21, $C$9, 100%, $E$9)</f>
        <v>3.3988</v>
      </c>
      <c r="H15" s="17">
        <f>CHOOSE(CONTROL!$C$42, 3.5264, 3.5264) * CHOOSE(CONTROL!$C$21, $C$9, 100%, $E$9)</f>
        <v>3.5264000000000002</v>
      </c>
      <c r="I15" s="17">
        <f>CHOOSE(CONTROL!$C$42, 3.4115, 3.4115)* CHOOSE(CONTROL!$C$21, $C$9, 100%, $E$9)</f>
        <v>3.4115000000000002</v>
      </c>
      <c r="J15" s="17">
        <f>CHOOSE(CONTROL!$C$42, 3.3777, 3.3777)* CHOOSE(CONTROL!$C$21, $C$9, 100%, $E$9)</f>
        <v>3.3776999999999999</v>
      </c>
      <c r="K15" s="53"/>
      <c r="L15" s="17">
        <f>CHOOSE(CONTROL!$C$42, 4.1134, 4.1134) * CHOOSE(CONTROL!$C$21, $C$9, 100%, $E$9)</f>
        <v>4.1134000000000004</v>
      </c>
      <c r="M15" s="17">
        <f>CHOOSE(CONTROL!$C$42, 3.3543, 3.3543) * CHOOSE(CONTROL!$C$21, $C$9, 100%, $E$9)</f>
        <v>3.3542999999999998</v>
      </c>
      <c r="N15" s="17">
        <f>CHOOSE(CONTROL!$C$42, 3.3679, 3.3679) * CHOOSE(CONTROL!$C$21, $C$9, 100%, $E$9)</f>
        <v>3.3679000000000001</v>
      </c>
      <c r="O15" s="17">
        <f>CHOOSE(CONTROL!$C$42, 3.5017, 3.5017) * CHOOSE(CONTROL!$C$21, $C$9, 100%, $E$9)</f>
        <v>3.5017</v>
      </c>
      <c r="P15" s="17">
        <f>CHOOSE(CONTROL!$C$42, 3.3878, 3.3878) * CHOOSE(CONTROL!$C$21, $C$9, 100%, $E$9)</f>
        <v>3.3877999999999999</v>
      </c>
      <c r="Q15" s="17">
        <f>CHOOSE(CONTROL!$C$42, 4.0964, 4.0964) * CHOOSE(CONTROL!$C$21, $C$9, 100%, $E$9)</f>
        <v>4.0964</v>
      </c>
      <c r="R15" s="17">
        <f>CHOOSE(CONTROL!$C$42, 4.6936, 4.6936) * CHOOSE(CONTROL!$C$21, $C$9, 100%, $E$9)</f>
        <v>4.6936</v>
      </c>
      <c r="S15" s="17">
        <f>CHOOSE(CONTROL!$C$42, 3.2818, 3.2818) * CHOOSE(CONTROL!$C$21, $C$9, 100%, $E$9)</f>
        <v>3.2818000000000001</v>
      </c>
      <c r="T15" s="57">
        <f>(((255000*CHOOSE(CONTROL!$C$42, 0.4694, 0.4694)+(750000-255000)*CHOOSE(CONTROL!$C$42, 0.7185, 0.7185)+400000*CHOOSE(CONTROL!$C$42, 1.14, 1.14))*CHOOSE(CONTROL!$C$42, 31, 31))/1000000)+CHOOSE(CONTROL!$C$42, 0.2567, 0.2567)+CHOOSE(CONTROL!$C$42, 0, 0)</f>
        <v>29.1286895</v>
      </c>
      <c r="U15" s="57">
        <f>(1000*CHOOSE(CONTROL!$C$42, 695, 695)*CHOOSE(CONTROL!$C$42, 0.5599, 0.5599)*CHOOSE(CONTROL!$C$42, 31, 31))/1000000</f>
        <v>12.063045499999998</v>
      </c>
      <c r="V15" s="57">
        <f>(1000*CHOOSE(CONTROL!$C$42, 580, 580)*CHOOSE(CONTROL!$C$42, 0.275, 0.275)*CHOOSE(CONTROL!$C$42, 31, 31))/1000000</f>
        <v>4.9444999999999997</v>
      </c>
      <c r="W15" s="57">
        <f>(1000*CHOOSE(CONTROL!$C$42, 0.0916, 0.0916)*CHOOSE(CONTROL!$C$42, 200, 200)*CHOOSE(CONTROL!$C$42, 31, 31))/1000000</f>
        <v>0.56791999999999998</v>
      </c>
      <c r="X15" s="57">
        <v>0</v>
      </c>
      <c r="Y15" s="57">
        <f>(0.195*2000000)/1000000</f>
        <v>0.39</v>
      </c>
      <c r="Z15" s="17">
        <f>CHOOSE(CONTROL!$C$42, 3.376, 3.376) * CHOOSE(CONTROL!$C$21, $C$9, 100%, $E$9)</f>
        <v>3.3759999999999999</v>
      </c>
      <c r="AA15" s="56">
        <f>(131500*31*(6/31))/1000000</f>
        <v>0.78900000000000003</v>
      </c>
      <c r="AB15" s="49">
        <f>(B15*122.58+C15*297.941+D15*89.177+E15*200.302+F15*40+G15*0+H15*0+I15*100+J15*300)/(122.58+297.941+89.177+200.302+0+40+0+100+300)</f>
        <v>3.4258265415652178</v>
      </c>
      <c r="AC15" s="46">
        <f>(M15*240+N15*0+O15*355+P15*100)/(240+0+355+100)</f>
        <v>3.4344107913669064</v>
      </c>
    </row>
    <row r="16" spans="1:29" ht="15.75" x14ac:dyDescent="0.25">
      <c r="A16" s="16">
        <v>41365</v>
      </c>
      <c r="B16" s="17">
        <f>CHOOSE(CONTROL!$C$42, 3.4333, 3.4333) * CHOOSE(CONTROL!$C$21, $C$9, 100%, $E$9)</f>
        <v>3.4333</v>
      </c>
      <c r="C16" s="17">
        <f>CHOOSE(CONTROL!$C$42, 3.4378, 3.4378) * CHOOSE(CONTROL!$C$21, $C$9, 100%, $E$9)</f>
        <v>3.4378000000000002</v>
      </c>
      <c r="D16" s="17">
        <f>CHOOSE(CONTROL!$C$42, 3.6905, 3.6905) * CHOOSE(CONTROL!$C$21, $C$9, 100%, $E$9)</f>
        <v>3.6905000000000001</v>
      </c>
      <c r="E16" s="17">
        <f>CHOOSE(CONTROL!$C$42, 3.7223, 3.7223) * CHOOSE(CONTROL!$C$21, $C$9, 100%, $E$9)</f>
        <v>3.7223000000000002</v>
      </c>
      <c r="F16" s="17">
        <f>CHOOSE(CONTROL!$C$42, 3.4292, 3.4292)*CHOOSE(CONTROL!$C$21, $C$9, 100%, $E$9)</f>
        <v>3.4291999999999998</v>
      </c>
      <c r="G16" s="17">
        <f>CHOOSE(CONTROL!$C$42, 3.4431, 3.4431)*CHOOSE(CONTROL!$C$21, $C$9, 100%, $E$9)</f>
        <v>3.4430999999999998</v>
      </c>
      <c r="H16" s="17">
        <f>CHOOSE(CONTROL!$C$42, 3.7117, 3.7117) * CHOOSE(CONTROL!$C$21, $C$9, 100%, $E$9)</f>
        <v>3.7117</v>
      </c>
      <c r="I16" s="17">
        <f>CHOOSE(CONTROL!$C$42, 3.4603, 3.4603)* CHOOSE(CONTROL!$C$21, $C$9, 100%, $E$9)</f>
        <v>3.4603000000000002</v>
      </c>
      <c r="J16" s="17">
        <f>CHOOSE(CONTROL!$C$42, 3.4218, 3.4218)* CHOOSE(CONTROL!$C$21, $C$9, 100%, $E$9)</f>
        <v>3.4218000000000002</v>
      </c>
      <c r="K16" s="53"/>
      <c r="L16" s="17">
        <f>CHOOSE(CONTROL!$C$42, 4.2987, 4.2987) * CHOOSE(CONTROL!$C$21, $C$9, 100%, $E$9)</f>
        <v>4.2987000000000002</v>
      </c>
      <c r="M16" s="17">
        <f>CHOOSE(CONTROL!$C$42, 3.398, 3.398) * CHOOSE(CONTROL!$C$21, $C$9, 100%, $E$9)</f>
        <v>3.3980000000000001</v>
      </c>
      <c r="N16" s="17">
        <f>CHOOSE(CONTROL!$C$42, 3.4118, 3.4118) * CHOOSE(CONTROL!$C$21, $C$9, 100%, $E$9)</f>
        <v>3.4117999999999999</v>
      </c>
      <c r="O16" s="17">
        <f>CHOOSE(CONTROL!$C$42, 3.6854, 3.6854) * CHOOSE(CONTROL!$C$21, $C$9, 100%, $E$9)</f>
        <v>3.6854</v>
      </c>
      <c r="P16" s="17">
        <f>CHOOSE(CONTROL!$C$42, 3.4362, 3.4362) * CHOOSE(CONTROL!$C$21, $C$9, 100%, $E$9)</f>
        <v>3.4361999999999999</v>
      </c>
      <c r="Q16" s="17">
        <f>CHOOSE(CONTROL!$C$42, 4.2801, 4.2801) * CHOOSE(CONTROL!$C$21, $C$9, 100%, $E$9)</f>
        <v>4.2801</v>
      </c>
      <c r="R16" s="17">
        <f>CHOOSE(CONTROL!$C$42, 4.8778, 4.8778) * CHOOSE(CONTROL!$C$21, $C$9, 100%, $E$9)</f>
        <v>4.8777999999999997</v>
      </c>
      <c r="S16" s="17">
        <f>CHOOSE(CONTROL!$C$42, 3.319, 3.319) * CHOOSE(CONTROL!$C$21, $C$9, 100%, $E$9)</f>
        <v>3.319</v>
      </c>
      <c r="T16" s="57">
        <f>(((280000*CHOOSE(CONTROL!$C$42, 0.4694, 0.4694)+(839000-280000)*CHOOSE(CONTROL!$C$42, 0.7185, 0.7185)+400000*CHOOSE(CONTROL!$C$42, 1.14, 1.14))*CHOOSE(CONTROL!$C$42, 30, 30))/1000000)+CHOOSE(CONTROL!$C$42, 0.2248, 0.2248)+CHOOSE(CONTROL!$C$42, 0, 0)</f>
        <v>29.897005</v>
      </c>
      <c r="U16" s="57">
        <f>(1000*CHOOSE(CONTROL!$C$42, 695, 695)*CHOOSE(CONTROL!$C$42, 0.5599, 0.5599)*CHOOSE(CONTROL!$C$42, 30, 30))/1000000</f>
        <v>11.673914999999997</v>
      </c>
      <c r="V16" s="57">
        <f>(1000*CHOOSE(CONTROL!$C$42, 580, 580)*CHOOSE(CONTROL!$C$42, 0.275, 0.275)*CHOOSE(CONTROL!$C$42, 30, 30))/1000000</f>
        <v>4.7850000000000001</v>
      </c>
      <c r="W16" s="57">
        <f>(1000*CHOOSE(CONTROL!$C$42, 0.0916, 0.0916)*CHOOSE(CONTROL!$C$42, 200, 200)*CHOOSE(CONTROL!$C$42, 30, 30))/1000000</f>
        <v>0.54959999999999998</v>
      </c>
      <c r="X16" s="57">
        <f>30*0.1790888*145000/1000000</f>
        <v>0.77903627999999991</v>
      </c>
      <c r="Y16" s="57"/>
      <c r="Z16" s="17">
        <f>CHOOSE(CONTROL!$C$42, 3.409, 3.409) * CHOOSE(CONTROL!$C$21, $C$9, 100%, $E$9)</f>
        <v>3.4089999999999998</v>
      </c>
      <c r="AA16" s="56">
        <f>(131500*30*(6/30))/1000000</f>
        <v>0.78900000000000003</v>
      </c>
      <c r="AB16" s="49">
        <f>(B16*141.293+C16*267.993+D16*115.016+E16*249.698+F16*40+G16*25+H16*0+I16*100+J16*300)/(141.293+267.993+115.016+249.698+0+40+25+100+300)</f>
        <v>3.5158519012913647</v>
      </c>
      <c r="AC16" s="46">
        <f t="shared" ref="AC16:AC22" si="0">(M16*240+N16*120+O16*235+P16*100)/(240+120+235+100)</f>
        <v>3.5030575539568347</v>
      </c>
    </row>
    <row r="17" spans="1:29" ht="15.75" x14ac:dyDescent="0.25">
      <c r="A17" s="16">
        <v>41395</v>
      </c>
      <c r="B17" s="17">
        <f>CHOOSE(CONTROL!$C$42, 3.4924, 3.4924) * CHOOSE(CONTROL!$C$21, $C$9, 100%, $E$9)</f>
        <v>3.4923999999999999</v>
      </c>
      <c r="C17" s="17">
        <f>CHOOSE(CONTROL!$C$42, 3.5004, 3.5004) * CHOOSE(CONTROL!$C$21, $C$9, 100%, $E$9)</f>
        <v>3.5004</v>
      </c>
      <c r="D17" s="17">
        <f>CHOOSE(CONTROL!$C$42, 3.75, 3.75) * CHOOSE(CONTROL!$C$21, $C$9, 100%, $E$9)</f>
        <v>3.75</v>
      </c>
      <c r="E17" s="17">
        <f>CHOOSE(CONTROL!$C$42, 3.7812, 3.7812) * CHOOSE(CONTROL!$C$21, $C$9, 100%, $E$9)</f>
        <v>3.7812000000000001</v>
      </c>
      <c r="F17" s="17">
        <f>CHOOSE(CONTROL!$C$42, 3.4877, 3.4877)*CHOOSE(CONTROL!$C$21, $C$9, 100%, $E$9)</f>
        <v>3.4876999999999998</v>
      </c>
      <c r="G17" s="17">
        <f>CHOOSE(CONTROL!$C$42, 3.502, 3.502)*CHOOSE(CONTROL!$C$21, $C$9, 100%, $E$9)</f>
        <v>3.5019999999999998</v>
      </c>
      <c r="H17" s="17">
        <f>CHOOSE(CONTROL!$C$42, 3.7695, 3.7695) * CHOOSE(CONTROL!$C$21, $C$9, 100%, $E$9)</f>
        <v>3.7694999999999999</v>
      </c>
      <c r="I17" s="17">
        <f>CHOOSE(CONTROL!$C$42, 3.5183, 3.5183)* CHOOSE(CONTROL!$C$21, $C$9, 100%, $E$9)</f>
        <v>3.5183</v>
      </c>
      <c r="J17" s="17">
        <f>CHOOSE(CONTROL!$C$42, 3.4803, 3.4803)* CHOOSE(CONTROL!$C$21, $C$9, 100%, $E$9)</f>
        <v>3.4803000000000002</v>
      </c>
      <c r="K17" s="53"/>
      <c r="L17" s="17">
        <f>CHOOSE(CONTROL!$C$42, 4.3565, 4.3565) * CHOOSE(CONTROL!$C$21, $C$9, 100%, $E$9)</f>
        <v>4.3564999999999996</v>
      </c>
      <c r="M17" s="17">
        <f>CHOOSE(CONTROL!$C$42, 3.456, 3.456) * CHOOSE(CONTROL!$C$21, $C$9, 100%, $E$9)</f>
        <v>3.456</v>
      </c>
      <c r="N17" s="17">
        <f>CHOOSE(CONTROL!$C$42, 3.4701, 3.4701) * CHOOSE(CONTROL!$C$21, $C$9, 100%, $E$9)</f>
        <v>3.4701</v>
      </c>
      <c r="O17" s="17">
        <f>CHOOSE(CONTROL!$C$42, 3.7426, 3.7426) * CHOOSE(CONTROL!$C$21, $C$9, 100%, $E$9)</f>
        <v>3.7425999999999999</v>
      </c>
      <c r="P17" s="17">
        <f>CHOOSE(CONTROL!$C$42, 3.4936, 3.4936) * CHOOSE(CONTROL!$C$21, $C$9, 100%, $E$9)</f>
        <v>3.4935999999999998</v>
      </c>
      <c r="Q17" s="17">
        <f>CHOOSE(CONTROL!$C$42, 4.3373, 4.3373) * CHOOSE(CONTROL!$C$21, $C$9, 100%, $E$9)</f>
        <v>4.3372999999999999</v>
      </c>
      <c r="R17" s="17">
        <f>CHOOSE(CONTROL!$C$42, 4.9351, 4.9351) * CHOOSE(CONTROL!$C$21, $C$9, 100%, $E$9)</f>
        <v>4.9351000000000003</v>
      </c>
      <c r="S17" s="17">
        <f>CHOOSE(CONTROL!$C$42, 3.375, 3.375) * CHOOSE(CONTROL!$C$21, $C$9, 100%, $E$9)</f>
        <v>3.375</v>
      </c>
      <c r="T17" s="58">
        <f>((((430000*CHOOSE(CONTROL!$C$42, 0.4694, 0.4694)+(874000-430000)*CHOOSE(CONTROL!$C$42, 0.7185, 0.7185)+400000*CHOOSE(CONTROL!$C$42, 1.14, 1.14)+30000*0.98)*CHOOSE(CONTROL!$C$42, 31, 31))/1000000))+CHOOSE(CONTROL!$C$42, 0.188, 0.188)+CHOOSE(CONTROL!$C$42, 0, 0)</f>
        <v>31.381936</v>
      </c>
      <c r="U17" s="57">
        <f>(1000*CHOOSE(CONTROL!$C$42, 695, 695)*CHOOSE(CONTROL!$C$42, 0.5599, 0.5599)*CHOOSE(CONTROL!$C$42, 31, 31))/1000000</f>
        <v>12.063045499999998</v>
      </c>
      <c r="V17" s="57">
        <f>(1000*CHOOSE(CONTROL!$C$42, 580, 580)*CHOOSE(CONTROL!$C$42, 0.275, 0.275)*CHOOSE(CONTROL!$C$42, 31, 31))/1000000</f>
        <v>4.9444999999999997</v>
      </c>
      <c r="W17" s="57">
        <f>(1000*CHOOSE(CONTROL!$C$42, 0.0916, 0.0916)*CHOOSE(CONTROL!$C$42, 200, 200)*CHOOSE(CONTROL!$C$42, 31, 31))/1000000</f>
        <v>0.56791999999999998</v>
      </c>
      <c r="X17" s="57">
        <f>31*0.1790888*145000/1000000</f>
        <v>0.80500415599999997</v>
      </c>
      <c r="Y17" s="57"/>
      <c r="Z17" s="17">
        <f>CHOOSE(CONTROL!$C$42, 3.4663, 3.4663) * CHOOSE(CONTROL!$C$21, $C$9, 100%, $E$9)</f>
        <v>3.4662999999999999</v>
      </c>
      <c r="AA17" s="56">
        <f>(131500*31*(6/31))/1000000</f>
        <v>0.78900000000000003</v>
      </c>
      <c r="AB17" s="49">
        <f>(B17*194.205+C17*267.466+D17*133.845+E17*213.484+F17*40+G17*25+H17*30+I17*100+J17*300)/(194.205+267.466+133.845+213.484+30+40+25+100+300)</f>
        <v>3.5733795852760735</v>
      </c>
      <c r="AC17" s="46">
        <f t="shared" si="0"/>
        <v>3.5607525179856117</v>
      </c>
    </row>
    <row r="18" spans="1:29" ht="15.75" x14ac:dyDescent="0.25">
      <c r="A18" s="16">
        <v>41426</v>
      </c>
      <c r="B18" s="17">
        <f>CHOOSE(CONTROL!$C$42, 3.5501, 3.5501) * CHOOSE(CONTROL!$C$21, $C$9, 100%, $E$9)</f>
        <v>3.5501</v>
      </c>
      <c r="C18" s="17">
        <f>CHOOSE(CONTROL!$C$42, 3.5581, 3.5581) * CHOOSE(CONTROL!$C$21, $C$9, 100%, $E$9)</f>
        <v>3.5581</v>
      </c>
      <c r="D18" s="17">
        <f>CHOOSE(CONTROL!$C$42, 3.8077, 3.8077) * CHOOSE(CONTROL!$C$21, $C$9, 100%, $E$9)</f>
        <v>3.8077000000000001</v>
      </c>
      <c r="E18" s="17">
        <f>CHOOSE(CONTROL!$C$42, 3.8389, 3.8389) * CHOOSE(CONTROL!$C$21, $C$9, 100%, $E$9)</f>
        <v>3.8389000000000002</v>
      </c>
      <c r="F18" s="17">
        <f>CHOOSE(CONTROL!$C$42, 3.5462, 3.5462)*CHOOSE(CONTROL!$C$21, $C$9, 100%, $E$9)</f>
        <v>3.5461999999999998</v>
      </c>
      <c r="G18" s="17">
        <f>CHOOSE(CONTROL!$C$42, 3.5607, 3.5607)*CHOOSE(CONTROL!$C$21, $C$9, 100%, $E$9)</f>
        <v>3.5607000000000002</v>
      </c>
      <c r="H18" s="17">
        <f>CHOOSE(CONTROL!$C$42, 3.8272, 3.8272) * CHOOSE(CONTROL!$C$21, $C$9, 100%, $E$9)</f>
        <v>3.8271999999999999</v>
      </c>
      <c r="I18" s="17">
        <f>CHOOSE(CONTROL!$C$42, 3.5762, 3.5762)* CHOOSE(CONTROL!$C$21, $C$9, 100%, $E$9)</f>
        <v>3.5762</v>
      </c>
      <c r="J18" s="17">
        <f>CHOOSE(CONTROL!$C$42, 3.5388, 3.5388)* CHOOSE(CONTROL!$C$21, $C$9, 100%, $E$9)</f>
        <v>3.5388000000000002</v>
      </c>
      <c r="K18" s="53"/>
      <c r="L18" s="17">
        <f>CHOOSE(CONTROL!$C$42, 4.4142, 4.4142) * CHOOSE(CONTROL!$C$21, $C$9, 100%, $E$9)</f>
        <v>4.4142000000000001</v>
      </c>
      <c r="M18" s="17">
        <f>CHOOSE(CONTROL!$C$42, 3.5139, 3.5139) * CHOOSE(CONTROL!$C$21, $C$9, 100%, $E$9)</f>
        <v>3.5139</v>
      </c>
      <c r="N18" s="17">
        <f>CHOOSE(CONTROL!$C$42, 3.5283, 3.5283) * CHOOSE(CONTROL!$C$21, $C$9, 100%, $E$9)</f>
        <v>3.5283000000000002</v>
      </c>
      <c r="O18" s="17">
        <f>CHOOSE(CONTROL!$C$42, 3.7998, 3.7998) * CHOOSE(CONTROL!$C$21, $C$9, 100%, $E$9)</f>
        <v>3.7997999999999998</v>
      </c>
      <c r="P18" s="17">
        <f>CHOOSE(CONTROL!$C$42, 3.551, 3.551) * CHOOSE(CONTROL!$C$21, $C$9, 100%, $E$9)</f>
        <v>3.5510000000000002</v>
      </c>
      <c r="Q18" s="17">
        <f>CHOOSE(CONTROL!$C$42, 4.3945, 4.3945) * CHOOSE(CONTROL!$C$21, $C$9, 100%, $E$9)</f>
        <v>4.3944999999999999</v>
      </c>
      <c r="R18" s="17">
        <f>CHOOSE(CONTROL!$C$42, 4.9925, 4.9925) * CHOOSE(CONTROL!$C$21, $C$9, 100%, $E$9)</f>
        <v>4.9924999999999997</v>
      </c>
      <c r="S18" s="17">
        <f>CHOOSE(CONTROL!$C$42, 3.431, 3.431) * CHOOSE(CONTROL!$C$21, $C$9, 100%, $E$9)</f>
        <v>3.431</v>
      </c>
      <c r="T18" s="58">
        <f>((((430000*CHOOSE(CONTROL!$C$42, 0.4694, 0.4694)+(874000-430000)*CHOOSE(CONTROL!$C$42, 0.7185, 0.7185)+400000*CHOOSE(CONTROL!$C$42, 1.14, 1.14)+30000*0.98)*CHOOSE(CONTROL!$C$42, 30, 30))/1000000))+CHOOSE(CONTROL!$C$42, 0.1616, 0.1616)+CHOOSE(CONTROL!$C$42, 0.5074, 0.5074)</f>
        <v>30.856680000000001</v>
      </c>
      <c r="U18" s="57">
        <f>(1000*CHOOSE(CONTROL!$C$42, 695, 695)*CHOOSE(CONTROL!$C$42, 0.5599, 0.5599)*CHOOSE(CONTROL!$C$42, 30, 30))/1000000</f>
        <v>11.673914999999997</v>
      </c>
      <c r="V18" s="57">
        <f>(1000*CHOOSE(CONTROL!$C$42, 580, 580)*CHOOSE(CONTROL!$C$42, 0.275, 0.275)*CHOOSE(CONTROL!$C$42, 30, 30))/1000000</f>
        <v>4.7850000000000001</v>
      </c>
      <c r="W18" s="57">
        <f>(1000*CHOOSE(CONTROL!$C$42, 0.0916, 0.0916)*CHOOSE(CONTROL!$C$42, 200, 200)*CHOOSE(CONTROL!$C$42, 30, 30))/1000000</f>
        <v>0.54959999999999998</v>
      </c>
      <c r="X18" s="57">
        <f>30*0.1790888*145000/1000000</f>
        <v>0.77903627999999991</v>
      </c>
      <c r="Y18" s="57"/>
      <c r="Z18" s="17">
        <f>CHOOSE(CONTROL!$C$42, 3.5236, 3.5236) * CHOOSE(CONTROL!$C$21, $C$9, 100%, $E$9)</f>
        <v>3.5236000000000001</v>
      </c>
      <c r="AA18" s="56">
        <f>(131500*30*(6/30))/1000000</f>
        <v>0.78900000000000003</v>
      </c>
      <c r="AB18" s="49">
        <f>(B18*194.205+C18*267.466+D18*133.845+E18*213.484+F18*40+G18*25+H18*30+I18*100+J18*300)/(194.205+267.466+133.845+213.484+30+40+25+100+300)</f>
        <v>3.6313226834355832</v>
      </c>
      <c r="AC18" s="46">
        <f t="shared" si="0"/>
        <v>3.6183956834532371</v>
      </c>
    </row>
    <row r="19" spans="1:29" ht="15.75" x14ac:dyDescent="0.25">
      <c r="A19" s="16">
        <v>41456</v>
      </c>
      <c r="B19" s="17">
        <f>CHOOSE(CONTROL!$C$42, 3.6089, 3.6089) * CHOOSE(CONTROL!$C$21, $C$9, 100%, $E$9)</f>
        <v>3.6089000000000002</v>
      </c>
      <c r="C19" s="17">
        <f>CHOOSE(CONTROL!$C$42, 3.6169, 3.6169) * CHOOSE(CONTROL!$C$21, $C$9, 100%, $E$9)</f>
        <v>3.6168999999999998</v>
      </c>
      <c r="D19" s="17">
        <f>CHOOSE(CONTROL!$C$42, 3.8665, 3.8665) * CHOOSE(CONTROL!$C$21, $C$9, 100%, $E$9)</f>
        <v>3.8664999999999998</v>
      </c>
      <c r="E19" s="17">
        <f>CHOOSE(CONTROL!$C$42, 3.8977, 3.8977) * CHOOSE(CONTROL!$C$21, $C$9, 100%, $E$9)</f>
        <v>3.8976999999999999</v>
      </c>
      <c r="F19" s="17">
        <f>CHOOSE(CONTROL!$C$42, 3.6057, 3.6057)*CHOOSE(CONTROL!$C$21, $C$9, 100%, $E$9)</f>
        <v>3.6057000000000001</v>
      </c>
      <c r="G19" s="17">
        <f>CHOOSE(CONTROL!$C$42, 3.6204, 3.6204)*CHOOSE(CONTROL!$C$21, $C$9, 100%, $E$9)</f>
        <v>3.6204000000000001</v>
      </c>
      <c r="H19" s="17">
        <f>CHOOSE(CONTROL!$C$42, 3.886, 3.886) * CHOOSE(CONTROL!$C$21, $C$9, 100%, $E$9)</f>
        <v>3.8860000000000001</v>
      </c>
      <c r="I19" s="17">
        <f>CHOOSE(CONTROL!$C$42, 3.6352, 3.6352)* CHOOSE(CONTROL!$C$21, $C$9, 100%, $E$9)</f>
        <v>3.6352000000000002</v>
      </c>
      <c r="J19" s="17">
        <f>CHOOSE(CONTROL!$C$42, 3.5983, 3.5983)* CHOOSE(CONTROL!$C$21, $C$9, 100%, $E$9)</f>
        <v>3.5983000000000001</v>
      </c>
      <c r="K19" s="53"/>
      <c r="L19" s="17">
        <f>CHOOSE(CONTROL!$C$42, 4.473, 4.473) * CHOOSE(CONTROL!$C$21, $C$9, 100%, $E$9)</f>
        <v>4.4729999999999999</v>
      </c>
      <c r="M19" s="17">
        <f>CHOOSE(CONTROL!$C$42, 3.5729, 3.5729) * CHOOSE(CONTROL!$C$21, $C$9, 100%, $E$9)</f>
        <v>3.5729000000000002</v>
      </c>
      <c r="N19" s="17">
        <f>CHOOSE(CONTROL!$C$42, 3.5875, 3.5875) * CHOOSE(CONTROL!$C$21, $C$9, 100%, $E$9)</f>
        <v>3.5874999999999999</v>
      </c>
      <c r="O19" s="17">
        <f>CHOOSE(CONTROL!$C$42, 3.8581, 3.8581) * CHOOSE(CONTROL!$C$21, $C$9, 100%, $E$9)</f>
        <v>3.8580999999999999</v>
      </c>
      <c r="P19" s="17">
        <f>CHOOSE(CONTROL!$C$42, 3.6094, 3.6094) * CHOOSE(CONTROL!$C$21, $C$9, 100%, $E$9)</f>
        <v>3.6093999999999999</v>
      </c>
      <c r="Q19" s="17">
        <f>CHOOSE(CONTROL!$C$42, 4.4528, 4.4528) * CHOOSE(CONTROL!$C$21, $C$9, 100%, $E$9)</f>
        <v>4.4527999999999999</v>
      </c>
      <c r="R19" s="17">
        <f>CHOOSE(CONTROL!$C$42, 5.0509, 5.0509) * CHOOSE(CONTROL!$C$21, $C$9, 100%, $E$9)</f>
        <v>5.0509000000000004</v>
      </c>
      <c r="S19" s="17">
        <f>CHOOSE(CONTROL!$C$42, 3.488, 3.488) * CHOOSE(CONTROL!$C$21, $C$9, 100%, $E$9)</f>
        <v>3.488</v>
      </c>
      <c r="T19" s="58">
        <f>((((430000*CHOOSE(CONTROL!$C$42, 0.4694, 0.4694)+(874000-430000)*CHOOSE(CONTROL!$C$42, 0.7185, 0.7185)+400000*CHOOSE(CONTROL!$C$42, 1.14, 1.14)+30000*0.98)*CHOOSE(CONTROL!$C$42, 31, 31))/1000000))+CHOOSE(CONTROL!$C$42, 0.1555, 0.1555)+CHOOSE(CONTROL!$C$42, 0.5217, 0.5217)</f>
        <v>31.871136</v>
      </c>
      <c r="U19" s="57">
        <f>(1000*CHOOSE(CONTROL!$C$42, 695, 695)*CHOOSE(CONTROL!$C$42, 0.5599, 0.5599)*CHOOSE(CONTROL!$C$42, 31, 31))/1000000</f>
        <v>12.063045499999998</v>
      </c>
      <c r="V19" s="57">
        <f>(1000*CHOOSE(CONTROL!$C$42, 580, 580)*CHOOSE(CONTROL!$C$42, 0.275, 0.275)*CHOOSE(CONTROL!$C$42, 31, 31))/1000000</f>
        <v>4.9444999999999997</v>
      </c>
      <c r="W19" s="57">
        <f>(1000*CHOOSE(CONTROL!$C$42, 0.0916, 0.0916)*CHOOSE(CONTROL!$C$42, 200, 200)*CHOOSE(CONTROL!$C$42, 31, 31))/1000000</f>
        <v>0.56791999999999998</v>
      </c>
      <c r="X19" s="57">
        <f>31*0.1790888*145000/1000000</f>
        <v>0.80500415599999997</v>
      </c>
      <c r="Y19" s="57"/>
      <c r="Z19" s="17">
        <f>CHOOSE(CONTROL!$C$42, 3.5819, 3.5819) * CHOOSE(CONTROL!$C$21, $C$9, 100%, $E$9)</f>
        <v>3.5819000000000001</v>
      </c>
      <c r="AA19" s="56">
        <f>(131500*31*(6/31))/1000000</f>
        <v>0.78900000000000003</v>
      </c>
      <c r="AB19" s="49">
        <f>(B19*194.205+C19*267.466+D19*133.845+E19*213.484+F19*40+G19*25+H19*30+I19*100+J19*300)/(194.205+267.466+133.845+213.484+30+40+25+100+300)</f>
        <v>3.6903377907975465</v>
      </c>
      <c r="AC19" s="46">
        <f t="shared" si="0"/>
        <v>3.6771071942446043</v>
      </c>
    </row>
    <row r="20" spans="1:29" ht="15.75" x14ac:dyDescent="0.25">
      <c r="A20" s="16">
        <v>41487</v>
      </c>
      <c r="B20" s="17">
        <f>CHOOSE(CONTROL!$C$42, 3.6419, 3.6419) * CHOOSE(CONTROL!$C$21, $C$9, 100%, $E$9)</f>
        <v>3.6419000000000001</v>
      </c>
      <c r="C20" s="17">
        <f>CHOOSE(CONTROL!$C$42, 3.6499, 3.6499) * CHOOSE(CONTROL!$C$21, $C$9, 100%, $E$9)</f>
        <v>3.6499000000000001</v>
      </c>
      <c r="D20" s="17">
        <f>CHOOSE(CONTROL!$C$42, 3.8995, 3.8995) * CHOOSE(CONTROL!$C$21, $C$9, 100%, $E$9)</f>
        <v>3.8995000000000002</v>
      </c>
      <c r="E20" s="17">
        <f>CHOOSE(CONTROL!$C$42, 3.9307, 3.9307) * CHOOSE(CONTROL!$C$21, $C$9, 100%, $E$9)</f>
        <v>3.9306999999999999</v>
      </c>
      <c r="F20" s="17">
        <f>CHOOSE(CONTROL!$C$42, 3.6391, 3.6391)*CHOOSE(CONTROL!$C$21, $C$9, 100%, $E$9)</f>
        <v>3.6391</v>
      </c>
      <c r="G20" s="17">
        <f>CHOOSE(CONTROL!$C$42, 3.6539, 3.6539)*CHOOSE(CONTROL!$C$21, $C$9, 100%, $E$9)</f>
        <v>3.6539000000000001</v>
      </c>
      <c r="H20" s="17">
        <f>CHOOSE(CONTROL!$C$42, 3.919, 3.919) * CHOOSE(CONTROL!$C$21, $C$9, 100%, $E$9)</f>
        <v>3.919</v>
      </c>
      <c r="I20" s="17">
        <f>CHOOSE(CONTROL!$C$42, 3.6683, 3.6683)* CHOOSE(CONTROL!$C$21, $C$9, 100%, $E$9)</f>
        <v>3.6682999999999999</v>
      </c>
      <c r="J20" s="17">
        <f>CHOOSE(CONTROL!$C$42, 3.6317, 3.6317)* CHOOSE(CONTROL!$C$21, $C$9, 100%, $E$9)</f>
        <v>3.6316999999999999</v>
      </c>
      <c r="K20" s="53"/>
      <c r="L20" s="17">
        <f>CHOOSE(CONTROL!$C$42, 4.506, 4.506) * CHOOSE(CONTROL!$C$21, $C$9, 100%, $E$9)</f>
        <v>4.5060000000000002</v>
      </c>
      <c r="M20" s="17">
        <f>CHOOSE(CONTROL!$C$42, 3.6061, 3.6061) * CHOOSE(CONTROL!$C$21, $C$9, 100%, $E$9)</f>
        <v>3.6061000000000001</v>
      </c>
      <c r="N20" s="17">
        <f>CHOOSE(CONTROL!$C$42, 3.6207, 3.6207) * CHOOSE(CONTROL!$C$21, $C$9, 100%, $E$9)</f>
        <v>3.6206999999999998</v>
      </c>
      <c r="O20" s="17">
        <f>CHOOSE(CONTROL!$C$42, 3.8908, 3.8908) * CHOOSE(CONTROL!$C$21, $C$9, 100%, $E$9)</f>
        <v>3.8908</v>
      </c>
      <c r="P20" s="17">
        <f>CHOOSE(CONTROL!$C$42, 3.6422, 3.6422) * CHOOSE(CONTROL!$C$21, $C$9, 100%, $E$9)</f>
        <v>3.6421999999999999</v>
      </c>
      <c r="Q20" s="17">
        <f>CHOOSE(CONTROL!$C$42, 4.4855, 4.4855) * CHOOSE(CONTROL!$C$21, $C$9, 100%, $E$9)</f>
        <v>4.4855</v>
      </c>
      <c r="R20" s="17">
        <f>CHOOSE(CONTROL!$C$42, 5.0837, 5.0837) * CHOOSE(CONTROL!$C$21, $C$9, 100%, $E$9)</f>
        <v>5.0837000000000003</v>
      </c>
      <c r="S20" s="17">
        <f>CHOOSE(CONTROL!$C$42, 3.52, 3.52) * CHOOSE(CONTROL!$C$21, $C$9, 100%, $E$9)</f>
        <v>3.52</v>
      </c>
      <c r="T20" s="58">
        <f>((((430000*CHOOSE(CONTROL!$C$42, 0.4694, 0.4694)+(874000-430000)*CHOOSE(CONTROL!$C$42, 0.7185, 0.7185)+400000*CHOOSE(CONTROL!$C$42, 1.14, 1.14)+30000*0.98)*CHOOSE(CONTROL!$C$42, 31, 31))/1000000))+CHOOSE(CONTROL!$C$42, 0.1911, 0.1911)+CHOOSE(CONTROL!$C$42, 0.5131, 0.5131)</f>
        <v>31.898136000000001</v>
      </c>
      <c r="U20" s="57">
        <f>(1000*CHOOSE(CONTROL!$C$42, 695, 695)*CHOOSE(CONTROL!$C$42, 0.5599, 0.5599)*CHOOSE(CONTROL!$C$42, 31, 31))/1000000</f>
        <v>12.063045499999998</v>
      </c>
      <c r="V20" s="57">
        <f>(1000*CHOOSE(CONTROL!$C$42, 580, 580)*CHOOSE(CONTROL!$C$42, 0.275, 0.275)*CHOOSE(CONTROL!$C$42, 31, 31))/1000000</f>
        <v>4.9444999999999997</v>
      </c>
      <c r="W20" s="57">
        <f>(1000*CHOOSE(CONTROL!$C$42, 0.0916, 0.0916)*CHOOSE(CONTROL!$C$42, 200, 200)*CHOOSE(CONTROL!$C$42, 31, 31))/1000000</f>
        <v>0.56791999999999998</v>
      </c>
      <c r="X20" s="57">
        <f>31*0.1790888*145000/1000000</f>
        <v>0.80500415599999997</v>
      </c>
      <c r="Y20" s="57"/>
      <c r="Z20" s="17">
        <f>CHOOSE(CONTROL!$C$42, 3.6147, 3.6147) * CHOOSE(CONTROL!$C$21, $C$9, 100%, $E$9)</f>
        <v>3.6147</v>
      </c>
      <c r="AA20" s="56">
        <f>(131500*31*(6/31))/1000000</f>
        <v>0.78900000000000003</v>
      </c>
      <c r="AB20" s="49">
        <f>(B20*194.205+C20*267.466+D20*133.845+E20*213.484+F20*40+G20*25+H20*30+I20*100+J20*300)/(194.205+267.466+133.845+213.484+30+40+25+100+300)</f>
        <v>3.723459339877301</v>
      </c>
      <c r="AC20" s="46">
        <f t="shared" si="0"/>
        <v>3.710080575539568</v>
      </c>
    </row>
    <row r="21" spans="1:29" ht="15.75" x14ac:dyDescent="0.25">
      <c r="A21" s="16">
        <v>41518</v>
      </c>
      <c r="B21" s="17">
        <f>CHOOSE(CONTROL!$C$42, 3.6561, 3.6561) * CHOOSE(CONTROL!$C$21, $C$9, 100%, $E$9)</f>
        <v>3.6560999999999999</v>
      </c>
      <c r="C21" s="17">
        <f>CHOOSE(CONTROL!$C$42, 3.6641, 3.6641) * CHOOSE(CONTROL!$C$21, $C$9, 100%, $E$9)</f>
        <v>3.6640999999999999</v>
      </c>
      <c r="D21" s="17">
        <f>CHOOSE(CONTROL!$C$42, 3.9137, 3.9137) * CHOOSE(CONTROL!$C$21, $C$9, 100%, $E$9)</f>
        <v>3.9137</v>
      </c>
      <c r="E21" s="17">
        <f>CHOOSE(CONTROL!$C$42, 3.9449, 3.9449) * CHOOSE(CONTROL!$C$21, $C$9, 100%, $E$9)</f>
        <v>3.9449000000000001</v>
      </c>
      <c r="F21" s="17">
        <f>CHOOSE(CONTROL!$C$42, 3.6535, 3.6535)*CHOOSE(CONTROL!$C$21, $C$9, 100%, $E$9)</f>
        <v>3.6535000000000002</v>
      </c>
      <c r="G21" s="17">
        <f>CHOOSE(CONTROL!$C$42, 3.6684, 3.6684)*CHOOSE(CONTROL!$C$21, $C$9, 100%, $E$9)</f>
        <v>3.6684000000000001</v>
      </c>
      <c r="H21" s="17">
        <f>CHOOSE(CONTROL!$C$42, 3.9332, 3.9332) * CHOOSE(CONTROL!$C$21, $C$9, 100%, $E$9)</f>
        <v>3.9331999999999998</v>
      </c>
      <c r="I21" s="17">
        <f>CHOOSE(CONTROL!$C$42, 3.6825, 3.6825)* CHOOSE(CONTROL!$C$21, $C$9, 100%, $E$9)</f>
        <v>3.6825000000000001</v>
      </c>
      <c r="J21" s="17">
        <f>CHOOSE(CONTROL!$C$42, 3.6461, 3.6461)* CHOOSE(CONTROL!$C$21, $C$9, 100%, $E$9)</f>
        <v>3.6461000000000001</v>
      </c>
      <c r="K21" s="53"/>
      <c r="L21" s="17">
        <f>CHOOSE(CONTROL!$C$42, 4.5202, 4.5202) * CHOOSE(CONTROL!$C$21, $C$9, 100%, $E$9)</f>
        <v>4.5202</v>
      </c>
      <c r="M21" s="17">
        <f>CHOOSE(CONTROL!$C$42, 3.6203, 3.6203) * CHOOSE(CONTROL!$C$21, $C$9, 100%, $E$9)</f>
        <v>3.6202999999999999</v>
      </c>
      <c r="N21" s="17">
        <f>CHOOSE(CONTROL!$C$42, 3.6351, 3.6351) * CHOOSE(CONTROL!$C$21, $C$9, 100%, $E$9)</f>
        <v>3.6351</v>
      </c>
      <c r="O21" s="17">
        <f>CHOOSE(CONTROL!$C$42, 3.9048, 3.9048) * CHOOSE(CONTROL!$C$21, $C$9, 100%, $E$9)</f>
        <v>3.9047999999999998</v>
      </c>
      <c r="P21" s="17">
        <f>CHOOSE(CONTROL!$C$42, 3.6563, 3.6563) * CHOOSE(CONTROL!$C$21, $C$9, 100%, $E$9)</f>
        <v>3.6562999999999999</v>
      </c>
      <c r="Q21" s="17">
        <f>CHOOSE(CONTROL!$C$42, 4.4995, 4.4995) * CHOOSE(CONTROL!$C$21, $C$9, 100%, $E$9)</f>
        <v>4.4995000000000003</v>
      </c>
      <c r="R21" s="17">
        <f>CHOOSE(CONTROL!$C$42, 5.0978, 5.0978) * CHOOSE(CONTROL!$C$21, $C$9, 100%, $E$9)</f>
        <v>5.0978000000000003</v>
      </c>
      <c r="S21" s="17">
        <f>CHOOSE(CONTROL!$C$42, 3.5338, 3.5338) * CHOOSE(CONTROL!$C$21, $C$9, 100%, $E$9)</f>
        <v>3.5337999999999998</v>
      </c>
      <c r="T21" s="58">
        <f>((((430000*CHOOSE(CONTROL!$C$42, 0.4694, 0.4694)+(874000-430000)*CHOOSE(CONTROL!$C$42, 0.7185, 0.7185)+400000*CHOOSE(CONTROL!$C$42, 1.14, 1.14)+30000*0.98)*CHOOSE(CONTROL!$C$42, 30, 30))/1000000))+CHOOSE(CONTROL!$C$42, 0.1717, 0.1717)+CHOOSE(CONTROL!$C$42, 0.4923, 0.4923)</f>
        <v>30.851680000000002</v>
      </c>
      <c r="U21" s="57">
        <f>(1000*CHOOSE(CONTROL!$C$42, 695, 695)*CHOOSE(CONTROL!$C$42, 0.5599, 0.5599)*CHOOSE(CONTROL!$C$42, 30, 30))/1000000</f>
        <v>11.673914999999997</v>
      </c>
      <c r="V21" s="57">
        <f>(1000*CHOOSE(CONTROL!$C$42, 580, 580)*CHOOSE(CONTROL!$C$42, 0.275, 0.275)*CHOOSE(CONTROL!$C$42, 30, 30))/1000000</f>
        <v>4.7850000000000001</v>
      </c>
      <c r="W21" s="57">
        <f>(1000*CHOOSE(CONTROL!$C$42, 0.0916, 0.0916)*CHOOSE(CONTROL!$C$42, 200, 200)*CHOOSE(CONTROL!$C$42, 30, 30))/1000000</f>
        <v>0.54959999999999998</v>
      </c>
      <c r="X21" s="57">
        <f>30*0.1790888*145000/1000000</f>
        <v>0.77903627999999991</v>
      </c>
      <c r="Y21" s="57"/>
      <c r="Z21" s="17">
        <f>CHOOSE(CONTROL!$C$42, 3.6288, 3.6288) * CHOOSE(CONTROL!$C$21, $C$9, 100%, $E$9)</f>
        <v>3.6288</v>
      </c>
      <c r="AA21" s="56">
        <f>(131500*30*(6/30))/1000000</f>
        <v>0.78900000000000003</v>
      </c>
      <c r="AB21" s="49">
        <f>(B21*194.205+C21*267.466+D21*133.845+E21*213.484+F21*40+G21*25+H21*30+I21*100+J21*300)/(194.205+267.466+133.845+213.484+30+40+25+100+300)</f>
        <v>3.7377172386503066</v>
      </c>
      <c r="AC21" s="46">
        <f t="shared" si="0"/>
        <v>3.7242330935251795</v>
      </c>
    </row>
    <row r="22" spans="1:29" ht="15.75" x14ac:dyDescent="0.25">
      <c r="A22" s="16">
        <v>41548</v>
      </c>
      <c r="B22" s="17">
        <f>CHOOSE(CONTROL!$C$42, 3.6905, 3.6905) * CHOOSE(CONTROL!$C$21, $C$9, 100%, $E$9)</f>
        <v>3.6905000000000001</v>
      </c>
      <c r="C22" s="17">
        <f>CHOOSE(CONTROL!$C$42, 3.6958, 3.6958) * CHOOSE(CONTROL!$C$21, $C$9, 100%, $E$9)</f>
        <v>3.6958000000000002</v>
      </c>
      <c r="D22" s="17">
        <f>CHOOSE(CONTROL!$C$42, 3.9503, 3.9503) * CHOOSE(CONTROL!$C$21, $C$9, 100%, $E$9)</f>
        <v>3.9502999999999999</v>
      </c>
      <c r="E22" s="17">
        <f>CHOOSE(CONTROL!$C$42, 3.9792, 3.9792) * CHOOSE(CONTROL!$C$21, $C$9, 100%, $E$9)</f>
        <v>3.9792000000000001</v>
      </c>
      <c r="F22" s="17">
        <f>CHOOSE(CONTROL!$C$42, 3.6901, 3.6901)*CHOOSE(CONTROL!$C$21, $C$9, 100%, $E$9)</f>
        <v>3.6901000000000002</v>
      </c>
      <c r="G22" s="17">
        <f>CHOOSE(CONTROL!$C$42, 3.7048, 3.7048)*CHOOSE(CONTROL!$C$21, $C$9, 100%, $E$9)</f>
        <v>3.7048000000000001</v>
      </c>
      <c r="H22" s="17">
        <f>CHOOSE(CONTROL!$C$42, 3.9693, 3.9693) * CHOOSE(CONTROL!$C$21, $C$9, 100%, $E$9)</f>
        <v>3.9693000000000001</v>
      </c>
      <c r="I22" s="17">
        <f>CHOOSE(CONTROL!$C$42, 3.7187, 3.7187)* CHOOSE(CONTROL!$C$21, $C$9, 100%, $E$9)</f>
        <v>3.7187000000000001</v>
      </c>
      <c r="J22" s="17">
        <f>CHOOSE(CONTROL!$C$42, 3.6827, 3.6827)* CHOOSE(CONTROL!$C$21, $C$9, 100%, $E$9)</f>
        <v>3.6827000000000001</v>
      </c>
      <c r="K22" s="53"/>
      <c r="L22" s="17">
        <f>CHOOSE(CONTROL!$C$42, 4.5563, 4.5563) * CHOOSE(CONTROL!$C$21, $C$9, 100%, $E$9)</f>
        <v>4.5563000000000002</v>
      </c>
      <c r="M22" s="17">
        <f>CHOOSE(CONTROL!$C$42, 3.6566, 3.6566) * CHOOSE(CONTROL!$C$21, $C$9, 100%, $E$9)</f>
        <v>3.6566000000000001</v>
      </c>
      <c r="N22" s="17">
        <f>CHOOSE(CONTROL!$C$42, 3.6712, 3.6712) * CHOOSE(CONTROL!$C$21, $C$9, 100%, $E$9)</f>
        <v>3.6711999999999998</v>
      </c>
      <c r="O22" s="17">
        <f>CHOOSE(CONTROL!$C$42, 3.9406, 3.9406) * CHOOSE(CONTROL!$C$21, $C$9, 100%, $E$9)</f>
        <v>3.9405999999999999</v>
      </c>
      <c r="P22" s="17">
        <f>CHOOSE(CONTROL!$C$42, 3.6922, 3.6922) * CHOOSE(CONTROL!$C$21, $C$9, 100%, $E$9)</f>
        <v>3.6922000000000001</v>
      </c>
      <c r="Q22" s="17">
        <f>CHOOSE(CONTROL!$C$42, 4.5353, 4.5353) * CHOOSE(CONTROL!$C$21, $C$9, 100%, $E$9)</f>
        <v>4.5353000000000003</v>
      </c>
      <c r="R22" s="17">
        <f>CHOOSE(CONTROL!$C$42, 5.1337, 5.1337) * CHOOSE(CONTROL!$C$21, $C$9, 100%, $E$9)</f>
        <v>5.1337000000000002</v>
      </c>
      <c r="S22" s="17">
        <f>CHOOSE(CONTROL!$C$42, 3.5688, 3.5688) * CHOOSE(CONTROL!$C$21, $C$9, 100%, $E$9)</f>
        <v>3.5688</v>
      </c>
      <c r="T22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22" s="57">
        <f>(1000*CHOOSE(CONTROL!$C$42, 695, 695)*CHOOSE(CONTROL!$C$42, 0.5599, 0.5599)*CHOOSE(CONTROL!$C$42, 31, 31))/1000000</f>
        <v>12.063045499999998</v>
      </c>
      <c r="V22" s="57">
        <f>(1000*CHOOSE(CONTROL!$C$42, 580, 580)*CHOOSE(CONTROL!$C$42, 0.275, 0.275)*CHOOSE(CONTROL!$C$42, 31, 31))/1000000</f>
        <v>4.9444999999999997</v>
      </c>
      <c r="W22" s="57">
        <f>(1000*CHOOSE(CONTROL!$C$42, 0.0916, 0.0916)*CHOOSE(CONTROL!$C$42, 200, 200)*CHOOSE(CONTROL!$C$42, 31, 31))/1000000</f>
        <v>0.56791999999999998</v>
      </c>
      <c r="X22" s="57">
        <f>31*0.1790888*145000/1000000</f>
        <v>0.80500415599999997</v>
      </c>
      <c r="Y22" s="57"/>
      <c r="Z22" s="17">
        <f>CHOOSE(CONTROL!$C$42, 3.6646, 3.6646) * CHOOSE(CONTROL!$C$21, $C$9, 100%, $E$9)</f>
        <v>3.6646000000000001</v>
      </c>
      <c r="AA22" s="56">
        <f>(131500*31*(6/31))/1000000</f>
        <v>0.78900000000000003</v>
      </c>
      <c r="AB22" s="49">
        <f>(B22*131.881+C22*277.167+D22*79.08+E22*285.872+F22*40+G22*25+H22*0+I22*100+J22*300)/(131.881+277.167+79.08+285.872+0+40+25+100+300)</f>
        <v>3.7755417397094431</v>
      </c>
      <c r="AC22" s="46">
        <f t="shared" si="0"/>
        <v>3.7602719424460433</v>
      </c>
    </row>
    <row r="23" spans="1:29" ht="15.75" x14ac:dyDescent="0.25">
      <c r="A23" s="16">
        <v>41579</v>
      </c>
      <c r="B23" s="17">
        <f>CHOOSE(CONTROL!$C$42, 3.8138, 3.8138) * CHOOSE(CONTROL!$C$21, $C$9, 100%, $E$9)</f>
        <v>3.8138000000000001</v>
      </c>
      <c r="C23" s="17">
        <f>CHOOSE(CONTROL!$C$42, 3.8189, 3.8189) * CHOOSE(CONTROL!$C$21, $C$9, 100%, $E$9)</f>
        <v>3.8189000000000002</v>
      </c>
      <c r="D23" s="17">
        <f>CHOOSE(CONTROL!$C$42, 3.9364, 3.9364) * CHOOSE(CONTROL!$C$21, $C$9, 100%, $E$9)</f>
        <v>3.9363999999999999</v>
      </c>
      <c r="E23" s="17">
        <f>CHOOSE(CONTROL!$C$42, 3.9701, 3.9701) * CHOOSE(CONTROL!$C$21, $C$9, 100%, $E$9)</f>
        <v>3.9701</v>
      </c>
      <c r="F23" s="17">
        <f>CHOOSE(CONTROL!$C$42, 3.8233, 3.8233)*CHOOSE(CONTROL!$C$21, $C$9, 100%, $E$9)</f>
        <v>3.8233000000000001</v>
      </c>
      <c r="G23" s="17">
        <f>CHOOSE(CONTROL!$C$42, 3.8385, 3.8385)*CHOOSE(CONTROL!$C$21, $C$9, 100%, $E$9)</f>
        <v>3.8384999999999998</v>
      </c>
      <c r="H23" s="17">
        <f>CHOOSE(CONTROL!$C$42, 3.959, 3.959) * CHOOSE(CONTROL!$C$21, $C$9, 100%, $E$9)</f>
        <v>3.9590000000000001</v>
      </c>
      <c r="I23" s="17">
        <f>CHOOSE(CONTROL!$C$42, 3.8491, 3.8491)* CHOOSE(CONTROL!$C$21, $C$9, 100%, $E$9)</f>
        <v>3.8491</v>
      </c>
      <c r="J23" s="17">
        <f>CHOOSE(CONTROL!$C$42, 3.8159, 3.8159)* CHOOSE(CONTROL!$C$21, $C$9, 100%, $E$9)</f>
        <v>3.8159000000000001</v>
      </c>
      <c r="K23" s="53"/>
      <c r="L23" s="17">
        <f>CHOOSE(CONTROL!$C$42, 4.546, 4.546) * CHOOSE(CONTROL!$C$21, $C$9, 100%, $E$9)</f>
        <v>4.5460000000000003</v>
      </c>
      <c r="M23" s="17">
        <f>CHOOSE(CONTROL!$C$42, 3.7885, 3.7885) * CHOOSE(CONTROL!$C$21, $C$9, 100%, $E$9)</f>
        <v>3.7885</v>
      </c>
      <c r="N23" s="17">
        <f>CHOOSE(CONTROL!$C$42, 3.8036, 3.8036) * CHOOSE(CONTROL!$C$21, $C$9, 100%, $E$9)</f>
        <v>3.8035999999999999</v>
      </c>
      <c r="O23" s="17">
        <f>CHOOSE(CONTROL!$C$42, 3.9304, 3.9304) * CHOOSE(CONTROL!$C$21, $C$9, 100%, $E$9)</f>
        <v>3.9304000000000001</v>
      </c>
      <c r="P23" s="17">
        <f>CHOOSE(CONTROL!$C$42, 3.8214, 3.8214) * CHOOSE(CONTROL!$C$21, $C$9, 100%, $E$9)</f>
        <v>3.8214000000000001</v>
      </c>
      <c r="Q23" s="17">
        <f>CHOOSE(CONTROL!$C$42, 4.5251, 4.5251) * CHOOSE(CONTROL!$C$21, $C$9, 100%, $E$9)</f>
        <v>4.5251000000000001</v>
      </c>
      <c r="R23" s="17">
        <f>CHOOSE(CONTROL!$C$42, 5.1234, 5.1234) * CHOOSE(CONTROL!$C$21, $C$9, 100%, $E$9)</f>
        <v>5.1234000000000002</v>
      </c>
      <c r="S23" s="17">
        <f>CHOOSE(CONTROL!$C$42, 3.6888, 3.6888) * CHOOSE(CONTROL!$C$21, $C$9, 100%, $E$9)</f>
        <v>3.6888000000000001</v>
      </c>
      <c r="T23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23" s="57">
        <f>(1000*CHOOSE(CONTROL!$C$42, 695, 695)*CHOOSE(CONTROL!$C$42, 0.5599, 0.5599)*CHOOSE(CONTROL!$C$42, 30, 30))/1000000</f>
        <v>11.673914999999997</v>
      </c>
      <c r="V23" s="57">
        <f>(1000*CHOOSE(CONTROL!$C$42, 580, 580)*CHOOSE(CONTROL!$C$42, 0.275, 0.275)*CHOOSE(CONTROL!$C$42, 30, 30))/1000000</f>
        <v>4.7850000000000001</v>
      </c>
      <c r="W23" s="57">
        <f>(1000*CHOOSE(CONTROL!$C$42, 0.0916, 0.0916)*CHOOSE(CONTROL!$C$42, 200, 200)*CHOOSE(CONTROL!$C$42, 30, 30))/1000000</f>
        <v>0.54959999999999998</v>
      </c>
      <c r="X23" s="57">
        <v>0</v>
      </c>
      <c r="Y23" s="57"/>
      <c r="Z23" s="17">
        <f>CHOOSE(CONTROL!$C$42, 3.7992, 3.7992) * CHOOSE(CONTROL!$C$21, $C$9, 100%, $E$9)</f>
        <v>3.7991999999999999</v>
      </c>
      <c r="AA23" s="56">
        <f>(131500*30*(6/30))/1000000</f>
        <v>0.78900000000000003</v>
      </c>
      <c r="AB23" s="49">
        <f>(B23*122.58+C23*297.941+D23*89.177+E23*200.302+F23*40+G23*0+H23*0+I23*100+J23*300)/(122.58+297.941+89.177+200.302+0+40+0+100+300)</f>
        <v>3.8557998277391299</v>
      </c>
      <c r="AC23" s="46">
        <f>(M23*240+N23*0+O23*355+P23*100)/(240+0+355+100)</f>
        <v>3.8657151079136689</v>
      </c>
    </row>
    <row r="24" spans="1:29" ht="15.75" x14ac:dyDescent="0.25">
      <c r="A24" s="16">
        <v>41609</v>
      </c>
      <c r="B24" s="17">
        <f>CHOOSE(CONTROL!$C$42, 4.0304, 4.0304) * CHOOSE(CONTROL!$C$21, $C$9, 100%, $E$9)</f>
        <v>4.0304000000000002</v>
      </c>
      <c r="C24" s="17">
        <f>CHOOSE(CONTROL!$C$42, 4.0355, 4.0355) * CHOOSE(CONTROL!$C$21, $C$9, 100%, $E$9)</f>
        <v>4.0354999999999999</v>
      </c>
      <c r="D24" s="17">
        <f>CHOOSE(CONTROL!$C$42, 4.1529, 4.1529) * CHOOSE(CONTROL!$C$21, $C$9, 100%, $E$9)</f>
        <v>4.1528999999999998</v>
      </c>
      <c r="E24" s="17">
        <f>CHOOSE(CONTROL!$C$42, 4.1867, 4.1867) * CHOOSE(CONTROL!$C$21, $C$9, 100%, $E$9)</f>
        <v>4.1867000000000001</v>
      </c>
      <c r="F24" s="17">
        <f>CHOOSE(CONTROL!$C$42, 4.0426, 4.0426)*CHOOSE(CONTROL!$C$21, $C$9, 100%, $E$9)</f>
        <v>4.0426000000000002</v>
      </c>
      <c r="G24" s="17">
        <f>CHOOSE(CONTROL!$C$42, 4.0585, 4.0585)*CHOOSE(CONTROL!$C$21, $C$9, 100%, $E$9)</f>
        <v>4.0585000000000004</v>
      </c>
      <c r="H24" s="17">
        <f>CHOOSE(CONTROL!$C$42, 4.1756, 4.1756) * CHOOSE(CONTROL!$C$21, $C$9, 100%, $E$9)</f>
        <v>4.1756000000000002</v>
      </c>
      <c r="I24" s="17">
        <f>CHOOSE(CONTROL!$C$42, 4.0663, 4.0663)* CHOOSE(CONTROL!$C$21, $C$9, 100%, $E$9)</f>
        <v>4.0663</v>
      </c>
      <c r="J24" s="17">
        <f>CHOOSE(CONTROL!$C$42, 4.0352, 4.0352)* CHOOSE(CONTROL!$C$21, $C$9, 100%, $E$9)</f>
        <v>4.0351999999999997</v>
      </c>
      <c r="K24" s="53"/>
      <c r="L24" s="17">
        <f>CHOOSE(CONTROL!$C$42, 4.7626, 4.7626) * CHOOSE(CONTROL!$C$21, $C$9, 100%, $E$9)</f>
        <v>4.7625999999999999</v>
      </c>
      <c r="M24" s="17">
        <f>CHOOSE(CONTROL!$C$42, 4.0059, 4.0059) * CHOOSE(CONTROL!$C$21, $C$9, 100%, $E$9)</f>
        <v>4.0058999999999996</v>
      </c>
      <c r="N24" s="17">
        <f>CHOOSE(CONTROL!$C$42, 4.0217, 4.0217) * CHOOSE(CONTROL!$C$21, $C$9, 100%, $E$9)</f>
        <v>4.0217000000000001</v>
      </c>
      <c r="O24" s="17">
        <f>CHOOSE(CONTROL!$C$42, 4.145, 4.145) * CHOOSE(CONTROL!$C$21, $C$9, 100%, $E$9)</f>
        <v>4.1449999999999996</v>
      </c>
      <c r="P24" s="17">
        <f>CHOOSE(CONTROL!$C$42, 4.0367, 4.0367) * CHOOSE(CONTROL!$C$21, $C$9, 100%, $E$9)</f>
        <v>4.0366999999999997</v>
      </c>
      <c r="Q24" s="17">
        <f>CHOOSE(CONTROL!$C$42, 4.7397, 4.7397) * CHOOSE(CONTROL!$C$21, $C$9, 100%, $E$9)</f>
        <v>4.7397</v>
      </c>
      <c r="R24" s="17">
        <f>CHOOSE(CONTROL!$C$42, 5.3386, 5.3386) * CHOOSE(CONTROL!$C$21, $C$9, 100%, $E$9)</f>
        <v>5.3385999999999996</v>
      </c>
      <c r="S24" s="17">
        <f>CHOOSE(CONTROL!$C$42, 3.8988, 3.8988) * CHOOSE(CONTROL!$C$21, $C$9, 100%, $E$9)</f>
        <v>3.8988</v>
      </c>
      <c r="T24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24" s="57">
        <f>(1000*CHOOSE(CONTROL!$C$42, 695, 695)*CHOOSE(CONTROL!$C$42, 0.5599, 0.5599)*CHOOSE(CONTROL!$C$42, 31, 31))/1000000</f>
        <v>12.063045499999998</v>
      </c>
      <c r="V24" s="57">
        <f>(1000*CHOOSE(CONTROL!$C$42, 580, 580)*CHOOSE(CONTROL!$C$42, 0.275, 0.275)*CHOOSE(CONTROL!$C$42, 31, 31))/1000000</f>
        <v>4.9444999999999997</v>
      </c>
      <c r="W24" s="57">
        <f>(1000*CHOOSE(CONTROL!$C$42, 0.0916, 0.0916)*CHOOSE(CONTROL!$C$42, 200, 200)*CHOOSE(CONTROL!$C$42, 31, 31))/1000000</f>
        <v>0.56791999999999998</v>
      </c>
      <c r="X24" s="57">
        <v>0</v>
      </c>
      <c r="Y24" s="57"/>
      <c r="Z24" s="17">
        <f>CHOOSE(CONTROL!$C$42, 4.0142, 4.0142) * CHOOSE(CONTROL!$C$21, $C$9, 100%, $E$9)</f>
        <v>4.0141999999999998</v>
      </c>
      <c r="AA24" s="56">
        <f>(131500*31*(6/31))/1000000</f>
        <v>0.78900000000000003</v>
      </c>
      <c r="AB24" s="49">
        <f>(B24*122.58+C24*297.941+D24*89.177+E24*200.302+F24*40+G24*0+H24*0+I24*100+J24*300)/(122.58+297.941+89.177+200.302+0+40+0+100+300)</f>
        <v>4.0732425080000008</v>
      </c>
      <c r="AC24" s="46">
        <f>(M24*240+N24*0+O24*355+P24*100)/(240+0+355+100)</f>
        <v>4.0813827338129496</v>
      </c>
    </row>
    <row r="25" spans="1:29" ht="15" x14ac:dyDescent="0.2">
      <c r="A25" s="16">
        <v>41640</v>
      </c>
      <c r="B25" s="17">
        <f>CHOOSE(CONTROL!$C$42, 4.1397, 4.1397) * CHOOSE(CONTROL!$C$21, $C$9, 100%, $E$9)</f>
        <v>4.1397000000000004</v>
      </c>
      <c r="C25" s="17">
        <f>CHOOSE(CONTROL!$C$42, 4.1448, 4.1448) * CHOOSE(CONTROL!$C$21, $C$9, 100%, $E$9)</f>
        <v>4.1448</v>
      </c>
      <c r="D25" s="17">
        <f>CHOOSE(CONTROL!$C$42, 4.2622, 4.2622) * CHOOSE(CONTROL!$C$21, $C$9, 100%, $E$9)</f>
        <v>4.2622</v>
      </c>
      <c r="E25" s="17">
        <f>CHOOSE(CONTROL!$C$42, 4.296, 4.296) * CHOOSE(CONTROL!$C$21, $C$9, 100%, $E$9)</f>
        <v>4.2960000000000003</v>
      </c>
      <c r="F25" s="17">
        <f>CHOOSE(CONTROL!$C$42, 4.1533, 4.1533)*CHOOSE(CONTROL!$C$21, $C$9, 100%, $E$9)</f>
        <v>4.1532999999999998</v>
      </c>
      <c r="G25" s="17">
        <f>CHOOSE(CONTROL!$C$42, 4.1696, 4.1696)*CHOOSE(CONTROL!$C$21, $C$9, 100%, $E$9)</f>
        <v>4.1696</v>
      </c>
      <c r="H25" s="17">
        <f>CHOOSE(CONTROL!$C$42, 4.2849, 4.2849) * CHOOSE(CONTROL!$C$21, $C$9, 100%, $E$9)</f>
        <v>4.2849000000000004</v>
      </c>
      <c r="I25" s="17">
        <f>CHOOSE(CONTROL!$C$42, 4.1759, 4.1759)* CHOOSE(CONTROL!$C$21, $C$9, 100%, $E$9)</f>
        <v>4.1759000000000004</v>
      </c>
      <c r="J25" s="17">
        <f>CHOOSE(CONTROL!$C$42, 4.1459, 4.1459)* CHOOSE(CONTROL!$C$21, $C$9, 100%, $E$9)</f>
        <v>4.1459000000000001</v>
      </c>
      <c r="K25" s="59"/>
      <c r="L25" s="17">
        <f>CHOOSE(CONTROL!$C$42, 4.8719, 4.8719) * CHOOSE(CONTROL!$C$21, $C$9, 100%, $E$9)</f>
        <v>4.8719000000000001</v>
      </c>
      <c r="M25" s="17">
        <f>CHOOSE(CONTROL!$C$42, 4.1156, 4.1156) * CHOOSE(CONTROL!$C$21, $C$9, 100%, $E$9)</f>
        <v>4.1155999999999997</v>
      </c>
      <c r="N25" s="17">
        <f>CHOOSE(CONTROL!$C$42, 4.1318, 4.1318) * CHOOSE(CONTROL!$C$21, $C$9, 100%, $E$9)</f>
        <v>4.1318000000000001</v>
      </c>
      <c r="O25" s="17">
        <f>CHOOSE(CONTROL!$C$42, 4.2533, 4.2533) * CHOOSE(CONTROL!$C$21, $C$9, 100%, $E$9)</f>
        <v>4.2533000000000003</v>
      </c>
      <c r="P25" s="17">
        <f>CHOOSE(CONTROL!$C$42, 4.1453, 4.1453) * CHOOSE(CONTROL!$C$21, $C$9, 100%, $E$9)</f>
        <v>4.1452999999999998</v>
      </c>
      <c r="Q25" s="17">
        <f>CHOOSE(CONTROL!$C$42, 4.848, 4.848) * CHOOSE(CONTROL!$C$21, $C$9, 100%, $E$9)</f>
        <v>4.8479999999999999</v>
      </c>
      <c r="R25" s="17">
        <f>CHOOSE(CONTROL!$C$42, 5.4472, 5.4472) * CHOOSE(CONTROL!$C$21, $C$9, 100%, $E$9)</f>
        <v>5.4471999999999996</v>
      </c>
      <c r="S25" s="17">
        <f>CHOOSE(CONTROL!$C$42, 4.0048, 4.0048) * CHOOSE(CONTROL!$C$21, $C$9, 100%, $E$9)</f>
        <v>4.0048000000000004</v>
      </c>
      <c r="T25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25" s="57">
        <f>(1000*CHOOSE(CONTROL!$C$42, 695, 695)*CHOOSE(CONTROL!$C$42, 0.5599, 0.5599)*CHOOSE(CONTROL!$C$42, 31, 31))/1000000</f>
        <v>12.063045499999998</v>
      </c>
      <c r="V25" s="57">
        <f>(1000*CHOOSE(CONTROL!$C$42, 580, 580)*CHOOSE(CONTROL!$C$42, 0.275, 0.275)*CHOOSE(CONTROL!$C$42, 31, 31))/1000000</f>
        <v>4.9444999999999997</v>
      </c>
      <c r="W25" s="57">
        <f>(1000*CHOOSE(CONTROL!$C$42, 0.0916, 0.0916)*CHOOSE(CONTROL!$C$42, 200, 200)*CHOOSE(CONTROL!$C$42, 31, 31))/1000000</f>
        <v>0.56791999999999998</v>
      </c>
      <c r="X25" s="57">
        <v>0</v>
      </c>
      <c r="Y25" s="57"/>
      <c r="Z25" s="17">
        <f>CHOOSE(CONTROL!$C$42, 4.1227, 4.1227) * CHOOSE(CONTROL!$C$21, $C$9, 100%, $E$9)</f>
        <v>4.1227</v>
      </c>
      <c r="AA25" s="56">
        <f>(131500*31*(6/31))/1000000</f>
        <v>0.78900000000000003</v>
      </c>
      <c r="AB25" s="49">
        <f>(B25*122.58+C25*297.941+D25*89.177+E25*200.302+F25*40+G25*0+H25*0+I25*100+J25*300)/(122.58+297.941+89.177+200.302+0+40+0+100+300)</f>
        <v>4.1829825080000003</v>
      </c>
      <c r="AC25" s="46">
        <f>(M25*240+N25*0+O25*355+P25*100)/(240+0+355+100)</f>
        <v>4.1902093525179858</v>
      </c>
    </row>
    <row r="26" spans="1:29" ht="15" x14ac:dyDescent="0.2">
      <c r="A26" s="16">
        <v>41671</v>
      </c>
      <c r="B26" s="17">
        <f>CHOOSE(CONTROL!$C$42, 4.1407, 4.1407) * CHOOSE(CONTROL!$C$21, $C$9, 100%, $E$9)</f>
        <v>4.1406999999999998</v>
      </c>
      <c r="C26" s="17">
        <f>CHOOSE(CONTROL!$C$42, 4.1458, 4.1458) * CHOOSE(CONTROL!$C$21, $C$9, 100%, $E$9)</f>
        <v>4.1458000000000004</v>
      </c>
      <c r="D26" s="17">
        <f>CHOOSE(CONTROL!$C$42, 4.2633, 4.2633) * CHOOSE(CONTROL!$C$21, $C$9, 100%, $E$9)</f>
        <v>4.2633000000000001</v>
      </c>
      <c r="E26" s="17">
        <f>CHOOSE(CONTROL!$C$42, 4.297, 4.297) * CHOOSE(CONTROL!$C$21, $C$9, 100%, $E$9)</f>
        <v>4.2969999999999997</v>
      </c>
      <c r="F26" s="17">
        <f>CHOOSE(CONTROL!$C$42, 4.1544, 4.1544)*CHOOSE(CONTROL!$C$21, $C$9, 100%, $E$9)</f>
        <v>4.1543999999999999</v>
      </c>
      <c r="G26" s="17">
        <f>CHOOSE(CONTROL!$C$42, 4.1707, 4.1707)*CHOOSE(CONTROL!$C$21, $C$9, 100%, $E$9)</f>
        <v>4.1707000000000001</v>
      </c>
      <c r="H26" s="17">
        <f>CHOOSE(CONTROL!$C$42, 4.2859, 4.2859) * CHOOSE(CONTROL!$C$21, $C$9, 100%, $E$9)</f>
        <v>4.2858999999999998</v>
      </c>
      <c r="I26" s="17">
        <f>CHOOSE(CONTROL!$C$42, 4.177, 4.177)* CHOOSE(CONTROL!$C$21, $C$9, 100%, $E$9)</f>
        <v>4.1769999999999996</v>
      </c>
      <c r="J26" s="17">
        <f>CHOOSE(CONTROL!$C$42, 4.147, 4.147)* CHOOSE(CONTROL!$C$21, $C$9, 100%, $E$9)</f>
        <v>4.1470000000000002</v>
      </c>
      <c r="K26" s="59"/>
      <c r="L26" s="17">
        <f>CHOOSE(CONTROL!$C$42, 4.8729, 4.8729) * CHOOSE(CONTROL!$C$21, $C$9, 100%, $E$9)</f>
        <v>4.8728999999999996</v>
      </c>
      <c r="M26" s="17">
        <f>CHOOSE(CONTROL!$C$42, 4.1167, 4.1167) * CHOOSE(CONTROL!$C$21, $C$9, 100%, $E$9)</f>
        <v>4.1166999999999998</v>
      </c>
      <c r="N26" s="17">
        <f>CHOOSE(CONTROL!$C$42, 4.1328, 4.1328) * CHOOSE(CONTROL!$C$21, $C$9, 100%, $E$9)</f>
        <v>4.1327999999999996</v>
      </c>
      <c r="O26" s="17">
        <f>CHOOSE(CONTROL!$C$42, 4.2544, 4.2544) * CHOOSE(CONTROL!$C$21, $C$9, 100%, $E$9)</f>
        <v>4.2544000000000004</v>
      </c>
      <c r="P26" s="17">
        <f>CHOOSE(CONTROL!$C$42, 4.1463, 4.1463) * CHOOSE(CONTROL!$C$21, $C$9, 100%, $E$9)</f>
        <v>4.1463000000000001</v>
      </c>
      <c r="Q26" s="17">
        <f>CHOOSE(CONTROL!$C$42, 4.8491, 4.8491) * CHOOSE(CONTROL!$C$21, $C$9, 100%, $E$9)</f>
        <v>4.8491</v>
      </c>
      <c r="R26" s="17">
        <f>CHOOSE(CONTROL!$C$42, 5.4482, 5.4482) * CHOOSE(CONTROL!$C$21, $C$9, 100%, $E$9)</f>
        <v>5.4481999999999999</v>
      </c>
      <c r="S26" s="17">
        <f>CHOOSE(CONTROL!$C$42, 4.0058, 4.0058) * CHOOSE(CONTROL!$C$21, $C$9, 100%, $E$9)</f>
        <v>4.0057999999999998</v>
      </c>
      <c r="T26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26" s="57">
        <f>(1000*CHOOSE(CONTROL!$C$42, 695, 695)*CHOOSE(CONTROL!$C$42, 0.5599, 0.5599)*CHOOSE(CONTROL!$C$42, 28, 28))/1000000</f>
        <v>10.895653999999999</v>
      </c>
      <c r="V26" s="57">
        <f>(1000*CHOOSE(CONTROL!$C$42, 580, 580)*CHOOSE(CONTROL!$C$42, 0.275, 0.275)*CHOOSE(CONTROL!$C$42, 28, 28))/1000000</f>
        <v>4.4660000000000002</v>
      </c>
      <c r="W26" s="57">
        <f>(1000*CHOOSE(CONTROL!$C$42, 0.0916, 0.0916)*CHOOSE(CONTROL!$C$42, 200, 200)*CHOOSE(CONTROL!$C$42, 28, 28))/1000000</f>
        <v>0.51295999999999997</v>
      </c>
      <c r="X26" s="57">
        <v>0</v>
      </c>
      <c r="Y26" s="57"/>
      <c r="Z26" s="17">
        <f>CHOOSE(CONTROL!$C$42, 4.1237, 4.1237) * CHOOSE(CONTROL!$C$21, $C$9, 100%, $E$9)</f>
        <v>4.1237000000000004</v>
      </c>
      <c r="AA26" s="56">
        <f>(131500*28*(6/28))/1000000</f>
        <v>0.78900000000000003</v>
      </c>
      <c r="AB26" s="49">
        <f>(B26*122.58+C26*297.941+D26*89.177+E26*200.302+F26*40+G26*0+H26*0+I26*100+J26*300)/(122.58+297.941+89.177+200.302+0+40+0+100+300)</f>
        <v>4.1840285233913042</v>
      </c>
      <c r="AC26" s="46">
        <f>(M26*240+N26*0+O26*355+P26*100)/(240+0+355+100)</f>
        <v>4.1912949640287778</v>
      </c>
    </row>
    <row r="27" spans="1:29" ht="15" x14ac:dyDescent="0.2">
      <c r="A27" s="16">
        <v>41699</v>
      </c>
      <c r="B27" s="17">
        <f>CHOOSE(CONTROL!$C$42, 4.0912, 4.0912) * CHOOSE(CONTROL!$C$21, $C$9, 100%, $E$9)</f>
        <v>4.0911999999999997</v>
      </c>
      <c r="C27" s="17">
        <f>CHOOSE(CONTROL!$C$42, 4.0963, 4.0963) * CHOOSE(CONTROL!$C$21, $C$9, 100%, $E$9)</f>
        <v>4.0963000000000003</v>
      </c>
      <c r="D27" s="17">
        <f>CHOOSE(CONTROL!$C$42, 4.2138, 4.2138) * CHOOSE(CONTROL!$C$21, $C$9, 100%, $E$9)</f>
        <v>4.2138</v>
      </c>
      <c r="E27" s="17">
        <f>CHOOSE(CONTROL!$C$42, 4.2475, 4.2475) * CHOOSE(CONTROL!$C$21, $C$9, 100%, $E$9)</f>
        <v>4.2474999999999996</v>
      </c>
      <c r="F27" s="17">
        <f>CHOOSE(CONTROL!$C$42, 4.1042, 4.1042)*CHOOSE(CONTROL!$C$21, $C$9, 100%, $E$9)</f>
        <v>4.1041999999999996</v>
      </c>
      <c r="G27" s="17">
        <f>CHOOSE(CONTROL!$C$42, 4.1204, 4.1204)*CHOOSE(CONTROL!$C$21, $C$9, 100%, $E$9)</f>
        <v>4.1204000000000001</v>
      </c>
      <c r="H27" s="17">
        <f>CHOOSE(CONTROL!$C$42, 4.2364, 4.2364) * CHOOSE(CONTROL!$C$21, $C$9, 100%, $E$9)</f>
        <v>4.2363999999999997</v>
      </c>
      <c r="I27" s="17">
        <f>CHOOSE(CONTROL!$C$42, 4.1273, 4.1273)* CHOOSE(CONTROL!$C$21, $C$9, 100%, $E$9)</f>
        <v>4.1273</v>
      </c>
      <c r="J27" s="17">
        <f>CHOOSE(CONTROL!$C$42, 4.0968, 4.0968)* CHOOSE(CONTROL!$C$21, $C$9, 100%, $E$9)</f>
        <v>4.0968</v>
      </c>
      <c r="K27" s="59"/>
      <c r="L27" s="17">
        <f>CHOOSE(CONTROL!$C$42, 4.8234, 4.8234) * CHOOSE(CONTROL!$C$21, $C$9, 100%, $E$9)</f>
        <v>4.8234000000000004</v>
      </c>
      <c r="M27" s="17">
        <f>CHOOSE(CONTROL!$C$42, 4.067, 4.067) * CHOOSE(CONTROL!$C$21, $C$9, 100%, $E$9)</f>
        <v>4.0670000000000002</v>
      </c>
      <c r="N27" s="17">
        <f>CHOOSE(CONTROL!$C$42, 4.083, 4.083) * CHOOSE(CONTROL!$C$21, $C$9, 100%, $E$9)</f>
        <v>4.0830000000000002</v>
      </c>
      <c r="O27" s="17">
        <f>CHOOSE(CONTROL!$C$42, 4.2053, 4.2053) * CHOOSE(CONTROL!$C$21, $C$9, 100%, $E$9)</f>
        <v>4.2053000000000003</v>
      </c>
      <c r="P27" s="17">
        <f>CHOOSE(CONTROL!$C$42, 4.0971, 4.0971) * CHOOSE(CONTROL!$C$21, $C$9, 100%, $E$9)</f>
        <v>4.0971000000000002</v>
      </c>
      <c r="Q27" s="17">
        <f>CHOOSE(CONTROL!$C$42, 4.8, 4.8) * CHOOSE(CONTROL!$C$21, $C$9, 100%, $E$9)</f>
        <v>4.8</v>
      </c>
      <c r="R27" s="17">
        <f>CHOOSE(CONTROL!$C$42, 5.399, 5.399) * CHOOSE(CONTROL!$C$21, $C$9, 100%, $E$9)</f>
        <v>5.399</v>
      </c>
      <c r="S27" s="17">
        <f>CHOOSE(CONTROL!$C$42, 3.9578, 3.9578) * CHOOSE(CONTROL!$C$21, $C$9, 100%, $E$9)</f>
        <v>3.9578000000000002</v>
      </c>
      <c r="T27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27" s="57">
        <f>(1000*CHOOSE(CONTROL!$C$42, 695, 695)*CHOOSE(CONTROL!$C$42, 0.5599, 0.5599)*CHOOSE(CONTROL!$C$42, 31, 31))/1000000</f>
        <v>12.063045499999998</v>
      </c>
      <c r="V27" s="57">
        <f>(1000*CHOOSE(CONTROL!$C$42, 580, 580)*CHOOSE(CONTROL!$C$42, 0.275, 0.275)*CHOOSE(CONTROL!$C$42, 31, 31))/1000000</f>
        <v>4.9444999999999997</v>
      </c>
      <c r="W27" s="57">
        <f>(1000*CHOOSE(CONTROL!$C$42, 0.0916, 0.0916)*CHOOSE(CONTROL!$C$42, 200, 200)*CHOOSE(CONTROL!$C$42, 31, 31))/1000000</f>
        <v>0.56791999999999998</v>
      </c>
      <c r="X27" s="57">
        <v>0</v>
      </c>
      <c r="Y27" s="57"/>
      <c r="Z27" s="17">
        <f>CHOOSE(CONTROL!$C$42, 4.0746, 4.0746) * CHOOSE(CONTROL!$C$21, $C$9, 100%, $E$9)</f>
        <v>4.0746000000000002</v>
      </c>
      <c r="AA27" s="56">
        <f>(131500*31*(6/31))/1000000</f>
        <v>0.78900000000000003</v>
      </c>
      <c r="AB27" s="49">
        <f>(B27*122.58+C27*297.941+D27*89.177+E27*200.302+F27*40+G27*0+H27*0+I27*100+J27*300)/(122.58+297.941+89.177+200.302+0+40+0+100+300)</f>
        <v>4.1343041755652177</v>
      </c>
      <c r="AC27" s="46">
        <f>(M27*240+N27*0+O27*355+P27*100)/(240+0+355+100)</f>
        <v>4.1419733812949646</v>
      </c>
    </row>
    <row r="28" spans="1:29" ht="15" x14ac:dyDescent="0.2">
      <c r="A28" s="16">
        <v>41730</v>
      </c>
      <c r="B28" s="17">
        <f>CHOOSE(CONTROL!$C$42, 4.0108, 4.0108) * CHOOSE(CONTROL!$C$21, $C$9, 100%, $E$9)</f>
        <v>4.0107999999999997</v>
      </c>
      <c r="C28" s="17">
        <f>CHOOSE(CONTROL!$C$42, 4.0153, 4.0153) * CHOOSE(CONTROL!$C$21, $C$9, 100%, $E$9)</f>
        <v>4.0152999999999999</v>
      </c>
      <c r="D28" s="17">
        <f>CHOOSE(CONTROL!$C$42, 4.268, 4.268) * CHOOSE(CONTROL!$C$21, $C$9, 100%, $E$9)</f>
        <v>4.2679999999999998</v>
      </c>
      <c r="E28" s="17">
        <f>CHOOSE(CONTROL!$C$42, 4.2998, 4.2998) * CHOOSE(CONTROL!$C$21, $C$9, 100%, $E$9)</f>
        <v>4.2998000000000003</v>
      </c>
      <c r="F28" s="17">
        <f>CHOOSE(CONTROL!$C$42, 4.0167, 4.0167)*CHOOSE(CONTROL!$C$21, $C$9, 100%, $E$9)</f>
        <v>4.0167000000000002</v>
      </c>
      <c r="G28" s="17">
        <f>CHOOSE(CONTROL!$C$42, 4.0326, 4.0326)*CHOOSE(CONTROL!$C$21, $C$9, 100%, $E$9)</f>
        <v>4.0326000000000004</v>
      </c>
      <c r="H28" s="17">
        <f>CHOOSE(CONTROL!$C$42, 4.2892, 4.2892) * CHOOSE(CONTROL!$C$21, $C$9, 100%, $E$9)</f>
        <v>4.2892000000000001</v>
      </c>
      <c r="I28" s="17">
        <f>CHOOSE(CONTROL!$C$42, 4.0448, 4.0448)* CHOOSE(CONTROL!$C$21, $C$9, 100%, $E$9)</f>
        <v>4.0448000000000004</v>
      </c>
      <c r="J28" s="17">
        <f>CHOOSE(CONTROL!$C$42, 4.0093, 4.0093)* CHOOSE(CONTROL!$C$21, $C$9, 100%, $E$9)</f>
        <v>4.0092999999999996</v>
      </c>
      <c r="K28" s="59"/>
      <c r="L28" s="17">
        <f>CHOOSE(CONTROL!$C$42, 4.8762, 4.8762) * CHOOSE(CONTROL!$C$21, $C$9, 100%, $E$9)</f>
        <v>4.8761999999999999</v>
      </c>
      <c r="M28" s="17">
        <f>CHOOSE(CONTROL!$C$42, 3.9803, 3.9803) * CHOOSE(CONTROL!$C$21, $C$9, 100%, $E$9)</f>
        <v>3.9803000000000002</v>
      </c>
      <c r="N28" s="17">
        <f>CHOOSE(CONTROL!$C$42, 3.996, 3.996) * CHOOSE(CONTROL!$C$21, $C$9, 100%, $E$9)</f>
        <v>3.996</v>
      </c>
      <c r="O28" s="17">
        <f>CHOOSE(CONTROL!$C$42, 4.2577, 4.2577) * CHOOSE(CONTROL!$C$21, $C$9, 100%, $E$9)</f>
        <v>4.2576999999999998</v>
      </c>
      <c r="P28" s="17">
        <f>CHOOSE(CONTROL!$C$42, 4.0154, 4.0154) * CHOOSE(CONTROL!$C$21, $C$9, 100%, $E$9)</f>
        <v>4.0153999999999996</v>
      </c>
      <c r="Q28" s="17">
        <f>CHOOSE(CONTROL!$C$42, 4.8524, 4.8524) * CHOOSE(CONTROL!$C$21, $C$9, 100%, $E$9)</f>
        <v>4.8524000000000003</v>
      </c>
      <c r="R28" s="17">
        <f>CHOOSE(CONTROL!$C$42, 5.4515, 5.4515) * CHOOSE(CONTROL!$C$21, $C$9, 100%, $E$9)</f>
        <v>5.4515000000000002</v>
      </c>
      <c r="S28" s="17">
        <f>CHOOSE(CONTROL!$C$42, 3.879, 3.879) * CHOOSE(CONTROL!$C$21, $C$9, 100%, $E$9)</f>
        <v>3.879</v>
      </c>
      <c r="T28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28" s="57">
        <f>(1000*CHOOSE(CONTROL!$C$42, 695, 695)*CHOOSE(CONTROL!$C$42, 0.5599, 0.5599)*CHOOSE(CONTROL!$C$42, 30, 30))/1000000</f>
        <v>11.673914999999997</v>
      </c>
      <c r="V28" s="57">
        <f>(1000*CHOOSE(CONTROL!$C$42, 580, 580)*CHOOSE(CONTROL!$C$42, 0.275, 0.275)*CHOOSE(CONTROL!$C$42, 30, 30))/1000000</f>
        <v>4.7850000000000001</v>
      </c>
      <c r="W28" s="57">
        <f>(1000*CHOOSE(CONTROL!$C$42, 0.0916, 0.0916)*CHOOSE(CONTROL!$C$42, 200, 200)*CHOOSE(CONTROL!$C$42, 30, 30))/1000000</f>
        <v>0.54959999999999998</v>
      </c>
      <c r="X28" s="57">
        <f>30*0.1790888*145000/1000000</f>
        <v>0.77903627999999991</v>
      </c>
      <c r="Y28" s="57"/>
      <c r="Z28" s="17">
        <f>CHOOSE(CONTROL!$C$42, 3.9873, 3.9873) * CHOOSE(CONTROL!$C$21, $C$9, 100%, $E$9)</f>
        <v>3.9872999999999998</v>
      </c>
      <c r="AA28" s="56">
        <f>(131500*30*(6/30))/1000000</f>
        <v>0.78900000000000003</v>
      </c>
      <c r="AB28" s="49">
        <f>(B28*141.293+C28*267.993+D28*115.016+E28*249.698+F28*40+G28*25+H28*0+I28*100+J28*300)/(141.293+267.993+115.016+249.698+0+40+25+100+300)</f>
        <v>4.0969031523002419</v>
      </c>
      <c r="AC28" s="46">
        <f t="shared" ref="AC28:AC34" si="1">(M28*240+N28*120+O28*235+P28*100)/(240+120+235+100)</f>
        <v>4.0818582733812949</v>
      </c>
    </row>
    <row r="29" spans="1:29" ht="15" x14ac:dyDescent="0.2">
      <c r="A29" s="16">
        <v>41760</v>
      </c>
      <c r="B29" s="17">
        <f>CHOOSE(CONTROL!$C$42, 4.0307, 4.0307) * CHOOSE(CONTROL!$C$21, $C$9, 100%, $E$9)</f>
        <v>4.0307000000000004</v>
      </c>
      <c r="C29" s="17">
        <f>CHOOSE(CONTROL!$C$42, 4.0387, 4.0387) * CHOOSE(CONTROL!$C$21, $C$9, 100%, $E$9)</f>
        <v>4.0387000000000004</v>
      </c>
      <c r="D29" s="17">
        <f>CHOOSE(CONTROL!$C$42, 4.2883, 4.2883) * CHOOSE(CONTROL!$C$21, $C$9, 100%, $E$9)</f>
        <v>4.2882999999999996</v>
      </c>
      <c r="E29" s="17">
        <f>CHOOSE(CONTROL!$C$42, 4.3195, 4.3195) * CHOOSE(CONTROL!$C$21, $C$9, 100%, $E$9)</f>
        <v>4.3194999999999997</v>
      </c>
      <c r="F29" s="17">
        <f>CHOOSE(CONTROL!$C$42, 4.0355, 4.0355)*CHOOSE(CONTROL!$C$21, $C$9, 100%, $E$9)</f>
        <v>4.0354999999999999</v>
      </c>
      <c r="G29" s="17">
        <f>CHOOSE(CONTROL!$C$42, 4.0517, 4.0517)*CHOOSE(CONTROL!$C$21, $C$9, 100%, $E$9)</f>
        <v>4.0517000000000003</v>
      </c>
      <c r="H29" s="17">
        <f>CHOOSE(CONTROL!$C$42, 4.3078, 4.3078) * CHOOSE(CONTROL!$C$21, $C$9, 100%, $E$9)</f>
        <v>4.3078000000000003</v>
      </c>
      <c r="I29" s="17">
        <f>CHOOSE(CONTROL!$C$42, 4.0634, 4.0634)* CHOOSE(CONTROL!$C$21, $C$9, 100%, $E$9)</f>
        <v>4.0633999999999997</v>
      </c>
      <c r="J29" s="17">
        <f>CHOOSE(CONTROL!$C$42, 4.0281, 4.0281)* CHOOSE(CONTROL!$C$21, $C$9, 100%, $E$9)</f>
        <v>4.0281000000000002</v>
      </c>
      <c r="K29" s="59"/>
      <c r="L29" s="17">
        <f>CHOOSE(CONTROL!$C$42, 4.8948, 4.8948) * CHOOSE(CONTROL!$C$21, $C$9, 100%, $E$9)</f>
        <v>4.8948</v>
      </c>
      <c r="M29" s="17">
        <f>CHOOSE(CONTROL!$C$42, 3.9989, 3.9989) * CHOOSE(CONTROL!$C$21, $C$9, 100%, $E$9)</f>
        <v>3.9988999999999999</v>
      </c>
      <c r="N29" s="17">
        <f>CHOOSE(CONTROL!$C$42, 4.0149, 4.0149) * CHOOSE(CONTROL!$C$21, $C$9, 100%, $E$9)</f>
        <v>4.0148999999999999</v>
      </c>
      <c r="O29" s="17">
        <f>CHOOSE(CONTROL!$C$42, 4.2761, 4.2761) * CHOOSE(CONTROL!$C$21, $C$9, 100%, $E$9)</f>
        <v>4.2760999999999996</v>
      </c>
      <c r="P29" s="17">
        <f>CHOOSE(CONTROL!$C$42, 4.0338, 4.0338) * CHOOSE(CONTROL!$C$21, $C$9, 100%, $E$9)</f>
        <v>4.0338000000000003</v>
      </c>
      <c r="Q29" s="17">
        <f>CHOOSE(CONTROL!$C$42, 4.8708, 4.8708) * CHOOSE(CONTROL!$C$21, $C$9, 100%, $E$9)</f>
        <v>4.8708</v>
      </c>
      <c r="R29" s="17">
        <f>CHOOSE(CONTROL!$C$42, 5.4699, 5.4699) * CHOOSE(CONTROL!$C$21, $C$9, 100%, $E$9)</f>
        <v>5.4699</v>
      </c>
      <c r="S29" s="17">
        <f>CHOOSE(CONTROL!$C$42, 3.897, 3.897) * CHOOSE(CONTROL!$C$21, $C$9, 100%, $E$9)</f>
        <v>3.8969999999999998</v>
      </c>
      <c r="T29" s="58">
        <f>((((430000*CHOOSE(CONTROL!$C$42, 0.4694, 0.4694)+(874000-430000)*CHOOSE(CONTROL!$C$42, 0.7185, 0.7185)+400000*CHOOSE(CONTROL!$C$42, 1.14, 1.14)+50000*0.98)*CHOOSE(CONTROL!$C$42, 31, 31))/1000000))+CHOOSE(CONTROL!$C$42, 0.188, 0.188)+CHOOSE(CONTROL!$C$42, 0.5154, 0.5154)</f>
        <v>32.504936000000001</v>
      </c>
      <c r="U29" s="57">
        <f>(1000*CHOOSE(CONTROL!$C$42, 695, 695)*CHOOSE(CONTROL!$C$42, 0.5599, 0.5599)*CHOOSE(CONTROL!$C$42, 31, 31))/1000000</f>
        <v>12.063045499999998</v>
      </c>
      <c r="V29" s="57">
        <f>(1000*CHOOSE(CONTROL!$C$42, 580, 580)*CHOOSE(CONTROL!$C$42, 0.275, 0.275)*CHOOSE(CONTROL!$C$42, 31, 31))/1000000</f>
        <v>4.9444999999999997</v>
      </c>
      <c r="W29" s="57">
        <f>(1000*CHOOSE(CONTROL!$C$42, 0.0916, 0.0916)*CHOOSE(CONTROL!$C$42, 200, 200)*CHOOSE(CONTROL!$C$42, 31, 31))/1000000</f>
        <v>0.56791999999999998</v>
      </c>
      <c r="X29" s="57">
        <f>31*0.1790888*145000/1000000</f>
        <v>0.80500415599999997</v>
      </c>
      <c r="Y29" s="57"/>
      <c r="Z29" s="17">
        <f>CHOOSE(CONTROL!$C$42, 4.0057, 4.0057) * CHOOSE(CONTROL!$C$21, $C$9, 100%, $E$9)</f>
        <v>4.0057</v>
      </c>
      <c r="AA29" s="56">
        <f>(131500*31*(6/31))/1000000</f>
        <v>0.78900000000000003</v>
      </c>
      <c r="AB29" s="49">
        <f>(B29*194.205+C29*267.466+D29*133.845+E29*213.484+F29*40+G29*25+H29*50+I29*100+J29*300)/(194.205+267.466+133.845+213.484+50+40+25+100+300)</f>
        <v>4.1178105583081575</v>
      </c>
      <c r="AC29" s="46">
        <f t="shared" si="1"/>
        <v>4.1004136690647481</v>
      </c>
    </row>
    <row r="30" spans="1:29" ht="15" x14ac:dyDescent="0.2">
      <c r="A30" s="16">
        <v>41791</v>
      </c>
      <c r="B30" s="17">
        <f>CHOOSE(CONTROL!$C$42, 4.0575, 4.0575) * CHOOSE(CONTROL!$C$21, $C$9, 100%, $E$9)</f>
        <v>4.0575000000000001</v>
      </c>
      <c r="C30" s="17">
        <f>CHOOSE(CONTROL!$C$42, 4.0655, 4.0655) * CHOOSE(CONTROL!$C$21, $C$9, 100%, $E$9)</f>
        <v>4.0655000000000001</v>
      </c>
      <c r="D30" s="17">
        <f>CHOOSE(CONTROL!$C$42, 4.3151, 4.3151) * CHOOSE(CONTROL!$C$21, $C$9, 100%, $E$9)</f>
        <v>4.3151000000000002</v>
      </c>
      <c r="E30" s="17">
        <f>CHOOSE(CONTROL!$C$42, 4.3463, 4.3463) * CHOOSE(CONTROL!$C$21, $C$9, 100%, $E$9)</f>
        <v>4.3463000000000003</v>
      </c>
      <c r="F30" s="17">
        <f>CHOOSE(CONTROL!$C$42, 4.0627, 4.0627)*CHOOSE(CONTROL!$C$21, $C$9, 100%, $E$9)</f>
        <v>4.0627000000000004</v>
      </c>
      <c r="G30" s="17">
        <f>CHOOSE(CONTROL!$C$42, 4.0789, 4.0789)*CHOOSE(CONTROL!$C$21, $C$9, 100%, $E$9)</f>
        <v>4.0789</v>
      </c>
      <c r="H30" s="17">
        <f>CHOOSE(CONTROL!$C$42, 4.3346, 4.3346) * CHOOSE(CONTROL!$C$21, $C$9, 100%, $E$9)</f>
        <v>4.3346</v>
      </c>
      <c r="I30" s="17">
        <f>CHOOSE(CONTROL!$C$42, 4.0903, 4.0903)* CHOOSE(CONTROL!$C$21, $C$9, 100%, $E$9)</f>
        <v>4.0903</v>
      </c>
      <c r="J30" s="17">
        <f>CHOOSE(CONTROL!$C$42, 4.0553, 4.0553)* CHOOSE(CONTROL!$C$21, $C$9, 100%, $E$9)</f>
        <v>4.0552999999999999</v>
      </c>
      <c r="K30" s="59"/>
      <c r="L30" s="17">
        <f>CHOOSE(CONTROL!$C$42, 4.9216, 4.9216) * CHOOSE(CONTROL!$C$21, $C$9, 100%, $E$9)</f>
        <v>4.9215999999999998</v>
      </c>
      <c r="M30" s="17">
        <f>CHOOSE(CONTROL!$C$42, 4.0258, 4.0258) * CHOOSE(CONTROL!$C$21, $C$9, 100%, $E$9)</f>
        <v>4.0258000000000003</v>
      </c>
      <c r="N30" s="17">
        <f>CHOOSE(CONTROL!$C$42, 4.0419, 4.0419) * CHOOSE(CONTROL!$C$21, $C$9, 100%, $E$9)</f>
        <v>4.0419</v>
      </c>
      <c r="O30" s="17">
        <f>CHOOSE(CONTROL!$C$42, 4.3026, 4.3026) * CHOOSE(CONTROL!$C$21, $C$9, 100%, $E$9)</f>
        <v>4.3026</v>
      </c>
      <c r="P30" s="17">
        <f>CHOOSE(CONTROL!$C$42, 4.0605, 4.0605) * CHOOSE(CONTROL!$C$21, $C$9, 100%, $E$9)</f>
        <v>4.0605000000000002</v>
      </c>
      <c r="Q30" s="17">
        <f>CHOOSE(CONTROL!$C$42, 4.8973, 4.8973) * CHOOSE(CONTROL!$C$21, $C$9, 100%, $E$9)</f>
        <v>4.8973000000000004</v>
      </c>
      <c r="R30" s="17">
        <f>CHOOSE(CONTROL!$C$42, 5.4966, 5.4966) * CHOOSE(CONTROL!$C$21, $C$9, 100%, $E$9)</f>
        <v>5.4965999999999999</v>
      </c>
      <c r="S30" s="17">
        <f>CHOOSE(CONTROL!$C$42, 3.923, 3.923) * CHOOSE(CONTROL!$C$21, $C$9, 100%, $E$9)</f>
        <v>3.923</v>
      </c>
      <c r="T30" s="58">
        <f>((((430000*CHOOSE(CONTROL!$C$42, 0.4694, 0.4694)+(874000-430000)*CHOOSE(CONTROL!$C$42, 0.7185, 0.7185)+400000*CHOOSE(CONTROL!$C$42, 1.14, 1.14)+50000*0.98)*CHOOSE(CONTROL!$C$42, 30, 30))/1000000))+CHOOSE(CONTROL!$C$42, 0.1616, 0.1616)+CHOOSE(CONTROL!$C$42, 0.5074, 0.5074)</f>
        <v>31.444680000000002</v>
      </c>
      <c r="U30" s="57">
        <f>(1000*CHOOSE(CONTROL!$C$42, 695, 695)*CHOOSE(CONTROL!$C$42, 0.5599, 0.5599)*CHOOSE(CONTROL!$C$42, 30, 30))/1000000</f>
        <v>11.673914999999997</v>
      </c>
      <c r="V30" s="57">
        <f>(1000*CHOOSE(CONTROL!$C$42, 580, 580)*CHOOSE(CONTROL!$C$42, 0.275, 0.275)*CHOOSE(CONTROL!$C$42, 30, 30))/1000000</f>
        <v>4.7850000000000001</v>
      </c>
      <c r="W30" s="57">
        <f>(1000*CHOOSE(CONTROL!$C$42, 0.0916, 0.0916)*CHOOSE(CONTROL!$C$42, 200, 200)*CHOOSE(CONTROL!$C$42, 30, 30))/1000000</f>
        <v>0.54959999999999998</v>
      </c>
      <c r="X30" s="57">
        <f>30*0.1790888*145000/1000000</f>
        <v>0.77903627999999991</v>
      </c>
      <c r="Y30" s="57"/>
      <c r="Z30" s="17">
        <f>CHOOSE(CONTROL!$C$42, 4.0323, 4.0323) * CHOOSE(CONTROL!$C$21, $C$9, 100%, $E$9)</f>
        <v>4.0323000000000002</v>
      </c>
      <c r="AA30" s="56">
        <f>(131500*30*(6/30))/1000000</f>
        <v>0.78900000000000003</v>
      </c>
      <c r="AB30" s="49">
        <f>(B30*194.205+C30*267.466+D30*133.845+E30*213.484+F30*40+G30*25+H30*50+I30*100+J30*300)/(194.205+267.466+133.845+213.484+50+40+25+100+300)</f>
        <v>4.1447283830815715</v>
      </c>
      <c r="AC30" s="46">
        <f t="shared" si="1"/>
        <v>4.1271669064748204</v>
      </c>
    </row>
    <row r="31" spans="1:29" ht="15" x14ac:dyDescent="0.2">
      <c r="A31" s="16">
        <v>41821</v>
      </c>
      <c r="B31" s="17">
        <f>CHOOSE(CONTROL!$C$42, 4.0967, 4.0967) * CHOOSE(CONTROL!$C$21, $C$9, 100%, $E$9)</f>
        <v>4.0967000000000002</v>
      </c>
      <c r="C31" s="17">
        <f>CHOOSE(CONTROL!$C$42, 4.1047, 4.1047) * CHOOSE(CONTROL!$C$21, $C$9, 100%, $E$9)</f>
        <v>4.1047000000000002</v>
      </c>
      <c r="D31" s="17">
        <f>CHOOSE(CONTROL!$C$42, 4.3543, 4.3543) * CHOOSE(CONTROL!$C$21, $C$9, 100%, $E$9)</f>
        <v>4.3543000000000003</v>
      </c>
      <c r="E31" s="17">
        <f>CHOOSE(CONTROL!$C$42, 4.3855, 4.3855) * CHOOSE(CONTROL!$C$21, $C$9, 100%, $E$9)</f>
        <v>4.3855000000000004</v>
      </c>
      <c r="F31" s="17">
        <f>CHOOSE(CONTROL!$C$42, 4.1024, 4.1024)*CHOOSE(CONTROL!$C$21, $C$9, 100%, $E$9)</f>
        <v>4.1024000000000003</v>
      </c>
      <c r="G31" s="17">
        <f>CHOOSE(CONTROL!$C$42, 4.1187, 4.1187)*CHOOSE(CONTROL!$C$21, $C$9, 100%, $E$9)</f>
        <v>4.1186999999999996</v>
      </c>
      <c r="H31" s="17">
        <f>CHOOSE(CONTROL!$C$42, 4.3738, 4.3738) * CHOOSE(CONTROL!$C$21, $C$9, 100%, $E$9)</f>
        <v>4.3738000000000001</v>
      </c>
      <c r="I31" s="17">
        <f>CHOOSE(CONTROL!$C$42, 4.1296, 4.1296)* CHOOSE(CONTROL!$C$21, $C$9, 100%, $E$9)</f>
        <v>4.1295999999999999</v>
      </c>
      <c r="J31" s="17">
        <f>CHOOSE(CONTROL!$C$42, 4.095, 4.095)* CHOOSE(CONTROL!$C$21, $C$9, 100%, $E$9)</f>
        <v>4.0949999999999998</v>
      </c>
      <c r="K31" s="59"/>
      <c r="L31" s="17">
        <f>CHOOSE(CONTROL!$C$42, 4.9608, 4.9608) * CHOOSE(CONTROL!$C$21, $C$9, 100%, $E$9)</f>
        <v>4.9607999999999999</v>
      </c>
      <c r="M31" s="17">
        <f>CHOOSE(CONTROL!$C$42, 4.0651, 4.0651) * CHOOSE(CONTROL!$C$21, $C$9, 100%, $E$9)</f>
        <v>4.0651000000000002</v>
      </c>
      <c r="N31" s="17">
        <f>CHOOSE(CONTROL!$C$42, 4.0814, 4.0814) * CHOOSE(CONTROL!$C$21, $C$9, 100%, $E$9)</f>
        <v>4.0814000000000004</v>
      </c>
      <c r="O31" s="17">
        <f>CHOOSE(CONTROL!$C$42, 4.3415, 4.3415) * CHOOSE(CONTROL!$C$21, $C$9, 100%, $E$9)</f>
        <v>4.3414999999999999</v>
      </c>
      <c r="P31" s="17">
        <f>CHOOSE(CONTROL!$C$42, 4.0994, 4.0994) * CHOOSE(CONTROL!$C$21, $C$9, 100%, $E$9)</f>
        <v>4.0994000000000002</v>
      </c>
      <c r="Q31" s="17">
        <f>CHOOSE(CONTROL!$C$42, 4.9362, 4.9362) * CHOOSE(CONTROL!$C$21, $C$9, 100%, $E$9)</f>
        <v>4.9362000000000004</v>
      </c>
      <c r="R31" s="17">
        <f>CHOOSE(CONTROL!$C$42, 5.5355, 5.5355) * CHOOSE(CONTROL!$C$21, $C$9, 100%, $E$9)</f>
        <v>5.5354999999999999</v>
      </c>
      <c r="S31" s="17">
        <f>CHOOSE(CONTROL!$C$42, 3.961, 3.961) * CHOOSE(CONTROL!$C$21, $C$9, 100%, $E$9)</f>
        <v>3.9609999999999999</v>
      </c>
      <c r="T31" s="58">
        <f>((((430000*CHOOSE(CONTROL!$C$42, 0.4694, 0.4694)+(874000-430000)*CHOOSE(CONTROL!$C$42, 0.7185, 0.7185)+400000*CHOOSE(CONTROL!$C$42, 1.14, 1.14)+50000*0.98)*CHOOSE(CONTROL!$C$42, 31, 31))/1000000))+CHOOSE(CONTROL!$C$42, 0.1555, 0.1555)+CHOOSE(CONTROL!$C$42, 0.5217, 0.5217)</f>
        <v>32.478735999999998</v>
      </c>
      <c r="U31" s="57">
        <f>(1000*CHOOSE(CONTROL!$C$42, 695, 695)*CHOOSE(CONTROL!$C$42, 0.5599, 0.5599)*CHOOSE(CONTROL!$C$42, 31, 31))/1000000</f>
        <v>12.063045499999998</v>
      </c>
      <c r="V31" s="57">
        <f>(1000*CHOOSE(CONTROL!$C$42, 580, 580)*CHOOSE(CONTROL!$C$42, 0.275, 0.275)*CHOOSE(CONTROL!$C$42, 31, 31))/1000000</f>
        <v>4.9444999999999997</v>
      </c>
      <c r="W31" s="57">
        <f>(1000*CHOOSE(CONTROL!$C$42, 0.0916, 0.0916)*CHOOSE(CONTROL!$C$42, 200, 200)*CHOOSE(CONTROL!$C$42, 31, 31))/1000000</f>
        <v>0.56791999999999998</v>
      </c>
      <c r="X31" s="57">
        <f>31*0.1790888*145000/1000000</f>
        <v>0.80500415599999997</v>
      </c>
      <c r="Y31" s="57"/>
      <c r="Z31" s="17">
        <f>CHOOSE(CONTROL!$C$42, 4.0712, 4.0712) * CHOOSE(CONTROL!$C$21, $C$9, 100%, $E$9)</f>
        <v>4.0712000000000002</v>
      </c>
      <c r="AA31" s="56">
        <f>(131500*31*(6/31))/1000000</f>
        <v>0.78900000000000003</v>
      </c>
      <c r="AB31" s="49">
        <f>(B31*194.205+C31*267.466+D31*133.845+E31*213.484+F31*40+G31*25+H31*50+I31*100+J31*300)/(194.205+267.466+133.845+213.484+50+40+25+100+300)</f>
        <v>4.184075664048339</v>
      </c>
      <c r="AC31" s="46">
        <f t="shared" si="1"/>
        <v>4.1663086330935251</v>
      </c>
    </row>
    <row r="32" spans="1:29" ht="15" x14ac:dyDescent="0.2">
      <c r="A32" s="16">
        <v>41852</v>
      </c>
      <c r="B32" s="17">
        <f>CHOOSE(CONTROL!$C$42, 4.1173, 4.1173) * CHOOSE(CONTROL!$C$21, $C$9, 100%, $E$9)</f>
        <v>4.1173000000000002</v>
      </c>
      <c r="C32" s="17">
        <f>CHOOSE(CONTROL!$C$42, 4.1253, 4.1253) * CHOOSE(CONTROL!$C$21, $C$9, 100%, $E$9)</f>
        <v>4.1253000000000002</v>
      </c>
      <c r="D32" s="17">
        <f>CHOOSE(CONTROL!$C$42, 4.3749, 4.3749) * CHOOSE(CONTROL!$C$21, $C$9, 100%, $E$9)</f>
        <v>4.3749000000000002</v>
      </c>
      <c r="E32" s="17">
        <f>CHOOSE(CONTROL!$C$42, 4.4061, 4.4061) * CHOOSE(CONTROL!$C$21, $C$9, 100%, $E$9)</f>
        <v>4.4061000000000003</v>
      </c>
      <c r="F32" s="17">
        <f>CHOOSE(CONTROL!$C$42, 4.1233, 4.1233)*CHOOSE(CONTROL!$C$21, $C$9, 100%, $E$9)</f>
        <v>4.1233000000000004</v>
      </c>
      <c r="G32" s="17">
        <f>CHOOSE(CONTROL!$C$42, 4.1397, 4.1397)*CHOOSE(CONTROL!$C$21, $C$9, 100%, $E$9)</f>
        <v>4.1397000000000004</v>
      </c>
      <c r="H32" s="17">
        <f>CHOOSE(CONTROL!$C$42, 4.3944, 4.3944) * CHOOSE(CONTROL!$C$21, $C$9, 100%, $E$9)</f>
        <v>4.3944000000000001</v>
      </c>
      <c r="I32" s="17">
        <f>CHOOSE(CONTROL!$C$42, 4.1503, 4.1503)* CHOOSE(CONTROL!$C$21, $C$9, 100%, $E$9)</f>
        <v>4.1502999999999997</v>
      </c>
      <c r="J32" s="17">
        <f>CHOOSE(CONTROL!$C$42, 4.1159, 4.1159)* CHOOSE(CONTROL!$C$21, $C$9, 100%, $E$9)</f>
        <v>4.1158999999999999</v>
      </c>
      <c r="K32" s="59"/>
      <c r="L32" s="17">
        <f>CHOOSE(CONTROL!$C$42, 4.9814, 4.9814) * CHOOSE(CONTROL!$C$21, $C$9, 100%, $E$9)</f>
        <v>4.9813999999999998</v>
      </c>
      <c r="M32" s="17">
        <f>CHOOSE(CONTROL!$C$42, 4.0858, 4.0858) * CHOOSE(CONTROL!$C$21, $C$9, 100%, $E$9)</f>
        <v>4.0857999999999999</v>
      </c>
      <c r="N32" s="17">
        <f>CHOOSE(CONTROL!$C$42, 4.1021, 4.1021) * CHOOSE(CONTROL!$C$21, $C$9, 100%, $E$9)</f>
        <v>4.1021000000000001</v>
      </c>
      <c r="O32" s="17">
        <f>CHOOSE(CONTROL!$C$42, 4.3619, 4.3619) * CHOOSE(CONTROL!$C$21, $C$9, 100%, $E$9)</f>
        <v>4.3619000000000003</v>
      </c>
      <c r="P32" s="17">
        <f>CHOOSE(CONTROL!$C$42, 4.1199, 4.1199) * CHOOSE(CONTROL!$C$21, $C$9, 100%, $E$9)</f>
        <v>4.1199000000000003</v>
      </c>
      <c r="Q32" s="17">
        <f>CHOOSE(CONTROL!$C$42, 4.9566, 4.9566) * CHOOSE(CONTROL!$C$21, $C$9, 100%, $E$9)</f>
        <v>4.9565999999999999</v>
      </c>
      <c r="R32" s="17">
        <f>CHOOSE(CONTROL!$C$42, 5.556, 5.556) * CHOOSE(CONTROL!$C$21, $C$9, 100%, $E$9)</f>
        <v>5.556</v>
      </c>
      <c r="S32" s="17">
        <f>CHOOSE(CONTROL!$C$42, 3.981, 3.981) * CHOOSE(CONTROL!$C$21, $C$9, 100%, $E$9)</f>
        <v>3.9809999999999999</v>
      </c>
      <c r="T32" s="58">
        <f>((((430000*CHOOSE(CONTROL!$C$42, 0.4694, 0.4694)+(874000-430000)*CHOOSE(CONTROL!$C$42, 0.7185, 0.7185)+400000*CHOOSE(CONTROL!$C$42, 1.14, 1.14)+50000*0.98)*CHOOSE(CONTROL!$C$42, 31, 31))/1000000))+CHOOSE(CONTROL!$C$42, 0.1911, 0.1911)+CHOOSE(CONTROL!$C$42, 0.5131, 0.5131)</f>
        <v>32.505735999999999</v>
      </c>
      <c r="U32" s="57">
        <f>(1000*CHOOSE(CONTROL!$C$42, 695, 695)*CHOOSE(CONTROL!$C$42, 0.5599, 0.5599)*CHOOSE(CONTROL!$C$42, 31, 31))/1000000</f>
        <v>12.063045499999998</v>
      </c>
      <c r="V32" s="57">
        <f>(1000*CHOOSE(CONTROL!$C$42, 580, 580)*CHOOSE(CONTROL!$C$42, 0.275, 0.275)*CHOOSE(CONTROL!$C$42, 31, 31))/1000000</f>
        <v>4.9444999999999997</v>
      </c>
      <c r="W32" s="57">
        <f>(1000*CHOOSE(CONTROL!$C$42, 0.0916, 0.0916)*CHOOSE(CONTROL!$C$42, 200, 200)*CHOOSE(CONTROL!$C$42, 31, 31))/1000000</f>
        <v>0.56791999999999998</v>
      </c>
      <c r="X32" s="57">
        <f>31*0.1790888*145000/1000000</f>
        <v>0.80500415599999997</v>
      </c>
      <c r="Y32" s="57"/>
      <c r="Z32" s="17">
        <f>CHOOSE(CONTROL!$C$42, 4.0917, 4.0917) * CHOOSE(CONTROL!$C$21, $C$9, 100%, $E$9)</f>
        <v>4.0917000000000003</v>
      </c>
      <c r="AA32" s="56">
        <f>(131500*31*(6/31))/1000000</f>
        <v>0.78900000000000003</v>
      </c>
      <c r="AB32" s="49">
        <f>(B32*194.205+C32*267.466+D32*133.845+E32*213.484+F32*40+G32*25+H32*50+I32*100+J32*300)/(194.205+267.466+133.845+213.484+50+40+25+100+300)</f>
        <v>4.2047678090634442</v>
      </c>
      <c r="AC32" s="46">
        <f t="shared" si="1"/>
        <v>4.186878417266187</v>
      </c>
    </row>
    <row r="33" spans="1:29" ht="15" x14ac:dyDescent="0.2">
      <c r="A33" s="16">
        <v>41883</v>
      </c>
      <c r="B33" s="17">
        <f>CHOOSE(CONTROL!$C$42, 4.1202, 4.1202) * CHOOSE(CONTROL!$C$21, $C$9, 100%, $E$9)</f>
        <v>4.1201999999999996</v>
      </c>
      <c r="C33" s="17">
        <f>CHOOSE(CONTROL!$C$42, 4.1282, 4.1282) * CHOOSE(CONTROL!$C$21, $C$9, 100%, $E$9)</f>
        <v>4.1281999999999996</v>
      </c>
      <c r="D33" s="17">
        <f>CHOOSE(CONTROL!$C$42, 4.3778, 4.3778) * CHOOSE(CONTROL!$C$21, $C$9, 100%, $E$9)</f>
        <v>4.3777999999999997</v>
      </c>
      <c r="E33" s="17">
        <f>CHOOSE(CONTROL!$C$42, 4.409, 4.409) * CHOOSE(CONTROL!$C$21, $C$9, 100%, $E$9)</f>
        <v>4.4089999999999998</v>
      </c>
      <c r="F33" s="17">
        <f>CHOOSE(CONTROL!$C$42, 4.1262, 4.1262)*CHOOSE(CONTROL!$C$21, $C$9, 100%, $E$9)</f>
        <v>4.1261999999999999</v>
      </c>
      <c r="G33" s="17">
        <f>CHOOSE(CONTROL!$C$42, 4.1426, 4.1426)*CHOOSE(CONTROL!$C$21, $C$9, 100%, $E$9)</f>
        <v>4.1425999999999998</v>
      </c>
      <c r="H33" s="17">
        <f>CHOOSE(CONTROL!$C$42, 4.3973, 4.3973) * CHOOSE(CONTROL!$C$21, $C$9, 100%, $E$9)</f>
        <v>4.3973000000000004</v>
      </c>
      <c r="I33" s="17">
        <f>CHOOSE(CONTROL!$C$42, 4.1532, 4.1532)* CHOOSE(CONTROL!$C$21, $C$9, 100%, $E$9)</f>
        <v>4.1532</v>
      </c>
      <c r="J33" s="17">
        <f>CHOOSE(CONTROL!$C$42, 4.1188, 4.1188)* CHOOSE(CONTROL!$C$21, $C$9, 100%, $E$9)</f>
        <v>4.1188000000000002</v>
      </c>
      <c r="K33" s="59"/>
      <c r="L33" s="17">
        <f>CHOOSE(CONTROL!$C$42, 4.9843, 4.9843) * CHOOSE(CONTROL!$C$21, $C$9, 100%, $E$9)</f>
        <v>4.9843000000000002</v>
      </c>
      <c r="M33" s="17">
        <f>CHOOSE(CONTROL!$C$42, 4.0887, 4.0887) * CHOOSE(CONTROL!$C$21, $C$9, 100%, $E$9)</f>
        <v>4.0887000000000002</v>
      </c>
      <c r="N33" s="17">
        <f>CHOOSE(CONTROL!$C$42, 4.105, 4.105) * CHOOSE(CONTROL!$C$21, $C$9, 100%, $E$9)</f>
        <v>4.1050000000000004</v>
      </c>
      <c r="O33" s="17">
        <f>CHOOSE(CONTROL!$C$42, 4.3647, 4.3647) * CHOOSE(CONTROL!$C$21, $C$9, 100%, $E$9)</f>
        <v>4.3647</v>
      </c>
      <c r="P33" s="17">
        <f>CHOOSE(CONTROL!$C$42, 4.1228, 4.1228) * CHOOSE(CONTROL!$C$21, $C$9, 100%, $E$9)</f>
        <v>4.1227999999999998</v>
      </c>
      <c r="Q33" s="17">
        <f>CHOOSE(CONTROL!$C$42, 4.9594, 4.9594) * CHOOSE(CONTROL!$C$21, $C$9, 100%, $E$9)</f>
        <v>4.9593999999999996</v>
      </c>
      <c r="R33" s="17">
        <f>CHOOSE(CONTROL!$C$42, 5.5588, 5.5588) * CHOOSE(CONTROL!$C$21, $C$9, 100%, $E$9)</f>
        <v>5.5587999999999997</v>
      </c>
      <c r="S33" s="17">
        <f>CHOOSE(CONTROL!$C$42, 3.9838, 3.9838) * CHOOSE(CONTROL!$C$21, $C$9, 100%, $E$9)</f>
        <v>3.9838</v>
      </c>
      <c r="T33" s="58">
        <f>((((430000*CHOOSE(CONTROL!$C$42, 0.4694, 0.4694)+(874000-430000)*CHOOSE(CONTROL!$C$42, 0.7185, 0.7185)+400000*CHOOSE(CONTROL!$C$42, 1.14, 1.14)+50000*0.98)*CHOOSE(CONTROL!$C$42, 30, 30))/1000000))+CHOOSE(CONTROL!$C$42, 0.1717, 0.1717)+CHOOSE(CONTROL!$C$42, 0.4923, 0.4923)</f>
        <v>31.439680000000003</v>
      </c>
      <c r="U33" s="57">
        <f>(1000*CHOOSE(CONTROL!$C$42, 695, 695)*CHOOSE(CONTROL!$C$42, 0.5599, 0.5599)*CHOOSE(CONTROL!$C$42, 30, 30))/1000000</f>
        <v>11.673914999999997</v>
      </c>
      <c r="V33" s="57">
        <f>(1000*CHOOSE(CONTROL!$C$42, 580, 580)*CHOOSE(CONTROL!$C$42, 0.275, 0.275)*CHOOSE(CONTROL!$C$42, 30, 30))/1000000</f>
        <v>4.7850000000000001</v>
      </c>
      <c r="W33" s="57">
        <f>(1000*CHOOSE(CONTROL!$C$42, 0.0916, 0.0916)*CHOOSE(CONTROL!$C$42, 200, 200)*CHOOSE(CONTROL!$C$42, 30, 30))/1000000</f>
        <v>0.54959999999999998</v>
      </c>
      <c r="X33" s="57">
        <f>30*0.1790888*145000/1000000</f>
        <v>0.77903627999999991</v>
      </c>
      <c r="Y33" s="57"/>
      <c r="Z33" s="17">
        <f>CHOOSE(CONTROL!$C$42, 4.0945, 4.0945) * CHOOSE(CONTROL!$C$21, $C$9, 100%, $E$9)</f>
        <v>4.0945</v>
      </c>
      <c r="AA33" s="56">
        <f>(131500*30*(6/30))/1000000</f>
        <v>0.78900000000000003</v>
      </c>
      <c r="AB33" s="49">
        <f>(B33*194.205+C33*267.466+D33*133.845+E33*213.484+F33*40+G33*25+H33*50+I33*100+J33*300)/(194.205+267.466+133.845+213.484+50+40+25+100+300)</f>
        <v>4.2076678090634445</v>
      </c>
      <c r="AC33" s="46">
        <f t="shared" si="1"/>
        <v>4.1897446043165463</v>
      </c>
    </row>
    <row r="34" spans="1:29" ht="15" x14ac:dyDescent="0.2">
      <c r="A34" s="16">
        <v>41913</v>
      </c>
      <c r="B34" s="17">
        <f>CHOOSE(CONTROL!$C$42, 4.1556, 4.1556) * CHOOSE(CONTROL!$C$21, $C$9, 100%, $E$9)</f>
        <v>4.1555999999999997</v>
      </c>
      <c r="C34" s="17">
        <f>CHOOSE(CONTROL!$C$42, 4.1609, 4.1609) * CHOOSE(CONTROL!$C$21, $C$9, 100%, $E$9)</f>
        <v>4.1608999999999998</v>
      </c>
      <c r="D34" s="17">
        <f>CHOOSE(CONTROL!$C$42, 4.4154, 4.4154) * CHOOSE(CONTROL!$C$21, $C$9, 100%, $E$9)</f>
        <v>4.4154</v>
      </c>
      <c r="E34" s="17">
        <f>CHOOSE(CONTROL!$C$42, 4.4443, 4.4443) * CHOOSE(CONTROL!$C$21, $C$9, 100%, $E$9)</f>
        <v>4.4443000000000001</v>
      </c>
      <c r="F34" s="17">
        <f>CHOOSE(CONTROL!$C$42, 4.1638, 4.1638)*CHOOSE(CONTROL!$C$21, $C$9, 100%, $E$9)</f>
        <v>4.1638000000000002</v>
      </c>
      <c r="G34" s="17">
        <f>CHOOSE(CONTROL!$C$42, 4.1801, 4.1801)*CHOOSE(CONTROL!$C$21, $C$9, 100%, $E$9)</f>
        <v>4.1801000000000004</v>
      </c>
      <c r="H34" s="17">
        <f>CHOOSE(CONTROL!$C$42, 4.4344, 4.4344) * CHOOSE(CONTROL!$C$21, $C$9, 100%, $E$9)</f>
        <v>4.4344000000000001</v>
      </c>
      <c r="I34" s="17">
        <f>CHOOSE(CONTROL!$C$42, 4.1904, 4.1904)* CHOOSE(CONTROL!$C$21, $C$9, 100%, $E$9)</f>
        <v>4.1904000000000003</v>
      </c>
      <c r="J34" s="17">
        <f>CHOOSE(CONTROL!$C$42, 4.1564, 4.1564)* CHOOSE(CONTROL!$C$21, $C$9, 100%, $E$9)</f>
        <v>4.1563999999999997</v>
      </c>
      <c r="K34" s="59"/>
      <c r="L34" s="17">
        <f>CHOOSE(CONTROL!$C$42, 5.0214, 5.0214) * CHOOSE(CONTROL!$C$21, $C$9, 100%, $E$9)</f>
        <v>5.0213999999999999</v>
      </c>
      <c r="M34" s="17">
        <f>CHOOSE(CONTROL!$C$42, 4.126, 4.126) * CHOOSE(CONTROL!$C$21, $C$9, 100%, $E$9)</f>
        <v>4.1260000000000003</v>
      </c>
      <c r="N34" s="17">
        <f>CHOOSE(CONTROL!$C$42, 4.1422, 4.1422) * CHOOSE(CONTROL!$C$21, $C$9, 100%, $E$9)</f>
        <v>4.1421999999999999</v>
      </c>
      <c r="O34" s="17">
        <f>CHOOSE(CONTROL!$C$42, 4.4015, 4.4015) * CHOOSE(CONTROL!$C$21, $C$9, 100%, $E$9)</f>
        <v>4.4015000000000004</v>
      </c>
      <c r="P34" s="17">
        <f>CHOOSE(CONTROL!$C$42, 4.1597, 4.1597) * CHOOSE(CONTROL!$C$21, $C$9, 100%, $E$9)</f>
        <v>4.1597</v>
      </c>
      <c r="Q34" s="17">
        <f>CHOOSE(CONTROL!$C$42, 4.9962, 4.9962) * CHOOSE(CONTROL!$C$21, $C$9, 100%, $E$9)</f>
        <v>4.9962</v>
      </c>
      <c r="R34" s="17">
        <f>CHOOSE(CONTROL!$C$42, 5.5957, 5.5957) * CHOOSE(CONTROL!$C$21, $C$9, 100%, $E$9)</f>
        <v>5.5956999999999999</v>
      </c>
      <c r="S34" s="17">
        <f>CHOOSE(CONTROL!$C$42, 4.0198, 4.0198) * CHOOSE(CONTROL!$C$21, $C$9, 100%, $E$9)</f>
        <v>4.0198</v>
      </c>
      <c r="T34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34" s="57">
        <f>(1000*CHOOSE(CONTROL!$C$42, 695, 695)*CHOOSE(CONTROL!$C$42, 0.5599, 0.5599)*CHOOSE(CONTROL!$C$42, 31, 31))/1000000</f>
        <v>12.063045499999998</v>
      </c>
      <c r="V34" s="57">
        <f>(1000*CHOOSE(CONTROL!$C$42, 580, 580)*CHOOSE(CONTROL!$C$42, 0.275, 0.275)*CHOOSE(CONTROL!$C$42, 31, 31))/1000000</f>
        <v>4.9444999999999997</v>
      </c>
      <c r="W34" s="57">
        <f>(1000*CHOOSE(CONTROL!$C$42, 0.0916, 0.0916)*CHOOSE(CONTROL!$C$42, 200, 200)*CHOOSE(CONTROL!$C$42, 31, 31))/1000000</f>
        <v>0.56791999999999998</v>
      </c>
      <c r="X34" s="57">
        <f>31*0.1790888*145000/1000000</f>
        <v>0.80500415599999997</v>
      </c>
      <c r="Y34" s="57"/>
      <c r="Z34" s="17">
        <f>CHOOSE(CONTROL!$C$42, 4.1314, 4.1314) * CHOOSE(CONTROL!$C$21, $C$9, 100%, $E$9)</f>
        <v>4.1314000000000002</v>
      </c>
      <c r="AA34" s="56">
        <f>(131500*31*(6/31))/1000000</f>
        <v>0.78900000000000003</v>
      </c>
      <c r="AB34" s="49">
        <f>(B34*131.881+C34*277.167+D34*79.08+E34*285.872+F34*40+G34*25+H34*0+I34*100+J34*300)/(131.881+277.167+79.08+285.872+0+40+25+100+300)</f>
        <v>4.2437402062146896</v>
      </c>
      <c r="AC34" s="46">
        <f t="shared" si="1"/>
        <v>4.2268007194244603</v>
      </c>
    </row>
    <row r="35" spans="1:29" ht="15" x14ac:dyDescent="0.2">
      <c r="A35" s="16">
        <v>41944</v>
      </c>
      <c r="B35" s="17">
        <f>CHOOSE(CONTROL!$C$42, 4.2469, 4.2469) * CHOOSE(CONTROL!$C$21, $C$9, 100%, $E$9)</f>
        <v>4.2469000000000001</v>
      </c>
      <c r="C35" s="17">
        <f>CHOOSE(CONTROL!$C$42, 4.252, 4.252) * CHOOSE(CONTROL!$C$21, $C$9, 100%, $E$9)</f>
        <v>4.2519999999999998</v>
      </c>
      <c r="D35" s="17">
        <f>CHOOSE(CONTROL!$C$42, 4.3746, 4.3746) * CHOOSE(CONTROL!$C$21, $C$9, 100%, $E$9)</f>
        <v>4.3746</v>
      </c>
      <c r="E35" s="17">
        <f>CHOOSE(CONTROL!$C$42, 4.4084, 4.4084) * CHOOSE(CONTROL!$C$21, $C$9, 100%, $E$9)</f>
        <v>4.4084000000000003</v>
      </c>
      <c r="F35" s="17">
        <f>CHOOSE(CONTROL!$C$42, 4.262, 4.262)*CHOOSE(CONTROL!$C$21, $C$9, 100%, $E$9)</f>
        <v>4.2619999999999996</v>
      </c>
      <c r="G35" s="17">
        <f>CHOOSE(CONTROL!$C$42, 4.2786, 4.2786)*CHOOSE(CONTROL!$C$21, $C$9, 100%, $E$9)</f>
        <v>4.2786</v>
      </c>
      <c r="H35" s="17">
        <f>CHOOSE(CONTROL!$C$42, 4.3973, 4.3973) * CHOOSE(CONTROL!$C$21, $C$9, 100%, $E$9)</f>
        <v>4.3973000000000004</v>
      </c>
      <c r="I35" s="17">
        <f>CHOOSE(CONTROL!$C$42, 4.2851, 4.2851)* CHOOSE(CONTROL!$C$21, $C$9, 100%, $E$9)</f>
        <v>4.2850999999999999</v>
      </c>
      <c r="J35" s="17">
        <f>CHOOSE(CONTROL!$C$42, 4.2546, 4.2546)* CHOOSE(CONTROL!$C$21, $C$9, 100%, $E$9)</f>
        <v>4.2545999999999999</v>
      </c>
      <c r="K35" s="59"/>
      <c r="L35" s="17">
        <f>CHOOSE(CONTROL!$C$42, 4.9843, 4.9843) * CHOOSE(CONTROL!$C$21, $C$9, 100%, $E$9)</f>
        <v>4.9843000000000002</v>
      </c>
      <c r="M35" s="17">
        <f>CHOOSE(CONTROL!$C$42, 4.2233, 4.2233) * CHOOSE(CONTROL!$C$21, $C$9, 100%, $E$9)</f>
        <v>4.2233000000000001</v>
      </c>
      <c r="N35" s="17">
        <f>CHOOSE(CONTROL!$C$42, 4.2398, 4.2398) * CHOOSE(CONTROL!$C$21, $C$9, 100%, $E$9)</f>
        <v>4.2397999999999998</v>
      </c>
      <c r="O35" s="17">
        <f>CHOOSE(CONTROL!$C$42, 4.3647, 4.3647) * CHOOSE(CONTROL!$C$21, $C$9, 100%, $E$9)</f>
        <v>4.3647</v>
      </c>
      <c r="P35" s="17">
        <f>CHOOSE(CONTROL!$C$42, 4.2535, 4.2535) * CHOOSE(CONTROL!$C$21, $C$9, 100%, $E$9)</f>
        <v>4.2534999999999998</v>
      </c>
      <c r="Q35" s="17">
        <f>CHOOSE(CONTROL!$C$42, 4.9594, 4.9594) * CHOOSE(CONTROL!$C$21, $C$9, 100%, $E$9)</f>
        <v>4.9593999999999996</v>
      </c>
      <c r="R35" s="17">
        <f>CHOOSE(CONTROL!$C$42, 5.5588, 5.5588) * CHOOSE(CONTROL!$C$21, $C$9, 100%, $E$9)</f>
        <v>5.5587999999999997</v>
      </c>
      <c r="S35" s="17">
        <f>CHOOSE(CONTROL!$C$42, 4.1088, 4.1088) * CHOOSE(CONTROL!$C$21, $C$9, 100%, $E$9)</f>
        <v>4.1087999999999996</v>
      </c>
      <c r="T35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35" s="57">
        <f>(1000*CHOOSE(CONTROL!$C$42, 695, 695)*CHOOSE(CONTROL!$C$42, 0.5599, 0.5599)*CHOOSE(CONTROL!$C$42, 30, 30))/1000000</f>
        <v>11.673914999999997</v>
      </c>
      <c r="V35" s="57">
        <f>(1000*CHOOSE(CONTROL!$C$42, 580, 580)*CHOOSE(CONTROL!$C$42, 0.275, 0.275)*CHOOSE(CONTROL!$C$42, 30, 30))/1000000</f>
        <v>4.7850000000000001</v>
      </c>
      <c r="W35" s="57">
        <f>(1000*CHOOSE(CONTROL!$C$42, 0.0916, 0.0916)*CHOOSE(CONTROL!$C$42, 200, 200)*CHOOSE(CONTROL!$C$42, 30, 30))/1000000</f>
        <v>0.54959999999999998</v>
      </c>
      <c r="X35" s="57">
        <v>0</v>
      </c>
      <c r="Y35" s="57"/>
      <c r="Z35" s="17">
        <f>CHOOSE(CONTROL!$C$42, 4.2291, 4.2291) * CHOOSE(CONTROL!$C$21, $C$9, 100%, $E$9)</f>
        <v>4.2290999999999999</v>
      </c>
      <c r="AA35" s="56">
        <f>(131500*30*(6/30))/1000000</f>
        <v>0.78900000000000003</v>
      </c>
      <c r="AB35" s="49">
        <f>(B35*122.58+C35*297.941+D35*89.177+E35*200.302+F35*40+G35*0+H35*0+I35*100+J35*300)/(122.58+297.941+89.177+200.302+0+40+0+100+300)</f>
        <v>4.2921088478260874</v>
      </c>
      <c r="AC35" s="46">
        <f>(M35*240+N35*0+O35*355+P35*100)/(240+0+355+100)</f>
        <v>4.299871223021583</v>
      </c>
    </row>
    <row r="36" spans="1:29" ht="15" x14ac:dyDescent="0.2">
      <c r="A36" s="16">
        <v>41974</v>
      </c>
      <c r="B36" s="17">
        <f>CHOOSE(CONTROL!$C$42, 4.4357, 4.4357) * CHOOSE(CONTROL!$C$21, $C$9, 100%, $E$9)</f>
        <v>4.4356999999999998</v>
      </c>
      <c r="C36" s="17">
        <f>CHOOSE(CONTROL!$C$42, 4.4407, 4.4407) * CHOOSE(CONTROL!$C$21, $C$9, 100%, $E$9)</f>
        <v>4.4406999999999996</v>
      </c>
      <c r="D36" s="17">
        <f>CHOOSE(CONTROL!$C$42, 4.5634, 4.5634) * CHOOSE(CONTROL!$C$21, $C$9, 100%, $E$9)</f>
        <v>4.5633999999999997</v>
      </c>
      <c r="E36" s="17">
        <f>CHOOSE(CONTROL!$C$42, 4.5971, 4.5971) * CHOOSE(CONTROL!$C$21, $C$9, 100%, $E$9)</f>
        <v>4.5971000000000002</v>
      </c>
      <c r="F36" s="17">
        <f>CHOOSE(CONTROL!$C$42, 4.4531, 4.4531)*CHOOSE(CONTROL!$C$21, $C$9, 100%, $E$9)</f>
        <v>4.4531000000000001</v>
      </c>
      <c r="G36" s="17">
        <f>CHOOSE(CONTROL!$C$42, 4.4704, 4.4704)*CHOOSE(CONTROL!$C$21, $C$9, 100%, $E$9)</f>
        <v>4.4703999999999997</v>
      </c>
      <c r="H36" s="17">
        <f>CHOOSE(CONTROL!$C$42, 4.586, 4.586) * CHOOSE(CONTROL!$C$21, $C$9, 100%, $E$9)</f>
        <v>4.5860000000000003</v>
      </c>
      <c r="I36" s="17">
        <f>CHOOSE(CONTROL!$C$42, 4.4744, 4.4744)* CHOOSE(CONTROL!$C$21, $C$9, 100%, $E$9)</f>
        <v>4.4744000000000002</v>
      </c>
      <c r="J36" s="17">
        <f>CHOOSE(CONTROL!$C$42, 4.4457, 4.4457)* CHOOSE(CONTROL!$C$21, $C$9, 100%, $E$9)</f>
        <v>4.4457000000000004</v>
      </c>
      <c r="K36" s="59"/>
      <c r="L36" s="17">
        <f>CHOOSE(CONTROL!$C$42, 5.173, 5.173) * CHOOSE(CONTROL!$C$21, $C$9, 100%, $E$9)</f>
        <v>5.173</v>
      </c>
      <c r="M36" s="17">
        <f>CHOOSE(CONTROL!$C$42, 4.4127, 4.4127) * CHOOSE(CONTROL!$C$21, $C$9, 100%, $E$9)</f>
        <v>4.4127000000000001</v>
      </c>
      <c r="N36" s="17">
        <f>CHOOSE(CONTROL!$C$42, 4.4299, 4.4299) * CHOOSE(CONTROL!$C$21, $C$9, 100%, $E$9)</f>
        <v>4.4298999999999999</v>
      </c>
      <c r="O36" s="17">
        <f>CHOOSE(CONTROL!$C$42, 4.5518, 4.5518) * CHOOSE(CONTROL!$C$21, $C$9, 100%, $E$9)</f>
        <v>4.5518000000000001</v>
      </c>
      <c r="P36" s="17">
        <f>CHOOSE(CONTROL!$C$42, 4.4411, 4.4411) * CHOOSE(CONTROL!$C$21, $C$9, 100%, $E$9)</f>
        <v>4.4410999999999996</v>
      </c>
      <c r="Q36" s="17">
        <f>CHOOSE(CONTROL!$C$42, 5.1465, 5.1465) * CHOOSE(CONTROL!$C$21, $C$9, 100%, $E$9)</f>
        <v>5.1464999999999996</v>
      </c>
      <c r="R36" s="17">
        <f>CHOOSE(CONTROL!$C$42, 5.7463, 5.7463) * CHOOSE(CONTROL!$C$21, $C$9, 100%, $E$9)</f>
        <v>5.7462999999999997</v>
      </c>
      <c r="S36" s="17">
        <f>CHOOSE(CONTROL!$C$42, 4.2918, 4.2918) * CHOOSE(CONTROL!$C$21, $C$9, 100%, $E$9)</f>
        <v>4.2918000000000003</v>
      </c>
      <c r="T36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36" s="57">
        <f>(1000*CHOOSE(CONTROL!$C$42, 695, 695)*CHOOSE(CONTROL!$C$42, 0.5599, 0.5599)*CHOOSE(CONTROL!$C$42, 31, 31))/1000000</f>
        <v>12.063045499999998</v>
      </c>
      <c r="V36" s="57">
        <f>(1000*CHOOSE(CONTROL!$C$42, 580, 580)*CHOOSE(CONTROL!$C$42, 0.275, 0.275)*CHOOSE(CONTROL!$C$42, 31, 31))/1000000</f>
        <v>4.9444999999999997</v>
      </c>
      <c r="W36" s="57">
        <f>(1000*CHOOSE(CONTROL!$C$42, 0.0916, 0.0916)*CHOOSE(CONTROL!$C$42, 200, 200)*CHOOSE(CONTROL!$C$42, 31, 31))/1000000</f>
        <v>0.56791999999999998</v>
      </c>
      <c r="X36" s="57">
        <v>0</v>
      </c>
      <c r="Y36" s="57"/>
      <c r="Z36" s="17">
        <f>CHOOSE(CONTROL!$C$42, 4.4164, 4.4164) * CHOOSE(CONTROL!$C$21, $C$9, 100%, $E$9)</f>
        <v>4.4164000000000003</v>
      </c>
      <c r="AA36" s="56">
        <f>(131500*31*(6/31))/1000000</f>
        <v>0.78900000000000003</v>
      </c>
      <c r="AB36" s="49">
        <f>(B36*122.58+C36*297.941+D36*89.177+E36*200.302+F36*40+G36*0+H36*0+I36*100+J36*300)/(122.58+297.941+89.177+200.302+0+40+0+100+300)</f>
        <v>4.4815890006086949</v>
      </c>
      <c r="AC36" s="46">
        <f>(M36*240+N36*0+O36*355+P36*100)/(240+0+355+100)</f>
        <v>4.4878374100719425</v>
      </c>
    </row>
    <row r="37" spans="1:29" ht="15.75" x14ac:dyDescent="0.25">
      <c r="A37" s="16">
        <v>42005</v>
      </c>
      <c r="B37" s="17">
        <f>CHOOSE(CONTROL!$C$42, 4.5367, 4.5367) * CHOOSE(CONTROL!$C$21, $C$9, 100%, $E$9)</f>
        <v>4.5366999999999997</v>
      </c>
      <c r="C37" s="17">
        <f>CHOOSE(CONTROL!$C$42, 4.5418, 4.5418) * CHOOSE(CONTROL!$C$21, $C$9, 100%, $E$9)</f>
        <v>4.5418000000000003</v>
      </c>
      <c r="D37" s="17">
        <f>CHOOSE(CONTROL!$C$42, 4.6593, 4.6593) * CHOOSE(CONTROL!$C$21, $C$9, 100%, $E$9)</f>
        <v>4.6593</v>
      </c>
      <c r="E37" s="17">
        <f>CHOOSE(CONTROL!$C$42, 4.693, 4.693) * CHOOSE(CONTROL!$C$21, $C$9, 100%, $E$9)</f>
        <v>4.6929999999999996</v>
      </c>
      <c r="F37" s="17">
        <f>CHOOSE(CONTROL!$C$42, 4.5504, 4.5504)*CHOOSE(CONTROL!$C$21, $C$9, 100%, $E$9)</f>
        <v>4.5503999999999998</v>
      </c>
      <c r="G37" s="17">
        <f>CHOOSE(CONTROL!$C$42, 4.5667, 4.5667)*CHOOSE(CONTROL!$C$21, $C$9, 100%, $E$9)</f>
        <v>4.5667</v>
      </c>
      <c r="H37" s="17">
        <f>CHOOSE(CONTROL!$C$42, 4.6819, 4.6819) * CHOOSE(CONTROL!$C$21, $C$9, 100%, $E$9)</f>
        <v>4.6818999999999997</v>
      </c>
      <c r="I37" s="17">
        <f>CHOOSE(CONTROL!$C$42, 4.5742, 4.5742)* CHOOSE(CONTROL!$C$21, $C$9, 100%, $E$9)</f>
        <v>4.5742000000000003</v>
      </c>
      <c r="J37" s="17">
        <f>CHOOSE(CONTROL!$C$42, 4.543, 4.543)* CHOOSE(CONTROL!$C$21, $C$9, 100%, $E$9)</f>
        <v>4.5430000000000001</v>
      </c>
      <c r="K37" s="53"/>
      <c r="L37" s="17">
        <f>CHOOSE(CONTROL!$C$42, 5.2689, 5.2689) * CHOOSE(CONTROL!$C$21, $C$9, 100%, $E$9)</f>
        <v>5.2689000000000004</v>
      </c>
      <c r="M37" s="17">
        <f>CHOOSE(CONTROL!$C$42, 4.5091, 4.5091) * CHOOSE(CONTROL!$C$21, $C$9, 100%, $E$9)</f>
        <v>4.5091000000000001</v>
      </c>
      <c r="N37" s="17">
        <f>CHOOSE(CONTROL!$C$42, 4.5253, 4.5253) * CHOOSE(CONTROL!$C$21, $C$9, 100%, $E$9)</f>
        <v>4.5252999999999997</v>
      </c>
      <c r="O37" s="17">
        <f>CHOOSE(CONTROL!$C$42, 4.6468, 4.6468) * CHOOSE(CONTROL!$C$21, $C$9, 100%, $E$9)</f>
        <v>4.6467999999999998</v>
      </c>
      <c r="P37" s="17">
        <f>CHOOSE(CONTROL!$C$42, 4.54, 4.54) * CHOOSE(CONTROL!$C$21, $C$9, 100%, $E$9)</f>
        <v>4.54</v>
      </c>
      <c r="Q37" s="17">
        <f>CHOOSE(CONTROL!$C$42, 5.2415, 5.2415) * CHOOSE(CONTROL!$C$21, $C$9, 100%, $E$9)</f>
        <v>5.2415000000000003</v>
      </c>
      <c r="R37" s="17">
        <f>CHOOSE(CONTROL!$C$42, 5.8416, 5.8416) * CHOOSE(CONTROL!$C$21, $C$9, 100%, $E$9)</f>
        <v>5.8415999999999997</v>
      </c>
      <c r="S37" s="17">
        <f>CHOOSE(CONTROL!$C$42, 4.3898, 4.3898) * CHOOSE(CONTROL!$C$21, $C$9, 100%, $E$9)</f>
        <v>4.3898000000000001</v>
      </c>
      <c r="T37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37" s="57">
        <f>(1000*CHOOSE(CONTROL!$C$42, 695, 695)*CHOOSE(CONTROL!$C$42, 0.5599, 0.5599)*CHOOSE(CONTROL!$C$42, 31, 31))/1000000</f>
        <v>12.063045499999998</v>
      </c>
      <c r="V37" s="57">
        <f>(1000*CHOOSE(CONTROL!$C$42, 580, 580)*CHOOSE(CONTROL!$C$42, 0.275, 0.275)*CHOOSE(CONTROL!$C$42, 31, 31))/1000000</f>
        <v>4.9444999999999997</v>
      </c>
      <c r="W37" s="57">
        <f>(1000*CHOOSE(CONTROL!$C$42, 0.0916, 0.0916)*CHOOSE(CONTROL!$C$42, 200, 200)*CHOOSE(CONTROL!$C$42, 31, 31))/1000000</f>
        <v>0.56791999999999998</v>
      </c>
      <c r="X37" s="57">
        <v>0</v>
      </c>
      <c r="Y37" s="57"/>
      <c r="Z37" s="17">
        <f>CHOOSE(CONTROL!$C$42, 4.5167, 4.5167) * CHOOSE(CONTROL!$C$21, $C$9, 100%, $E$9)</f>
        <v>4.5167000000000002</v>
      </c>
      <c r="AA37" s="56">
        <f>(131500*31*(6/31))/1000000</f>
        <v>0.78900000000000003</v>
      </c>
      <c r="AB37" s="49">
        <f>(B37*122.58+C37*297.941+D37*89.177+E37*200.302+F37*40+G37*0+H37*0+I37*100+J37*300)/(122.58+297.941+89.177+200.302+0+40+0+100+300)</f>
        <v>4.5801328712173914</v>
      </c>
      <c r="AC37" s="46">
        <f>(M37*240+N37*0+O37*355+P37*100)/(240+0+355+100)</f>
        <v>4.5838820143884886</v>
      </c>
    </row>
    <row r="38" spans="1:29" ht="15.75" x14ac:dyDescent="0.25">
      <c r="A38" s="16">
        <v>42036</v>
      </c>
      <c r="B38" s="17">
        <f>CHOOSE(CONTROL!$C$42, 4.5161, 4.5161) * CHOOSE(CONTROL!$C$21, $C$9, 100%, $E$9)</f>
        <v>4.5160999999999998</v>
      </c>
      <c r="C38" s="17">
        <f>CHOOSE(CONTROL!$C$42, 4.5212, 4.5212) * CHOOSE(CONTROL!$C$21, $C$9, 100%, $E$9)</f>
        <v>4.5212000000000003</v>
      </c>
      <c r="D38" s="17">
        <f>CHOOSE(CONTROL!$C$42, 4.6386, 4.6386) * CHOOSE(CONTROL!$C$21, $C$9, 100%, $E$9)</f>
        <v>4.6386000000000003</v>
      </c>
      <c r="E38" s="17">
        <f>CHOOSE(CONTROL!$C$42, 4.6724, 4.6724) * CHOOSE(CONTROL!$C$21, $C$9, 100%, $E$9)</f>
        <v>4.6723999999999997</v>
      </c>
      <c r="F38" s="17">
        <f>CHOOSE(CONTROL!$C$42, 4.5297, 4.5297)*CHOOSE(CONTROL!$C$21, $C$9, 100%, $E$9)</f>
        <v>4.5297000000000001</v>
      </c>
      <c r="G38" s="17">
        <f>CHOOSE(CONTROL!$C$42, 4.546, 4.546)*CHOOSE(CONTROL!$C$21, $C$9, 100%, $E$9)</f>
        <v>4.5460000000000003</v>
      </c>
      <c r="H38" s="17">
        <f>CHOOSE(CONTROL!$C$42, 4.6613, 4.6613) * CHOOSE(CONTROL!$C$21, $C$9, 100%, $E$9)</f>
        <v>4.6612999999999998</v>
      </c>
      <c r="I38" s="17">
        <f>CHOOSE(CONTROL!$C$42, 4.5535, 4.5535)* CHOOSE(CONTROL!$C$21, $C$9, 100%, $E$9)</f>
        <v>4.5534999999999997</v>
      </c>
      <c r="J38" s="17">
        <f>CHOOSE(CONTROL!$C$42, 4.5223, 4.5223)* CHOOSE(CONTROL!$C$21, $C$9, 100%, $E$9)</f>
        <v>4.5223000000000004</v>
      </c>
      <c r="K38" s="53"/>
      <c r="L38" s="17">
        <f>CHOOSE(CONTROL!$C$42, 5.2483, 5.2483) * CHOOSE(CONTROL!$C$21, $C$9, 100%, $E$9)</f>
        <v>5.2483000000000004</v>
      </c>
      <c r="M38" s="17">
        <f>CHOOSE(CONTROL!$C$42, 4.4887, 4.4887) * CHOOSE(CONTROL!$C$21, $C$9, 100%, $E$9)</f>
        <v>4.4886999999999997</v>
      </c>
      <c r="N38" s="17">
        <f>CHOOSE(CONTROL!$C$42, 4.5048, 4.5048) * CHOOSE(CONTROL!$C$21, $C$9, 100%, $E$9)</f>
        <v>4.5048000000000004</v>
      </c>
      <c r="O38" s="17">
        <f>CHOOSE(CONTROL!$C$42, 4.6264, 4.6264) * CHOOSE(CONTROL!$C$21, $C$9, 100%, $E$9)</f>
        <v>4.6264000000000003</v>
      </c>
      <c r="P38" s="17">
        <f>CHOOSE(CONTROL!$C$42, 4.5195, 4.5195) * CHOOSE(CONTROL!$C$21, $C$9, 100%, $E$9)</f>
        <v>4.5194999999999999</v>
      </c>
      <c r="Q38" s="17">
        <f>CHOOSE(CONTROL!$C$42, 5.2211, 5.2211) * CHOOSE(CONTROL!$C$21, $C$9, 100%, $E$9)</f>
        <v>5.2210999999999999</v>
      </c>
      <c r="R38" s="17">
        <f>CHOOSE(CONTROL!$C$42, 5.8211, 5.8211) * CHOOSE(CONTROL!$C$21, $C$9, 100%, $E$9)</f>
        <v>5.8211000000000004</v>
      </c>
      <c r="S38" s="17">
        <f>CHOOSE(CONTROL!$C$42, 4.3698, 4.3698) * CHOOSE(CONTROL!$C$21, $C$9, 100%, $E$9)</f>
        <v>4.3697999999999997</v>
      </c>
      <c r="T38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38" s="57">
        <f>(1000*CHOOSE(CONTROL!$C$42, 695, 695)*CHOOSE(CONTROL!$C$42, 0.5599, 0.5599)*CHOOSE(CONTROL!$C$42, 28, 28))/1000000</f>
        <v>10.895653999999999</v>
      </c>
      <c r="V38" s="57">
        <f>(1000*CHOOSE(CONTROL!$C$42, 580, 580)*CHOOSE(CONTROL!$C$42, 0.275, 0.275)*CHOOSE(CONTROL!$C$42, 28, 28))/1000000</f>
        <v>4.4660000000000002</v>
      </c>
      <c r="W38" s="57">
        <f>(1000*CHOOSE(CONTROL!$C$42, 0.0916, 0.0916)*CHOOSE(CONTROL!$C$42, 200, 200)*CHOOSE(CONTROL!$C$42, 28, 28))/1000000</f>
        <v>0.51295999999999997</v>
      </c>
      <c r="X38" s="57">
        <v>0</v>
      </c>
      <c r="Y38" s="57"/>
      <c r="Z38" s="17">
        <f>CHOOSE(CONTROL!$C$42, 4.4963, 4.4963) * CHOOSE(CONTROL!$C$21, $C$9, 100%, $E$9)</f>
        <v>4.4962999999999997</v>
      </c>
      <c r="AA38" s="56">
        <f>(131500*28*(6/28))/1000000</f>
        <v>0.78900000000000003</v>
      </c>
      <c r="AB38" s="49">
        <f>(B38*122.58+C38*297.941+D38*89.177+E38*200.302+F38*40+G38*0+H38*0+I38*100+J38*300)/(122.58+297.941+89.177+200.302+0+40+0+100+300)</f>
        <v>4.5594868558260861</v>
      </c>
      <c r="AC38" s="46">
        <f>(M38*240+N38*0+O38*355+P38*100)/(240+0+355+100)</f>
        <v>4.5634676258992801</v>
      </c>
    </row>
    <row r="39" spans="1:29" ht="15.75" x14ac:dyDescent="0.25">
      <c r="A39" s="16">
        <v>42064</v>
      </c>
      <c r="B39" s="17">
        <f>CHOOSE(CONTROL!$C$42, 4.4388, 4.4388) * CHOOSE(CONTROL!$C$21, $C$9, 100%, $E$9)</f>
        <v>4.4387999999999996</v>
      </c>
      <c r="C39" s="17">
        <f>CHOOSE(CONTROL!$C$42, 4.4438, 4.4438) * CHOOSE(CONTROL!$C$21, $C$9, 100%, $E$9)</f>
        <v>4.4438000000000004</v>
      </c>
      <c r="D39" s="17">
        <f>CHOOSE(CONTROL!$C$42, 4.5613, 4.5613) * CHOOSE(CONTROL!$C$21, $C$9, 100%, $E$9)</f>
        <v>4.5613000000000001</v>
      </c>
      <c r="E39" s="17">
        <f>CHOOSE(CONTROL!$C$42, 4.5951, 4.5951) * CHOOSE(CONTROL!$C$21, $C$9, 100%, $E$9)</f>
        <v>4.5951000000000004</v>
      </c>
      <c r="F39" s="17">
        <f>CHOOSE(CONTROL!$C$42, 4.4518, 4.4518)*CHOOSE(CONTROL!$C$21, $C$9, 100%, $E$9)</f>
        <v>4.4518000000000004</v>
      </c>
      <c r="G39" s="17">
        <f>CHOOSE(CONTROL!$C$42, 4.4679, 4.4679)*CHOOSE(CONTROL!$C$21, $C$9, 100%, $E$9)</f>
        <v>4.4679000000000002</v>
      </c>
      <c r="H39" s="17">
        <f>CHOOSE(CONTROL!$C$42, 4.5839, 4.5839) * CHOOSE(CONTROL!$C$21, $C$9, 100%, $E$9)</f>
        <v>4.5838999999999999</v>
      </c>
      <c r="I39" s="17">
        <f>CHOOSE(CONTROL!$C$42, 4.4759, 4.4759)* CHOOSE(CONTROL!$C$21, $C$9, 100%, $E$9)</f>
        <v>4.4759000000000002</v>
      </c>
      <c r="J39" s="17">
        <f>CHOOSE(CONTROL!$C$42, 4.4444, 4.4444)* CHOOSE(CONTROL!$C$21, $C$9, 100%, $E$9)</f>
        <v>4.4443999999999999</v>
      </c>
      <c r="K39" s="53"/>
      <c r="L39" s="17">
        <f>CHOOSE(CONTROL!$C$42, 5.1709, 5.1709) * CHOOSE(CONTROL!$C$21, $C$9, 100%, $E$9)</f>
        <v>5.1708999999999996</v>
      </c>
      <c r="M39" s="17">
        <f>CHOOSE(CONTROL!$C$42, 4.4114, 4.4114) * CHOOSE(CONTROL!$C$21, $C$9, 100%, $E$9)</f>
        <v>4.4114000000000004</v>
      </c>
      <c r="N39" s="17">
        <f>CHOOSE(CONTROL!$C$42, 4.4274, 4.4274) * CHOOSE(CONTROL!$C$21, $C$9, 100%, $E$9)</f>
        <v>4.4273999999999996</v>
      </c>
      <c r="O39" s="17">
        <f>CHOOSE(CONTROL!$C$42, 4.5497, 4.5497) * CHOOSE(CONTROL!$C$21, $C$9, 100%, $E$9)</f>
        <v>4.5496999999999996</v>
      </c>
      <c r="P39" s="17">
        <f>CHOOSE(CONTROL!$C$42, 4.4426, 4.4426) * CHOOSE(CONTROL!$C$21, $C$9, 100%, $E$9)</f>
        <v>4.4425999999999997</v>
      </c>
      <c r="Q39" s="17">
        <f>CHOOSE(CONTROL!$C$42, 5.1444, 5.1444) * CHOOSE(CONTROL!$C$21, $C$9, 100%, $E$9)</f>
        <v>5.1444000000000001</v>
      </c>
      <c r="R39" s="17">
        <f>CHOOSE(CONTROL!$C$42, 5.7443, 5.7443) * CHOOSE(CONTROL!$C$21, $C$9, 100%, $E$9)</f>
        <v>5.7443</v>
      </c>
      <c r="S39" s="17">
        <f>CHOOSE(CONTROL!$C$42, 4.2948, 4.2948) * CHOOSE(CONTROL!$C$21, $C$9, 100%, $E$9)</f>
        <v>4.2948000000000004</v>
      </c>
      <c r="T39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39" s="57">
        <f>(1000*CHOOSE(CONTROL!$C$42, 695, 695)*CHOOSE(CONTROL!$C$42, 0.5599, 0.5599)*CHOOSE(CONTROL!$C$42, 31, 31))/1000000</f>
        <v>12.063045499999998</v>
      </c>
      <c r="V39" s="57">
        <f>(1000*CHOOSE(CONTROL!$C$42, 580, 580)*CHOOSE(CONTROL!$C$42, 0.275, 0.275)*CHOOSE(CONTROL!$C$42, 31, 31))/1000000</f>
        <v>4.9444999999999997</v>
      </c>
      <c r="W39" s="57">
        <f>(1000*CHOOSE(CONTROL!$C$42, 0.0916, 0.0916)*CHOOSE(CONTROL!$C$42, 200, 200)*CHOOSE(CONTROL!$C$42, 31, 31))/1000000</f>
        <v>0.56791999999999998</v>
      </c>
      <c r="X39" s="57">
        <v>0</v>
      </c>
      <c r="Y39" s="57"/>
      <c r="Z39" s="17">
        <f>CHOOSE(CONTROL!$C$42, 4.4195, 4.4195) * CHOOSE(CONTROL!$C$21, $C$9, 100%, $E$9)</f>
        <v>4.4195000000000002</v>
      </c>
      <c r="AA39" s="56">
        <f>(131500*31*(6/31))/1000000</f>
        <v>0.78900000000000003</v>
      </c>
      <c r="AB39" s="49">
        <f>(B39*122.58+C39*297.941+D39*89.177+E39*200.302+F39*40+G39*0+H39*0+I39*100+J39*300)/(122.58+297.941+89.177+200.302+0+40+0+100+300)</f>
        <v>4.4819574696521736</v>
      </c>
      <c r="AC39" s="46">
        <f>(M39*240+N39*0+O39*355+P39*100)/(240+0+355+100)</f>
        <v>4.4865316546762593</v>
      </c>
    </row>
    <row r="40" spans="1:29" ht="15.75" x14ac:dyDescent="0.25">
      <c r="A40" s="16">
        <v>42095</v>
      </c>
      <c r="B40" s="17">
        <f>CHOOSE(CONTROL!$C$42, 4.218, 4.218) * CHOOSE(CONTROL!$C$21, $C$9, 100%, $E$9)</f>
        <v>4.218</v>
      </c>
      <c r="C40" s="17">
        <f>CHOOSE(CONTROL!$C$42, 4.2225, 4.2225) * CHOOSE(CONTROL!$C$21, $C$9, 100%, $E$9)</f>
        <v>4.2225000000000001</v>
      </c>
      <c r="D40" s="17">
        <f>CHOOSE(CONTROL!$C$42, 4.4752, 4.4752) * CHOOSE(CONTROL!$C$21, $C$9, 100%, $E$9)</f>
        <v>4.4752000000000001</v>
      </c>
      <c r="E40" s="17">
        <f>CHOOSE(CONTROL!$C$42, 4.5071, 4.5071) * CHOOSE(CONTROL!$C$21, $C$9, 100%, $E$9)</f>
        <v>4.5071000000000003</v>
      </c>
      <c r="F40" s="17">
        <f>CHOOSE(CONTROL!$C$42, 4.224, 4.224)*CHOOSE(CONTROL!$C$21, $C$9, 100%, $E$9)</f>
        <v>4.2240000000000002</v>
      </c>
      <c r="G40" s="17">
        <f>CHOOSE(CONTROL!$C$42, 4.2398, 4.2398)*CHOOSE(CONTROL!$C$21, $C$9, 100%, $E$9)</f>
        <v>4.2397999999999998</v>
      </c>
      <c r="H40" s="17">
        <f>CHOOSE(CONTROL!$C$42, 4.4965, 4.4965) * CHOOSE(CONTROL!$C$21, $C$9, 100%, $E$9)</f>
        <v>4.4965000000000002</v>
      </c>
      <c r="I40" s="17">
        <f>CHOOSE(CONTROL!$C$42, 4.2527, 4.2527)* CHOOSE(CONTROL!$C$21, $C$9, 100%, $E$9)</f>
        <v>4.2526999999999999</v>
      </c>
      <c r="J40" s="17">
        <f>CHOOSE(CONTROL!$C$42, 4.2166, 4.2166)* CHOOSE(CONTROL!$C$21, $C$9, 100%, $E$9)</f>
        <v>4.2165999999999997</v>
      </c>
      <c r="K40" s="53"/>
      <c r="L40" s="17">
        <f>CHOOSE(CONTROL!$C$42, 5.0835, 5.0835) * CHOOSE(CONTROL!$C$21, $C$9, 100%, $E$9)</f>
        <v>5.0834999999999999</v>
      </c>
      <c r="M40" s="17">
        <f>CHOOSE(CONTROL!$C$42, 4.1857, 4.1857) * CHOOSE(CONTROL!$C$21, $C$9, 100%, $E$9)</f>
        <v>4.1856999999999998</v>
      </c>
      <c r="N40" s="17">
        <f>CHOOSE(CONTROL!$C$42, 4.2014, 4.2014) * CHOOSE(CONTROL!$C$21, $C$9, 100%, $E$9)</f>
        <v>4.2013999999999996</v>
      </c>
      <c r="O40" s="17">
        <f>CHOOSE(CONTROL!$C$42, 4.4631, 4.4631) * CHOOSE(CONTROL!$C$21, $C$9, 100%, $E$9)</f>
        <v>4.4630999999999998</v>
      </c>
      <c r="P40" s="17">
        <f>CHOOSE(CONTROL!$C$42, 4.2214, 4.2214) * CHOOSE(CONTROL!$C$21, $C$9, 100%, $E$9)</f>
        <v>4.2214</v>
      </c>
      <c r="Q40" s="17">
        <f>CHOOSE(CONTROL!$C$42, 5.0578, 5.0578) * CHOOSE(CONTROL!$C$21, $C$9, 100%, $E$9)</f>
        <v>5.0578000000000003</v>
      </c>
      <c r="R40" s="17">
        <f>CHOOSE(CONTROL!$C$42, 5.6574, 5.6574) * CHOOSE(CONTROL!$C$21, $C$9, 100%, $E$9)</f>
        <v>5.6574</v>
      </c>
      <c r="S40" s="17">
        <f>CHOOSE(CONTROL!$C$42, 4.08, 4.08) * CHOOSE(CONTROL!$C$21, $C$9, 100%, $E$9)</f>
        <v>4.08</v>
      </c>
      <c r="T40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40" s="57">
        <f>(1000*CHOOSE(CONTROL!$C$42, 695, 695)*CHOOSE(CONTROL!$C$42, 0.5599, 0.5599)*CHOOSE(CONTROL!$C$42, 30, 30))/1000000</f>
        <v>11.673914999999997</v>
      </c>
      <c r="V40" s="57">
        <f>(1000*CHOOSE(CONTROL!$C$42, 580, 580)*CHOOSE(CONTROL!$C$42, 0.275, 0.275)*CHOOSE(CONTROL!$C$42, 30, 30))/1000000</f>
        <v>4.7850000000000001</v>
      </c>
      <c r="W40" s="57">
        <f>(1000*CHOOSE(CONTROL!$C$42, 0.0916, 0.0916)*CHOOSE(CONTROL!$C$42, 200, 200)*CHOOSE(CONTROL!$C$42, 30, 30))/1000000</f>
        <v>0.54959999999999998</v>
      </c>
      <c r="X40" s="57">
        <f>(30*0.1790888*145000/1000000)+(30*0.2374*100000/1000000)</f>
        <v>1.4912362799999999</v>
      </c>
      <c r="Y40" s="57"/>
      <c r="Z40" s="17">
        <f>CHOOSE(CONTROL!$C$42, 4.193, 4.193) * CHOOSE(CONTROL!$C$21, $C$9, 100%, $E$9)</f>
        <v>4.1929999999999996</v>
      </c>
      <c r="AA40" s="56">
        <f>(131500*30*(6/30))/1000000</f>
        <v>0.78900000000000003</v>
      </c>
      <c r="AB40" s="49">
        <f>(B40*141.293+C40*267.993+D40*115.016+E40*189.698+F40*40+G40*85+H40*0+I40*100+J40*300)/(141.293+267.993+115.016+189.698+0+40+85+100+300)</f>
        <v>4.2912629342211464</v>
      </c>
      <c r="AC40" s="46">
        <f t="shared" ref="AC40:AC46" si="2">(M40*240+N40*160+O40*195+P40*100)/(240+160+195+100)</f>
        <v>4.2722827338129488</v>
      </c>
    </row>
    <row r="41" spans="1:29" ht="15.75" x14ac:dyDescent="0.25">
      <c r="A41" s="16">
        <v>42125</v>
      </c>
      <c r="B41" s="17">
        <f>CHOOSE(CONTROL!$C$42, 4.2297, 4.2297) * CHOOSE(CONTROL!$C$21, $C$9, 100%, $E$9)</f>
        <v>4.2297000000000002</v>
      </c>
      <c r="C41" s="17">
        <f>CHOOSE(CONTROL!$C$42, 4.2377, 4.2377) * CHOOSE(CONTROL!$C$21, $C$9, 100%, $E$9)</f>
        <v>4.2377000000000002</v>
      </c>
      <c r="D41" s="17">
        <f>CHOOSE(CONTROL!$C$42, 4.4873, 4.4873) * CHOOSE(CONTROL!$C$21, $C$9, 100%, $E$9)</f>
        <v>4.4873000000000003</v>
      </c>
      <c r="E41" s="17">
        <f>CHOOSE(CONTROL!$C$42, 4.5185, 4.5185) * CHOOSE(CONTROL!$C$21, $C$9, 100%, $E$9)</f>
        <v>4.5185000000000004</v>
      </c>
      <c r="F41" s="17">
        <f>CHOOSE(CONTROL!$C$42, 4.2346, 4.2346)*CHOOSE(CONTROL!$C$21, $C$9, 100%, $E$9)</f>
        <v>4.2346000000000004</v>
      </c>
      <c r="G41" s="17">
        <f>CHOOSE(CONTROL!$C$42, 4.2507, 4.2507)*CHOOSE(CONTROL!$C$21, $C$9, 100%, $E$9)</f>
        <v>4.2507000000000001</v>
      </c>
      <c r="H41" s="17">
        <f>CHOOSE(CONTROL!$C$42, 4.5068, 4.5068) * CHOOSE(CONTROL!$C$21, $C$9, 100%, $E$9)</f>
        <v>4.5068000000000001</v>
      </c>
      <c r="I41" s="17">
        <f>CHOOSE(CONTROL!$C$42, 4.2631, 4.2631)* CHOOSE(CONTROL!$C$21, $C$9, 100%, $E$9)</f>
        <v>4.2630999999999997</v>
      </c>
      <c r="J41" s="17">
        <f>CHOOSE(CONTROL!$C$42, 4.2272, 4.2272)* CHOOSE(CONTROL!$C$21, $C$9, 100%, $E$9)</f>
        <v>4.2271999999999998</v>
      </c>
      <c r="K41" s="53"/>
      <c r="L41" s="17">
        <f>CHOOSE(CONTROL!$C$42, 5.0938, 5.0938) * CHOOSE(CONTROL!$C$21, $C$9, 100%, $E$9)</f>
        <v>5.0937999999999999</v>
      </c>
      <c r="M41" s="17">
        <f>CHOOSE(CONTROL!$C$42, 4.1961, 4.1961) * CHOOSE(CONTROL!$C$21, $C$9, 100%, $E$9)</f>
        <v>4.1961000000000004</v>
      </c>
      <c r="N41" s="17">
        <f>CHOOSE(CONTROL!$C$42, 4.2121, 4.2121) * CHOOSE(CONTROL!$C$21, $C$9, 100%, $E$9)</f>
        <v>4.2121000000000004</v>
      </c>
      <c r="O41" s="17">
        <f>CHOOSE(CONTROL!$C$42, 4.4733, 4.4733) * CHOOSE(CONTROL!$C$21, $C$9, 100%, $E$9)</f>
        <v>4.4733000000000001</v>
      </c>
      <c r="P41" s="17">
        <f>CHOOSE(CONTROL!$C$42, 4.2317, 4.2317) * CHOOSE(CONTROL!$C$21, $C$9, 100%, $E$9)</f>
        <v>4.2317</v>
      </c>
      <c r="Q41" s="17">
        <f>CHOOSE(CONTROL!$C$42, 5.068, 5.068) * CHOOSE(CONTROL!$C$21, $C$9, 100%, $E$9)</f>
        <v>5.0679999999999996</v>
      </c>
      <c r="R41" s="17">
        <f>CHOOSE(CONTROL!$C$42, 5.6677, 5.6677) * CHOOSE(CONTROL!$C$21, $C$9, 100%, $E$9)</f>
        <v>5.6677</v>
      </c>
      <c r="S41" s="17">
        <f>CHOOSE(CONTROL!$C$42, 4.09, 4.09) * CHOOSE(CONTROL!$C$21, $C$9, 100%, $E$9)</f>
        <v>4.09</v>
      </c>
      <c r="T41" s="58">
        <f>((((430000*CHOOSE(CONTROL!$C$42, 0.4694, 0.4694)+(874000-430000)*CHOOSE(CONTROL!$C$42, 0.7185, 0.7185)+400000*CHOOSE(CONTROL!$C$42, 1.14, 1.14)+50000*0.98)*CHOOSE(CONTROL!$C$42, 31, 31))/1000000))+CHOOSE(CONTROL!$C$42, 0.188, 0.188)+CHOOSE(CONTROL!$C$42, 0.5154, 0.5154)</f>
        <v>32.504936000000001</v>
      </c>
      <c r="U41" s="57">
        <f>(1000*CHOOSE(CONTROL!$C$42, 695, 695)*CHOOSE(CONTROL!$C$42, 0.5599, 0.5599)*CHOOSE(CONTROL!$C$42, 31, 31))/1000000</f>
        <v>12.063045499999998</v>
      </c>
      <c r="V41" s="57">
        <f>(1000*CHOOSE(CONTROL!$C$42, 580, 580)*CHOOSE(CONTROL!$C$42, 0.275, 0.275)*CHOOSE(CONTROL!$C$42, 31, 31))/1000000</f>
        <v>4.9444999999999997</v>
      </c>
      <c r="W41" s="57">
        <f>(1000*CHOOSE(CONTROL!$C$42, 0.0916, 0.0916)*CHOOSE(CONTROL!$C$42, 200, 200)*CHOOSE(CONTROL!$C$42, 31, 31))/1000000</f>
        <v>0.56791999999999998</v>
      </c>
      <c r="X41" s="57">
        <f>(31*0.1790888*145000/1000000)+(31*0.2374*100000/1000000)</f>
        <v>1.5409441560000001</v>
      </c>
      <c r="Y41" s="57"/>
      <c r="Z41" s="17">
        <f>CHOOSE(CONTROL!$C$42, 4.2032, 4.2032) * CHOOSE(CONTROL!$C$21, $C$9, 100%, $E$9)</f>
        <v>4.2031999999999998</v>
      </c>
      <c r="AA41" s="56">
        <f>(131500*31*(6/31))/1000000</f>
        <v>0.78900000000000003</v>
      </c>
      <c r="AB41" s="49">
        <f>(B41*194.205+C41*267.466+D41*133.845+E41*153.484+F41*40+G41*85+H41*50+I41*100+J41*300)/(194.205+267.466+133.845+153.484+50+40+85+100+300)</f>
        <v>4.3047531564954689</v>
      </c>
      <c r="AC41" s="46">
        <f t="shared" si="2"/>
        <v>4.2826812949640285</v>
      </c>
    </row>
    <row r="42" spans="1:29" ht="15.75" x14ac:dyDescent="0.25">
      <c r="A42" s="16">
        <v>42156</v>
      </c>
      <c r="B42" s="17">
        <f>CHOOSE(CONTROL!$C$42, 4.2503, 4.2503) * CHOOSE(CONTROL!$C$21, $C$9, 100%, $E$9)</f>
        <v>4.2503000000000002</v>
      </c>
      <c r="C42" s="17">
        <f>CHOOSE(CONTROL!$C$42, 4.2583, 4.2583) * CHOOSE(CONTROL!$C$21, $C$9, 100%, $E$9)</f>
        <v>4.2583000000000002</v>
      </c>
      <c r="D42" s="17">
        <f>CHOOSE(CONTROL!$C$42, 4.5079, 4.5079) * CHOOSE(CONTROL!$C$21, $C$9, 100%, $E$9)</f>
        <v>4.5079000000000002</v>
      </c>
      <c r="E42" s="17">
        <f>CHOOSE(CONTROL!$C$42, 4.5391, 4.5391) * CHOOSE(CONTROL!$C$21, $C$9, 100%, $E$9)</f>
        <v>4.5391000000000004</v>
      </c>
      <c r="F42" s="17">
        <f>CHOOSE(CONTROL!$C$42, 4.2555, 4.2555)*CHOOSE(CONTROL!$C$21, $C$9, 100%, $E$9)</f>
        <v>4.2554999999999996</v>
      </c>
      <c r="G42" s="17">
        <f>CHOOSE(CONTROL!$C$42, 4.2717, 4.2717)*CHOOSE(CONTROL!$C$21, $C$9, 100%, $E$9)</f>
        <v>4.2717000000000001</v>
      </c>
      <c r="H42" s="17">
        <f>CHOOSE(CONTROL!$C$42, 4.5274, 4.5274) * CHOOSE(CONTROL!$C$21, $C$9, 100%, $E$9)</f>
        <v>4.5274000000000001</v>
      </c>
      <c r="I42" s="17">
        <f>CHOOSE(CONTROL!$C$42, 4.2837, 4.2837)* CHOOSE(CONTROL!$C$21, $C$9, 100%, $E$9)</f>
        <v>4.2836999999999996</v>
      </c>
      <c r="J42" s="17">
        <f>CHOOSE(CONTROL!$C$42, 4.2481, 4.2481)* CHOOSE(CONTROL!$C$21, $C$9, 100%, $E$9)</f>
        <v>4.2481</v>
      </c>
      <c r="K42" s="53"/>
      <c r="L42" s="17">
        <f>CHOOSE(CONTROL!$C$42, 5.1144, 5.1144) * CHOOSE(CONTROL!$C$21, $C$9, 100%, $E$9)</f>
        <v>5.1143999999999998</v>
      </c>
      <c r="M42" s="17">
        <f>CHOOSE(CONTROL!$C$42, 4.2169, 4.2169) * CHOOSE(CONTROL!$C$21, $C$9, 100%, $E$9)</f>
        <v>4.2168999999999999</v>
      </c>
      <c r="N42" s="17">
        <f>CHOOSE(CONTROL!$C$42, 4.233, 4.233) * CHOOSE(CONTROL!$C$21, $C$9, 100%, $E$9)</f>
        <v>4.2329999999999997</v>
      </c>
      <c r="O42" s="17">
        <f>CHOOSE(CONTROL!$C$42, 4.4937, 4.4937) * CHOOSE(CONTROL!$C$21, $C$9, 100%, $E$9)</f>
        <v>4.4936999999999996</v>
      </c>
      <c r="P42" s="17">
        <f>CHOOSE(CONTROL!$C$42, 4.2522, 4.2522) * CHOOSE(CONTROL!$C$21, $C$9, 100%, $E$9)</f>
        <v>4.2522000000000002</v>
      </c>
      <c r="Q42" s="17">
        <f>CHOOSE(CONTROL!$C$42, 5.0884, 5.0884) * CHOOSE(CONTROL!$C$21, $C$9, 100%, $E$9)</f>
        <v>5.0884</v>
      </c>
      <c r="R42" s="17">
        <f>CHOOSE(CONTROL!$C$42, 5.6882, 5.6882) * CHOOSE(CONTROL!$C$21, $C$9, 100%, $E$9)</f>
        <v>5.6882000000000001</v>
      </c>
      <c r="S42" s="17">
        <f>CHOOSE(CONTROL!$C$42, 4.11, 4.11) * CHOOSE(CONTROL!$C$21, $C$9, 100%, $E$9)</f>
        <v>4.1100000000000003</v>
      </c>
      <c r="T42" s="58">
        <f>((((430000*CHOOSE(CONTROL!$C$42, 0.4694, 0.4694)+(874000-430000)*CHOOSE(CONTROL!$C$42, 0.7185, 0.7185)+400000*CHOOSE(CONTROL!$C$42, 1.14, 1.14)+50000*0.98)*CHOOSE(CONTROL!$C$42, 30, 30))/1000000))+CHOOSE(CONTROL!$C$42, 0.1616, 0.1616)+CHOOSE(CONTROL!$C$42, 0.5074, 0.5074)</f>
        <v>31.444680000000002</v>
      </c>
      <c r="U42" s="57">
        <f>(1000*CHOOSE(CONTROL!$C$42, 695, 695)*CHOOSE(CONTROL!$C$42, 0.5599, 0.5599)*CHOOSE(CONTROL!$C$42, 30, 30))/1000000</f>
        <v>11.673914999999997</v>
      </c>
      <c r="V42" s="57">
        <f>(1000*CHOOSE(CONTROL!$C$42, 580, 580)*CHOOSE(CONTROL!$C$42, 0.275, 0.275)*CHOOSE(CONTROL!$C$42, 30, 30))/1000000</f>
        <v>4.7850000000000001</v>
      </c>
      <c r="W42" s="57">
        <f>(1000*CHOOSE(CONTROL!$C$42, 0.0916, 0.0916)*CHOOSE(CONTROL!$C$42, 200, 200)*CHOOSE(CONTROL!$C$42, 30, 30))/1000000</f>
        <v>0.54959999999999998</v>
      </c>
      <c r="X42" s="57">
        <f>(30*0.1790888*145000/1000000)+(30*0.2374*100000/1000000)</f>
        <v>1.4912362799999999</v>
      </c>
      <c r="Y42" s="57"/>
      <c r="Z42" s="17">
        <f>CHOOSE(CONTROL!$C$42, 4.2237, 4.2237) * CHOOSE(CONTROL!$C$21, $C$9, 100%, $E$9)</f>
        <v>4.2237</v>
      </c>
      <c r="AA42" s="56">
        <f>(131500*30*(6/30))/1000000</f>
        <v>0.78900000000000003</v>
      </c>
      <c r="AB42" s="49">
        <f>(B42*194.205+C42*267.466+D42*133.845+E42*153.484+F42*40+G42*85+H42*50+I42*100+J42*300)/(194.205+267.466+133.845+153.484+50+40+85+100+300)</f>
        <v>4.3254558755287009</v>
      </c>
      <c r="AC42" s="46">
        <f t="shared" si="2"/>
        <v>4.3033489208633089</v>
      </c>
    </row>
    <row r="43" spans="1:29" ht="15.75" x14ac:dyDescent="0.25">
      <c r="A43" s="16">
        <v>42186</v>
      </c>
      <c r="B43" s="17">
        <f>CHOOSE(CONTROL!$C$42, 4.2864, 4.2864) * CHOOSE(CONTROL!$C$21, $C$9, 100%, $E$9)</f>
        <v>4.2864000000000004</v>
      </c>
      <c r="C43" s="17">
        <f>CHOOSE(CONTROL!$C$42, 4.2944, 4.2944) * CHOOSE(CONTROL!$C$21, $C$9, 100%, $E$9)</f>
        <v>4.2944000000000004</v>
      </c>
      <c r="D43" s="17">
        <f>CHOOSE(CONTROL!$C$42, 4.544, 4.544) * CHOOSE(CONTROL!$C$21, $C$9, 100%, $E$9)</f>
        <v>4.5439999999999996</v>
      </c>
      <c r="E43" s="17">
        <f>CHOOSE(CONTROL!$C$42, 4.5752, 4.5752) * CHOOSE(CONTROL!$C$21, $C$9, 100%, $E$9)</f>
        <v>4.5751999999999997</v>
      </c>
      <c r="F43" s="17">
        <f>CHOOSE(CONTROL!$C$42, 4.2921, 4.2921)*CHOOSE(CONTROL!$C$21, $C$9, 100%, $E$9)</f>
        <v>4.2920999999999996</v>
      </c>
      <c r="G43" s="17">
        <f>CHOOSE(CONTROL!$C$42, 4.3085, 4.3085)*CHOOSE(CONTROL!$C$21, $C$9, 100%, $E$9)</f>
        <v>4.3085000000000004</v>
      </c>
      <c r="H43" s="17">
        <f>CHOOSE(CONTROL!$C$42, 4.5635, 4.5635) * CHOOSE(CONTROL!$C$21, $C$9, 100%, $E$9)</f>
        <v>4.5635000000000003</v>
      </c>
      <c r="I43" s="17">
        <f>CHOOSE(CONTROL!$C$42, 4.32, 4.32)* CHOOSE(CONTROL!$C$21, $C$9, 100%, $E$9)</f>
        <v>4.32</v>
      </c>
      <c r="J43" s="17">
        <f>CHOOSE(CONTROL!$C$42, 4.2847, 4.2847)* CHOOSE(CONTROL!$C$21, $C$9, 100%, $E$9)</f>
        <v>4.2847</v>
      </c>
      <c r="K43" s="53"/>
      <c r="L43" s="17">
        <f>CHOOSE(CONTROL!$C$42, 5.1505, 5.1505) * CHOOSE(CONTROL!$C$21, $C$9, 100%, $E$9)</f>
        <v>5.1505000000000001</v>
      </c>
      <c r="M43" s="17">
        <f>CHOOSE(CONTROL!$C$42, 4.2532, 4.2532) * CHOOSE(CONTROL!$C$21, $C$9, 100%, $E$9)</f>
        <v>4.2531999999999996</v>
      </c>
      <c r="N43" s="17">
        <f>CHOOSE(CONTROL!$C$42, 4.2694, 4.2694) * CHOOSE(CONTROL!$C$21, $C$9, 100%, $E$9)</f>
        <v>4.2694000000000001</v>
      </c>
      <c r="O43" s="17">
        <f>CHOOSE(CONTROL!$C$42, 4.5295, 4.5295) * CHOOSE(CONTROL!$C$21, $C$9, 100%, $E$9)</f>
        <v>4.5294999999999996</v>
      </c>
      <c r="P43" s="17">
        <f>CHOOSE(CONTROL!$C$42, 4.288, 4.288) * CHOOSE(CONTROL!$C$21, $C$9, 100%, $E$9)</f>
        <v>4.2880000000000003</v>
      </c>
      <c r="Q43" s="17">
        <f>CHOOSE(CONTROL!$C$42, 5.1242, 5.1242) * CHOOSE(CONTROL!$C$21, $C$9, 100%, $E$9)</f>
        <v>5.1242000000000001</v>
      </c>
      <c r="R43" s="17">
        <f>CHOOSE(CONTROL!$C$42, 5.724, 5.724) * CHOOSE(CONTROL!$C$21, $C$9, 100%, $E$9)</f>
        <v>5.7240000000000002</v>
      </c>
      <c r="S43" s="17">
        <f>CHOOSE(CONTROL!$C$42, 4.145, 4.145) * CHOOSE(CONTROL!$C$21, $C$9, 100%, $E$9)</f>
        <v>4.1449999999999996</v>
      </c>
      <c r="T43" s="58">
        <f>((((430000*CHOOSE(CONTROL!$C$42, 0.4694, 0.4694)+(874000-430000)*CHOOSE(CONTROL!$C$42, 0.7185, 0.7185)+400000*CHOOSE(CONTROL!$C$42, 1.14, 1.14)+50000*0.98)*CHOOSE(CONTROL!$C$42, 31, 31))/1000000))+CHOOSE(CONTROL!$C$42, 0.1555, 0.1555)+CHOOSE(CONTROL!$C$42, 0.5217, 0.5217)</f>
        <v>32.478735999999998</v>
      </c>
      <c r="U43" s="57">
        <f>(1000*CHOOSE(CONTROL!$C$42, 695, 695)*CHOOSE(CONTROL!$C$42, 0.5599, 0.5599)*CHOOSE(CONTROL!$C$42, 31, 31))/1000000</f>
        <v>12.063045499999998</v>
      </c>
      <c r="V43" s="57">
        <f>(1000*CHOOSE(CONTROL!$C$42, 580, 580)*CHOOSE(CONTROL!$C$42, 0.275, 0.275)*CHOOSE(CONTROL!$C$42, 31, 31))/1000000</f>
        <v>4.9444999999999997</v>
      </c>
      <c r="W43" s="57">
        <f>(1000*CHOOSE(CONTROL!$C$42, 0.0916, 0.0916)*CHOOSE(CONTROL!$C$42, 200, 200)*CHOOSE(CONTROL!$C$42, 31, 31))/1000000</f>
        <v>0.56791999999999998</v>
      </c>
      <c r="X43" s="57">
        <f>(31*0.1790888*145000/1000000)+(31*0.2374*100000/1000000)</f>
        <v>1.5409441560000001</v>
      </c>
      <c r="Y43" s="57"/>
      <c r="Z43" s="17">
        <f>CHOOSE(CONTROL!$C$42, 4.2595, 4.2595) * CHOOSE(CONTROL!$C$21, $C$9, 100%, $E$9)</f>
        <v>4.2595000000000001</v>
      </c>
      <c r="AA43" s="56">
        <f>(131500*31*(6/31))/1000000</f>
        <v>0.78900000000000003</v>
      </c>
      <c r="AB43" s="49">
        <f>(B43*194.205+C43*267.466+D43*133.845+E43*153.484+F43*40+G43*85+H43*50+I43*100+J43*300)/(194.205+267.466+133.845+153.484+50+40+85+100+300)</f>
        <v>4.3617443196374621</v>
      </c>
      <c r="AC43" s="46">
        <f t="shared" si="2"/>
        <v>4.3394597122302159</v>
      </c>
    </row>
    <row r="44" spans="1:29" ht="15.75" x14ac:dyDescent="0.25">
      <c r="A44" s="16">
        <v>42217</v>
      </c>
      <c r="B44" s="17">
        <f>CHOOSE(CONTROL!$C$42, 4.304, 4.304) * CHOOSE(CONTROL!$C$21, $C$9, 100%, $E$9)</f>
        <v>4.3040000000000003</v>
      </c>
      <c r="C44" s="17">
        <f>CHOOSE(CONTROL!$C$42, 4.3119, 4.3119) * CHOOSE(CONTROL!$C$21, $C$9, 100%, $E$9)</f>
        <v>4.3118999999999996</v>
      </c>
      <c r="D44" s="17">
        <f>CHOOSE(CONTROL!$C$42, 4.5616, 4.5616) * CHOOSE(CONTROL!$C$21, $C$9, 100%, $E$9)</f>
        <v>4.5616000000000003</v>
      </c>
      <c r="E44" s="17">
        <f>CHOOSE(CONTROL!$C$42, 4.5927, 4.5927) * CHOOSE(CONTROL!$C$21, $C$9, 100%, $E$9)</f>
        <v>4.5926999999999998</v>
      </c>
      <c r="F44" s="17">
        <f>CHOOSE(CONTROL!$C$42, 4.3099, 4.3099)*CHOOSE(CONTROL!$C$21, $C$9, 100%, $E$9)</f>
        <v>4.3098999999999998</v>
      </c>
      <c r="G44" s="17">
        <f>CHOOSE(CONTROL!$C$42, 4.3263, 4.3263)*CHOOSE(CONTROL!$C$21, $C$9, 100%, $E$9)</f>
        <v>4.3262999999999998</v>
      </c>
      <c r="H44" s="17">
        <f>CHOOSE(CONTROL!$C$42, 4.5811, 4.5811) * CHOOSE(CONTROL!$C$21, $C$9, 100%, $E$9)</f>
        <v>4.5811000000000002</v>
      </c>
      <c r="I44" s="17">
        <f>CHOOSE(CONTROL!$C$42, 4.3375, 4.3375)* CHOOSE(CONTROL!$C$21, $C$9, 100%, $E$9)</f>
        <v>4.3375000000000004</v>
      </c>
      <c r="J44" s="17">
        <f>CHOOSE(CONTROL!$C$42, 4.3025, 4.3025)* CHOOSE(CONTROL!$C$21, $C$9, 100%, $E$9)</f>
        <v>4.3025000000000002</v>
      </c>
      <c r="K44" s="53"/>
      <c r="L44" s="17">
        <f>CHOOSE(CONTROL!$C$42, 5.1681, 5.1681) * CHOOSE(CONTROL!$C$21, $C$9, 100%, $E$9)</f>
        <v>5.1680999999999999</v>
      </c>
      <c r="M44" s="17">
        <f>CHOOSE(CONTROL!$C$42, 4.2708, 4.2708) * CHOOSE(CONTROL!$C$21, $C$9, 100%, $E$9)</f>
        <v>4.2708000000000004</v>
      </c>
      <c r="N44" s="17">
        <f>CHOOSE(CONTROL!$C$42, 4.2871, 4.2871) * CHOOSE(CONTROL!$C$21, $C$9, 100%, $E$9)</f>
        <v>4.2870999999999997</v>
      </c>
      <c r="O44" s="17">
        <f>CHOOSE(CONTROL!$C$42, 4.5469, 4.5469) * CHOOSE(CONTROL!$C$21, $C$9, 100%, $E$9)</f>
        <v>4.5468999999999999</v>
      </c>
      <c r="P44" s="17">
        <f>CHOOSE(CONTROL!$C$42, 4.3055, 4.3055) * CHOOSE(CONTROL!$C$21, $C$9, 100%, $E$9)</f>
        <v>4.3055000000000003</v>
      </c>
      <c r="Q44" s="17">
        <f>CHOOSE(CONTROL!$C$42, 5.1416, 5.1416) * CHOOSE(CONTROL!$C$21, $C$9, 100%, $E$9)</f>
        <v>5.1416000000000004</v>
      </c>
      <c r="R44" s="17">
        <f>CHOOSE(CONTROL!$C$42, 5.7414, 5.7414) * CHOOSE(CONTROL!$C$21, $C$9, 100%, $E$9)</f>
        <v>5.7413999999999996</v>
      </c>
      <c r="S44" s="17">
        <f>CHOOSE(CONTROL!$C$42, 4.162, 4.162) * CHOOSE(CONTROL!$C$21, $C$9, 100%, $E$9)</f>
        <v>4.1619999999999999</v>
      </c>
      <c r="T44" s="58">
        <f>((((430000*CHOOSE(CONTROL!$C$42, 0.4694, 0.4694)+(874000-430000)*CHOOSE(CONTROL!$C$42, 0.7185, 0.7185)+400000*CHOOSE(CONTROL!$C$42, 1.14, 1.14)+50000*0.98)*CHOOSE(CONTROL!$C$42, 31, 31))/1000000))+CHOOSE(CONTROL!$C$42, 0.1911, 0.1911)+CHOOSE(CONTROL!$C$42, 0.5131, 0.5131)</f>
        <v>32.505735999999999</v>
      </c>
      <c r="U44" s="57">
        <f>(1000*CHOOSE(CONTROL!$C$42, 695, 695)*CHOOSE(CONTROL!$C$42, 0.5599, 0.5599)*CHOOSE(CONTROL!$C$42, 31, 31))/1000000</f>
        <v>12.063045499999998</v>
      </c>
      <c r="V44" s="57">
        <f>(1000*CHOOSE(CONTROL!$C$42, 580, 580)*CHOOSE(CONTROL!$C$42, 0.275, 0.275)*CHOOSE(CONTROL!$C$42, 31, 31))/1000000</f>
        <v>4.9444999999999997</v>
      </c>
      <c r="W44" s="57">
        <f>(1000*CHOOSE(CONTROL!$C$42, 0.0916, 0.0916)*CHOOSE(CONTROL!$C$42, 200, 200)*CHOOSE(CONTROL!$C$42, 31, 31))/1000000</f>
        <v>0.56791999999999998</v>
      </c>
      <c r="X44" s="57">
        <f>(31*0.1790888*145000/1000000)+(31*0.2374*100000/1000000)</f>
        <v>1.5409441560000001</v>
      </c>
      <c r="Y44" s="57"/>
      <c r="Z44" s="17">
        <f>CHOOSE(CONTROL!$C$42, 4.2769, 4.2769) * CHOOSE(CONTROL!$C$21, $C$9, 100%, $E$9)</f>
        <v>4.2769000000000004</v>
      </c>
      <c r="AA44" s="56">
        <f>(131500*31*(6/31))/1000000</f>
        <v>0.78900000000000003</v>
      </c>
      <c r="AB44" s="49">
        <f>(B44*194.205+C44*267.466+D44*133.845+E44*153.484+F44*40+G44*85+H44*50+I44*100+J44*300)/(194.205+267.466+133.845+153.484+50+40+85+100+300)</f>
        <v>4.3793691723564958</v>
      </c>
      <c r="AC44" s="46">
        <f t="shared" si="2"/>
        <v>4.3570122302158278</v>
      </c>
    </row>
    <row r="45" spans="1:29" ht="15.75" x14ac:dyDescent="0.25">
      <c r="A45" s="16">
        <v>42248</v>
      </c>
      <c r="B45" s="17">
        <f>CHOOSE(CONTROL!$C$42, 4.3068, 4.3068) * CHOOSE(CONTROL!$C$21, $C$9, 100%, $E$9)</f>
        <v>4.3068</v>
      </c>
      <c r="C45" s="17">
        <f>CHOOSE(CONTROL!$C$42, 4.3148, 4.3148) * CHOOSE(CONTROL!$C$21, $C$9, 100%, $E$9)</f>
        <v>4.3148</v>
      </c>
      <c r="D45" s="17">
        <f>CHOOSE(CONTROL!$C$42, 4.5644, 4.5644) * CHOOSE(CONTROL!$C$21, $C$9, 100%, $E$9)</f>
        <v>4.5644</v>
      </c>
      <c r="E45" s="17">
        <f>CHOOSE(CONTROL!$C$42, 4.5956, 4.5956) * CHOOSE(CONTROL!$C$21, $C$9, 100%, $E$9)</f>
        <v>4.5956000000000001</v>
      </c>
      <c r="F45" s="17">
        <f>CHOOSE(CONTROL!$C$42, 4.3128, 4.3128)*CHOOSE(CONTROL!$C$21, $C$9, 100%, $E$9)</f>
        <v>4.3128000000000002</v>
      </c>
      <c r="G45" s="17">
        <f>CHOOSE(CONTROL!$C$42, 4.3293, 4.3293)*CHOOSE(CONTROL!$C$21, $C$9, 100%, $E$9)</f>
        <v>4.3292999999999999</v>
      </c>
      <c r="H45" s="17">
        <f>CHOOSE(CONTROL!$C$42, 4.5839, 4.5839) * CHOOSE(CONTROL!$C$21, $C$9, 100%, $E$9)</f>
        <v>4.5838999999999999</v>
      </c>
      <c r="I45" s="17">
        <f>CHOOSE(CONTROL!$C$42, 4.3404, 4.3404)* CHOOSE(CONTROL!$C$21, $C$9, 100%, $E$9)</f>
        <v>4.3403999999999998</v>
      </c>
      <c r="J45" s="17">
        <f>CHOOSE(CONTROL!$C$42, 4.3054, 4.3054)* CHOOSE(CONTROL!$C$21, $C$9, 100%, $E$9)</f>
        <v>4.3053999999999997</v>
      </c>
      <c r="K45" s="53"/>
      <c r="L45" s="17">
        <f>CHOOSE(CONTROL!$C$42, 5.1709, 5.1709) * CHOOSE(CONTROL!$C$21, $C$9, 100%, $E$9)</f>
        <v>5.1708999999999996</v>
      </c>
      <c r="M45" s="17">
        <f>CHOOSE(CONTROL!$C$42, 4.2737, 4.2737) * CHOOSE(CONTROL!$C$21, $C$9, 100%, $E$9)</f>
        <v>4.2736999999999998</v>
      </c>
      <c r="N45" s="17">
        <f>CHOOSE(CONTROL!$C$42, 4.29, 4.29) * CHOOSE(CONTROL!$C$21, $C$9, 100%, $E$9)</f>
        <v>4.29</v>
      </c>
      <c r="O45" s="17">
        <f>CHOOSE(CONTROL!$C$42, 4.5497, 4.5497) * CHOOSE(CONTROL!$C$21, $C$9, 100%, $E$9)</f>
        <v>4.5496999999999996</v>
      </c>
      <c r="P45" s="17">
        <f>CHOOSE(CONTROL!$C$42, 4.3083, 4.3083) * CHOOSE(CONTROL!$C$21, $C$9, 100%, $E$9)</f>
        <v>4.3083</v>
      </c>
      <c r="Q45" s="17">
        <f>CHOOSE(CONTROL!$C$42, 5.1444, 5.1444) * CHOOSE(CONTROL!$C$21, $C$9, 100%, $E$9)</f>
        <v>5.1444000000000001</v>
      </c>
      <c r="R45" s="17">
        <f>CHOOSE(CONTROL!$C$42, 5.7443, 5.7443) * CHOOSE(CONTROL!$C$21, $C$9, 100%, $E$9)</f>
        <v>5.7443</v>
      </c>
      <c r="S45" s="17">
        <f>CHOOSE(CONTROL!$C$42, 4.1648, 4.1648) * CHOOSE(CONTROL!$C$21, $C$9, 100%, $E$9)</f>
        <v>4.1647999999999996</v>
      </c>
      <c r="T45" s="58">
        <f>((((430000*CHOOSE(CONTROL!$C$42, 0.4694, 0.4694)+(874000-430000)*CHOOSE(CONTROL!$C$42, 0.7185, 0.7185)+400000*CHOOSE(CONTROL!$C$42, 1.14, 1.14)+50000*0.98)*CHOOSE(CONTROL!$C$42, 30, 30))/1000000))+CHOOSE(CONTROL!$C$42, 0.1717, 0.1717)+CHOOSE(CONTROL!$C$42, 0.4923, 0.4923)</f>
        <v>31.439680000000003</v>
      </c>
      <c r="U45" s="57">
        <f>(1000*CHOOSE(CONTROL!$C$42, 695, 695)*CHOOSE(CONTROL!$C$42, 0.5599, 0.5599)*CHOOSE(CONTROL!$C$42, 30, 30))/1000000</f>
        <v>11.673914999999997</v>
      </c>
      <c r="V45" s="57">
        <f>(1000*CHOOSE(CONTROL!$C$42, 580, 580)*CHOOSE(CONTROL!$C$42, 0.275, 0.275)*CHOOSE(CONTROL!$C$42, 30, 30))/1000000</f>
        <v>4.7850000000000001</v>
      </c>
      <c r="W45" s="57">
        <f>(1000*CHOOSE(CONTROL!$C$42, 0.0916, 0.0916)*CHOOSE(CONTROL!$C$42, 200, 200)*CHOOSE(CONTROL!$C$42, 30, 30))/1000000</f>
        <v>0.54959999999999998</v>
      </c>
      <c r="X45" s="57">
        <f>(30*0.1790888*145000/1000000)+(30*0.2374*100000/1000000)</f>
        <v>1.4912362799999999</v>
      </c>
      <c r="Y45" s="57"/>
      <c r="Z45" s="17">
        <f>CHOOSE(CONTROL!$C$42, 4.2798, 4.2798) * CHOOSE(CONTROL!$C$21, $C$9, 100%, $E$9)</f>
        <v>4.2797999999999998</v>
      </c>
      <c r="AA45" s="56">
        <f>(131500*30*(6/30))/1000000</f>
        <v>0.78900000000000003</v>
      </c>
      <c r="AB45" s="49">
        <f>(B45*194.205+C45*267.466+D45*133.845+E45*153.484+F45*40+G45*85+H45*50+I45*100+J45*300)/(194.205+267.466+133.845+153.484+50+40+85+100+300)</f>
        <v>4.3822470386706955</v>
      </c>
      <c r="AC45" s="46">
        <f t="shared" si="2"/>
        <v>4.3598697841726617</v>
      </c>
    </row>
    <row r="46" spans="1:29" ht="15.75" x14ac:dyDescent="0.25">
      <c r="A46" s="16">
        <v>42278</v>
      </c>
      <c r="B46" s="17">
        <f>CHOOSE(CONTROL!$C$42, 4.3412, 4.3412) * CHOOSE(CONTROL!$C$21, $C$9, 100%, $E$9)</f>
        <v>4.3411999999999997</v>
      </c>
      <c r="C46" s="17">
        <f>CHOOSE(CONTROL!$C$42, 4.3465, 4.3465) * CHOOSE(CONTROL!$C$21, $C$9, 100%, $E$9)</f>
        <v>4.3464999999999998</v>
      </c>
      <c r="D46" s="17">
        <f>CHOOSE(CONTROL!$C$42, 4.601, 4.601) * CHOOSE(CONTROL!$C$21, $C$9, 100%, $E$9)</f>
        <v>4.601</v>
      </c>
      <c r="E46" s="17">
        <f>CHOOSE(CONTROL!$C$42, 4.6299, 4.6299) * CHOOSE(CONTROL!$C$21, $C$9, 100%, $E$9)</f>
        <v>4.6299000000000001</v>
      </c>
      <c r="F46" s="17">
        <f>CHOOSE(CONTROL!$C$42, 4.3494, 4.3494)*CHOOSE(CONTROL!$C$21, $C$9, 100%, $E$9)</f>
        <v>4.3494000000000002</v>
      </c>
      <c r="G46" s="17">
        <f>CHOOSE(CONTROL!$C$42, 4.3657, 4.3657)*CHOOSE(CONTROL!$C$21, $C$9, 100%, $E$9)</f>
        <v>4.3657000000000004</v>
      </c>
      <c r="H46" s="17">
        <f>CHOOSE(CONTROL!$C$42, 4.62, 4.62) * CHOOSE(CONTROL!$C$21, $C$9, 100%, $E$9)</f>
        <v>4.62</v>
      </c>
      <c r="I46" s="17">
        <f>CHOOSE(CONTROL!$C$42, 4.3766, 4.3766)* CHOOSE(CONTROL!$C$21, $C$9, 100%, $E$9)</f>
        <v>4.3765999999999998</v>
      </c>
      <c r="J46" s="17">
        <f>CHOOSE(CONTROL!$C$42, 4.342, 4.342)* CHOOSE(CONTROL!$C$21, $C$9, 100%, $E$9)</f>
        <v>4.3419999999999996</v>
      </c>
      <c r="K46" s="53"/>
      <c r="L46" s="17">
        <f>CHOOSE(CONTROL!$C$42, 5.207, 5.207) * CHOOSE(CONTROL!$C$21, $C$9, 100%, $E$9)</f>
        <v>5.2069999999999999</v>
      </c>
      <c r="M46" s="17">
        <f>CHOOSE(CONTROL!$C$42, 4.3099, 4.3099) * CHOOSE(CONTROL!$C$21, $C$9, 100%, $E$9)</f>
        <v>4.3098999999999998</v>
      </c>
      <c r="N46" s="17">
        <f>CHOOSE(CONTROL!$C$42, 4.3261, 4.3261) * CHOOSE(CONTROL!$C$21, $C$9, 100%, $E$9)</f>
        <v>4.3261000000000003</v>
      </c>
      <c r="O46" s="17">
        <f>CHOOSE(CONTROL!$C$42, 4.5855, 4.5855) * CHOOSE(CONTROL!$C$21, $C$9, 100%, $E$9)</f>
        <v>4.5854999999999997</v>
      </c>
      <c r="P46" s="17">
        <f>CHOOSE(CONTROL!$C$42, 4.3442, 4.3442) * CHOOSE(CONTROL!$C$21, $C$9, 100%, $E$9)</f>
        <v>4.3441999999999998</v>
      </c>
      <c r="Q46" s="17">
        <f>CHOOSE(CONTROL!$C$42, 5.1802, 5.1802) * CHOOSE(CONTROL!$C$21, $C$9, 100%, $E$9)</f>
        <v>5.1802000000000001</v>
      </c>
      <c r="R46" s="17">
        <f>CHOOSE(CONTROL!$C$42, 5.7801, 5.7801) * CHOOSE(CONTROL!$C$21, $C$9, 100%, $E$9)</f>
        <v>5.7801</v>
      </c>
      <c r="S46" s="17">
        <f>CHOOSE(CONTROL!$C$42, 4.1998, 4.1998) * CHOOSE(CONTROL!$C$21, $C$9, 100%, $E$9)</f>
        <v>4.1997999999999998</v>
      </c>
      <c r="T46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46" s="57">
        <f>(1000*CHOOSE(CONTROL!$C$42, 695, 695)*CHOOSE(CONTROL!$C$42, 0.5599, 0.5599)*CHOOSE(CONTROL!$C$42, 31, 31))/1000000</f>
        <v>12.063045499999998</v>
      </c>
      <c r="V46" s="57">
        <f>(1000*CHOOSE(CONTROL!$C$42, 580, 580)*CHOOSE(CONTROL!$C$42, 0.275, 0.275)*CHOOSE(CONTROL!$C$42, 31, 31))/1000000</f>
        <v>4.9444999999999997</v>
      </c>
      <c r="W46" s="57">
        <f>(1000*CHOOSE(CONTROL!$C$42, 0.0916, 0.0916)*CHOOSE(CONTROL!$C$42, 200, 200)*CHOOSE(CONTROL!$C$42, 31, 31))/1000000</f>
        <v>0.56791999999999998</v>
      </c>
      <c r="X46" s="57">
        <f>(31*0.1790888*145000/1000000)+(31*0.2374*100000/1000000)</f>
        <v>1.5409441560000001</v>
      </c>
      <c r="Y46" s="57"/>
      <c r="Z46" s="17">
        <f>CHOOSE(CONTROL!$C$42, 4.3156, 4.3156) * CHOOSE(CONTROL!$C$21, $C$9, 100%, $E$9)</f>
        <v>4.3155999999999999</v>
      </c>
      <c r="AA46" s="56">
        <f>(131500*31*(6/31))/1000000</f>
        <v>0.78900000000000003</v>
      </c>
      <c r="AB46" s="49">
        <f>(B46*131.881+C46*277.167+D46*79.08+E46*225.872+F46*40+G46*85+H46*0+I46*100+J46*300)/(131.881+277.167+79.08+225.872+0+40+85+100+300)</f>
        <v>4.4165944435028246</v>
      </c>
      <c r="AC46" s="46">
        <f t="shared" si="2"/>
        <v>4.3958913669064756</v>
      </c>
    </row>
    <row r="47" spans="1:29" ht="15.75" x14ac:dyDescent="0.25">
      <c r="A47" s="16">
        <v>42309</v>
      </c>
      <c r="B47" s="17">
        <f>CHOOSE(CONTROL!$C$42, 4.4336, 4.4336) * CHOOSE(CONTROL!$C$21, $C$9, 100%, $E$9)</f>
        <v>4.4336000000000002</v>
      </c>
      <c r="C47" s="17">
        <f>CHOOSE(CONTROL!$C$42, 4.4387, 4.4387) * CHOOSE(CONTROL!$C$21, $C$9, 100%, $E$9)</f>
        <v>4.4386999999999999</v>
      </c>
      <c r="D47" s="17">
        <f>CHOOSE(CONTROL!$C$42, 4.5613, 4.5613) * CHOOSE(CONTROL!$C$21, $C$9, 100%, $E$9)</f>
        <v>4.5613000000000001</v>
      </c>
      <c r="E47" s="17">
        <f>CHOOSE(CONTROL!$C$42, 4.5951, 4.5951) * CHOOSE(CONTROL!$C$21, $C$9, 100%, $E$9)</f>
        <v>4.5951000000000004</v>
      </c>
      <c r="F47" s="17">
        <f>CHOOSE(CONTROL!$C$42, 4.4486, 4.4486)*CHOOSE(CONTROL!$C$21, $C$9, 100%, $E$9)</f>
        <v>4.4485999999999999</v>
      </c>
      <c r="G47" s="17">
        <f>CHOOSE(CONTROL!$C$42, 4.4653, 4.4653)*CHOOSE(CONTROL!$C$21, $C$9, 100%, $E$9)</f>
        <v>4.4653</v>
      </c>
      <c r="H47" s="17">
        <f>CHOOSE(CONTROL!$C$42, 4.5839, 4.5839) * CHOOSE(CONTROL!$C$21, $C$9, 100%, $E$9)</f>
        <v>4.5838999999999999</v>
      </c>
      <c r="I47" s="17">
        <f>CHOOSE(CONTROL!$C$42, 4.4723, 4.4723)* CHOOSE(CONTROL!$C$21, $C$9, 100%, $E$9)</f>
        <v>4.4722999999999997</v>
      </c>
      <c r="J47" s="17">
        <f>CHOOSE(CONTROL!$C$42, 4.4412, 4.4412)* CHOOSE(CONTROL!$C$21, $C$9, 100%, $E$9)</f>
        <v>4.4412000000000003</v>
      </c>
      <c r="K47" s="53"/>
      <c r="L47" s="17">
        <f>CHOOSE(CONTROL!$C$42, 5.1709, 5.1709) * CHOOSE(CONTROL!$C$21, $C$9, 100%, $E$9)</f>
        <v>5.1708999999999996</v>
      </c>
      <c r="M47" s="17">
        <f>CHOOSE(CONTROL!$C$42, 4.4083, 4.4083) * CHOOSE(CONTROL!$C$21, $C$9, 100%, $E$9)</f>
        <v>4.4082999999999997</v>
      </c>
      <c r="N47" s="17">
        <f>CHOOSE(CONTROL!$C$42, 4.4248, 4.4248) * CHOOSE(CONTROL!$C$21, $C$9, 100%, $E$9)</f>
        <v>4.4248000000000003</v>
      </c>
      <c r="O47" s="17">
        <f>CHOOSE(CONTROL!$C$42, 4.5497, 4.5497) * CHOOSE(CONTROL!$C$21, $C$9, 100%, $E$9)</f>
        <v>4.5496999999999996</v>
      </c>
      <c r="P47" s="17">
        <f>CHOOSE(CONTROL!$C$42, 4.439, 4.439) * CHOOSE(CONTROL!$C$21, $C$9, 100%, $E$9)</f>
        <v>4.4390000000000001</v>
      </c>
      <c r="Q47" s="17">
        <f>CHOOSE(CONTROL!$C$42, 5.1444, 5.1444) * CHOOSE(CONTROL!$C$21, $C$9, 100%, $E$9)</f>
        <v>5.1444000000000001</v>
      </c>
      <c r="R47" s="17">
        <f>CHOOSE(CONTROL!$C$42, 5.7443, 5.7443) * CHOOSE(CONTROL!$C$21, $C$9, 100%, $E$9)</f>
        <v>5.7443</v>
      </c>
      <c r="S47" s="17">
        <f>CHOOSE(CONTROL!$C$42, 4.2898, 4.2898) * CHOOSE(CONTROL!$C$21, $C$9, 100%, $E$9)</f>
        <v>4.2897999999999996</v>
      </c>
      <c r="T47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47" s="57">
        <f>(1000*CHOOSE(CONTROL!$C$42, 695, 695)*CHOOSE(CONTROL!$C$42, 0.5599, 0.5599)*CHOOSE(CONTROL!$C$42, 30, 30))/1000000</f>
        <v>11.673914999999997</v>
      </c>
      <c r="V47" s="57">
        <f>(1000*CHOOSE(CONTROL!$C$42, 580, 580)*CHOOSE(CONTROL!$C$42, 0.275, 0.275)*CHOOSE(CONTROL!$C$42, 30, 30))/1000000</f>
        <v>4.7850000000000001</v>
      </c>
      <c r="W47" s="57">
        <f>(1000*CHOOSE(CONTROL!$C$42, 0.0916, 0.0916)*CHOOSE(CONTROL!$C$42, 200, 200)*CHOOSE(CONTROL!$C$42, 30, 30))/1000000</f>
        <v>0.54959999999999998</v>
      </c>
      <c r="X47" s="57">
        <f>(30*0.2374*100000/1000000)</f>
        <v>0.71220000000000006</v>
      </c>
      <c r="Y47" s="57"/>
      <c r="Z47" s="17">
        <f>CHOOSE(CONTROL!$C$42, 4.4144, 4.4144) * CHOOSE(CONTROL!$C$21, $C$9, 100%, $E$9)</f>
        <v>4.4143999999999997</v>
      </c>
      <c r="AA47" s="56">
        <f>(131500*30*(6/30))/1000000</f>
        <v>0.78900000000000003</v>
      </c>
      <c r="AB47" s="49">
        <f>(B47*122.58+C47*297.941+D47*89.177+E47*140.302+F47*40+G47*60+H47*0+I47*100+J47*300)/(122.58+297.941+89.177+140.302+0+40+60+100+300)</f>
        <v>4.4720505869565219</v>
      </c>
      <c r="AC47" s="46">
        <f>(M47*240+N47*40+O47*315+P47*100)/(240+40+315+100)</f>
        <v>4.4777546762589928</v>
      </c>
    </row>
    <row r="48" spans="1:29" ht="15.75" x14ac:dyDescent="0.25">
      <c r="A48" s="16">
        <v>42339</v>
      </c>
      <c r="B48" s="17">
        <f>CHOOSE(CONTROL!$C$42, 4.6378, 4.6378) * CHOOSE(CONTROL!$C$21, $C$9, 100%, $E$9)</f>
        <v>4.6378000000000004</v>
      </c>
      <c r="C48" s="17">
        <f>CHOOSE(CONTROL!$C$42, 4.6429, 4.6429) * CHOOSE(CONTROL!$C$21, $C$9, 100%, $E$9)</f>
        <v>4.6429</v>
      </c>
      <c r="D48" s="17">
        <f>CHOOSE(CONTROL!$C$42, 4.7655, 4.7655) * CHOOSE(CONTROL!$C$21, $C$9, 100%, $E$9)</f>
        <v>4.7655000000000003</v>
      </c>
      <c r="E48" s="17">
        <f>CHOOSE(CONTROL!$C$42, 4.7992, 4.7992) * CHOOSE(CONTROL!$C$21, $C$9, 100%, $E$9)</f>
        <v>4.7991999999999999</v>
      </c>
      <c r="F48" s="17">
        <f>CHOOSE(CONTROL!$C$42, 4.6552, 4.6552)*CHOOSE(CONTROL!$C$21, $C$9, 100%, $E$9)</f>
        <v>4.6551999999999998</v>
      </c>
      <c r="G48" s="17">
        <f>CHOOSE(CONTROL!$C$42, 4.6725, 4.6725)*CHOOSE(CONTROL!$C$21, $C$9, 100%, $E$9)</f>
        <v>4.6725000000000003</v>
      </c>
      <c r="H48" s="17">
        <f>CHOOSE(CONTROL!$C$42, 4.7881, 4.7881) * CHOOSE(CONTROL!$C$21, $C$9, 100%, $E$9)</f>
        <v>4.7881</v>
      </c>
      <c r="I48" s="17">
        <f>CHOOSE(CONTROL!$C$42, 4.6771, 4.6771)* CHOOSE(CONTROL!$C$21, $C$9, 100%, $E$9)</f>
        <v>4.6771000000000003</v>
      </c>
      <c r="J48" s="17">
        <f>CHOOSE(CONTROL!$C$42, 4.6478, 4.6478)* CHOOSE(CONTROL!$C$21, $C$9, 100%, $E$9)</f>
        <v>4.6478000000000002</v>
      </c>
      <c r="K48" s="53"/>
      <c r="L48" s="17">
        <f>CHOOSE(CONTROL!$C$42, 5.3751, 5.3751) * CHOOSE(CONTROL!$C$21, $C$9, 100%, $E$9)</f>
        <v>5.3750999999999998</v>
      </c>
      <c r="M48" s="17">
        <f>CHOOSE(CONTROL!$C$42, 4.613, 4.613) * CHOOSE(CONTROL!$C$21, $C$9, 100%, $E$9)</f>
        <v>4.6130000000000004</v>
      </c>
      <c r="N48" s="17">
        <f>CHOOSE(CONTROL!$C$42, 4.6302, 4.6302) * CHOOSE(CONTROL!$C$21, $C$9, 100%, $E$9)</f>
        <v>4.6302000000000003</v>
      </c>
      <c r="O48" s="17">
        <f>CHOOSE(CONTROL!$C$42, 4.7521, 4.7521) * CHOOSE(CONTROL!$C$21, $C$9, 100%, $E$9)</f>
        <v>4.7521000000000004</v>
      </c>
      <c r="P48" s="17">
        <f>CHOOSE(CONTROL!$C$42, 4.642, 4.642) * CHOOSE(CONTROL!$C$21, $C$9, 100%, $E$9)</f>
        <v>4.6420000000000003</v>
      </c>
      <c r="Q48" s="17">
        <f>CHOOSE(CONTROL!$C$42, 5.3468, 5.3468) * CHOOSE(CONTROL!$C$21, $C$9, 100%, $E$9)</f>
        <v>5.3468</v>
      </c>
      <c r="R48" s="17">
        <f>CHOOSE(CONTROL!$C$42, 5.9471, 5.9471) * CHOOSE(CONTROL!$C$21, $C$9, 100%, $E$9)</f>
        <v>5.9470999999999998</v>
      </c>
      <c r="S48" s="17">
        <f>CHOOSE(CONTROL!$C$42, 4.4878, 4.4878) * CHOOSE(CONTROL!$C$21, $C$9, 100%, $E$9)</f>
        <v>4.4878</v>
      </c>
      <c r="T48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48" s="57">
        <f>(1000*CHOOSE(CONTROL!$C$42, 695, 695)*CHOOSE(CONTROL!$C$42, 0.5599, 0.5599)*CHOOSE(CONTROL!$C$42, 31, 31))/1000000</f>
        <v>12.063045499999998</v>
      </c>
      <c r="V48" s="57">
        <f>(1000*CHOOSE(CONTROL!$C$42, 580, 580)*CHOOSE(CONTROL!$C$42, 0.275, 0.275)*CHOOSE(CONTROL!$C$42, 31, 31))/1000000</f>
        <v>4.9444999999999997</v>
      </c>
      <c r="W48" s="57">
        <f>(1000*CHOOSE(CONTROL!$C$42, 0.0916, 0.0916)*CHOOSE(CONTROL!$C$42, 200, 200)*CHOOSE(CONTROL!$C$42, 31, 31))/1000000</f>
        <v>0.56791999999999998</v>
      </c>
      <c r="X48" s="57">
        <f>(31*0.2374*100000/1000000)</f>
        <v>0.73594000000000004</v>
      </c>
      <c r="Y48" s="57"/>
      <c r="Z48" s="17">
        <f>CHOOSE(CONTROL!$C$42, 4.617, 4.617) * CHOOSE(CONTROL!$C$21, $C$9, 100%, $E$9)</f>
        <v>4.617</v>
      </c>
      <c r="AA48" s="56">
        <f>(131500*31*(6/31))/1000000</f>
        <v>0.78900000000000003</v>
      </c>
      <c r="AB48" s="49">
        <f>(B48*122.58+C48*297.941+D48*89.177+E48*140.302+F48*40+G48*60+H48*0+I48*100+J48*300)/(122.58+297.941+89.177+140.302+0+40+60+100+300)</f>
        <v>4.6771566476521738</v>
      </c>
      <c r="AC48" s="46">
        <f>(M48*240+N48*40+O48*315+P48*100)/(240+40+315+100)</f>
        <v>4.6812079136690654</v>
      </c>
    </row>
    <row r="49" spans="1:29" ht="15.75" x14ac:dyDescent="0.25">
      <c r="A49" s="16">
        <v>42370</v>
      </c>
      <c r="B49" s="17">
        <f>CHOOSE(CONTROL!$C$42, 4.6975, 4.6975) * CHOOSE(CONTROL!$C$21, $C$9, 100%, $E$9)</f>
        <v>4.6974999999999998</v>
      </c>
      <c r="C49" s="17">
        <f>CHOOSE(CONTROL!$C$42, 4.7025, 4.7025) * CHOOSE(CONTROL!$C$21, $C$9, 100%, $E$9)</f>
        <v>4.7024999999999997</v>
      </c>
      <c r="D49" s="17">
        <f>CHOOSE(CONTROL!$C$42, 4.82, 4.82) * CHOOSE(CONTROL!$C$21, $C$9, 100%, $E$9)</f>
        <v>4.82</v>
      </c>
      <c r="E49" s="17">
        <f>CHOOSE(CONTROL!$C$42, 4.8538, 4.8538) * CHOOSE(CONTROL!$C$21, $C$9, 100%, $E$9)</f>
        <v>4.8537999999999997</v>
      </c>
      <c r="F49" s="17">
        <f>CHOOSE(CONTROL!$C$42, 4.7111, 4.7111)*CHOOSE(CONTROL!$C$21, $C$9, 100%, $E$9)</f>
        <v>4.7111000000000001</v>
      </c>
      <c r="G49" s="17">
        <f>CHOOSE(CONTROL!$C$42, 4.7274, 4.7274)*CHOOSE(CONTROL!$C$21, $C$9, 100%, $E$9)</f>
        <v>4.7274000000000003</v>
      </c>
      <c r="H49" s="17">
        <f>CHOOSE(CONTROL!$C$42, 4.8426, 4.8426) * CHOOSE(CONTROL!$C$21, $C$9, 100%, $E$9)</f>
        <v>4.8426</v>
      </c>
      <c r="I49" s="17">
        <f>CHOOSE(CONTROL!$C$42, 4.7354, 4.7354)* CHOOSE(CONTROL!$C$21, $C$9, 100%, $E$9)</f>
        <v>4.7354000000000003</v>
      </c>
      <c r="J49" s="17">
        <f>CHOOSE(CONTROL!$C$42, 4.7037, 4.7037)* CHOOSE(CONTROL!$C$21, $C$9, 100%, $E$9)</f>
        <v>4.7037000000000004</v>
      </c>
      <c r="K49" s="53"/>
      <c r="L49" s="17">
        <f>CHOOSE(CONTROL!$C$42, 5.4296, 5.4296) * CHOOSE(CONTROL!$C$21, $C$9, 100%, $E$9)</f>
        <v>5.4295999999999998</v>
      </c>
      <c r="M49" s="17">
        <f>CHOOSE(CONTROL!$C$42, 4.6684, 4.6684) * CHOOSE(CONTROL!$C$21, $C$9, 100%, $E$9)</f>
        <v>4.6684000000000001</v>
      </c>
      <c r="N49" s="17">
        <f>CHOOSE(CONTROL!$C$42, 4.6845, 4.6845) * CHOOSE(CONTROL!$C$21, $C$9, 100%, $E$9)</f>
        <v>4.6844999999999999</v>
      </c>
      <c r="O49" s="17">
        <f>CHOOSE(CONTROL!$C$42, 4.8061, 4.8061) * CHOOSE(CONTROL!$C$21, $C$9, 100%, $E$9)</f>
        <v>4.8060999999999998</v>
      </c>
      <c r="P49" s="17">
        <f>CHOOSE(CONTROL!$C$42, 4.6998, 4.6998) * CHOOSE(CONTROL!$C$21, $C$9, 100%, $E$9)</f>
        <v>4.6997999999999998</v>
      </c>
      <c r="Q49" s="17">
        <f>CHOOSE(CONTROL!$C$42, 5.4008, 5.4008) * CHOOSE(CONTROL!$C$21, $C$9, 100%, $E$9)</f>
        <v>5.4008000000000003</v>
      </c>
      <c r="R49" s="17">
        <f>CHOOSE(CONTROL!$C$42, 6.0013, 6.0013) * CHOOSE(CONTROL!$C$21, $C$9, 100%, $E$9)</f>
        <v>6.0012999999999996</v>
      </c>
      <c r="S49" s="17">
        <f>CHOOSE(CONTROL!$C$42, 4.5456, 4.5456) * CHOOSE(CONTROL!$C$21, $C$9, 100%, $E$9)</f>
        <v>4.5456000000000003</v>
      </c>
      <c r="T49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49" s="57">
        <f>(1000*CHOOSE(CONTROL!$C$42, 695, 695)*CHOOSE(CONTROL!$C$42, 0.5599, 0.5599)*CHOOSE(CONTROL!$C$42, 31, 31))/1000000</f>
        <v>12.063045499999998</v>
      </c>
      <c r="V49" s="57">
        <f>(1000*CHOOSE(CONTROL!$C$42, 580, 580)*CHOOSE(CONTROL!$C$42, 0.275, 0.275)*CHOOSE(CONTROL!$C$42, 31, 31))/1000000</f>
        <v>4.9444999999999997</v>
      </c>
      <c r="W49" s="57">
        <f>(1000*CHOOSE(CONTROL!$C$42, 0.0916, 0.0916)*CHOOSE(CONTROL!$C$42, 200, 200)*CHOOSE(CONTROL!$C$42, 31, 31))/1000000</f>
        <v>0.56791999999999998</v>
      </c>
      <c r="X49" s="57">
        <f>(31*0.2374*100000/1000000)</f>
        <v>0.73594000000000004</v>
      </c>
      <c r="Y49" s="57"/>
      <c r="Z49" s="17"/>
      <c r="AA49" s="56"/>
      <c r="AB49" s="49">
        <f>(B49*122.58+C49*297.941+D49*89.177+E49*140.302+F49*40+G49*60+H49*0+I49*100+J49*300)/(122.58+297.941+89.177+140.302+0+40+60+100+300)</f>
        <v>4.7343096435652159</v>
      </c>
      <c r="AC49" s="46">
        <f>(M49*'RAP TEMPLATE-GAS AVAILABILITY'!O48+N49*'RAP TEMPLATE-GAS AVAILABILITY'!P48+O49*'RAP TEMPLATE-GAS AVAILABILITY'!Q48+P49*'RAP TEMPLATE-GAS AVAILABILITY'!R48)/('RAP TEMPLATE-GAS AVAILABILITY'!O48+'RAP TEMPLATE-GAS AVAILABILITY'!P48+'RAP TEMPLATE-GAS AVAILABILITY'!Q48+'RAP TEMPLATE-GAS AVAILABILITY'!R48)</f>
        <v>4.736255395683453</v>
      </c>
    </row>
    <row r="50" spans="1:29" ht="15.75" x14ac:dyDescent="0.25">
      <c r="A50" s="16">
        <v>42401</v>
      </c>
      <c r="B50" s="17">
        <f>CHOOSE(CONTROL!$C$42, 4.7907, 4.7907) * CHOOSE(CONTROL!$C$21, $C$9, 100%, $E$9)</f>
        <v>4.7907000000000002</v>
      </c>
      <c r="C50" s="17">
        <f>CHOOSE(CONTROL!$C$42, 4.7958, 4.7958) * CHOOSE(CONTROL!$C$21, $C$9, 100%, $E$9)</f>
        <v>4.7957999999999998</v>
      </c>
      <c r="D50" s="17">
        <f>CHOOSE(CONTROL!$C$42, 4.9133, 4.9133) * CHOOSE(CONTROL!$C$21, $C$9, 100%, $E$9)</f>
        <v>4.9132999999999996</v>
      </c>
      <c r="E50" s="17">
        <f>CHOOSE(CONTROL!$C$42, 4.947, 4.947) * CHOOSE(CONTROL!$C$21, $C$9, 100%, $E$9)</f>
        <v>4.9470000000000001</v>
      </c>
      <c r="F50" s="17">
        <f>CHOOSE(CONTROL!$C$42, 4.8044, 4.8044)*CHOOSE(CONTROL!$C$21, $C$9, 100%, $E$9)</f>
        <v>4.8044000000000002</v>
      </c>
      <c r="G50" s="17">
        <f>CHOOSE(CONTROL!$C$42, 4.8207, 4.8207)*CHOOSE(CONTROL!$C$21, $C$9, 100%, $E$9)</f>
        <v>4.8207000000000004</v>
      </c>
      <c r="H50" s="17">
        <f>CHOOSE(CONTROL!$C$42, 4.9359, 4.9359) * CHOOSE(CONTROL!$C$21, $C$9, 100%, $E$9)</f>
        <v>4.9359000000000002</v>
      </c>
      <c r="I50" s="17">
        <f>CHOOSE(CONTROL!$C$42, 4.829, 4.829)* CHOOSE(CONTROL!$C$21, $C$9, 100%, $E$9)</f>
        <v>4.8289999999999997</v>
      </c>
      <c r="J50" s="17">
        <f>CHOOSE(CONTROL!$C$42, 4.797, 4.797)* CHOOSE(CONTROL!$C$21, $C$9, 100%, $E$9)</f>
        <v>4.7969999999999997</v>
      </c>
      <c r="K50" s="53"/>
      <c r="L50" s="17">
        <f>CHOOSE(CONTROL!$C$42, 5.5229, 5.5229) * CHOOSE(CONTROL!$C$21, $C$9, 100%, $E$9)</f>
        <v>5.5228999999999999</v>
      </c>
      <c r="M50" s="17">
        <f>CHOOSE(CONTROL!$C$42, 4.7608, 4.7608) * CHOOSE(CONTROL!$C$21, $C$9, 100%, $E$9)</f>
        <v>4.7607999999999997</v>
      </c>
      <c r="N50" s="17">
        <f>CHOOSE(CONTROL!$C$42, 4.777, 4.777) * CHOOSE(CONTROL!$C$21, $C$9, 100%, $E$9)</f>
        <v>4.7770000000000001</v>
      </c>
      <c r="O50" s="17">
        <f>CHOOSE(CONTROL!$C$42, 4.8985, 4.8985) * CHOOSE(CONTROL!$C$21, $C$9, 100%, $E$9)</f>
        <v>4.8985000000000003</v>
      </c>
      <c r="P50" s="17">
        <f>CHOOSE(CONTROL!$C$42, 4.7925, 4.7925) * CHOOSE(CONTROL!$C$21, $C$9, 100%, $E$9)</f>
        <v>4.7925000000000004</v>
      </c>
      <c r="Q50" s="17">
        <f>CHOOSE(CONTROL!$C$42, 5.4932, 5.4932) * CHOOSE(CONTROL!$C$21, $C$9, 100%, $E$9)</f>
        <v>5.4931999999999999</v>
      </c>
      <c r="R50" s="17">
        <f>CHOOSE(CONTROL!$C$42, 6.0939, 6.0939) * CHOOSE(CONTROL!$C$21, $C$9, 100%, $E$9)</f>
        <v>6.0938999999999997</v>
      </c>
      <c r="S50" s="17">
        <f>CHOOSE(CONTROL!$C$42, 4.6361, 4.6361) * CHOOSE(CONTROL!$C$21, $C$9, 100%, $E$9)</f>
        <v>4.6360999999999999</v>
      </c>
      <c r="T50" s="57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50" s="57">
        <f>(1000*CHOOSE(CONTROL!$C$42, 695, 695)*CHOOSE(CONTROL!$C$42, 0.5599, 0.5599)*CHOOSE(CONTROL!$C$42, 29, 29))/1000000</f>
        <v>11.284784499999999</v>
      </c>
      <c r="V50" s="57">
        <f>(1000*CHOOSE(CONTROL!$C$42, 580, 580)*CHOOSE(CONTROL!$C$42, 0.275, 0.275)*CHOOSE(CONTROL!$C$42, 29, 29))/1000000</f>
        <v>4.6254999999999997</v>
      </c>
      <c r="W50" s="57">
        <f>(1000*CHOOSE(CONTROL!$C$42, 0.0916, 0.0916)*CHOOSE(CONTROL!$C$42, 200, 200)*CHOOSE(CONTROL!$C$42, 29, 29))/1000000</f>
        <v>0.53127999999999997</v>
      </c>
      <c r="X50" s="57">
        <f>(29*0.2374*100000/1000000)</f>
        <v>0.68845999999999996</v>
      </c>
      <c r="Y50" s="57"/>
      <c r="Z50" s="17"/>
      <c r="AA50" s="56"/>
      <c r="AB50" s="49">
        <f>(B50*122.58+C50*297.941+D50*89.177+E50*140.302+F50*40+G50*60+H50*0+I50*100+J50*300)/(122.58+297.941+89.177+140.302+0+40+60+100+300)</f>
        <v>4.82761287121739</v>
      </c>
      <c r="AC50" s="46">
        <f>(M50*'RAP TEMPLATE-GAS AVAILABILITY'!O49+N50*'RAP TEMPLATE-GAS AVAILABILITY'!P49+O50*'RAP TEMPLATE-GAS AVAILABILITY'!Q49+P50*'RAP TEMPLATE-GAS AVAILABILITY'!R49)/('RAP TEMPLATE-GAS AVAILABILITY'!O49+'RAP TEMPLATE-GAS AVAILABILITY'!P49+'RAP TEMPLATE-GAS AVAILABILITY'!Q49+'RAP TEMPLATE-GAS AVAILABILITY'!R49)</f>
        <v>4.8287043165467622</v>
      </c>
    </row>
    <row r="51" spans="1:29" ht="15.75" x14ac:dyDescent="0.25">
      <c r="A51" s="16">
        <v>42430</v>
      </c>
      <c r="B51" s="17">
        <f>CHOOSE(CONTROL!$C$42, 4.6646, 4.6646) * CHOOSE(CONTROL!$C$21, $C$9, 100%, $E$9)</f>
        <v>4.6646000000000001</v>
      </c>
      <c r="C51" s="17">
        <f>CHOOSE(CONTROL!$C$42, 4.6697, 4.6697) * CHOOSE(CONTROL!$C$21, $C$9, 100%, $E$9)</f>
        <v>4.6696999999999997</v>
      </c>
      <c r="D51" s="17">
        <f>CHOOSE(CONTROL!$C$42, 4.7871, 4.7871) * CHOOSE(CONTROL!$C$21, $C$9, 100%, $E$9)</f>
        <v>4.7870999999999997</v>
      </c>
      <c r="E51" s="17">
        <f>CHOOSE(CONTROL!$C$42, 4.8209, 4.8209) * CHOOSE(CONTROL!$C$21, $C$9, 100%, $E$9)</f>
        <v>4.8209</v>
      </c>
      <c r="F51" s="17">
        <f>CHOOSE(CONTROL!$C$42, 4.6776, 4.6776)*CHOOSE(CONTROL!$C$21, $C$9, 100%, $E$9)</f>
        <v>4.6776</v>
      </c>
      <c r="G51" s="17">
        <f>CHOOSE(CONTROL!$C$42, 4.6937, 4.6937)*CHOOSE(CONTROL!$C$21, $C$9, 100%, $E$9)</f>
        <v>4.6936999999999998</v>
      </c>
      <c r="H51" s="17">
        <f>CHOOSE(CONTROL!$C$42, 4.8098, 4.8098) * CHOOSE(CONTROL!$C$21, $C$9, 100%, $E$9)</f>
        <v>4.8098000000000001</v>
      </c>
      <c r="I51" s="17">
        <f>CHOOSE(CONTROL!$C$42, 4.7024, 4.7024)* CHOOSE(CONTROL!$C$21, $C$9, 100%, $E$9)</f>
        <v>4.7023999999999999</v>
      </c>
      <c r="J51" s="17">
        <f>CHOOSE(CONTROL!$C$42, 4.6702, 4.6702)* CHOOSE(CONTROL!$C$21, $C$9, 100%, $E$9)</f>
        <v>4.6702000000000004</v>
      </c>
      <c r="K51" s="53"/>
      <c r="L51" s="17">
        <f>CHOOSE(CONTROL!$C$42, 5.3968, 5.3968) * CHOOSE(CONTROL!$C$21, $C$9, 100%, $E$9)</f>
        <v>5.3967999999999998</v>
      </c>
      <c r="M51" s="17">
        <f>CHOOSE(CONTROL!$C$42, 4.6352, 4.6352) * CHOOSE(CONTROL!$C$21, $C$9, 100%, $E$9)</f>
        <v>4.6352000000000002</v>
      </c>
      <c r="N51" s="17">
        <f>CHOOSE(CONTROL!$C$42, 4.6512, 4.6512) * CHOOSE(CONTROL!$C$21, $C$9, 100%, $E$9)</f>
        <v>4.6512000000000002</v>
      </c>
      <c r="O51" s="17">
        <f>CHOOSE(CONTROL!$C$42, 4.7735, 4.7735) * CHOOSE(CONTROL!$C$21, $C$9, 100%, $E$9)</f>
        <v>4.7735000000000003</v>
      </c>
      <c r="P51" s="17">
        <f>CHOOSE(CONTROL!$C$42, 4.6671, 4.6671) * CHOOSE(CONTROL!$C$21, $C$9, 100%, $E$9)</f>
        <v>4.6670999999999996</v>
      </c>
      <c r="Q51" s="17">
        <f>CHOOSE(CONTROL!$C$42, 5.3682, 5.3682) * CHOOSE(CONTROL!$C$21, $C$9, 100%, $E$9)</f>
        <v>5.3681999999999999</v>
      </c>
      <c r="R51" s="17">
        <f>CHOOSE(CONTROL!$C$42, 5.9686, 5.9686) * CHOOSE(CONTROL!$C$21, $C$9, 100%, $E$9)</f>
        <v>5.9686000000000003</v>
      </c>
      <c r="S51" s="17">
        <f>CHOOSE(CONTROL!$C$42, 4.5137, 4.5137) * CHOOSE(CONTROL!$C$21, $C$9, 100%, $E$9)</f>
        <v>4.5137</v>
      </c>
      <c r="T51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51" s="57">
        <f>(1000*CHOOSE(CONTROL!$C$42, 695, 695)*CHOOSE(CONTROL!$C$42, 0.5599, 0.5599)*CHOOSE(CONTROL!$C$42, 31, 31))/1000000</f>
        <v>12.063045499999998</v>
      </c>
      <c r="V51" s="57">
        <f>(1000*CHOOSE(CONTROL!$C$42, 580, 580)*CHOOSE(CONTROL!$C$42, 0.275, 0.275)*CHOOSE(CONTROL!$C$42, 31, 31))/1000000</f>
        <v>4.9444999999999997</v>
      </c>
      <c r="W51" s="57">
        <f>(1000*CHOOSE(CONTROL!$C$42, 0.0916, 0.0916)*CHOOSE(CONTROL!$C$42, 200, 200)*CHOOSE(CONTROL!$C$42, 31, 31))/1000000</f>
        <v>0.56791999999999998</v>
      </c>
      <c r="X51" s="57">
        <f>(31*0.2374*100000/1000000)</f>
        <v>0.73594000000000004</v>
      </c>
      <c r="Y51" s="57"/>
      <c r="Z51" s="17"/>
      <c r="AA51" s="56"/>
      <c r="AB51" s="49">
        <f>(B51*122.58+C51*297.941+D51*89.177+E51*140.302+F51*40+G51*60+H51*0+I51*100+J51*300)/(122.58+297.941+89.177+140.302+0+40+60+100+300)</f>
        <v>4.7012077253913045</v>
      </c>
      <c r="AC51" s="46">
        <f>(M51*'RAP TEMPLATE-GAS AVAILABILITY'!O50+N51*'RAP TEMPLATE-GAS AVAILABILITY'!P50+O51*'RAP TEMPLATE-GAS AVAILABILITY'!Q50+P51*'RAP TEMPLATE-GAS AVAILABILITY'!R50)/('RAP TEMPLATE-GAS AVAILABILITY'!O50+'RAP TEMPLATE-GAS AVAILABILITY'!P50+'RAP TEMPLATE-GAS AVAILABILITY'!Q50+'RAP TEMPLATE-GAS AVAILABILITY'!R50)</f>
        <v>4.7033935251798562</v>
      </c>
    </row>
    <row r="52" spans="1:29" ht="15.75" x14ac:dyDescent="0.25">
      <c r="A52" s="16">
        <v>42461</v>
      </c>
      <c r="B52" s="17">
        <f>CHOOSE(CONTROL!$C$42, 4.6612, 4.6612) * CHOOSE(CONTROL!$C$21, $C$9, 100%, $E$9)</f>
        <v>4.6612</v>
      </c>
      <c r="C52" s="17">
        <f>CHOOSE(CONTROL!$C$42, 4.6657, 4.6657) * CHOOSE(CONTROL!$C$21, $C$9, 100%, $E$9)</f>
        <v>4.6657000000000002</v>
      </c>
      <c r="D52" s="17">
        <f>CHOOSE(CONTROL!$C$42, 4.9184, 4.9184) * CHOOSE(CONTROL!$C$21, $C$9, 100%, $E$9)</f>
        <v>4.9184000000000001</v>
      </c>
      <c r="E52" s="17">
        <f>CHOOSE(CONTROL!$C$42, 4.9502, 4.9502) * CHOOSE(CONTROL!$C$21, $C$9, 100%, $E$9)</f>
        <v>4.9501999999999997</v>
      </c>
      <c r="F52" s="17">
        <f>CHOOSE(CONTROL!$C$42, 4.6672, 4.6672)*CHOOSE(CONTROL!$C$21, $C$9, 100%, $E$9)</f>
        <v>4.6672000000000002</v>
      </c>
      <c r="G52" s="17">
        <f>CHOOSE(CONTROL!$C$42, 4.683, 4.683)*CHOOSE(CONTROL!$C$21, $C$9, 100%, $E$9)</f>
        <v>4.6829999999999998</v>
      </c>
      <c r="H52" s="17">
        <f>CHOOSE(CONTROL!$C$42, 4.9397, 4.9397) * CHOOSE(CONTROL!$C$21, $C$9, 100%, $E$9)</f>
        <v>4.9397000000000002</v>
      </c>
      <c r="I52" s="17">
        <f>CHOOSE(CONTROL!$C$42, 4.6973, 4.6973)* CHOOSE(CONTROL!$C$21, $C$9, 100%, $E$9)</f>
        <v>4.6973000000000003</v>
      </c>
      <c r="J52" s="17">
        <f>CHOOSE(CONTROL!$C$42, 4.6598, 4.6598)* CHOOSE(CONTROL!$C$21, $C$9, 100%, $E$9)</f>
        <v>4.6597999999999997</v>
      </c>
      <c r="K52" s="53"/>
      <c r="L52" s="17">
        <f>CHOOSE(CONTROL!$C$42, 5.5267, 5.5267) * CHOOSE(CONTROL!$C$21, $C$9, 100%, $E$9)</f>
        <v>5.5266999999999999</v>
      </c>
      <c r="M52" s="17">
        <f>CHOOSE(CONTROL!$C$42, 4.6249, 4.6249) * CHOOSE(CONTROL!$C$21, $C$9, 100%, $E$9)</f>
        <v>4.6249000000000002</v>
      </c>
      <c r="N52" s="17">
        <f>CHOOSE(CONTROL!$C$42, 4.6406, 4.6406) * CHOOSE(CONTROL!$C$21, $C$9, 100%, $E$9)</f>
        <v>4.6406000000000001</v>
      </c>
      <c r="O52" s="17">
        <f>CHOOSE(CONTROL!$C$42, 4.9022, 4.9022) * CHOOSE(CONTROL!$C$21, $C$9, 100%, $E$9)</f>
        <v>4.9021999999999997</v>
      </c>
      <c r="P52" s="17">
        <f>CHOOSE(CONTROL!$C$42, 4.6619, 4.6619) * CHOOSE(CONTROL!$C$21, $C$9, 100%, $E$9)</f>
        <v>4.6619000000000002</v>
      </c>
      <c r="Q52" s="17">
        <f>CHOOSE(CONTROL!$C$42, 5.4969, 5.4969) * CHOOSE(CONTROL!$C$21, $C$9, 100%, $E$9)</f>
        <v>5.4969000000000001</v>
      </c>
      <c r="R52" s="17">
        <f>CHOOSE(CONTROL!$C$42, 6.0977, 6.0977) * CHOOSE(CONTROL!$C$21, $C$9, 100%, $E$9)</f>
        <v>6.0976999999999997</v>
      </c>
      <c r="S52" s="17">
        <f>CHOOSE(CONTROL!$C$42, 4.5097, 4.5097) * CHOOSE(CONTROL!$C$21, $C$9, 100%, $E$9)</f>
        <v>4.5096999999999996</v>
      </c>
      <c r="T52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52" s="57">
        <f>(1000*CHOOSE(CONTROL!$C$42, 695, 695)*CHOOSE(CONTROL!$C$42, 0.5599, 0.5599)*CHOOSE(CONTROL!$C$42, 30, 30))/1000000</f>
        <v>11.673914999999997</v>
      </c>
      <c r="V52" s="57">
        <f>(1000*CHOOSE(CONTROL!$C$42, 580, 580)*CHOOSE(CONTROL!$C$42, 0.275, 0.275)*CHOOSE(CONTROL!$C$42, 30, 30))/1000000</f>
        <v>4.7850000000000001</v>
      </c>
      <c r="W52" s="57">
        <f>(1000*CHOOSE(CONTROL!$C$42, 0.0916, 0.0916)*CHOOSE(CONTROL!$C$42, 200, 200)*CHOOSE(CONTROL!$C$42, 30, 30))/1000000</f>
        <v>0.54959999999999998</v>
      </c>
      <c r="X52" s="57">
        <f>(30*0.1790888*145000/1000000)+(30*0.2374*100000/1000000)</f>
        <v>1.4912362799999999</v>
      </c>
      <c r="Y52" s="57"/>
      <c r="Z52" s="17"/>
      <c r="AA52" s="56"/>
      <c r="AB52" s="49">
        <f>(B52*141.293+C52*267.993+D52*115.016+E52*189.698+F52*40+G52*85+H52*0+I52*100+J52*300)/(141.293+267.993+115.016+189.698+0+40+85+100+300)</f>
        <v>4.7345606179983859</v>
      </c>
      <c r="AC52" s="46">
        <f>(M52*'RAP TEMPLATE-GAS AVAILABILITY'!O51+N52*'RAP TEMPLATE-GAS AVAILABILITY'!P51+O52*'RAP TEMPLATE-GAS AVAILABILITY'!Q51+P52*'RAP TEMPLATE-GAS AVAILABILITY'!R51)/('RAP TEMPLATE-GAS AVAILABILITY'!O51+'RAP TEMPLATE-GAS AVAILABILITY'!P51+'RAP TEMPLATE-GAS AVAILABILITY'!Q51+'RAP TEMPLATE-GAS AVAILABILITY'!R51)</f>
        <v>4.7116417266187058</v>
      </c>
    </row>
    <row r="53" spans="1:29" ht="15.75" x14ac:dyDescent="0.25">
      <c r="A53" s="16">
        <v>42491</v>
      </c>
      <c r="B53" s="17">
        <f>CHOOSE(CONTROL!$C$42, 4.7133, 4.7133) * CHOOSE(CONTROL!$C$21, $C$9, 100%, $E$9)</f>
        <v>4.7133000000000003</v>
      </c>
      <c r="C53" s="17">
        <f>CHOOSE(CONTROL!$C$42, 4.7212, 4.7212) * CHOOSE(CONTROL!$C$21, $C$9, 100%, $E$9)</f>
        <v>4.7211999999999996</v>
      </c>
      <c r="D53" s="17">
        <f>CHOOSE(CONTROL!$C$42, 4.9709, 4.9709) * CHOOSE(CONTROL!$C$21, $C$9, 100%, $E$9)</f>
        <v>4.9709000000000003</v>
      </c>
      <c r="E53" s="17">
        <f>CHOOSE(CONTROL!$C$42, 5.002, 5.002) * CHOOSE(CONTROL!$C$21, $C$9, 100%, $E$9)</f>
        <v>5.0019999999999998</v>
      </c>
      <c r="F53" s="17">
        <f>CHOOSE(CONTROL!$C$42, 4.7181, 4.7181)*CHOOSE(CONTROL!$C$21, $C$9, 100%, $E$9)</f>
        <v>4.7180999999999997</v>
      </c>
      <c r="G53" s="17">
        <f>CHOOSE(CONTROL!$C$42, 4.7342, 4.7342)*CHOOSE(CONTROL!$C$21, $C$9, 100%, $E$9)</f>
        <v>4.7342000000000004</v>
      </c>
      <c r="H53" s="17">
        <f>CHOOSE(CONTROL!$C$42, 4.9904, 4.9904) * CHOOSE(CONTROL!$C$21, $C$9, 100%, $E$9)</f>
        <v>4.9904000000000002</v>
      </c>
      <c r="I53" s="17">
        <f>CHOOSE(CONTROL!$C$42, 4.7481, 4.7481)* CHOOSE(CONTROL!$C$21, $C$9, 100%, $E$9)</f>
        <v>4.7481</v>
      </c>
      <c r="J53" s="17">
        <f>CHOOSE(CONTROL!$C$42, 4.7107, 4.7107)* CHOOSE(CONTROL!$C$21, $C$9, 100%, $E$9)</f>
        <v>4.7107000000000001</v>
      </c>
      <c r="K53" s="53"/>
      <c r="L53" s="17">
        <f>CHOOSE(CONTROL!$C$42, 5.5774, 5.5774) * CHOOSE(CONTROL!$C$21, $C$9, 100%, $E$9)</f>
        <v>5.5773999999999999</v>
      </c>
      <c r="M53" s="17">
        <f>CHOOSE(CONTROL!$C$42, 4.6753, 4.6753) * CHOOSE(CONTROL!$C$21, $C$9, 100%, $E$9)</f>
        <v>4.6753</v>
      </c>
      <c r="N53" s="17">
        <f>CHOOSE(CONTROL!$C$42, 4.6913, 4.6913) * CHOOSE(CONTROL!$C$21, $C$9, 100%, $E$9)</f>
        <v>4.6913</v>
      </c>
      <c r="O53" s="17">
        <f>CHOOSE(CONTROL!$C$42, 4.9525, 4.9525) * CHOOSE(CONTROL!$C$21, $C$9, 100%, $E$9)</f>
        <v>4.9524999999999997</v>
      </c>
      <c r="P53" s="17">
        <f>CHOOSE(CONTROL!$C$42, 4.7123, 4.7123) * CHOOSE(CONTROL!$C$21, $C$9, 100%, $E$9)</f>
        <v>4.7122999999999999</v>
      </c>
      <c r="Q53" s="17">
        <f>CHOOSE(CONTROL!$C$42, 5.5472, 5.5472) * CHOOSE(CONTROL!$C$21, $C$9, 100%, $E$9)</f>
        <v>5.5472000000000001</v>
      </c>
      <c r="R53" s="17">
        <f>CHOOSE(CONTROL!$C$42, 6.1481, 6.1481) * CHOOSE(CONTROL!$C$21, $C$9, 100%, $E$9)</f>
        <v>6.1481000000000003</v>
      </c>
      <c r="S53" s="17">
        <f>CHOOSE(CONTROL!$C$42, 4.5589, 4.5589) * CHOOSE(CONTROL!$C$21, $C$9, 100%, $E$9)</f>
        <v>4.5589000000000004</v>
      </c>
      <c r="T53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53" s="57">
        <f>(1000*CHOOSE(CONTROL!$C$42, 695, 695)*CHOOSE(CONTROL!$C$42, 0.5599, 0.5599)*CHOOSE(CONTROL!$C$42, 31, 31))/1000000</f>
        <v>12.063045499999998</v>
      </c>
      <c r="V53" s="57">
        <f>(1000*CHOOSE(CONTROL!$C$42, 580, 580)*CHOOSE(CONTROL!$C$42, 0.275, 0.275)*CHOOSE(CONTROL!$C$42, 31, 31))/1000000</f>
        <v>4.9444999999999997</v>
      </c>
      <c r="W53" s="57">
        <f>(1000*CHOOSE(CONTROL!$C$42, 0.0916, 0.0916)*CHOOSE(CONTROL!$C$42, 121.5, 121.5)*CHOOSE(CONTROL!$C$42, 31, 31))/1000000</f>
        <v>0.34501139999999997</v>
      </c>
      <c r="X53" s="57">
        <f>(31*0.1790888*145000/1000000)+(31*0.2374*100000/1000000)</f>
        <v>1.5409441560000001</v>
      </c>
      <c r="Y53" s="57"/>
      <c r="Z53" s="17"/>
      <c r="AA53" s="56"/>
      <c r="AB53" s="49">
        <f>(B53*194.205+C53*267.466+D53*133.845+E53*153.484+F53*40+G53*85+H53*0+I53*100+J53*300)/(194.205+267.466+133.845+153.484+0+40+85+100+300)</f>
        <v>4.7804670205651494</v>
      </c>
      <c r="AC53" s="46">
        <f>(M53*'RAP TEMPLATE-GAS AVAILABILITY'!O52+N53*'RAP TEMPLATE-GAS AVAILABILITY'!P52+O53*'RAP TEMPLATE-GAS AVAILABILITY'!Q52+P53*'RAP TEMPLATE-GAS AVAILABILITY'!R52)/('RAP TEMPLATE-GAS AVAILABILITY'!O52+'RAP TEMPLATE-GAS AVAILABILITY'!P52+'RAP TEMPLATE-GAS AVAILABILITY'!Q52+'RAP TEMPLATE-GAS AVAILABILITY'!R52)</f>
        <v>4.7620827338129494</v>
      </c>
    </row>
    <row r="54" spans="1:29" ht="15.75" x14ac:dyDescent="0.25">
      <c r="A54" s="16">
        <v>42522</v>
      </c>
      <c r="B54" s="17">
        <f>CHOOSE(CONTROL!$C$42, 4.8565, 4.8565) * CHOOSE(CONTROL!$C$21, $C$9, 100%, $E$9)</f>
        <v>4.8564999999999996</v>
      </c>
      <c r="C54" s="17">
        <f>CHOOSE(CONTROL!$C$42, 4.8645, 4.8645) * CHOOSE(CONTROL!$C$21, $C$9, 100%, $E$9)</f>
        <v>4.8644999999999996</v>
      </c>
      <c r="D54" s="17">
        <f>CHOOSE(CONTROL!$C$42, 5.1142, 5.1142) * CHOOSE(CONTROL!$C$21, $C$9, 100%, $E$9)</f>
        <v>5.1142000000000003</v>
      </c>
      <c r="E54" s="17">
        <f>CHOOSE(CONTROL!$C$42, 5.1453, 5.1453) * CHOOSE(CONTROL!$C$21, $C$9, 100%, $E$9)</f>
        <v>5.1452999999999998</v>
      </c>
      <c r="F54" s="17">
        <f>CHOOSE(CONTROL!$C$42, 4.8617, 4.8617)*CHOOSE(CONTROL!$C$21, $C$9, 100%, $E$9)</f>
        <v>4.8616999999999999</v>
      </c>
      <c r="G54" s="17">
        <f>CHOOSE(CONTROL!$C$42, 4.878, 4.878)*CHOOSE(CONTROL!$C$21, $C$9, 100%, $E$9)</f>
        <v>4.8780000000000001</v>
      </c>
      <c r="H54" s="17">
        <f>CHOOSE(CONTROL!$C$42, 5.1337, 5.1337) * CHOOSE(CONTROL!$C$21, $C$9, 100%, $E$9)</f>
        <v>5.1337000000000002</v>
      </c>
      <c r="I54" s="17">
        <f>CHOOSE(CONTROL!$C$42, 4.8918, 4.8918)* CHOOSE(CONTROL!$C$21, $C$9, 100%, $E$9)</f>
        <v>4.8917999999999999</v>
      </c>
      <c r="J54" s="17">
        <f>CHOOSE(CONTROL!$C$42, 4.8543, 4.8543)* CHOOSE(CONTROL!$C$21, $C$9, 100%, $E$9)</f>
        <v>4.8543000000000003</v>
      </c>
      <c r="K54" s="53"/>
      <c r="L54" s="17">
        <f>CHOOSE(CONTROL!$C$42, 5.7207, 5.7207) * CHOOSE(CONTROL!$C$21, $C$9, 100%, $E$9)</f>
        <v>5.7206999999999999</v>
      </c>
      <c r="M54" s="17">
        <f>CHOOSE(CONTROL!$C$42, 4.8177, 4.8177) * CHOOSE(CONTROL!$C$21, $C$9, 100%, $E$9)</f>
        <v>4.8177000000000003</v>
      </c>
      <c r="N54" s="17">
        <f>CHOOSE(CONTROL!$C$42, 4.8338, 4.8338) * CHOOSE(CONTROL!$C$21, $C$9, 100%, $E$9)</f>
        <v>4.8338000000000001</v>
      </c>
      <c r="O54" s="17">
        <f>CHOOSE(CONTROL!$C$42, 5.0945, 5.0945) * CHOOSE(CONTROL!$C$21, $C$9, 100%, $E$9)</f>
        <v>5.0945</v>
      </c>
      <c r="P54" s="17">
        <f>CHOOSE(CONTROL!$C$42, 4.8548, 4.8548) * CHOOSE(CONTROL!$C$21, $C$9, 100%, $E$9)</f>
        <v>4.8548</v>
      </c>
      <c r="Q54" s="17">
        <f>CHOOSE(CONTROL!$C$42, 5.6892, 5.6892) * CHOOSE(CONTROL!$C$21, $C$9, 100%, $E$9)</f>
        <v>5.6891999999999996</v>
      </c>
      <c r="R54" s="17">
        <f>CHOOSE(CONTROL!$C$42, 6.2904, 6.2904) * CHOOSE(CONTROL!$C$21, $C$9, 100%, $E$9)</f>
        <v>6.2904</v>
      </c>
      <c r="S54" s="17">
        <f>CHOOSE(CONTROL!$C$42, 4.6978, 4.6978) * CHOOSE(CONTROL!$C$21, $C$9, 100%, $E$9)</f>
        <v>4.6978</v>
      </c>
      <c r="T54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54" s="57">
        <f>(1000*CHOOSE(CONTROL!$C$42, 695, 695)*CHOOSE(CONTROL!$C$42, 0.5599, 0.5599)*CHOOSE(CONTROL!$C$42, 30, 30))/1000000</f>
        <v>11.673914999999997</v>
      </c>
      <c r="V54" s="57">
        <f>(1000*CHOOSE(CONTROL!$C$42, 580, 580)*CHOOSE(CONTROL!$C$42, 0.275, 0.275)*CHOOSE(CONTROL!$C$42, 30, 30))/1000000</f>
        <v>4.7850000000000001</v>
      </c>
      <c r="W54" s="57">
        <f>(1000*CHOOSE(CONTROL!$C$42, 0.0916, 0.0916)*CHOOSE(CONTROL!$C$42, 121.5, 121.5)*CHOOSE(CONTROL!$C$42, 30, 30))/1000000</f>
        <v>0.33388200000000001</v>
      </c>
      <c r="X54" s="57">
        <f>(30*0.1790888*145000/1000000)+(30*0.2374*100000/1000000)</f>
        <v>1.4912362799999999</v>
      </c>
      <c r="Y54" s="57"/>
      <c r="Z54" s="17"/>
      <c r="AA54" s="56"/>
      <c r="AB54" s="49">
        <f>(B54*194.205+C54*267.466+D54*133.845+E54*153.484+F54*40+G54*85+H54*0+I54*100+J54*300)/(194.205+267.466+133.845+153.484+0+40+85+100+300)</f>
        <v>4.9238965963108319</v>
      </c>
      <c r="AC54" s="46">
        <f>(M54*'RAP TEMPLATE-GAS AVAILABILITY'!O53+N54*'RAP TEMPLATE-GAS AVAILABILITY'!P53+O54*'RAP TEMPLATE-GAS AVAILABILITY'!Q53+P54*'RAP TEMPLATE-GAS AVAILABILITY'!R53)/('RAP TEMPLATE-GAS AVAILABILITY'!O53+'RAP TEMPLATE-GAS AVAILABILITY'!P53+'RAP TEMPLATE-GAS AVAILABILITY'!Q53+'RAP TEMPLATE-GAS AVAILABILITY'!R53)</f>
        <v>4.9044079136690648</v>
      </c>
    </row>
    <row r="55" spans="1:29" ht="15.75" x14ac:dyDescent="0.25">
      <c r="A55" s="16">
        <v>42552</v>
      </c>
      <c r="B55" s="17">
        <f>CHOOSE(CONTROL!$C$42, 4.7734, 4.7734) * CHOOSE(CONTROL!$C$21, $C$9, 100%, $E$9)</f>
        <v>4.7733999999999996</v>
      </c>
      <c r="C55" s="17">
        <f>CHOOSE(CONTROL!$C$42, 4.7814, 4.7814) * CHOOSE(CONTROL!$C$21, $C$9, 100%, $E$9)</f>
        <v>4.7813999999999997</v>
      </c>
      <c r="D55" s="17">
        <f>CHOOSE(CONTROL!$C$42, 5.031, 5.031) * CHOOSE(CONTROL!$C$21, $C$9, 100%, $E$9)</f>
        <v>5.0309999999999997</v>
      </c>
      <c r="E55" s="17">
        <f>CHOOSE(CONTROL!$C$42, 5.0622, 5.0622) * CHOOSE(CONTROL!$C$21, $C$9, 100%, $E$9)</f>
        <v>5.0621999999999998</v>
      </c>
      <c r="F55" s="17">
        <f>CHOOSE(CONTROL!$C$42, 4.7791, 4.7791)*CHOOSE(CONTROL!$C$21, $C$9, 100%, $E$9)</f>
        <v>4.7790999999999997</v>
      </c>
      <c r="G55" s="17">
        <f>CHOOSE(CONTROL!$C$42, 4.7955, 4.7955)*CHOOSE(CONTROL!$C$21, $C$9, 100%, $E$9)</f>
        <v>4.7954999999999997</v>
      </c>
      <c r="H55" s="17">
        <f>CHOOSE(CONTROL!$C$42, 5.0505, 5.0505) * CHOOSE(CONTROL!$C$21, $C$9, 100%, $E$9)</f>
        <v>5.0505000000000004</v>
      </c>
      <c r="I55" s="17">
        <f>CHOOSE(CONTROL!$C$42, 4.8084, 4.8084)* CHOOSE(CONTROL!$C$21, $C$9, 100%, $E$9)</f>
        <v>4.8083999999999998</v>
      </c>
      <c r="J55" s="17">
        <f>CHOOSE(CONTROL!$C$42, 4.7717, 4.7717)* CHOOSE(CONTROL!$C$21, $C$9, 100%, $E$9)</f>
        <v>4.7717000000000001</v>
      </c>
      <c r="K55" s="53"/>
      <c r="L55" s="17">
        <f>CHOOSE(CONTROL!$C$42, 5.6375, 5.6375) * CHOOSE(CONTROL!$C$21, $C$9, 100%, $E$9)</f>
        <v>5.6375000000000002</v>
      </c>
      <c r="M55" s="17">
        <f>CHOOSE(CONTROL!$C$42, 4.7358, 4.7358) * CHOOSE(CONTROL!$C$21, $C$9, 100%, $E$9)</f>
        <v>4.7358000000000002</v>
      </c>
      <c r="N55" s="17">
        <f>CHOOSE(CONTROL!$C$42, 4.752, 4.752) * CHOOSE(CONTROL!$C$21, $C$9, 100%, $E$9)</f>
        <v>4.7519999999999998</v>
      </c>
      <c r="O55" s="17">
        <f>CHOOSE(CONTROL!$C$42, 5.0121, 5.0121) * CHOOSE(CONTROL!$C$21, $C$9, 100%, $E$9)</f>
        <v>5.0121000000000002</v>
      </c>
      <c r="P55" s="17">
        <f>CHOOSE(CONTROL!$C$42, 4.7721, 4.7721) * CHOOSE(CONTROL!$C$21, $C$9, 100%, $E$9)</f>
        <v>4.7721</v>
      </c>
      <c r="Q55" s="17">
        <f>CHOOSE(CONTROL!$C$42, 5.6068, 5.6068) * CHOOSE(CONTROL!$C$21, $C$9, 100%, $E$9)</f>
        <v>5.6067999999999998</v>
      </c>
      <c r="R55" s="17">
        <f>CHOOSE(CONTROL!$C$42, 6.2078, 6.2078) * CHOOSE(CONTROL!$C$21, $C$9, 100%, $E$9)</f>
        <v>6.2077999999999998</v>
      </c>
      <c r="S55" s="17">
        <f>CHOOSE(CONTROL!$C$42, 4.6172, 4.6172) * CHOOSE(CONTROL!$C$21, $C$9, 100%, $E$9)</f>
        <v>4.6172000000000004</v>
      </c>
      <c r="T55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55" s="57">
        <f>(1000*CHOOSE(CONTROL!$C$42, 695, 695)*CHOOSE(CONTROL!$C$42, 0.5599, 0.5599)*CHOOSE(CONTROL!$C$42, 31, 31))/1000000</f>
        <v>12.063045499999998</v>
      </c>
      <c r="V55" s="57">
        <f>(1000*CHOOSE(CONTROL!$C$42, 580, 580)*CHOOSE(CONTROL!$C$42, 0.275, 0.275)*CHOOSE(CONTROL!$C$42, 31, 31))/1000000</f>
        <v>4.9444999999999997</v>
      </c>
      <c r="W55" s="57">
        <f>(1000*CHOOSE(CONTROL!$C$42, 0.0916, 0.0916)*CHOOSE(CONTROL!$C$42, 121.5, 121.5)*CHOOSE(CONTROL!$C$42, 31, 31))/1000000</f>
        <v>0.34501139999999997</v>
      </c>
      <c r="X55" s="57">
        <f>(31*0.1790888*145000/1000000)+(31*0.2374*100000/1000000)</f>
        <v>1.5409441560000001</v>
      </c>
      <c r="Y55" s="57"/>
      <c r="Z55" s="17"/>
      <c r="AA55" s="56"/>
      <c r="AB55" s="49">
        <f>(B55*194.205+C55*267.466+D55*133.845+E55*153.484+F55*40+G55*85+H55*0+I55*100+J55*300)/(194.205+267.466+133.845+153.484+0+40+85+100+300)</f>
        <v>4.8409360119309266</v>
      </c>
      <c r="AC55" s="46">
        <f>(M55*'RAP TEMPLATE-GAS AVAILABILITY'!O54+N55*'RAP TEMPLATE-GAS AVAILABILITY'!P54+O55*'RAP TEMPLATE-GAS AVAILABILITY'!Q54+P55*'RAP TEMPLATE-GAS AVAILABILITY'!R54)/('RAP TEMPLATE-GAS AVAILABILITY'!O54+'RAP TEMPLATE-GAS AVAILABILITY'!P54+'RAP TEMPLATE-GAS AVAILABILITY'!Q54+'RAP TEMPLATE-GAS AVAILABILITY'!R54)</f>
        <v>4.822275539568345</v>
      </c>
    </row>
    <row r="56" spans="1:29" ht="15.75" x14ac:dyDescent="0.25">
      <c r="A56" s="16">
        <v>42583</v>
      </c>
      <c r="B56" s="17">
        <f>CHOOSE(CONTROL!$C$42, 4.5476, 4.5476) * CHOOSE(CONTROL!$C$21, $C$9, 100%, $E$9)</f>
        <v>4.5476000000000001</v>
      </c>
      <c r="C56" s="17">
        <f>CHOOSE(CONTROL!$C$42, 4.5556, 4.5556) * CHOOSE(CONTROL!$C$21, $C$9, 100%, $E$9)</f>
        <v>4.5556000000000001</v>
      </c>
      <c r="D56" s="17">
        <f>CHOOSE(CONTROL!$C$42, 4.8052, 4.8052) * CHOOSE(CONTROL!$C$21, $C$9, 100%, $E$9)</f>
        <v>4.8052000000000001</v>
      </c>
      <c r="E56" s="17">
        <f>CHOOSE(CONTROL!$C$42, 4.8364, 4.8364) * CHOOSE(CONTROL!$C$21, $C$9, 100%, $E$9)</f>
        <v>4.8364000000000003</v>
      </c>
      <c r="F56" s="17">
        <f>CHOOSE(CONTROL!$C$42, 4.5535, 4.5535)*CHOOSE(CONTROL!$C$21, $C$9, 100%, $E$9)</f>
        <v>4.5534999999999997</v>
      </c>
      <c r="G56" s="17">
        <f>CHOOSE(CONTROL!$C$42, 4.57, 4.57)*CHOOSE(CONTROL!$C$21, $C$9, 100%, $E$9)</f>
        <v>4.57</v>
      </c>
      <c r="H56" s="17">
        <f>CHOOSE(CONTROL!$C$42, 4.8247, 4.8247) * CHOOSE(CONTROL!$C$21, $C$9, 100%, $E$9)</f>
        <v>4.8247</v>
      </c>
      <c r="I56" s="17">
        <f>CHOOSE(CONTROL!$C$42, 4.5819, 4.5819)* CHOOSE(CONTROL!$C$21, $C$9, 100%, $E$9)</f>
        <v>4.5819000000000001</v>
      </c>
      <c r="J56" s="17">
        <f>CHOOSE(CONTROL!$C$42, 4.5461, 4.5461)* CHOOSE(CONTROL!$C$21, $C$9, 100%, $E$9)</f>
        <v>4.5461</v>
      </c>
      <c r="K56" s="53"/>
      <c r="L56" s="17">
        <f>CHOOSE(CONTROL!$C$42, 5.4117, 5.4117) * CHOOSE(CONTROL!$C$21, $C$9, 100%, $E$9)</f>
        <v>5.4116999999999997</v>
      </c>
      <c r="M56" s="17">
        <f>CHOOSE(CONTROL!$C$42, 4.5123, 4.5123) * CHOOSE(CONTROL!$C$21, $C$9, 100%, $E$9)</f>
        <v>4.5122999999999998</v>
      </c>
      <c r="N56" s="17">
        <f>CHOOSE(CONTROL!$C$42, 4.5285, 4.5285) * CHOOSE(CONTROL!$C$21, $C$9, 100%, $E$9)</f>
        <v>4.5285000000000002</v>
      </c>
      <c r="O56" s="17">
        <f>CHOOSE(CONTROL!$C$42, 4.7883, 4.7883) * CHOOSE(CONTROL!$C$21, $C$9, 100%, $E$9)</f>
        <v>4.7882999999999996</v>
      </c>
      <c r="P56" s="17">
        <f>CHOOSE(CONTROL!$C$42, 4.5476, 4.5476) * CHOOSE(CONTROL!$C$21, $C$9, 100%, $E$9)</f>
        <v>4.5476000000000001</v>
      </c>
      <c r="Q56" s="17">
        <f>CHOOSE(CONTROL!$C$42, 5.383, 5.383) * CHOOSE(CONTROL!$C$21, $C$9, 100%, $E$9)</f>
        <v>5.383</v>
      </c>
      <c r="R56" s="17">
        <f>CHOOSE(CONTROL!$C$42, 5.9835, 5.9835) * CHOOSE(CONTROL!$C$21, $C$9, 100%, $E$9)</f>
        <v>5.9835000000000003</v>
      </c>
      <c r="S56" s="17">
        <f>CHOOSE(CONTROL!$C$42, 4.3982, 4.3982) * CHOOSE(CONTROL!$C$21, $C$9, 100%, $E$9)</f>
        <v>4.3982000000000001</v>
      </c>
      <c r="T56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56" s="57">
        <f>(1000*CHOOSE(CONTROL!$C$42, 695, 695)*CHOOSE(CONTROL!$C$42, 0.5599, 0.5599)*CHOOSE(CONTROL!$C$42, 31, 31))/1000000</f>
        <v>12.063045499999998</v>
      </c>
      <c r="V56" s="57">
        <f>(1000*CHOOSE(CONTROL!$C$42, 580, 580)*CHOOSE(CONTROL!$C$42, 0.275, 0.275)*CHOOSE(CONTROL!$C$42, 31, 31))/1000000</f>
        <v>4.9444999999999997</v>
      </c>
      <c r="W56" s="57">
        <f>(1000*CHOOSE(CONTROL!$C$42, 0.0916, 0.0916)*CHOOSE(CONTROL!$C$42, 121.5, 121.5)*CHOOSE(CONTROL!$C$42, 31, 31))/1000000</f>
        <v>0.34501139999999997</v>
      </c>
      <c r="X56" s="57">
        <f>(31*0.1790888*145000/1000000)+(31*0.2374*100000/1000000)</f>
        <v>1.5409441560000001</v>
      </c>
      <c r="Y56" s="57"/>
      <c r="Z56" s="17"/>
      <c r="AA56" s="56"/>
      <c r="AB56" s="49">
        <f>(B56*194.205+C56*267.466+D56*133.845+E56*153.484+F56*40+G56*85+H56*0+I56*100+J56*300)/(194.205+267.466+133.845+153.484+0+40+85+100+300)</f>
        <v>4.6151544577708004</v>
      </c>
      <c r="AC56" s="46">
        <f>(M56*'RAP TEMPLATE-GAS AVAILABILITY'!O55+N56*'RAP TEMPLATE-GAS AVAILABILITY'!P55+O56*'RAP TEMPLATE-GAS AVAILABILITY'!Q55+P56*'RAP TEMPLATE-GAS AVAILABILITY'!R55)/('RAP TEMPLATE-GAS AVAILABILITY'!O55+'RAP TEMPLATE-GAS AVAILABILITY'!P55+'RAP TEMPLATE-GAS AVAILABILITY'!Q55+'RAP TEMPLATE-GAS AVAILABILITY'!R55)</f>
        <v>4.5985474820143883</v>
      </c>
    </row>
    <row r="57" spans="1:29" ht="15.75" x14ac:dyDescent="0.25">
      <c r="A57" s="16">
        <v>42614</v>
      </c>
      <c r="B57" s="17">
        <f>CHOOSE(CONTROL!$C$42, 4.2682, 4.2682) * CHOOSE(CONTROL!$C$21, $C$9, 100%, $E$9)</f>
        <v>4.2682000000000002</v>
      </c>
      <c r="C57" s="17">
        <f>CHOOSE(CONTROL!$C$42, 4.2762, 4.2762) * CHOOSE(CONTROL!$C$21, $C$9, 100%, $E$9)</f>
        <v>4.2762000000000002</v>
      </c>
      <c r="D57" s="17">
        <f>CHOOSE(CONTROL!$C$42, 4.5258, 4.5258) * CHOOSE(CONTROL!$C$21, $C$9, 100%, $E$9)</f>
        <v>4.5258000000000003</v>
      </c>
      <c r="E57" s="17">
        <f>CHOOSE(CONTROL!$C$42, 4.557, 4.557) * CHOOSE(CONTROL!$C$21, $C$9, 100%, $E$9)</f>
        <v>4.5570000000000004</v>
      </c>
      <c r="F57" s="17">
        <f>CHOOSE(CONTROL!$C$42, 4.2742, 4.2742)*CHOOSE(CONTROL!$C$21, $C$9, 100%, $E$9)</f>
        <v>4.2742000000000004</v>
      </c>
      <c r="G57" s="17">
        <f>CHOOSE(CONTROL!$C$42, 4.2906, 4.2906)*CHOOSE(CONTROL!$C$21, $C$9, 100%, $E$9)</f>
        <v>4.2906000000000004</v>
      </c>
      <c r="H57" s="17">
        <f>CHOOSE(CONTROL!$C$42, 4.5453, 4.5453) * CHOOSE(CONTROL!$C$21, $C$9, 100%, $E$9)</f>
        <v>4.5453000000000001</v>
      </c>
      <c r="I57" s="17">
        <f>CHOOSE(CONTROL!$C$42, 4.3017, 4.3017)* CHOOSE(CONTROL!$C$21, $C$9, 100%, $E$9)</f>
        <v>4.3017000000000003</v>
      </c>
      <c r="J57" s="17">
        <f>CHOOSE(CONTROL!$C$42, 4.2668, 4.2668)* CHOOSE(CONTROL!$C$21, $C$9, 100%, $E$9)</f>
        <v>4.2667999999999999</v>
      </c>
      <c r="K57" s="53"/>
      <c r="L57" s="17">
        <f>CHOOSE(CONTROL!$C$42, 5.1323, 5.1323) * CHOOSE(CONTROL!$C$21, $C$9, 100%, $E$9)</f>
        <v>5.1322999999999999</v>
      </c>
      <c r="M57" s="17">
        <f>CHOOSE(CONTROL!$C$42, 4.2354, 4.2354) * CHOOSE(CONTROL!$C$21, $C$9, 100%, $E$9)</f>
        <v>4.2354000000000003</v>
      </c>
      <c r="N57" s="17">
        <f>CHOOSE(CONTROL!$C$42, 4.2517, 4.2517) * CHOOSE(CONTROL!$C$21, $C$9, 100%, $E$9)</f>
        <v>4.2516999999999996</v>
      </c>
      <c r="O57" s="17">
        <f>CHOOSE(CONTROL!$C$42, 4.5114, 4.5114) * CHOOSE(CONTROL!$C$21, $C$9, 100%, $E$9)</f>
        <v>4.5114000000000001</v>
      </c>
      <c r="P57" s="17">
        <f>CHOOSE(CONTROL!$C$42, 4.2699, 4.2699) * CHOOSE(CONTROL!$C$21, $C$9, 100%, $E$9)</f>
        <v>4.2698999999999998</v>
      </c>
      <c r="Q57" s="17">
        <f>CHOOSE(CONTROL!$C$42, 5.1061, 5.1061) * CHOOSE(CONTROL!$C$21, $C$9, 100%, $E$9)</f>
        <v>5.1060999999999996</v>
      </c>
      <c r="R57" s="17">
        <f>CHOOSE(CONTROL!$C$42, 5.7059, 5.7059) * CHOOSE(CONTROL!$C$21, $C$9, 100%, $E$9)</f>
        <v>5.7058999999999997</v>
      </c>
      <c r="S57" s="17">
        <f>CHOOSE(CONTROL!$C$42, 4.1273, 4.1273) * CHOOSE(CONTROL!$C$21, $C$9, 100%, $E$9)</f>
        <v>4.1273</v>
      </c>
      <c r="T57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57" s="57">
        <f>(1000*CHOOSE(CONTROL!$C$42, 695, 695)*CHOOSE(CONTROL!$C$42, 0.5599, 0.5599)*CHOOSE(CONTROL!$C$42, 30, 30))/1000000</f>
        <v>11.673914999999997</v>
      </c>
      <c r="V57" s="57">
        <f>(1000*CHOOSE(CONTROL!$C$42, 580, 580)*CHOOSE(CONTROL!$C$42, 0.275, 0.275)*CHOOSE(CONTROL!$C$42, 30, 30))/1000000</f>
        <v>4.7850000000000001</v>
      </c>
      <c r="W57" s="57">
        <f>(1000*CHOOSE(CONTROL!$C$42, 0.0916, 0.0916)*CHOOSE(CONTROL!$C$42, 121.5, 121.5)*CHOOSE(CONTROL!$C$42, 30, 30))/1000000</f>
        <v>0.33388200000000001</v>
      </c>
      <c r="X57" s="57">
        <f>(30*0.1790888*145000/1000000)+(30*0.2374*100000/1000000)</f>
        <v>1.4912362799999999</v>
      </c>
      <c r="Y57" s="57"/>
      <c r="Z57" s="17"/>
      <c r="AA57" s="56"/>
      <c r="AB57" s="49">
        <f>(B57*194.205+C57*267.466+D57*133.845+E57*153.484+F57*40+G57*85+H57*0+I57*100+J57*300)/(194.205+267.466+133.845+153.484+0+40+85+100+300)</f>
        <v>4.3357183510204083</v>
      </c>
      <c r="AC57" s="46">
        <f>(M57*'RAP TEMPLATE-GAS AVAILABILITY'!O56+N57*'RAP TEMPLATE-GAS AVAILABILITY'!P56+O57*'RAP TEMPLATE-GAS AVAILABILITY'!Q56+P57*'RAP TEMPLATE-GAS AVAILABILITY'!R56)/('RAP TEMPLATE-GAS AVAILABILITY'!O56+'RAP TEMPLATE-GAS AVAILABILITY'!P56+'RAP TEMPLATE-GAS AVAILABILITY'!Q56+'RAP TEMPLATE-GAS AVAILABILITY'!R56)</f>
        <v>4.3215553956834531</v>
      </c>
    </row>
    <row r="58" spans="1:29" ht="15.75" x14ac:dyDescent="0.25">
      <c r="A58" s="16">
        <v>42644</v>
      </c>
      <c r="B58" s="17">
        <f>CHOOSE(CONTROL!$C$42, 4.1887, 4.1887) * CHOOSE(CONTROL!$C$21, $C$9, 100%, $E$9)</f>
        <v>4.1886999999999999</v>
      </c>
      <c r="C58" s="17">
        <f>CHOOSE(CONTROL!$C$42, 4.194, 4.194) * CHOOSE(CONTROL!$C$21, $C$9, 100%, $E$9)</f>
        <v>4.194</v>
      </c>
      <c r="D58" s="17">
        <f>CHOOSE(CONTROL!$C$42, 4.4485, 4.4485) * CHOOSE(CONTROL!$C$21, $C$9, 100%, $E$9)</f>
        <v>4.4485000000000001</v>
      </c>
      <c r="E58" s="17">
        <f>CHOOSE(CONTROL!$C$42, 4.4774, 4.4774) * CHOOSE(CONTROL!$C$21, $C$9, 100%, $E$9)</f>
        <v>4.4774000000000003</v>
      </c>
      <c r="F58" s="17">
        <f>CHOOSE(CONTROL!$C$42, 4.1969, 4.1969)*CHOOSE(CONTROL!$C$21, $C$9, 100%, $E$9)</f>
        <v>4.1969000000000003</v>
      </c>
      <c r="G58" s="17">
        <f>CHOOSE(CONTROL!$C$42, 4.2132, 4.2132)*CHOOSE(CONTROL!$C$21, $C$9, 100%, $E$9)</f>
        <v>4.2131999999999996</v>
      </c>
      <c r="H58" s="17">
        <f>CHOOSE(CONTROL!$C$42, 4.4675, 4.4675) * CHOOSE(CONTROL!$C$21, $C$9, 100%, $E$9)</f>
        <v>4.4675000000000002</v>
      </c>
      <c r="I58" s="17">
        <f>CHOOSE(CONTROL!$C$42, 4.2236, 4.2236)* CHOOSE(CONTROL!$C$21, $C$9, 100%, $E$9)</f>
        <v>4.2236000000000002</v>
      </c>
      <c r="J58" s="17">
        <f>CHOOSE(CONTROL!$C$42, 4.1895, 4.1895)* CHOOSE(CONTROL!$C$21, $C$9, 100%, $E$9)</f>
        <v>4.1894999999999998</v>
      </c>
      <c r="K58" s="53"/>
      <c r="L58" s="17">
        <f>CHOOSE(CONTROL!$C$42, 5.0545, 5.0545) * CHOOSE(CONTROL!$C$21, $C$9, 100%, $E$9)</f>
        <v>5.0545</v>
      </c>
      <c r="M58" s="17">
        <f>CHOOSE(CONTROL!$C$42, 4.1588, 4.1588) * CHOOSE(CONTROL!$C$21, $C$9, 100%, $E$9)</f>
        <v>4.1588000000000003</v>
      </c>
      <c r="N58" s="17">
        <f>CHOOSE(CONTROL!$C$42, 4.175, 4.175) * CHOOSE(CONTROL!$C$21, $C$9, 100%, $E$9)</f>
        <v>4.1749999999999998</v>
      </c>
      <c r="O58" s="17">
        <f>CHOOSE(CONTROL!$C$42, 4.4343, 4.4343) * CHOOSE(CONTROL!$C$21, $C$9, 100%, $E$9)</f>
        <v>4.4343000000000004</v>
      </c>
      <c r="P58" s="17">
        <f>CHOOSE(CONTROL!$C$42, 4.1926, 4.1926) * CHOOSE(CONTROL!$C$21, $C$9, 100%, $E$9)</f>
        <v>4.1925999999999997</v>
      </c>
      <c r="Q58" s="17">
        <f>CHOOSE(CONTROL!$C$42, 5.029, 5.029) * CHOOSE(CONTROL!$C$21, $C$9, 100%, $E$9)</f>
        <v>5.0289999999999999</v>
      </c>
      <c r="R58" s="17">
        <f>CHOOSE(CONTROL!$C$42, 5.6286, 5.6286) * CHOOSE(CONTROL!$C$21, $C$9, 100%, $E$9)</f>
        <v>5.6285999999999996</v>
      </c>
      <c r="S58" s="17">
        <f>CHOOSE(CONTROL!$C$42, 4.0518, 4.0518) * CHOOSE(CONTROL!$C$21, $C$9, 100%, $E$9)</f>
        <v>4.0518000000000001</v>
      </c>
      <c r="T58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58" s="57">
        <f>(1000*CHOOSE(CONTROL!$C$42, 695, 695)*CHOOSE(CONTROL!$C$42, 0.5599, 0.5599)*CHOOSE(CONTROL!$C$42, 31, 31))/1000000</f>
        <v>12.063045499999998</v>
      </c>
      <c r="V58" s="57">
        <f>(1000*CHOOSE(CONTROL!$C$42, 580, 580)*CHOOSE(CONTROL!$C$42, 0.275, 0.275)*CHOOSE(CONTROL!$C$42, 31, 31))/1000000</f>
        <v>4.9444999999999997</v>
      </c>
      <c r="W58" s="57">
        <f>(1000*CHOOSE(CONTROL!$C$42, 0.0916, 0.0916)*CHOOSE(CONTROL!$C$42, 121.5, 121.5)*CHOOSE(CONTROL!$C$42, 31, 31))/1000000</f>
        <v>0.34501139999999997</v>
      </c>
      <c r="X58" s="57">
        <f>(31*0.1790888*145000/1000000)+(31*0.2374*100000/1000000)</f>
        <v>1.5409441560000001</v>
      </c>
      <c r="Y58" s="57"/>
      <c r="Z58" s="17"/>
      <c r="AA58" s="56"/>
      <c r="AB58" s="49">
        <f>(B58*131.881+C58*277.167+D58*79.08+E58*225.872+F58*40+G58*85+H58*0+I58*100+J58*300)/(131.881+277.167+79.08+225.872+0+40+85+100+300)</f>
        <v>4.2640540883777245</v>
      </c>
      <c r="AC58" s="46">
        <f>(M58*'RAP TEMPLATE-GAS AVAILABILITY'!O57+N58*'RAP TEMPLATE-GAS AVAILABILITY'!P57+O58*'RAP TEMPLATE-GAS AVAILABILITY'!Q57+P58*'RAP TEMPLATE-GAS AVAILABILITY'!R57)/('RAP TEMPLATE-GAS AVAILABILITY'!O57+'RAP TEMPLATE-GAS AVAILABILITY'!P57+'RAP TEMPLATE-GAS AVAILABILITY'!Q57+'RAP TEMPLATE-GAS AVAILABILITY'!R57)</f>
        <v>4.2446913669064754</v>
      </c>
    </row>
    <row r="59" spans="1:29" ht="15.75" x14ac:dyDescent="0.25">
      <c r="A59" s="16">
        <v>42675</v>
      </c>
      <c r="B59" s="17">
        <f>CHOOSE(CONTROL!$C$42, 4.3072, 4.3072) * CHOOSE(CONTROL!$C$21, $C$9, 100%, $E$9)</f>
        <v>4.3071999999999999</v>
      </c>
      <c r="C59" s="17">
        <f>CHOOSE(CONTROL!$C$42, 4.3122, 4.3122) * CHOOSE(CONTROL!$C$21, $C$9, 100%, $E$9)</f>
        <v>4.3121999999999998</v>
      </c>
      <c r="D59" s="17">
        <f>CHOOSE(CONTROL!$C$42, 4.4348, 4.4348) * CHOOSE(CONTROL!$C$21, $C$9, 100%, $E$9)</f>
        <v>4.4348000000000001</v>
      </c>
      <c r="E59" s="17">
        <f>CHOOSE(CONTROL!$C$42, 4.4686, 4.4686) * CHOOSE(CONTROL!$C$21, $C$9, 100%, $E$9)</f>
        <v>4.4686000000000003</v>
      </c>
      <c r="F59" s="17">
        <f>CHOOSE(CONTROL!$C$42, 4.3222, 4.3222)*CHOOSE(CONTROL!$C$21, $C$9, 100%, $E$9)</f>
        <v>4.3221999999999996</v>
      </c>
      <c r="G59" s="17">
        <f>CHOOSE(CONTROL!$C$42, 4.3388, 4.3388)*CHOOSE(CONTROL!$C$21, $C$9, 100%, $E$9)</f>
        <v>4.3388</v>
      </c>
      <c r="H59" s="17">
        <f>CHOOSE(CONTROL!$C$42, 4.4575, 4.4575) * CHOOSE(CONTROL!$C$21, $C$9, 100%, $E$9)</f>
        <v>4.4574999999999996</v>
      </c>
      <c r="I59" s="17">
        <f>CHOOSE(CONTROL!$C$42, 4.3455, 4.3455)* CHOOSE(CONTROL!$C$21, $C$9, 100%, $E$9)</f>
        <v>4.3455000000000004</v>
      </c>
      <c r="J59" s="17">
        <f>CHOOSE(CONTROL!$C$42, 4.3148, 4.3148)* CHOOSE(CONTROL!$C$21, $C$9, 100%, $E$9)</f>
        <v>4.3148</v>
      </c>
      <c r="K59" s="53"/>
      <c r="L59" s="17">
        <f>CHOOSE(CONTROL!$C$42, 5.0445, 5.0445) * CHOOSE(CONTROL!$C$21, $C$9, 100%, $E$9)</f>
        <v>5.0445000000000002</v>
      </c>
      <c r="M59" s="17">
        <f>CHOOSE(CONTROL!$C$42, 4.283, 4.283) * CHOOSE(CONTROL!$C$21, $C$9, 100%, $E$9)</f>
        <v>4.2830000000000004</v>
      </c>
      <c r="N59" s="17">
        <f>CHOOSE(CONTROL!$C$42, 4.2995, 4.2995) * CHOOSE(CONTROL!$C$21, $C$9, 100%, $E$9)</f>
        <v>4.2995000000000001</v>
      </c>
      <c r="O59" s="17">
        <f>CHOOSE(CONTROL!$C$42, 4.4244, 4.4244) * CHOOSE(CONTROL!$C$21, $C$9, 100%, $E$9)</f>
        <v>4.4244000000000003</v>
      </c>
      <c r="P59" s="17">
        <f>CHOOSE(CONTROL!$C$42, 4.3133, 4.3133) * CHOOSE(CONTROL!$C$21, $C$9, 100%, $E$9)</f>
        <v>4.3132999999999999</v>
      </c>
      <c r="Q59" s="17">
        <f>CHOOSE(CONTROL!$C$42, 5.0191, 5.0191) * CHOOSE(CONTROL!$C$21, $C$9, 100%, $E$9)</f>
        <v>5.0190999999999999</v>
      </c>
      <c r="R59" s="17">
        <f>CHOOSE(CONTROL!$C$42, 5.6187, 5.6187) * CHOOSE(CONTROL!$C$21, $C$9, 100%, $E$9)</f>
        <v>5.6186999999999996</v>
      </c>
      <c r="S59" s="17">
        <f>CHOOSE(CONTROL!$C$42, 4.1671, 4.1671) * CHOOSE(CONTROL!$C$21, $C$9, 100%, $E$9)</f>
        <v>4.1670999999999996</v>
      </c>
      <c r="T59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59" s="57">
        <f>(1000*CHOOSE(CONTROL!$C$42, 695, 695)*CHOOSE(CONTROL!$C$42, 0.5599, 0.5599)*CHOOSE(CONTROL!$C$42, 30, 30))/1000000</f>
        <v>11.673914999999997</v>
      </c>
      <c r="V59" s="57">
        <f>(1000*CHOOSE(CONTROL!$C$42, 580, 580)*CHOOSE(CONTROL!$C$42, 0.275, 0.275)*CHOOSE(CONTROL!$C$42, 30, 30))/1000000</f>
        <v>4.7850000000000001</v>
      </c>
      <c r="W59" s="57">
        <f>(1000*CHOOSE(CONTROL!$C$42, 0.0916, 0.0916)*CHOOSE(CONTROL!$C$42, 121.5, 121.5)*CHOOSE(CONTROL!$C$42, 30, 30))/1000000</f>
        <v>0.33388200000000001</v>
      </c>
      <c r="X59" s="57">
        <f>(30*0.2374*100000/1000000)</f>
        <v>0.71220000000000006</v>
      </c>
      <c r="Y59" s="57"/>
      <c r="Z59" s="17"/>
      <c r="AA59" s="56"/>
      <c r="AB59" s="49">
        <f>(B59*122.58+C59*297.941+D59*89.177+E59*140.302+F59*40+G59*60+H59*0+I59*100+J59*300)/(122.58+297.941+89.177+140.302+0+40+60+100+300)</f>
        <v>4.3455647243478266</v>
      </c>
      <c r="AC59" s="46">
        <f>(M59*'RAP TEMPLATE-GAS AVAILABILITY'!O58+N59*'RAP TEMPLATE-GAS AVAILABILITY'!P58+O59*'RAP TEMPLATE-GAS AVAILABILITY'!Q58+P59*'RAP TEMPLATE-GAS AVAILABILITY'!R58)/('RAP TEMPLATE-GAS AVAILABILITY'!O58+'RAP TEMPLATE-GAS AVAILABILITY'!P58+'RAP TEMPLATE-GAS AVAILABILITY'!Q58+'RAP TEMPLATE-GAS AVAILABILITY'!R58)</f>
        <v>4.3523971223021585</v>
      </c>
    </row>
    <row r="60" spans="1:29" ht="15.75" x14ac:dyDescent="0.25">
      <c r="A60" s="16">
        <v>42705</v>
      </c>
      <c r="B60" s="17">
        <f>CHOOSE(CONTROL!$C$42, 4.6095, 4.6095) * CHOOSE(CONTROL!$C$21, $C$9, 100%, $E$9)</f>
        <v>4.6094999999999997</v>
      </c>
      <c r="C60" s="17">
        <f>CHOOSE(CONTROL!$C$42, 4.6146, 4.6146) * CHOOSE(CONTROL!$C$21, $C$9, 100%, $E$9)</f>
        <v>4.6146000000000003</v>
      </c>
      <c r="D60" s="17">
        <f>CHOOSE(CONTROL!$C$42, 4.7372, 4.7372) * CHOOSE(CONTROL!$C$21, $C$9, 100%, $E$9)</f>
        <v>4.7371999999999996</v>
      </c>
      <c r="E60" s="17">
        <f>CHOOSE(CONTROL!$C$42, 4.771, 4.771) * CHOOSE(CONTROL!$C$21, $C$9, 100%, $E$9)</f>
        <v>4.7709999999999999</v>
      </c>
      <c r="F60" s="17">
        <f>CHOOSE(CONTROL!$C$42, 4.627, 4.627)*CHOOSE(CONTROL!$C$21, $C$9, 100%, $E$9)</f>
        <v>4.6269999999999998</v>
      </c>
      <c r="G60" s="17">
        <f>CHOOSE(CONTROL!$C$42, 4.6443, 4.6443)*CHOOSE(CONTROL!$C$21, $C$9, 100%, $E$9)</f>
        <v>4.6443000000000003</v>
      </c>
      <c r="H60" s="17">
        <f>CHOOSE(CONTROL!$C$42, 4.7599, 4.7599) * CHOOSE(CONTROL!$C$21, $C$9, 100%, $E$9)</f>
        <v>4.7599</v>
      </c>
      <c r="I60" s="17">
        <f>CHOOSE(CONTROL!$C$42, 4.6488, 4.6488)* CHOOSE(CONTROL!$C$21, $C$9, 100%, $E$9)</f>
        <v>4.6487999999999996</v>
      </c>
      <c r="J60" s="17">
        <f>CHOOSE(CONTROL!$C$42, 4.6196, 4.6196)* CHOOSE(CONTROL!$C$21, $C$9, 100%, $E$9)</f>
        <v>4.6196000000000002</v>
      </c>
      <c r="K60" s="53"/>
      <c r="L60" s="17">
        <f>CHOOSE(CONTROL!$C$42, 5.3469, 5.3469) * CHOOSE(CONTROL!$C$21, $C$9, 100%, $E$9)</f>
        <v>5.3468999999999998</v>
      </c>
      <c r="M60" s="17">
        <f>CHOOSE(CONTROL!$C$42, 4.585, 4.585) * CHOOSE(CONTROL!$C$21, $C$9, 100%, $E$9)</f>
        <v>4.585</v>
      </c>
      <c r="N60" s="17">
        <f>CHOOSE(CONTROL!$C$42, 4.6022, 4.6022) * CHOOSE(CONTROL!$C$21, $C$9, 100%, $E$9)</f>
        <v>4.6021999999999998</v>
      </c>
      <c r="O60" s="17">
        <f>CHOOSE(CONTROL!$C$42, 4.7241, 4.7241) * CHOOSE(CONTROL!$C$21, $C$9, 100%, $E$9)</f>
        <v>4.7241</v>
      </c>
      <c r="P60" s="17">
        <f>CHOOSE(CONTROL!$C$42, 4.6139, 4.6139) * CHOOSE(CONTROL!$C$21, $C$9, 100%, $E$9)</f>
        <v>4.6139000000000001</v>
      </c>
      <c r="Q60" s="17">
        <f>CHOOSE(CONTROL!$C$42, 5.3188, 5.3188) * CHOOSE(CONTROL!$C$21, $C$9, 100%, $E$9)</f>
        <v>5.3188000000000004</v>
      </c>
      <c r="R60" s="17">
        <f>CHOOSE(CONTROL!$C$42, 5.9191, 5.9191) * CHOOSE(CONTROL!$C$21, $C$9, 100%, $E$9)</f>
        <v>5.9191000000000003</v>
      </c>
      <c r="S60" s="17">
        <f>CHOOSE(CONTROL!$C$42, 4.4604, 4.4604) * CHOOSE(CONTROL!$C$21, $C$9, 100%, $E$9)</f>
        <v>4.4603999999999999</v>
      </c>
      <c r="T60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60" s="57">
        <f>(1000*CHOOSE(CONTROL!$C$42, 695, 695)*CHOOSE(CONTROL!$C$42, 0.5599, 0.5599)*CHOOSE(CONTROL!$C$42, 31, 31))/1000000</f>
        <v>12.063045499999998</v>
      </c>
      <c r="V60" s="57">
        <f>(1000*CHOOSE(CONTROL!$C$42, 580, 580)*CHOOSE(CONTROL!$C$42, 0.275, 0.275)*CHOOSE(CONTROL!$C$42, 31, 31))/1000000</f>
        <v>4.9444999999999997</v>
      </c>
      <c r="W60" s="57">
        <f>(1000*CHOOSE(CONTROL!$C$42, 0.0916, 0.0916)*CHOOSE(CONTROL!$C$42, 121.5, 121.5)*CHOOSE(CONTROL!$C$42, 31, 31))/1000000</f>
        <v>0.34501139999999997</v>
      </c>
      <c r="X60" s="57">
        <f>(31*0.2374*100000/1000000)</f>
        <v>0.73594000000000004</v>
      </c>
      <c r="Y60" s="57"/>
      <c r="Z60" s="17"/>
      <c r="AA60" s="56"/>
      <c r="AB60" s="49">
        <f>(B60*122.58+C60*297.941+D60*89.177+E60*140.302+F60*40+G60*60+H60*0+I60*100+J60*300)/(122.58+297.941+89.177+140.302+0+40+60+100+300)</f>
        <v>4.6489036304347833</v>
      </c>
      <c r="AC60" s="46">
        <f>(M60*'RAP TEMPLATE-GAS AVAILABILITY'!O59+N60*'RAP TEMPLATE-GAS AVAILABILITY'!P59+O60*'RAP TEMPLATE-GAS AVAILABILITY'!Q59+P60*'RAP TEMPLATE-GAS AVAILABILITY'!R59)/('RAP TEMPLATE-GAS AVAILABILITY'!O59+'RAP TEMPLATE-GAS AVAILABILITY'!P59+'RAP TEMPLATE-GAS AVAILABILITY'!Q59+'RAP TEMPLATE-GAS AVAILABILITY'!R59)</f>
        <v>4.653193525179856</v>
      </c>
    </row>
    <row r="61" spans="1:29" ht="15.75" x14ac:dyDescent="0.25">
      <c r="A61" s="16">
        <v>42736</v>
      </c>
      <c r="B61" s="17">
        <f>CHOOSE(CONTROL!$C$42, 5.0732, 5.0732) * CHOOSE(CONTROL!$C$21, $C$9, 100%, $E$9)</f>
        <v>5.0731999999999999</v>
      </c>
      <c r="C61" s="17">
        <f>CHOOSE(CONTROL!$C$42, 5.0782, 5.0782) * CHOOSE(CONTROL!$C$21, $C$9, 100%, $E$9)</f>
        <v>5.0781999999999998</v>
      </c>
      <c r="D61" s="17">
        <f>CHOOSE(CONTROL!$C$42, 5.1957, 5.1957) * CHOOSE(CONTROL!$C$21, $C$9, 100%, $E$9)</f>
        <v>5.1957000000000004</v>
      </c>
      <c r="E61" s="17">
        <f>CHOOSE(CONTROL!$C$42, 5.2295, 5.2295) * CHOOSE(CONTROL!$C$21, $C$9, 100%, $E$9)</f>
        <v>5.2294999999999998</v>
      </c>
      <c r="F61" s="17">
        <f>CHOOSE(CONTROL!$C$42, 5.0868, 5.0868)*CHOOSE(CONTROL!$C$21, $C$9, 100%, $E$9)</f>
        <v>5.0868000000000002</v>
      </c>
      <c r="G61" s="17">
        <f>CHOOSE(CONTROL!$C$42, 5.1031, 5.1031)*CHOOSE(CONTROL!$C$21, $C$9, 100%, $E$9)</f>
        <v>5.1031000000000004</v>
      </c>
      <c r="H61" s="17">
        <f>CHOOSE(CONTROL!$C$42, 5.2183, 5.2183) * CHOOSE(CONTROL!$C$21, $C$9, 100%, $E$9)</f>
        <v>5.2183000000000002</v>
      </c>
      <c r="I61" s="17">
        <f>CHOOSE(CONTROL!$C$42, 5.1123, 5.1123)* CHOOSE(CONTROL!$C$21, $C$9, 100%, $E$9)</f>
        <v>5.1123000000000003</v>
      </c>
      <c r="J61" s="17">
        <f>CHOOSE(CONTROL!$C$42, 5.0794, 5.0794)* CHOOSE(CONTROL!$C$21, $C$9, 100%, $E$9)</f>
        <v>5.0793999999999997</v>
      </c>
      <c r="K61" s="53"/>
      <c r="L61" s="17">
        <f>CHOOSE(CONTROL!$C$42, 5.8053, 5.8053) * CHOOSE(CONTROL!$C$21, $C$9, 100%, $E$9)</f>
        <v>5.8052999999999999</v>
      </c>
      <c r="M61" s="17">
        <f>CHOOSE(CONTROL!$C$42, 5.0407, 5.0407) * CHOOSE(CONTROL!$C$21, $C$9, 100%, $E$9)</f>
        <v>5.0407000000000002</v>
      </c>
      <c r="N61" s="17">
        <f>CHOOSE(CONTROL!$C$42, 5.0569, 5.0569) * CHOOSE(CONTROL!$C$21, $C$9, 100%, $E$9)</f>
        <v>5.0568999999999997</v>
      </c>
      <c r="O61" s="17">
        <f>CHOOSE(CONTROL!$C$42, 5.1784, 5.1784) * CHOOSE(CONTROL!$C$21, $C$9, 100%, $E$9)</f>
        <v>5.1783999999999999</v>
      </c>
      <c r="P61" s="17">
        <f>CHOOSE(CONTROL!$C$42, 5.0732, 5.0732) * CHOOSE(CONTROL!$C$21, $C$9, 100%, $E$9)</f>
        <v>5.0731999999999999</v>
      </c>
      <c r="Q61" s="17">
        <f>CHOOSE(CONTROL!$C$42, 5.7731, 5.7731) * CHOOSE(CONTROL!$C$21, $C$9, 100%, $E$9)</f>
        <v>5.7731000000000003</v>
      </c>
      <c r="R61" s="17">
        <f>CHOOSE(CONTROL!$C$42, 6.3745, 6.3745) * CHOOSE(CONTROL!$C$21, $C$9, 100%, $E$9)</f>
        <v>6.3745000000000003</v>
      </c>
      <c r="S61" s="17">
        <f>CHOOSE(CONTROL!$C$42, 4.9099, 4.9099) * CHOOSE(CONTROL!$C$21, $C$9, 100%, $E$9)</f>
        <v>4.9099000000000004</v>
      </c>
      <c r="T61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61" s="57">
        <f>(1000*CHOOSE(CONTROL!$C$42, 695, 695)*CHOOSE(CONTROL!$C$42, 0.5599, 0.5599)*CHOOSE(CONTROL!$C$42, 31, 31))/1000000</f>
        <v>12.063045499999998</v>
      </c>
      <c r="V61" s="57">
        <f>(1000*CHOOSE(CONTROL!$C$42, 580, 580)*CHOOSE(CONTROL!$C$42, 0.275, 0.275)*CHOOSE(CONTROL!$C$42, 31, 31))/1000000</f>
        <v>4.9444999999999997</v>
      </c>
      <c r="W61" s="57">
        <f>(1000*CHOOSE(CONTROL!$C$42, 0.0916, 0.0916)*CHOOSE(CONTROL!$C$42, 121.5, 121.5)*CHOOSE(CONTROL!$C$42, 31, 31))/1000000</f>
        <v>0.34501139999999997</v>
      </c>
      <c r="X61" s="57">
        <f>(31*0.2374*100000/1000000)</f>
        <v>0.73594000000000004</v>
      </c>
      <c r="Y61" s="57"/>
      <c r="Z61" s="17"/>
      <c r="AA61" s="56"/>
      <c r="AB61" s="49">
        <f>(B61*122.58+C61*297.941+D61*89.177+E61*140.302+F61*40+G61*60+H61*0+I61*100+J61*300)/(122.58+297.941+89.177+140.302+0+40+60+100+300)</f>
        <v>5.1101139913913043</v>
      </c>
      <c r="AC61" s="46">
        <f>(M61*'RAP TEMPLATE-GAS AVAILABILITY'!O60+N61*'RAP TEMPLATE-GAS AVAILABILITY'!P60+O61*'RAP TEMPLATE-GAS AVAILABILITY'!Q60+P61*'RAP TEMPLATE-GAS AVAILABILITY'!R60)/('RAP TEMPLATE-GAS AVAILABILITY'!O60+'RAP TEMPLATE-GAS AVAILABILITY'!P60+'RAP TEMPLATE-GAS AVAILABILITY'!Q60+'RAP TEMPLATE-GAS AVAILABILITY'!R60)</f>
        <v>5.1087194244604319</v>
      </c>
    </row>
    <row r="62" spans="1:29" ht="15.75" x14ac:dyDescent="0.25">
      <c r="A62" s="16">
        <v>42767</v>
      </c>
      <c r="B62" s="17">
        <f>CHOOSE(CONTROL!$C$42, 5.1739, 5.1739) * CHOOSE(CONTROL!$C$21, $C$9, 100%, $E$9)</f>
        <v>5.1738999999999997</v>
      </c>
      <c r="C62" s="17">
        <f>CHOOSE(CONTROL!$C$42, 5.179, 5.179) * CHOOSE(CONTROL!$C$21, $C$9, 100%, $E$9)</f>
        <v>5.1790000000000003</v>
      </c>
      <c r="D62" s="17">
        <f>CHOOSE(CONTROL!$C$42, 5.2964, 5.2964) * CHOOSE(CONTROL!$C$21, $C$9, 100%, $E$9)</f>
        <v>5.2964000000000002</v>
      </c>
      <c r="E62" s="17">
        <f>CHOOSE(CONTROL!$C$42, 5.3302, 5.3302) * CHOOSE(CONTROL!$C$21, $C$9, 100%, $E$9)</f>
        <v>5.3301999999999996</v>
      </c>
      <c r="F62" s="17">
        <f>CHOOSE(CONTROL!$C$42, 5.1875, 5.1875)*CHOOSE(CONTROL!$C$21, $C$9, 100%, $E$9)</f>
        <v>5.1875</v>
      </c>
      <c r="G62" s="17">
        <f>CHOOSE(CONTROL!$C$42, 5.2038, 5.2038)*CHOOSE(CONTROL!$C$21, $C$9, 100%, $E$9)</f>
        <v>5.2038000000000002</v>
      </c>
      <c r="H62" s="17">
        <f>CHOOSE(CONTROL!$C$42, 5.3191, 5.3191) * CHOOSE(CONTROL!$C$21, $C$9, 100%, $E$9)</f>
        <v>5.3190999999999997</v>
      </c>
      <c r="I62" s="17">
        <f>CHOOSE(CONTROL!$C$42, 5.2133, 5.2133)* CHOOSE(CONTROL!$C$21, $C$9, 100%, $E$9)</f>
        <v>5.2133000000000003</v>
      </c>
      <c r="J62" s="17">
        <f>CHOOSE(CONTROL!$C$42, 5.1801, 5.1801)* CHOOSE(CONTROL!$C$21, $C$9, 100%, $E$9)</f>
        <v>5.1801000000000004</v>
      </c>
      <c r="K62" s="53"/>
      <c r="L62" s="17">
        <f>CHOOSE(CONTROL!$C$42, 5.9061, 5.9061) * CHOOSE(CONTROL!$C$21, $C$9, 100%, $E$9)</f>
        <v>5.9061000000000003</v>
      </c>
      <c r="M62" s="17">
        <f>CHOOSE(CONTROL!$C$42, 5.1405, 5.1405) * CHOOSE(CONTROL!$C$21, $C$9, 100%, $E$9)</f>
        <v>5.1405000000000003</v>
      </c>
      <c r="N62" s="17">
        <f>CHOOSE(CONTROL!$C$42, 5.1567, 5.1567) * CHOOSE(CONTROL!$C$21, $C$9, 100%, $E$9)</f>
        <v>5.1566999999999998</v>
      </c>
      <c r="O62" s="17">
        <f>CHOOSE(CONTROL!$C$42, 5.2782, 5.2782) * CHOOSE(CONTROL!$C$21, $C$9, 100%, $E$9)</f>
        <v>5.2782</v>
      </c>
      <c r="P62" s="17">
        <f>CHOOSE(CONTROL!$C$42, 5.1734, 5.1734) * CHOOSE(CONTROL!$C$21, $C$9, 100%, $E$9)</f>
        <v>5.1734</v>
      </c>
      <c r="Q62" s="17">
        <f>CHOOSE(CONTROL!$C$42, 5.8729, 5.8729) * CHOOSE(CONTROL!$C$21, $C$9, 100%, $E$9)</f>
        <v>5.8728999999999996</v>
      </c>
      <c r="R62" s="17">
        <f>CHOOSE(CONTROL!$C$42, 6.4746, 6.4746) * CHOOSE(CONTROL!$C$21, $C$9, 100%, $E$9)</f>
        <v>6.4745999999999997</v>
      </c>
      <c r="S62" s="17">
        <f>CHOOSE(CONTROL!$C$42, 5.0076, 5.0076) * CHOOSE(CONTROL!$C$21, $C$9, 100%, $E$9)</f>
        <v>5.0076000000000001</v>
      </c>
      <c r="T62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62" s="57">
        <f>(1000*CHOOSE(CONTROL!$C$42, 695, 695)*CHOOSE(CONTROL!$C$42, 0.5599, 0.5599)*CHOOSE(CONTROL!$C$42, 28, 28))/1000000</f>
        <v>10.895653999999999</v>
      </c>
      <c r="V62" s="57">
        <f>(1000*CHOOSE(CONTROL!$C$42, 580, 580)*CHOOSE(CONTROL!$C$42, 0.275, 0.275)*CHOOSE(CONTROL!$C$42, 28, 28))/1000000</f>
        <v>4.4660000000000002</v>
      </c>
      <c r="W62" s="57">
        <f>(1000*CHOOSE(CONTROL!$C$42, 0.0916, 0.0916)*CHOOSE(CONTROL!$C$42, 121.5, 121.5)*CHOOSE(CONTROL!$C$42, 28, 28))/1000000</f>
        <v>0.31162319999999999</v>
      </c>
      <c r="X62" s="57">
        <f>(28*0.2374*100000/1000000)</f>
        <v>0.66471999999999998</v>
      </c>
      <c r="Y62" s="57"/>
      <c r="Z62" s="17"/>
      <c r="AA62" s="56"/>
      <c r="AB62" s="49">
        <f>(B62*122.58+C62*297.941+D62*89.177+E62*140.302+F62*40+G62*60+H62*0+I62*100+J62*300)/(122.58+297.941+89.177+140.302+0+40+60+100+300)</f>
        <v>5.2108659862608695</v>
      </c>
      <c r="AC62" s="46">
        <f>(M62*'RAP TEMPLATE-GAS AVAILABILITY'!O61+N62*'RAP TEMPLATE-GAS AVAILABILITY'!P61+O62*'RAP TEMPLATE-GAS AVAILABILITY'!Q61+P62*'RAP TEMPLATE-GAS AVAILABILITY'!R61)/('RAP TEMPLATE-GAS AVAILABILITY'!O61+'RAP TEMPLATE-GAS AVAILABILITY'!P61+'RAP TEMPLATE-GAS AVAILABILITY'!Q61+'RAP TEMPLATE-GAS AVAILABILITY'!R61)</f>
        <v>5.2085769784172662</v>
      </c>
    </row>
    <row r="63" spans="1:29" ht="15.75" x14ac:dyDescent="0.25">
      <c r="A63" s="16">
        <v>42795</v>
      </c>
      <c r="B63" s="17">
        <f>CHOOSE(CONTROL!$C$42, 5.0376, 5.0376) * CHOOSE(CONTROL!$C$21, $C$9, 100%, $E$9)</f>
        <v>5.0376000000000003</v>
      </c>
      <c r="C63" s="17">
        <f>CHOOSE(CONTROL!$C$42, 5.0427, 5.0427) * CHOOSE(CONTROL!$C$21, $C$9, 100%, $E$9)</f>
        <v>5.0427</v>
      </c>
      <c r="D63" s="17">
        <f>CHOOSE(CONTROL!$C$42, 5.1602, 5.1602) * CHOOSE(CONTROL!$C$21, $C$9, 100%, $E$9)</f>
        <v>5.1601999999999997</v>
      </c>
      <c r="E63" s="17">
        <f>CHOOSE(CONTROL!$C$42, 5.1939, 5.1939) * CHOOSE(CONTROL!$C$21, $C$9, 100%, $E$9)</f>
        <v>5.1939000000000002</v>
      </c>
      <c r="F63" s="17">
        <f>CHOOSE(CONTROL!$C$42, 5.0506, 5.0506)*CHOOSE(CONTROL!$C$21, $C$9, 100%, $E$9)</f>
        <v>5.0506000000000002</v>
      </c>
      <c r="G63" s="17">
        <f>CHOOSE(CONTROL!$C$42, 5.0668, 5.0668)*CHOOSE(CONTROL!$C$21, $C$9, 100%, $E$9)</f>
        <v>5.0667999999999997</v>
      </c>
      <c r="H63" s="17">
        <f>CHOOSE(CONTROL!$C$42, 5.1828, 5.1828) * CHOOSE(CONTROL!$C$21, $C$9, 100%, $E$9)</f>
        <v>5.1828000000000003</v>
      </c>
      <c r="I63" s="17">
        <f>CHOOSE(CONTROL!$C$42, 5.0767, 5.0767)* CHOOSE(CONTROL!$C$21, $C$9, 100%, $E$9)</f>
        <v>5.0766999999999998</v>
      </c>
      <c r="J63" s="17">
        <f>CHOOSE(CONTROL!$C$42, 5.0432, 5.0432)* CHOOSE(CONTROL!$C$21, $C$9, 100%, $E$9)</f>
        <v>5.0431999999999997</v>
      </c>
      <c r="K63" s="53"/>
      <c r="L63" s="17">
        <f>CHOOSE(CONTROL!$C$42, 5.7698, 5.7698) * CHOOSE(CONTROL!$C$21, $C$9, 100%, $E$9)</f>
        <v>5.7698</v>
      </c>
      <c r="M63" s="17">
        <f>CHOOSE(CONTROL!$C$42, 5.0049, 5.0049) * CHOOSE(CONTROL!$C$21, $C$9, 100%, $E$9)</f>
        <v>5.0049000000000001</v>
      </c>
      <c r="N63" s="17">
        <f>CHOOSE(CONTROL!$C$42, 5.0209, 5.0209) * CHOOSE(CONTROL!$C$21, $C$9, 100%, $E$9)</f>
        <v>5.0209000000000001</v>
      </c>
      <c r="O63" s="17">
        <f>CHOOSE(CONTROL!$C$42, 5.1432, 5.1432) * CHOOSE(CONTROL!$C$21, $C$9, 100%, $E$9)</f>
        <v>5.1432000000000002</v>
      </c>
      <c r="P63" s="17">
        <f>CHOOSE(CONTROL!$C$42, 5.0379, 5.0379) * CHOOSE(CONTROL!$C$21, $C$9, 100%, $E$9)</f>
        <v>5.0378999999999996</v>
      </c>
      <c r="Q63" s="17">
        <f>CHOOSE(CONTROL!$C$42, 5.7379, 5.7379) * CHOOSE(CONTROL!$C$21, $C$9, 100%, $E$9)</f>
        <v>5.7378999999999998</v>
      </c>
      <c r="R63" s="17">
        <f>CHOOSE(CONTROL!$C$42, 6.3392, 6.3392) * CHOOSE(CONTROL!$C$21, $C$9, 100%, $E$9)</f>
        <v>6.3391999999999999</v>
      </c>
      <c r="S63" s="17">
        <f>CHOOSE(CONTROL!$C$42, 4.8755, 4.8755) * CHOOSE(CONTROL!$C$21, $C$9, 100%, $E$9)</f>
        <v>4.8754999999999997</v>
      </c>
      <c r="T63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63" s="57">
        <f>(1000*CHOOSE(CONTROL!$C$42, 695, 695)*CHOOSE(CONTROL!$C$42, 0.5599, 0.5599)*CHOOSE(CONTROL!$C$42, 31, 31))/1000000</f>
        <v>12.063045499999998</v>
      </c>
      <c r="V63" s="57">
        <f>(1000*CHOOSE(CONTROL!$C$42, 580, 580)*CHOOSE(CONTROL!$C$42, 0.275, 0.275)*CHOOSE(CONTROL!$C$42, 31, 31))/1000000</f>
        <v>4.9444999999999997</v>
      </c>
      <c r="W63" s="57">
        <f>(1000*CHOOSE(CONTROL!$C$42, 0.0916, 0.0916)*CHOOSE(CONTROL!$C$42, 121.5, 121.5)*CHOOSE(CONTROL!$C$42, 31, 31))/1000000</f>
        <v>0.34501139999999997</v>
      </c>
      <c r="X63" s="57">
        <f>(31*0.2374*100000/1000000)</f>
        <v>0.73594000000000004</v>
      </c>
      <c r="Y63" s="57"/>
      <c r="Z63" s="17"/>
      <c r="AA63" s="56"/>
      <c r="AB63" s="49">
        <f>(B63*122.58+C63*297.941+D63*89.177+E63*140.302+F63*40+G63*60+H63*0+I63*100+J63*300)/(122.58+297.941+89.177+140.302+0+40+60+100+300)</f>
        <v>5.0743337407826079</v>
      </c>
      <c r="AC63" s="46">
        <f>(M63*'RAP TEMPLATE-GAS AVAILABILITY'!O62+N63*'RAP TEMPLATE-GAS AVAILABILITY'!P62+O63*'RAP TEMPLATE-GAS AVAILABILITY'!Q62+P63*'RAP TEMPLATE-GAS AVAILABILITY'!R62)/('RAP TEMPLATE-GAS AVAILABILITY'!O62+'RAP TEMPLATE-GAS AVAILABILITY'!P62+'RAP TEMPLATE-GAS AVAILABILITY'!Q62+'RAP TEMPLATE-GAS AVAILABILITY'!R62)</f>
        <v>5.0732517985611505</v>
      </c>
    </row>
    <row r="64" spans="1:29" ht="15.75" x14ac:dyDescent="0.25">
      <c r="A64" s="16">
        <v>42826</v>
      </c>
      <c r="B64" s="17">
        <f>CHOOSE(CONTROL!$C$42, 5.0339, 5.0339) * CHOOSE(CONTROL!$C$21, $C$9, 100%, $E$9)</f>
        <v>5.0339</v>
      </c>
      <c r="C64" s="17">
        <f>CHOOSE(CONTROL!$C$42, 5.0384, 5.0384) * CHOOSE(CONTROL!$C$21, $C$9, 100%, $E$9)</f>
        <v>5.0384000000000002</v>
      </c>
      <c r="D64" s="17">
        <f>CHOOSE(CONTROL!$C$42, 5.2911, 5.2911) * CHOOSE(CONTROL!$C$21, $C$9, 100%, $E$9)</f>
        <v>5.2911000000000001</v>
      </c>
      <c r="E64" s="17">
        <f>CHOOSE(CONTROL!$C$42, 5.3229, 5.3229) * CHOOSE(CONTROL!$C$21, $C$9, 100%, $E$9)</f>
        <v>5.3228999999999997</v>
      </c>
      <c r="F64" s="17">
        <f>CHOOSE(CONTROL!$C$42, 5.0399, 5.0399)*CHOOSE(CONTROL!$C$21, $C$9, 100%, $E$9)</f>
        <v>5.0399000000000003</v>
      </c>
      <c r="G64" s="17">
        <f>CHOOSE(CONTROL!$C$42, 5.0557, 5.0557)*CHOOSE(CONTROL!$C$21, $C$9, 100%, $E$9)</f>
        <v>5.0556999999999999</v>
      </c>
      <c r="H64" s="17">
        <f>CHOOSE(CONTROL!$C$42, 5.3124, 5.3124) * CHOOSE(CONTROL!$C$21, $C$9, 100%, $E$9)</f>
        <v>5.3124000000000002</v>
      </c>
      <c r="I64" s="17">
        <f>CHOOSE(CONTROL!$C$42, 5.0711, 5.0711)* CHOOSE(CONTROL!$C$21, $C$9, 100%, $E$9)</f>
        <v>5.0711000000000004</v>
      </c>
      <c r="J64" s="17">
        <f>CHOOSE(CONTROL!$C$42, 5.0325, 5.0325)* CHOOSE(CONTROL!$C$21, $C$9, 100%, $E$9)</f>
        <v>5.0324999999999998</v>
      </c>
      <c r="K64" s="53"/>
      <c r="L64" s="17">
        <f>CHOOSE(CONTROL!$C$42, 5.8994, 5.8994) * CHOOSE(CONTROL!$C$21, $C$9, 100%, $E$9)</f>
        <v>5.8994</v>
      </c>
      <c r="M64" s="17">
        <f>CHOOSE(CONTROL!$C$42, 4.9942, 4.9942) * CHOOSE(CONTROL!$C$21, $C$9, 100%, $E$9)</f>
        <v>4.9942000000000002</v>
      </c>
      <c r="N64" s="17">
        <f>CHOOSE(CONTROL!$C$42, 5.0099, 5.0099) * CHOOSE(CONTROL!$C$21, $C$9, 100%, $E$9)</f>
        <v>5.0099</v>
      </c>
      <c r="O64" s="17">
        <f>CHOOSE(CONTROL!$C$42, 5.2716, 5.2716) * CHOOSE(CONTROL!$C$21, $C$9, 100%, $E$9)</f>
        <v>5.2716000000000003</v>
      </c>
      <c r="P64" s="17">
        <f>CHOOSE(CONTROL!$C$42, 5.0324, 5.0324) * CHOOSE(CONTROL!$C$21, $C$9, 100%, $E$9)</f>
        <v>5.0324</v>
      </c>
      <c r="Q64" s="17">
        <f>CHOOSE(CONTROL!$C$42, 5.8663, 5.8663) * CHOOSE(CONTROL!$C$21, $C$9, 100%, $E$9)</f>
        <v>5.8662999999999998</v>
      </c>
      <c r="R64" s="17">
        <f>CHOOSE(CONTROL!$C$42, 6.468, 6.468) * CHOOSE(CONTROL!$C$21, $C$9, 100%, $E$9)</f>
        <v>6.468</v>
      </c>
      <c r="S64" s="17">
        <f>CHOOSE(CONTROL!$C$42, 4.8711, 4.8711) * CHOOSE(CONTROL!$C$21, $C$9, 100%, $E$9)</f>
        <v>4.8711000000000002</v>
      </c>
      <c r="T64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64" s="57">
        <f>(1000*CHOOSE(CONTROL!$C$42, 695, 695)*CHOOSE(CONTROL!$C$42, 0.5599, 0.5599)*CHOOSE(CONTROL!$C$42, 30, 30))/1000000</f>
        <v>11.673914999999997</v>
      </c>
      <c r="V64" s="57">
        <f>(1000*CHOOSE(CONTROL!$C$42, 580, 580)*CHOOSE(CONTROL!$C$42, 0.275, 0.275)*CHOOSE(CONTROL!$C$42, 30, 30))/1000000</f>
        <v>4.7850000000000001</v>
      </c>
      <c r="W64" s="57">
        <f>(1000*CHOOSE(CONTROL!$C$42, 0.0916, 0.0916)*CHOOSE(CONTROL!$C$42, 121.5, 121.5)*CHOOSE(CONTROL!$C$42, 30, 30))/1000000</f>
        <v>0.33388200000000001</v>
      </c>
      <c r="X64" s="57">
        <f>(30*0.1790888*145000/1000000)+(30*0.2374*100000/1000000)</f>
        <v>1.4912362799999999</v>
      </c>
      <c r="Y64" s="57"/>
      <c r="Z64" s="17"/>
      <c r="AA64" s="56"/>
      <c r="AB64" s="49">
        <f>(B64*141.293+C64*267.993+D64*115.016+E64*189.698+F64*40+G64*85+H64*0+I64*100+J64*300)/(141.293+267.993+115.016+189.698+0+40+85+100+300)</f>
        <v>5.1073493992736072</v>
      </c>
      <c r="AC64" s="46">
        <f>(M64*'RAP TEMPLATE-GAS AVAILABILITY'!O63+N64*'RAP TEMPLATE-GAS AVAILABILITY'!P63+O64*'RAP TEMPLATE-GAS AVAILABILITY'!Q63+P64*'RAP TEMPLATE-GAS AVAILABILITY'!R63)/('RAP TEMPLATE-GAS AVAILABILITY'!O63+'RAP TEMPLATE-GAS AVAILABILITY'!P63+'RAP TEMPLATE-GAS AVAILABILITY'!Q63+'RAP TEMPLATE-GAS AVAILABILITY'!R63)</f>
        <v>5.0811424460431658</v>
      </c>
    </row>
    <row r="65" spans="1:29" ht="15.75" x14ac:dyDescent="0.25">
      <c r="A65" s="16">
        <v>42856</v>
      </c>
      <c r="B65" s="17">
        <f>CHOOSE(CONTROL!$C$42, 5.09, 5.09) * CHOOSE(CONTROL!$C$21, $C$9, 100%, $E$9)</f>
        <v>5.09</v>
      </c>
      <c r="C65" s="17">
        <f>CHOOSE(CONTROL!$C$42, 5.098, 5.098) * CHOOSE(CONTROL!$C$21, $C$9, 100%, $E$9)</f>
        <v>5.0979999999999999</v>
      </c>
      <c r="D65" s="17">
        <f>CHOOSE(CONTROL!$C$42, 5.3476, 5.3476) * CHOOSE(CONTROL!$C$21, $C$9, 100%, $E$9)</f>
        <v>5.3475999999999999</v>
      </c>
      <c r="E65" s="17">
        <f>CHOOSE(CONTROL!$C$42, 5.3788, 5.3788) * CHOOSE(CONTROL!$C$21, $C$9, 100%, $E$9)</f>
        <v>5.3788</v>
      </c>
      <c r="F65" s="17">
        <f>CHOOSE(CONTROL!$C$42, 5.0949, 5.0949)*CHOOSE(CONTROL!$C$21, $C$9, 100%, $E$9)</f>
        <v>5.0949</v>
      </c>
      <c r="G65" s="17">
        <f>CHOOSE(CONTROL!$C$42, 5.111, 5.111)*CHOOSE(CONTROL!$C$21, $C$9, 100%, $E$9)</f>
        <v>5.1109999999999998</v>
      </c>
      <c r="H65" s="17">
        <f>CHOOSE(CONTROL!$C$42, 5.3671, 5.3671) * CHOOSE(CONTROL!$C$21, $C$9, 100%, $E$9)</f>
        <v>5.3670999999999998</v>
      </c>
      <c r="I65" s="17">
        <f>CHOOSE(CONTROL!$C$42, 5.126, 5.126)* CHOOSE(CONTROL!$C$21, $C$9, 100%, $E$9)</f>
        <v>5.1260000000000003</v>
      </c>
      <c r="J65" s="17">
        <f>CHOOSE(CONTROL!$C$42, 5.0875, 5.0875)* CHOOSE(CONTROL!$C$21, $C$9, 100%, $E$9)</f>
        <v>5.0875000000000004</v>
      </c>
      <c r="K65" s="53">
        <f>CHOOSE(CONTROL!$C$42, 5.12, 5.12) * CHOOSE(CONTROL!$C$21, $C$9, 100%, $E$9)</f>
        <v>5.12</v>
      </c>
      <c r="L65" s="17">
        <f>CHOOSE(CONTROL!$C$42, 5.9541, 5.9541) * CHOOSE(CONTROL!$C$21, $C$9, 100%, $E$9)</f>
        <v>5.9541000000000004</v>
      </c>
      <c r="M65" s="17">
        <f>CHOOSE(CONTROL!$C$42, 5.0487, 5.0487) * CHOOSE(CONTROL!$C$21, $C$9, 100%, $E$9)</f>
        <v>5.0487000000000002</v>
      </c>
      <c r="N65" s="17">
        <f>CHOOSE(CONTROL!$C$42, 5.0647, 5.0647) * CHOOSE(CONTROL!$C$21, $C$9, 100%, $E$9)</f>
        <v>5.0647000000000002</v>
      </c>
      <c r="O65" s="17">
        <f>CHOOSE(CONTROL!$C$42, 5.3259, 5.3259) * CHOOSE(CONTROL!$C$21, $C$9, 100%, $E$9)</f>
        <v>5.3258999999999999</v>
      </c>
      <c r="P65" s="17">
        <f>CHOOSE(CONTROL!$C$42, 5.0869, 5.0869) * CHOOSE(CONTROL!$C$21, $C$9, 100%, $E$9)</f>
        <v>5.0869</v>
      </c>
      <c r="Q65" s="17">
        <f>CHOOSE(CONTROL!$C$42, 5.9206, 5.9206) * CHOOSE(CONTROL!$C$21, $C$9, 100%, $E$9)</f>
        <v>5.9206000000000003</v>
      </c>
      <c r="R65" s="17">
        <f>CHOOSE(CONTROL!$C$42, 6.5224, 6.5224) * CHOOSE(CONTROL!$C$21, $C$9, 100%, $E$9)</f>
        <v>6.5224000000000002</v>
      </c>
      <c r="S65" s="17">
        <f>CHOOSE(CONTROL!$C$42, 4.9242, 4.9242) * CHOOSE(CONTROL!$C$21, $C$9, 100%, $E$9)</f>
        <v>4.9241999999999999</v>
      </c>
      <c r="T65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65" s="57">
        <f>(1000*CHOOSE(CONTROL!$C$42, 695, 695)*CHOOSE(CONTROL!$C$42, 0.5599, 0.5599)*CHOOSE(CONTROL!$C$42, 31, 31))/1000000</f>
        <v>12.063045499999998</v>
      </c>
      <c r="V65" s="57">
        <f>(1000*CHOOSE(CONTROL!$C$42, 580, 580)*CHOOSE(CONTROL!$C$42, 0.275, 0.275)*CHOOSE(CONTROL!$C$42, 31, 31))/1000000</f>
        <v>4.9444999999999997</v>
      </c>
      <c r="W65" s="57">
        <f>(1000*CHOOSE(CONTROL!$C$42, 0.0916, 0.0916)*CHOOSE(CONTROL!$C$42, 121.5, 121.5)*CHOOSE(CONTROL!$C$42, 31, 31))/1000000</f>
        <v>0.34501139999999997</v>
      </c>
      <c r="X65" s="57">
        <f>(31*0.1790888*145000/1000000)+(31*0.2374*100000/1000000)</f>
        <v>1.5409441560000001</v>
      </c>
      <c r="Y65" s="57"/>
      <c r="Z65" s="17"/>
      <c r="AA65" s="56"/>
      <c r="AB65" s="49">
        <f>(B65*194.205+C65*267.466+D65*133.845+E65*153.484+F65*40+G65*85+H65*0+I65*100+J65*300)/(194.205+267.466+133.845+153.484+0+40+85+100+300)</f>
        <v>5.1573276131868138</v>
      </c>
      <c r="AC65" s="46">
        <f>(M65*'RAP TEMPLATE-GAS AVAILABILITY'!O64+N65*'RAP TEMPLATE-GAS AVAILABILITY'!P64+O65*'RAP TEMPLATE-GAS AVAILABILITY'!Q64+P65*'RAP TEMPLATE-GAS AVAILABILITY'!R64)/('RAP TEMPLATE-GAS AVAILABILITY'!O64+'RAP TEMPLATE-GAS AVAILABILITY'!P64+'RAP TEMPLATE-GAS AVAILABILITY'!Q64+'RAP TEMPLATE-GAS AVAILABILITY'!R64)</f>
        <v>5.1356553956834539</v>
      </c>
    </row>
    <row r="66" spans="1:29" ht="15.75" x14ac:dyDescent="0.25">
      <c r="A66" s="16">
        <v>42887</v>
      </c>
      <c r="B66" s="17">
        <f>CHOOSE(CONTROL!$C$42, 5.2448, 5.2448) * CHOOSE(CONTROL!$C$21, $C$9, 100%, $E$9)</f>
        <v>5.2447999999999997</v>
      </c>
      <c r="C66" s="17">
        <f>CHOOSE(CONTROL!$C$42, 5.2528, 5.2528) * CHOOSE(CONTROL!$C$21, $C$9, 100%, $E$9)</f>
        <v>5.2527999999999997</v>
      </c>
      <c r="D66" s="17">
        <f>CHOOSE(CONTROL!$C$42, 5.5024, 5.5024) * CHOOSE(CONTROL!$C$21, $C$9, 100%, $E$9)</f>
        <v>5.5023999999999997</v>
      </c>
      <c r="E66" s="17">
        <f>CHOOSE(CONTROL!$C$42, 5.5336, 5.5336) * CHOOSE(CONTROL!$C$21, $C$9, 100%, $E$9)</f>
        <v>5.5335999999999999</v>
      </c>
      <c r="F66" s="17">
        <f>CHOOSE(CONTROL!$C$42, 5.25, 5.25)*CHOOSE(CONTROL!$C$21, $C$9, 100%, $E$9)</f>
        <v>5.25</v>
      </c>
      <c r="G66" s="17">
        <f>CHOOSE(CONTROL!$C$42, 5.2662, 5.2662)*CHOOSE(CONTROL!$C$21, $C$9, 100%, $E$9)</f>
        <v>5.2662000000000004</v>
      </c>
      <c r="H66" s="17">
        <f>CHOOSE(CONTROL!$C$42, 5.5219, 5.5219) * CHOOSE(CONTROL!$C$21, $C$9, 100%, $E$9)</f>
        <v>5.5218999999999996</v>
      </c>
      <c r="I66" s="17">
        <f>CHOOSE(CONTROL!$C$42, 5.2813, 5.2813)* CHOOSE(CONTROL!$C$21, $C$9, 100%, $E$9)</f>
        <v>5.2812999999999999</v>
      </c>
      <c r="J66" s="17">
        <f>CHOOSE(CONTROL!$C$42, 5.2426, 5.2426)* CHOOSE(CONTROL!$C$21, $C$9, 100%, $E$9)</f>
        <v>5.2426000000000004</v>
      </c>
      <c r="K66" s="53">
        <f>CHOOSE(CONTROL!$C$42, 5.2753, 5.2753) * CHOOSE(CONTROL!$C$21, $C$9, 100%, $E$9)</f>
        <v>5.2752999999999997</v>
      </c>
      <c r="L66" s="17">
        <f>CHOOSE(CONTROL!$C$42, 6.1089, 6.1089) * CHOOSE(CONTROL!$C$21, $C$9, 100%, $E$9)</f>
        <v>6.1089000000000002</v>
      </c>
      <c r="M66" s="17">
        <f>CHOOSE(CONTROL!$C$42, 5.2024, 5.2024) * CHOOSE(CONTROL!$C$21, $C$9, 100%, $E$9)</f>
        <v>5.2023999999999999</v>
      </c>
      <c r="N66" s="17">
        <f>CHOOSE(CONTROL!$C$42, 5.2185, 5.2185) * CHOOSE(CONTROL!$C$21, $C$9, 100%, $E$9)</f>
        <v>5.2184999999999997</v>
      </c>
      <c r="O66" s="17">
        <f>CHOOSE(CONTROL!$C$42, 5.4793, 5.4793) * CHOOSE(CONTROL!$C$21, $C$9, 100%, $E$9)</f>
        <v>5.4793000000000003</v>
      </c>
      <c r="P66" s="17">
        <f>CHOOSE(CONTROL!$C$42, 5.2407, 5.2407) * CHOOSE(CONTROL!$C$21, $C$9, 100%, $E$9)</f>
        <v>5.2407000000000004</v>
      </c>
      <c r="Q66" s="17">
        <f>CHOOSE(CONTROL!$C$42, 6.074, 6.074) * CHOOSE(CONTROL!$C$21, $C$9, 100%, $E$9)</f>
        <v>6.0739999999999998</v>
      </c>
      <c r="R66" s="17">
        <f>CHOOSE(CONTROL!$C$42, 6.6761, 6.6761) * CHOOSE(CONTROL!$C$21, $C$9, 100%, $E$9)</f>
        <v>6.6760999999999999</v>
      </c>
      <c r="S66" s="17">
        <f>CHOOSE(CONTROL!$C$42, 5.0743, 5.0743) * CHOOSE(CONTROL!$C$21, $C$9, 100%, $E$9)</f>
        <v>5.0743</v>
      </c>
      <c r="T66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66" s="57">
        <f>(1000*CHOOSE(CONTROL!$C$42, 695, 695)*CHOOSE(CONTROL!$C$42, 0.5599, 0.5599)*CHOOSE(CONTROL!$C$42, 30, 30))/1000000</f>
        <v>11.673914999999997</v>
      </c>
      <c r="V66" s="57">
        <f>(1000*CHOOSE(CONTROL!$C$42, 580, 580)*CHOOSE(CONTROL!$C$42, 0.275, 0.275)*CHOOSE(CONTROL!$C$42, 30, 30))/1000000</f>
        <v>4.7850000000000001</v>
      </c>
      <c r="W66" s="57">
        <f>(1000*CHOOSE(CONTROL!$C$42, 0.0916, 0.0916)*CHOOSE(CONTROL!$C$42, 121.5, 121.5)*CHOOSE(CONTROL!$C$42, 30, 30))/1000000</f>
        <v>0.33388200000000001</v>
      </c>
      <c r="X66" s="57">
        <f>(30*0.1790888*145000/1000000)+(30*0.2374*100000/1000000)</f>
        <v>1.4912362799999999</v>
      </c>
      <c r="Y66" s="57"/>
      <c r="Z66" s="17"/>
      <c r="AA66" s="56"/>
      <c r="AB66" s="49">
        <f>(B66*194.205+C66*267.466+D66*133.845+E66*153.484+F66*40+G66*85+H66*0+I66*100+J66*300)/(194.205+267.466+133.845+153.484+0+40+85+100+300)</f>
        <v>5.3122736100470958</v>
      </c>
      <c r="AC66" s="46">
        <f>(M66*'RAP TEMPLATE-GAS AVAILABILITY'!O65+N66*'RAP TEMPLATE-GAS AVAILABILITY'!P65+O66*'RAP TEMPLATE-GAS AVAILABILITY'!Q65+P66*'RAP TEMPLATE-GAS AVAILABILITY'!R65)/('RAP TEMPLATE-GAS AVAILABILITY'!O65+'RAP TEMPLATE-GAS AVAILABILITY'!P65+'RAP TEMPLATE-GAS AVAILABILITY'!Q65+'RAP TEMPLATE-GAS AVAILABILITY'!R65)</f>
        <v>5.2893086330935253</v>
      </c>
    </row>
    <row r="67" spans="1:29" ht="15.75" x14ac:dyDescent="0.25">
      <c r="A67" s="16">
        <v>42917</v>
      </c>
      <c r="B67" s="17">
        <f>CHOOSE(CONTROL!$C$42, 5.155, 5.155) * CHOOSE(CONTROL!$C$21, $C$9, 100%, $E$9)</f>
        <v>5.1550000000000002</v>
      </c>
      <c r="C67" s="17">
        <f>CHOOSE(CONTROL!$C$42, 5.163, 5.163) * CHOOSE(CONTROL!$C$21, $C$9, 100%, $E$9)</f>
        <v>5.1630000000000003</v>
      </c>
      <c r="D67" s="17">
        <f>CHOOSE(CONTROL!$C$42, 5.4126, 5.4126) * CHOOSE(CONTROL!$C$21, $C$9, 100%, $E$9)</f>
        <v>5.4126000000000003</v>
      </c>
      <c r="E67" s="17">
        <f>CHOOSE(CONTROL!$C$42, 5.4438, 5.4438) * CHOOSE(CONTROL!$C$21, $C$9, 100%, $E$9)</f>
        <v>5.4438000000000004</v>
      </c>
      <c r="F67" s="17">
        <f>CHOOSE(CONTROL!$C$42, 5.1607, 5.1607)*CHOOSE(CONTROL!$C$21, $C$9, 100%, $E$9)</f>
        <v>5.1607000000000003</v>
      </c>
      <c r="G67" s="17">
        <f>CHOOSE(CONTROL!$C$42, 5.177, 5.177)*CHOOSE(CONTROL!$C$21, $C$9, 100%, $E$9)</f>
        <v>5.1769999999999996</v>
      </c>
      <c r="H67" s="17">
        <f>CHOOSE(CONTROL!$C$42, 5.4321, 5.4321) * CHOOSE(CONTROL!$C$21, $C$9, 100%, $E$9)</f>
        <v>5.4321000000000002</v>
      </c>
      <c r="I67" s="17">
        <f>CHOOSE(CONTROL!$C$42, 5.1912, 5.1912)* CHOOSE(CONTROL!$C$21, $C$9, 100%, $E$9)</f>
        <v>5.1912000000000003</v>
      </c>
      <c r="J67" s="17">
        <f>CHOOSE(CONTROL!$C$42, 5.1533, 5.1533)* CHOOSE(CONTROL!$C$21, $C$9, 100%, $E$9)</f>
        <v>5.1532999999999998</v>
      </c>
      <c r="K67" s="53">
        <f>CHOOSE(CONTROL!$C$42, 5.1852, 5.1852) * CHOOSE(CONTROL!$C$21, $C$9, 100%, $E$9)</f>
        <v>5.1852</v>
      </c>
      <c r="L67" s="17">
        <f>CHOOSE(CONTROL!$C$42, 6.0191, 6.0191) * CHOOSE(CONTROL!$C$21, $C$9, 100%, $E$9)</f>
        <v>6.0190999999999999</v>
      </c>
      <c r="M67" s="17">
        <f>CHOOSE(CONTROL!$C$42, 5.1139, 5.1139) * CHOOSE(CONTROL!$C$21, $C$9, 100%, $E$9)</f>
        <v>5.1139000000000001</v>
      </c>
      <c r="N67" s="17">
        <f>CHOOSE(CONTROL!$C$42, 5.1302, 5.1302) * CHOOSE(CONTROL!$C$21, $C$9, 100%, $E$9)</f>
        <v>5.1302000000000003</v>
      </c>
      <c r="O67" s="17">
        <f>CHOOSE(CONTROL!$C$42, 5.3903, 5.3903) * CHOOSE(CONTROL!$C$21, $C$9, 100%, $E$9)</f>
        <v>5.3902999999999999</v>
      </c>
      <c r="P67" s="17">
        <f>CHOOSE(CONTROL!$C$42, 5.1514, 5.1514) * CHOOSE(CONTROL!$C$21, $C$9, 100%, $E$9)</f>
        <v>5.1513999999999998</v>
      </c>
      <c r="Q67" s="17">
        <f>CHOOSE(CONTROL!$C$42, 5.985, 5.985) * CHOOSE(CONTROL!$C$21, $C$9, 100%, $E$9)</f>
        <v>5.9850000000000003</v>
      </c>
      <c r="R67" s="17">
        <f>CHOOSE(CONTROL!$C$42, 6.5869, 6.5869) * CHOOSE(CONTROL!$C$21, $C$9, 100%, $E$9)</f>
        <v>6.5869</v>
      </c>
      <c r="S67" s="17">
        <f>CHOOSE(CONTROL!$C$42, 4.9872, 4.9872) * CHOOSE(CONTROL!$C$21, $C$9, 100%, $E$9)</f>
        <v>4.9871999999999996</v>
      </c>
      <c r="T67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67" s="57">
        <f>(1000*CHOOSE(CONTROL!$C$42, 695, 695)*CHOOSE(CONTROL!$C$42, 0.5599, 0.5599)*CHOOSE(CONTROL!$C$42, 31, 31))/1000000</f>
        <v>12.063045499999998</v>
      </c>
      <c r="V67" s="57">
        <f>(1000*CHOOSE(CONTROL!$C$42, 580, 580)*CHOOSE(CONTROL!$C$42, 0.275, 0.275)*CHOOSE(CONTROL!$C$42, 31, 31))/1000000</f>
        <v>4.9444999999999997</v>
      </c>
      <c r="W67" s="57">
        <f>(1000*CHOOSE(CONTROL!$C$42, 0.0916, 0.0916)*CHOOSE(CONTROL!$C$42, 121.5, 121.5)*CHOOSE(CONTROL!$C$42, 31, 31))/1000000</f>
        <v>0.34501139999999997</v>
      </c>
      <c r="X67" s="57">
        <f>(31*0.1790888*145000/1000000)+(31*0.2374*100000/1000000)</f>
        <v>1.5409441560000001</v>
      </c>
      <c r="Y67" s="57"/>
      <c r="Z67" s="17"/>
      <c r="AA67" s="56"/>
      <c r="AB67" s="49">
        <f>(B67*194.205+C67*267.466+D67*133.845+E67*153.484+F67*40+G67*85+H67*0+I67*100+J67*300)/(194.205+267.466+133.845+153.484+0+40+85+100+300)</f>
        <v>5.2226235315541603</v>
      </c>
      <c r="AC67" s="46">
        <f>(M67*'RAP TEMPLATE-GAS AVAILABILITY'!O66+N67*'RAP TEMPLATE-GAS AVAILABILITY'!P66+O67*'RAP TEMPLATE-GAS AVAILABILITY'!Q66+P67*'RAP TEMPLATE-GAS AVAILABILITY'!R66)/('RAP TEMPLATE-GAS AVAILABILITY'!O66+'RAP TEMPLATE-GAS AVAILABILITY'!P66+'RAP TEMPLATE-GAS AVAILABILITY'!Q66+'RAP TEMPLATE-GAS AVAILABILITY'!R66)</f>
        <v>5.2005992805755392</v>
      </c>
    </row>
    <row r="68" spans="1:29" ht="15.75" x14ac:dyDescent="0.25">
      <c r="A68" s="16">
        <v>42948</v>
      </c>
      <c r="B68" s="17">
        <f>CHOOSE(CONTROL!$C$42, 4.9111, 4.9111) * CHOOSE(CONTROL!$C$21, $C$9, 100%, $E$9)</f>
        <v>4.9111000000000002</v>
      </c>
      <c r="C68" s="17">
        <f>CHOOSE(CONTROL!$C$42, 4.9191, 4.9191) * CHOOSE(CONTROL!$C$21, $C$9, 100%, $E$9)</f>
        <v>4.9191000000000003</v>
      </c>
      <c r="D68" s="17">
        <f>CHOOSE(CONTROL!$C$42, 5.1687, 5.1687) * CHOOSE(CONTROL!$C$21, $C$9, 100%, $E$9)</f>
        <v>5.1687000000000003</v>
      </c>
      <c r="E68" s="17">
        <f>CHOOSE(CONTROL!$C$42, 5.1999, 5.1999) * CHOOSE(CONTROL!$C$21, $C$9, 100%, $E$9)</f>
        <v>5.1999000000000004</v>
      </c>
      <c r="F68" s="17">
        <f>CHOOSE(CONTROL!$C$42, 4.917, 4.917)*CHOOSE(CONTROL!$C$21, $C$9, 100%, $E$9)</f>
        <v>4.9169999999999998</v>
      </c>
      <c r="G68" s="17">
        <f>CHOOSE(CONTROL!$C$42, 4.9335, 4.9335)*CHOOSE(CONTROL!$C$21, $C$9, 100%, $E$9)</f>
        <v>4.9335000000000004</v>
      </c>
      <c r="H68" s="17">
        <f>CHOOSE(CONTROL!$C$42, 5.1882, 5.1882) * CHOOSE(CONTROL!$C$21, $C$9, 100%, $E$9)</f>
        <v>5.1882000000000001</v>
      </c>
      <c r="I68" s="17">
        <f>CHOOSE(CONTROL!$C$42, 4.9465, 4.9465)* CHOOSE(CONTROL!$C$21, $C$9, 100%, $E$9)</f>
        <v>4.9465000000000003</v>
      </c>
      <c r="J68" s="17">
        <f>CHOOSE(CONTROL!$C$42, 4.9096, 4.9096)* CHOOSE(CONTROL!$C$21, $C$9, 100%, $E$9)</f>
        <v>4.9096000000000002</v>
      </c>
      <c r="K68" s="53">
        <f>CHOOSE(CONTROL!$C$42, 4.9405, 4.9405) * CHOOSE(CONTROL!$C$21, $C$9, 100%, $E$9)</f>
        <v>4.9405000000000001</v>
      </c>
      <c r="L68" s="17">
        <f>CHOOSE(CONTROL!$C$42, 5.7752, 5.7752) * CHOOSE(CONTROL!$C$21, $C$9, 100%, $E$9)</f>
        <v>5.7751999999999999</v>
      </c>
      <c r="M68" s="17">
        <f>CHOOSE(CONTROL!$C$42, 4.8725, 4.8725) * CHOOSE(CONTROL!$C$21, $C$9, 100%, $E$9)</f>
        <v>4.8724999999999996</v>
      </c>
      <c r="N68" s="17">
        <f>CHOOSE(CONTROL!$C$42, 4.8888, 4.8888) * CHOOSE(CONTROL!$C$21, $C$9, 100%, $E$9)</f>
        <v>4.8887999999999998</v>
      </c>
      <c r="O68" s="17">
        <f>CHOOSE(CONTROL!$C$42, 5.1485, 5.1485) * CHOOSE(CONTROL!$C$21, $C$9, 100%, $E$9)</f>
        <v>5.1485000000000003</v>
      </c>
      <c r="P68" s="17">
        <f>CHOOSE(CONTROL!$C$42, 4.909, 4.909) * CHOOSE(CONTROL!$C$21, $C$9, 100%, $E$9)</f>
        <v>4.9089999999999998</v>
      </c>
      <c r="Q68" s="17">
        <f>CHOOSE(CONTROL!$C$42, 5.7432, 5.7432) * CHOOSE(CONTROL!$C$21, $C$9, 100%, $E$9)</f>
        <v>5.7431999999999999</v>
      </c>
      <c r="R68" s="17">
        <f>CHOOSE(CONTROL!$C$42, 6.3446, 6.3446) * CHOOSE(CONTROL!$C$21, $C$9, 100%, $E$9)</f>
        <v>6.3445999999999998</v>
      </c>
      <c r="S68" s="17">
        <f>CHOOSE(CONTROL!$C$42, 4.7507, 4.7507) * CHOOSE(CONTROL!$C$21, $C$9, 100%, $E$9)</f>
        <v>4.7507000000000001</v>
      </c>
      <c r="T68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68" s="57">
        <f>(1000*CHOOSE(CONTROL!$C$42, 695, 695)*CHOOSE(CONTROL!$C$42, 0.5599, 0.5599)*CHOOSE(CONTROL!$C$42, 31, 31))/1000000</f>
        <v>12.063045499999998</v>
      </c>
      <c r="V68" s="57">
        <f>(1000*CHOOSE(CONTROL!$C$42, 580, 580)*CHOOSE(CONTROL!$C$42, 0.275, 0.275)*CHOOSE(CONTROL!$C$42, 31, 31))/1000000</f>
        <v>4.9444999999999997</v>
      </c>
      <c r="W68" s="57">
        <f>(1000*CHOOSE(CONTROL!$C$42, 0.0916, 0.0916)*CHOOSE(CONTROL!$C$42, 121.5, 121.5)*CHOOSE(CONTROL!$C$42, 31, 31))/1000000</f>
        <v>0.34501139999999997</v>
      </c>
      <c r="X68" s="57">
        <f>(31*0.1790888*145000/1000000)+(31*0.2374*100000/1000000)</f>
        <v>1.5409441560000001</v>
      </c>
      <c r="Y68" s="57"/>
      <c r="Z68" s="17"/>
      <c r="AA68" s="56"/>
      <c r="AB68" s="49">
        <f>(B68*194.205+C68*267.466+D68*133.845+E68*153.484+F68*40+G68*85+H68*0+I68*100+J68*300)/(194.205+267.466+133.845+153.484+0+40+85+100+300)</f>
        <v>4.9787407999999997</v>
      </c>
      <c r="AC68" s="46">
        <f>(M68*'RAP TEMPLATE-GAS AVAILABILITY'!O67+N68*'RAP TEMPLATE-GAS AVAILABILITY'!P67+O68*'RAP TEMPLATE-GAS AVAILABILITY'!Q67+P68*'RAP TEMPLATE-GAS AVAILABILITY'!R67)/('RAP TEMPLATE-GAS AVAILABILITY'!O67+'RAP TEMPLATE-GAS AVAILABILITY'!P67+'RAP TEMPLATE-GAS AVAILABILITY'!Q67+'RAP TEMPLATE-GAS AVAILABILITY'!R67)</f>
        <v>4.9589431654676259</v>
      </c>
    </row>
    <row r="69" spans="1:29" ht="15.75" x14ac:dyDescent="0.25">
      <c r="A69" s="16">
        <v>42979</v>
      </c>
      <c r="B69" s="17">
        <f>CHOOSE(CONTROL!$C$42, 4.6093, 4.6093) * CHOOSE(CONTROL!$C$21, $C$9, 100%, $E$9)</f>
        <v>4.6093000000000002</v>
      </c>
      <c r="C69" s="17">
        <f>CHOOSE(CONTROL!$C$42, 4.6173, 4.6173) * CHOOSE(CONTROL!$C$21, $C$9, 100%, $E$9)</f>
        <v>4.6173000000000002</v>
      </c>
      <c r="D69" s="17">
        <f>CHOOSE(CONTROL!$C$42, 4.8669, 4.8669) * CHOOSE(CONTROL!$C$21, $C$9, 100%, $E$9)</f>
        <v>4.8669000000000002</v>
      </c>
      <c r="E69" s="17">
        <f>CHOOSE(CONTROL!$C$42, 4.8981, 4.8981) * CHOOSE(CONTROL!$C$21, $C$9, 100%, $E$9)</f>
        <v>4.8981000000000003</v>
      </c>
      <c r="F69" s="17">
        <f>CHOOSE(CONTROL!$C$42, 4.6153, 4.6153)*CHOOSE(CONTROL!$C$21, $C$9, 100%, $E$9)</f>
        <v>4.6153000000000004</v>
      </c>
      <c r="G69" s="17">
        <f>CHOOSE(CONTROL!$C$42, 4.6318, 4.6318)*CHOOSE(CONTROL!$C$21, $C$9, 100%, $E$9)</f>
        <v>4.6318000000000001</v>
      </c>
      <c r="H69" s="17">
        <f>CHOOSE(CONTROL!$C$42, 4.8864, 4.8864) * CHOOSE(CONTROL!$C$21, $C$9, 100%, $E$9)</f>
        <v>4.8864000000000001</v>
      </c>
      <c r="I69" s="17">
        <f>CHOOSE(CONTROL!$C$42, 4.6438, 4.6438)* CHOOSE(CONTROL!$C$21, $C$9, 100%, $E$9)</f>
        <v>4.6437999999999997</v>
      </c>
      <c r="J69" s="17">
        <f>CHOOSE(CONTROL!$C$42, 4.6079, 4.6079)* CHOOSE(CONTROL!$C$21, $C$9, 100%, $E$9)</f>
        <v>4.6078999999999999</v>
      </c>
      <c r="K69" s="53">
        <f>CHOOSE(CONTROL!$C$42, 4.6378, 4.6378) * CHOOSE(CONTROL!$C$21, $C$9, 100%, $E$9)</f>
        <v>4.6378000000000004</v>
      </c>
      <c r="L69" s="17">
        <f>CHOOSE(CONTROL!$C$42, 5.4734, 5.4734) * CHOOSE(CONTROL!$C$21, $C$9, 100%, $E$9)</f>
        <v>5.4733999999999998</v>
      </c>
      <c r="M69" s="17">
        <f>CHOOSE(CONTROL!$C$42, 4.5735, 4.5735) * CHOOSE(CONTROL!$C$21, $C$9, 100%, $E$9)</f>
        <v>4.5735000000000001</v>
      </c>
      <c r="N69" s="17">
        <f>CHOOSE(CONTROL!$C$42, 4.5898, 4.5898) * CHOOSE(CONTROL!$C$21, $C$9, 100%, $E$9)</f>
        <v>4.5898000000000003</v>
      </c>
      <c r="O69" s="17">
        <f>CHOOSE(CONTROL!$C$42, 4.8495, 4.8495) * CHOOSE(CONTROL!$C$21, $C$9, 100%, $E$9)</f>
        <v>4.8494999999999999</v>
      </c>
      <c r="P69" s="17">
        <f>CHOOSE(CONTROL!$C$42, 4.609, 4.609) * CHOOSE(CONTROL!$C$21, $C$9, 100%, $E$9)</f>
        <v>4.609</v>
      </c>
      <c r="Q69" s="17">
        <f>CHOOSE(CONTROL!$C$42, 5.4442, 5.4442) * CHOOSE(CONTROL!$C$21, $C$9, 100%, $E$9)</f>
        <v>5.4442000000000004</v>
      </c>
      <c r="R69" s="17">
        <f>CHOOSE(CONTROL!$C$42, 6.0448, 6.0448) * CHOOSE(CONTROL!$C$21, $C$9, 100%, $E$9)</f>
        <v>6.0448000000000004</v>
      </c>
      <c r="S69" s="17">
        <f>CHOOSE(CONTROL!$C$42, 4.4581, 4.4581) * CHOOSE(CONTROL!$C$21, $C$9, 100%, $E$9)</f>
        <v>4.4581</v>
      </c>
      <c r="T69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69" s="57">
        <f>(1000*CHOOSE(CONTROL!$C$42, 695, 695)*CHOOSE(CONTROL!$C$42, 0.5599, 0.5599)*CHOOSE(CONTROL!$C$42, 30, 30))/1000000</f>
        <v>11.673914999999997</v>
      </c>
      <c r="V69" s="57">
        <f>(1000*CHOOSE(CONTROL!$C$42, 580, 580)*CHOOSE(CONTROL!$C$42, 0.275, 0.275)*CHOOSE(CONTROL!$C$42, 30, 30))/1000000</f>
        <v>4.7850000000000001</v>
      </c>
      <c r="W69" s="57">
        <f>(1000*CHOOSE(CONTROL!$C$42, 0.0916, 0.0916)*CHOOSE(CONTROL!$C$42, 121.5, 121.5)*CHOOSE(CONTROL!$C$42, 30, 30))/1000000</f>
        <v>0.33388200000000001</v>
      </c>
      <c r="X69" s="57">
        <f>(30*0.1790888*145000/1000000)+(30*0.2374*100000/1000000)</f>
        <v>1.4912362799999999</v>
      </c>
      <c r="Y69" s="57"/>
      <c r="Z69" s="17"/>
      <c r="AA69" s="56"/>
      <c r="AB69" s="49">
        <f>(B69*194.205+C69*267.466+D69*133.845+E69*153.484+F69*40+G69*85+H69*0+I69*100+J69*300)/(194.205+267.466+133.845+153.484+0+40+85+100+300)</f>
        <v>4.6769035158555736</v>
      </c>
      <c r="AC69" s="46">
        <f>(M69*'RAP TEMPLATE-GAS AVAILABILITY'!O68+N69*'RAP TEMPLATE-GAS AVAILABILITY'!P68+O69*'RAP TEMPLATE-GAS AVAILABILITY'!Q68+P69*'RAP TEMPLATE-GAS AVAILABILITY'!R68)/('RAP TEMPLATE-GAS AVAILABILITY'!O68+'RAP TEMPLATE-GAS AVAILABILITY'!P68+'RAP TEMPLATE-GAS AVAILABILITY'!Q68+'RAP TEMPLATE-GAS AVAILABILITY'!R68)</f>
        <v>4.6597992805755402</v>
      </c>
    </row>
    <row r="70" spans="1:29" ht="15.75" x14ac:dyDescent="0.25">
      <c r="A70" s="16">
        <v>43009</v>
      </c>
      <c r="B70" s="17">
        <f>CHOOSE(CONTROL!$C$42, 4.5235, 4.5235) * CHOOSE(CONTROL!$C$21, $C$9, 100%, $E$9)</f>
        <v>4.5235000000000003</v>
      </c>
      <c r="C70" s="17">
        <f>CHOOSE(CONTROL!$C$42, 4.5289, 4.5289) * CHOOSE(CONTROL!$C$21, $C$9, 100%, $E$9)</f>
        <v>4.5289000000000001</v>
      </c>
      <c r="D70" s="17">
        <f>CHOOSE(CONTROL!$C$42, 4.7834, 4.7834) * CHOOSE(CONTROL!$C$21, $C$9, 100%, $E$9)</f>
        <v>4.7834000000000003</v>
      </c>
      <c r="E70" s="17">
        <f>CHOOSE(CONTROL!$C$42, 4.8123, 4.8123) * CHOOSE(CONTROL!$C$21, $C$9, 100%, $E$9)</f>
        <v>4.8122999999999996</v>
      </c>
      <c r="F70" s="17">
        <f>CHOOSE(CONTROL!$C$42, 4.5317, 4.5317)*CHOOSE(CONTROL!$C$21, $C$9, 100%, $E$9)</f>
        <v>4.5316999999999998</v>
      </c>
      <c r="G70" s="17">
        <f>CHOOSE(CONTROL!$C$42, 4.5481, 4.5481)*CHOOSE(CONTROL!$C$21, $C$9, 100%, $E$9)</f>
        <v>4.5480999999999998</v>
      </c>
      <c r="H70" s="17">
        <f>CHOOSE(CONTROL!$C$42, 4.8024, 4.8024) * CHOOSE(CONTROL!$C$21, $C$9, 100%, $E$9)</f>
        <v>4.8023999999999996</v>
      </c>
      <c r="I70" s="17">
        <f>CHOOSE(CONTROL!$C$42, 4.5595, 4.5595)* CHOOSE(CONTROL!$C$21, $C$9, 100%, $E$9)</f>
        <v>4.5594999999999999</v>
      </c>
      <c r="J70" s="17">
        <f>CHOOSE(CONTROL!$C$42, 4.5243, 4.5243)* CHOOSE(CONTROL!$C$21, $C$9, 100%, $E$9)</f>
        <v>4.5243000000000002</v>
      </c>
      <c r="K70" s="53">
        <f>CHOOSE(CONTROL!$C$42, 4.5535, 4.5535) * CHOOSE(CONTROL!$C$21, $C$9, 100%, $E$9)</f>
        <v>4.5534999999999997</v>
      </c>
      <c r="L70" s="17">
        <f>CHOOSE(CONTROL!$C$42, 5.3894, 5.3894) * CHOOSE(CONTROL!$C$21, $C$9, 100%, $E$9)</f>
        <v>5.3894000000000002</v>
      </c>
      <c r="M70" s="17">
        <f>CHOOSE(CONTROL!$C$42, 4.4907, 4.4907) * CHOOSE(CONTROL!$C$21, $C$9, 100%, $E$9)</f>
        <v>4.4907000000000004</v>
      </c>
      <c r="N70" s="17">
        <f>CHOOSE(CONTROL!$C$42, 4.5068, 4.5068) * CHOOSE(CONTROL!$C$21, $C$9, 100%, $E$9)</f>
        <v>4.5068000000000001</v>
      </c>
      <c r="O70" s="17">
        <f>CHOOSE(CONTROL!$C$42, 4.7662, 4.7662) * CHOOSE(CONTROL!$C$21, $C$9, 100%, $E$9)</f>
        <v>4.7662000000000004</v>
      </c>
      <c r="P70" s="17">
        <f>CHOOSE(CONTROL!$C$42, 4.5255, 4.5255) * CHOOSE(CONTROL!$C$21, $C$9, 100%, $E$9)</f>
        <v>4.5255000000000001</v>
      </c>
      <c r="Q70" s="17">
        <f>CHOOSE(CONTROL!$C$42, 5.3609, 5.3609) * CHOOSE(CONTROL!$C$21, $C$9, 100%, $E$9)</f>
        <v>5.3609</v>
      </c>
      <c r="R70" s="17">
        <f>CHOOSE(CONTROL!$C$42, 5.9613, 5.9613) * CHOOSE(CONTROL!$C$21, $C$9, 100%, $E$9)</f>
        <v>5.9612999999999996</v>
      </c>
      <c r="S70" s="17">
        <f>CHOOSE(CONTROL!$C$42, 4.3766, 4.3766) * CHOOSE(CONTROL!$C$21, $C$9, 100%, $E$9)</f>
        <v>4.3765999999999998</v>
      </c>
      <c r="T70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70" s="57">
        <f>(1000*CHOOSE(CONTROL!$C$42, 695, 695)*CHOOSE(CONTROL!$C$42, 0.5599, 0.5599)*CHOOSE(CONTROL!$C$42, 31, 31))/1000000</f>
        <v>12.063045499999998</v>
      </c>
      <c r="V70" s="57">
        <f>(1000*CHOOSE(CONTROL!$C$42, 580, 580)*CHOOSE(CONTROL!$C$42, 0.275, 0.275)*CHOOSE(CONTROL!$C$42, 31, 31))/1000000</f>
        <v>4.9444999999999997</v>
      </c>
      <c r="W70" s="57">
        <f>(1000*CHOOSE(CONTROL!$C$42, 0.0916, 0.0916)*CHOOSE(CONTROL!$C$42, 121.5, 121.5)*CHOOSE(CONTROL!$C$42, 31, 31))/1000000</f>
        <v>0.34501139999999997</v>
      </c>
      <c r="X70" s="57">
        <f>(31*0.1790888*145000/1000000)+(31*0.2374*100000/1000000)</f>
        <v>1.5409441560000001</v>
      </c>
      <c r="Y70" s="57"/>
      <c r="Z70" s="17"/>
      <c r="AA70" s="56"/>
      <c r="AB70" s="49">
        <f>(B70*131.881+C70*277.167+D70*79.08+E70*225.872+F70*40+G70*85+H70*0+I70*100+J70*300)/(131.881+277.167+79.08+225.872+0+40+85+100+300)</f>
        <v>4.5989967129943494</v>
      </c>
      <c r="AC70" s="46">
        <f>(M70*'RAP TEMPLATE-GAS AVAILABILITY'!O69+N70*'RAP TEMPLATE-GAS AVAILABILITY'!P69+O70*'RAP TEMPLATE-GAS AVAILABILITY'!Q69+P70*'RAP TEMPLATE-GAS AVAILABILITY'!R69)/('RAP TEMPLATE-GAS AVAILABILITY'!O69+'RAP TEMPLATE-GAS AVAILABILITY'!P69+'RAP TEMPLATE-GAS AVAILABILITY'!Q69+'RAP TEMPLATE-GAS AVAILABILITY'!R69)</f>
        <v>4.5767122302158283</v>
      </c>
    </row>
    <row r="71" spans="1:29" ht="15.75" x14ac:dyDescent="0.25">
      <c r="A71" s="16">
        <v>43040</v>
      </c>
      <c r="B71" s="17">
        <f>CHOOSE(CONTROL!$C$42, 4.6516, 4.6516) * CHOOSE(CONTROL!$C$21, $C$9, 100%, $E$9)</f>
        <v>4.6516000000000002</v>
      </c>
      <c r="C71" s="17">
        <f>CHOOSE(CONTROL!$C$42, 4.6566, 4.6566) * CHOOSE(CONTROL!$C$21, $C$9, 100%, $E$9)</f>
        <v>4.6566000000000001</v>
      </c>
      <c r="D71" s="17">
        <f>CHOOSE(CONTROL!$C$42, 4.7793, 4.7793) * CHOOSE(CONTROL!$C$21, $C$9, 100%, $E$9)</f>
        <v>4.7793000000000001</v>
      </c>
      <c r="E71" s="17">
        <f>CHOOSE(CONTROL!$C$42, 4.813, 4.813) * CHOOSE(CONTROL!$C$21, $C$9, 100%, $E$9)</f>
        <v>4.8129999999999997</v>
      </c>
      <c r="F71" s="17">
        <f>CHOOSE(CONTROL!$C$42, 4.6666, 4.6666)*CHOOSE(CONTROL!$C$21, $C$9, 100%, $E$9)</f>
        <v>4.6665999999999999</v>
      </c>
      <c r="G71" s="17">
        <f>CHOOSE(CONTROL!$C$42, 4.6832, 4.6832)*CHOOSE(CONTROL!$C$21, $C$9, 100%, $E$9)</f>
        <v>4.6832000000000003</v>
      </c>
      <c r="H71" s="17">
        <f>CHOOSE(CONTROL!$C$42, 4.8019, 4.8019) * CHOOSE(CONTROL!$C$21, $C$9, 100%, $E$9)</f>
        <v>4.8018999999999998</v>
      </c>
      <c r="I71" s="17">
        <f>CHOOSE(CONTROL!$C$42, 4.6909, 4.6909)* CHOOSE(CONTROL!$C$21, $C$9, 100%, $E$9)</f>
        <v>4.6909000000000001</v>
      </c>
      <c r="J71" s="17">
        <f>CHOOSE(CONTROL!$C$42, 4.6592, 4.6592)* CHOOSE(CONTROL!$C$21, $C$9, 100%, $E$9)</f>
        <v>4.6592000000000002</v>
      </c>
      <c r="K71" s="53">
        <f>CHOOSE(CONTROL!$C$42, 4.6849, 4.6849) * CHOOSE(CONTROL!$C$21, $C$9, 100%, $E$9)</f>
        <v>4.6848999999999998</v>
      </c>
      <c r="L71" s="17">
        <f>CHOOSE(CONTROL!$C$42, 5.3889, 5.3889) * CHOOSE(CONTROL!$C$21, $C$9, 100%, $E$9)</f>
        <v>5.3888999999999996</v>
      </c>
      <c r="M71" s="17">
        <f>CHOOSE(CONTROL!$C$42, 4.6243, 4.6243) * CHOOSE(CONTROL!$C$21, $C$9, 100%, $E$9)</f>
        <v>4.6242999999999999</v>
      </c>
      <c r="N71" s="17">
        <f>CHOOSE(CONTROL!$C$42, 4.6408, 4.6408) * CHOOSE(CONTROL!$C$21, $C$9, 100%, $E$9)</f>
        <v>4.6407999999999996</v>
      </c>
      <c r="O71" s="17">
        <f>CHOOSE(CONTROL!$C$42, 4.7657, 4.7657) * CHOOSE(CONTROL!$C$21, $C$9, 100%, $E$9)</f>
        <v>4.7656999999999998</v>
      </c>
      <c r="P71" s="17">
        <f>CHOOSE(CONTROL!$C$42, 4.6557, 4.6557) * CHOOSE(CONTROL!$C$21, $C$9, 100%, $E$9)</f>
        <v>4.6557000000000004</v>
      </c>
      <c r="Q71" s="17">
        <f>CHOOSE(CONTROL!$C$42, 5.3604, 5.3604) * CHOOSE(CONTROL!$C$21, $C$9, 100%, $E$9)</f>
        <v>5.3604000000000003</v>
      </c>
      <c r="R71" s="17">
        <f>CHOOSE(CONTROL!$C$42, 5.9608, 5.9608) * CHOOSE(CONTROL!$C$21, $C$9, 100%, $E$9)</f>
        <v>5.9607999999999999</v>
      </c>
      <c r="S71" s="17">
        <f>CHOOSE(CONTROL!$C$42, 4.5011, 4.5011) * CHOOSE(CONTROL!$C$21, $C$9, 100%, $E$9)</f>
        <v>4.5011000000000001</v>
      </c>
      <c r="T71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71" s="57">
        <f>(1000*CHOOSE(CONTROL!$C$42, 695, 695)*CHOOSE(CONTROL!$C$42, 0.5599, 0.5599)*CHOOSE(CONTROL!$C$42, 30, 30))/1000000</f>
        <v>11.673914999999997</v>
      </c>
      <c r="V71" s="57">
        <f>(1000*CHOOSE(CONTROL!$C$42, 580, 580)*CHOOSE(CONTROL!$C$42, 0.275, 0.275)*CHOOSE(CONTROL!$C$42, 30, 30))/1000000</f>
        <v>4.7850000000000001</v>
      </c>
      <c r="W71" s="57">
        <f>(1000*CHOOSE(CONTROL!$C$42, 0.0916, 0.0916)*CHOOSE(CONTROL!$C$42, 121.5, 121.5)*CHOOSE(CONTROL!$C$42, 30, 30))/1000000</f>
        <v>0.33388200000000001</v>
      </c>
      <c r="X71" s="57">
        <f>(30*0.2374*100000/1000000)</f>
        <v>0.71220000000000006</v>
      </c>
      <c r="Y71" s="57"/>
      <c r="Z71" s="17"/>
      <c r="AA71" s="56"/>
      <c r="AB71" s="49">
        <f>(B71*122.58+C71*297.941+D71*89.177+E71*140.302+F71*40+G71*60+H71*0+I71*100+J71*300)/(122.58+297.941+89.177+140.302+0+40+60+100+300)</f>
        <v>4.690059435391305</v>
      </c>
      <c r="AC71" s="46">
        <f>(M71*'RAP TEMPLATE-GAS AVAILABILITY'!O70+N71*'RAP TEMPLATE-GAS AVAILABILITY'!P70+O71*'RAP TEMPLATE-GAS AVAILABILITY'!Q70+P71*'RAP TEMPLATE-GAS AVAILABILITY'!R70)/('RAP TEMPLATE-GAS AVAILABILITY'!O70+'RAP TEMPLATE-GAS AVAILABILITY'!P70+'RAP TEMPLATE-GAS AVAILABILITY'!Q70+'RAP TEMPLATE-GAS AVAILABILITY'!R70)</f>
        <v>4.6938553956834532</v>
      </c>
    </row>
    <row r="72" spans="1:29" ht="15.75" x14ac:dyDescent="0.25">
      <c r="A72" s="16">
        <v>43070</v>
      </c>
      <c r="B72" s="17">
        <f>CHOOSE(CONTROL!$C$42, 4.9782, 4.9782) * CHOOSE(CONTROL!$C$21, $C$9, 100%, $E$9)</f>
        <v>4.9782000000000002</v>
      </c>
      <c r="C72" s="17">
        <f>CHOOSE(CONTROL!$C$42, 4.9833, 4.9833) * CHOOSE(CONTROL!$C$21, $C$9, 100%, $E$9)</f>
        <v>4.9832999999999998</v>
      </c>
      <c r="D72" s="17">
        <f>CHOOSE(CONTROL!$C$42, 5.1059, 5.1059) * CHOOSE(CONTROL!$C$21, $C$9, 100%, $E$9)</f>
        <v>5.1059000000000001</v>
      </c>
      <c r="E72" s="17">
        <f>CHOOSE(CONTROL!$C$42, 5.1396, 5.1396) * CHOOSE(CONTROL!$C$21, $C$9, 100%, $E$9)</f>
        <v>5.1395999999999997</v>
      </c>
      <c r="F72" s="17">
        <f>CHOOSE(CONTROL!$C$42, 4.9956, 4.9956)*CHOOSE(CONTROL!$C$21, $C$9, 100%, $E$9)</f>
        <v>4.9955999999999996</v>
      </c>
      <c r="G72" s="17">
        <f>CHOOSE(CONTROL!$C$42, 5.0129, 5.0129)*CHOOSE(CONTROL!$C$21, $C$9, 100%, $E$9)</f>
        <v>5.0129000000000001</v>
      </c>
      <c r="H72" s="17">
        <f>CHOOSE(CONTROL!$C$42, 5.1285, 5.1285) * CHOOSE(CONTROL!$C$21, $C$9, 100%, $E$9)</f>
        <v>5.1284999999999998</v>
      </c>
      <c r="I72" s="17">
        <f>CHOOSE(CONTROL!$C$42, 5.0186, 5.0186)* CHOOSE(CONTROL!$C$21, $C$9, 100%, $E$9)</f>
        <v>5.0186000000000002</v>
      </c>
      <c r="J72" s="17">
        <f>CHOOSE(CONTROL!$C$42, 4.9882, 4.9882)* CHOOSE(CONTROL!$C$21, $C$9, 100%, $E$9)</f>
        <v>4.9882</v>
      </c>
      <c r="K72" s="53">
        <f>CHOOSE(CONTROL!$C$42, 5.0125, 5.0125) * CHOOSE(CONTROL!$C$21, $C$9, 100%, $E$9)</f>
        <v>5.0125000000000002</v>
      </c>
      <c r="L72" s="17">
        <f>CHOOSE(CONTROL!$C$42, 5.7155, 5.7155) * CHOOSE(CONTROL!$C$21, $C$9, 100%, $E$9)</f>
        <v>5.7154999999999996</v>
      </c>
      <c r="M72" s="17">
        <f>CHOOSE(CONTROL!$C$42, 4.9504, 4.9504) * CHOOSE(CONTROL!$C$21, $C$9, 100%, $E$9)</f>
        <v>4.9504000000000001</v>
      </c>
      <c r="N72" s="17">
        <f>CHOOSE(CONTROL!$C$42, 4.9675, 4.9675) * CHOOSE(CONTROL!$C$21, $C$9, 100%, $E$9)</f>
        <v>4.9675000000000002</v>
      </c>
      <c r="O72" s="17">
        <f>CHOOSE(CONTROL!$C$42, 5.0894, 5.0894) * CHOOSE(CONTROL!$C$21, $C$9, 100%, $E$9)</f>
        <v>5.0894000000000004</v>
      </c>
      <c r="P72" s="17">
        <f>CHOOSE(CONTROL!$C$42, 4.9804, 4.9804) * CHOOSE(CONTROL!$C$21, $C$9, 100%, $E$9)</f>
        <v>4.9804000000000004</v>
      </c>
      <c r="Q72" s="17">
        <f>CHOOSE(CONTROL!$C$42, 5.6841, 5.6841) * CHOOSE(CONTROL!$C$21, $C$9, 100%, $E$9)</f>
        <v>5.6840999999999999</v>
      </c>
      <c r="R72" s="17">
        <f>CHOOSE(CONTROL!$C$42, 6.2853, 6.2853) * CHOOSE(CONTROL!$C$21, $C$9, 100%, $E$9)</f>
        <v>6.2853000000000003</v>
      </c>
      <c r="S72" s="17">
        <f>CHOOSE(CONTROL!$C$42, 4.8178, 4.8178) * CHOOSE(CONTROL!$C$21, $C$9, 100%, $E$9)</f>
        <v>4.8178000000000001</v>
      </c>
      <c r="T72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72" s="57">
        <f>(1000*CHOOSE(CONTROL!$C$42, 695, 695)*CHOOSE(CONTROL!$C$42, 0.5599, 0.5599)*CHOOSE(CONTROL!$C$42, 31, 31))/1000000</f>
        <v>12.063045499999998</v>
      </c>
      <c r="V72" s="57">
        <f>(1000*CHOOSE(CONTROL!$C$42, 580, 580)*CHOOSE(CONTROL!$C$42, 0.275, 0.275)*CHOOSE(CONTROL!$C$42, 31, 31))/1000000</f>
        <v>4.9444999999999997</v>
      </c>
      <c r="W72" s="57">
        <f>(1000*CHOOSE(CONTROL!$C$42, 0.0916, 0.0916)*CHOOSE(CONTROL!$C$42, 121.5, 121.5)*CHOOSE(CONTROL!$C$42, 31, 31))/1000000</f>
        <v>0.34501139999999997</v>
      </c>
      <c r="X72" s="57">
        <f>(31*0.2374*100000/1000000)</f>
        <v>0.73594000000000004</v>
      </c>
      <c r="Y72" s="57"/>
      <c r="Z72" s="17"/>
      <c r="AA72" s="56"/>
      <c r="AB72" s="49">
        <f>(B72*122.58+C72*297.941+D72*89.177+E72*140.302+F72*40+G72*60+H72*0+I72*100+J72*300)/(122.58+297.941+89.177+140.302+0+40+60+100+300)</f>
        <v>5.0176522998260866</v>
      </c>
      <c r="AC72" s="46">
        <f>(M72*'RAP TEMPLATE-GAS AVAILABILITY'!O71+N72*'RAP TEMPLATE-GAS AVAILABILITY'!P71+O72*'RAP TEMPLATE-GAS AVAILABILITY'!Q71+P72*'RAP TEMPLATE-GAS AVAILABILITY'!R71)/('RAP TEMPLATE-GAS AVAILABILITY'!O71+'RAP TEMPLATE-GAS AVAILABILITY'!P71+'RAP TEMPLATE-GAS AVAILABILITY'!Q71+'RAP TEMPLATE-GAS AVAILABILITY'!R71)</f>
        <v>5.0187007194244613</v>
      </c>
    </row>
    <row r="73" spans="1:29" ht="15.75" x14ac:dyDescent="0.25">
      <c r="A73" s="16">
        <v>43101</v>
      </c>
      <c r="B73" s="17">
        <f>CHOOSE(CONTROL!$C$42, 5.8025, 5.8025) * CHOOSE(CONTROL!$C$21, $C$9, 100%, $E$9)</f>
        <v>5.8025000000000002</v>
      </c>
      <c r="C73" s="17">
        <f>CHOOSE(CONTROL!$C$42, 5.8076, 5.8076) * CHOOSE(CONTROL!$C$21, $C$9, 100%, $E$9)</f>
        <v>5.8075999999999999</v>
      </c>
      <c r="D73" s="17">
        <f>CHOOSE(CONTROL!$C$42, 5.9251, 5.9251) * CHOOSE(CONTROL!$C$21, $C$9, 100%, $E$9)</f>
        <v>5.9250999999999996</v>
      </c>
      <c r="E73" s="17">
        <f>CHOOSE(CONTROL!$C$42, 5.9588, 5.9588) * CHOOSE(CONTROL!$C$21, $C$9, 100%, $E$9)</f>
        <v>5.9588000000000001</v>
      </c>
      <c r="F73" s="17">
        <f>CHOOSE(CONTROL!$C$42, 5.8162, 5.8162)*CHOOSE(CONTROL!$C$21, $C$9, 100%, $E$9)</f>
        <v>5.8162000000000003</v>
      </c>
      <c r="G73" s="17">
        <f>CHOOSE(CONTROL!$C$42, 5.8325, 5.8325)*CHOOSE(CONTROL!$C$21, $C$9, 100%, $E$9)</f>
        <v>5.8324999999999996</v>
      </c>
      <c r="H73" s="17">
        <f>CHOOSE(CONTROL!$C$42, 5.9477, 5.9477) * CHOOSE(CONTROL!$C$21, $C$9, 100%, $E$9)</f>
        <v>5.9477000000000002</v>
      </c>
      <c r="I73" s="17">
        <f>CHOOSE(CONTROL!$C$42, 5.8439, 5.8439)* CHOOSE(CONTROL!$C$21, $C$9, 100%, $E$9)</f>
        <v>5.8438999999999997</v>
      </c>
      <c r="J73" s="17">
        <f>CHOOSE(CONTROL!$C$42, 5.8088, 5.8088)* CHOOSE(CONTROL!$C$21, $C$9, 100%, $E$9)</f>
        <v>5.8087999999999997</v>
      </c>
      <c r="K73" s="53">
        <f>CHOOSE(CONTROL!$C$42, 5.8379, 5.8379) * CHOOSE(CONTROL!$C$21, $C$9, 100%, $E$9)</f>
        <v>5.8379000000000003</v>
      </c>
      <c r="L73" s="17">
        <f>CHOOSE(CONTROL!$C$42, 6.5347, 6.5347) * CHOOSE(CONTROL!$C$21, $C$9, 100%, $E$9)</f>
        <v>6.5347</v>
      </c>
      <c r="M73" s="17">
        <f>CHOOSE(CONTROL!$C$42, 5.7635, 5.7635) * CHOOSE(CONTROL!$C$21, $C$9, 100%, $E$9)</f>
        <v>5.7634999999999996</v>
      </c>
      <c r="N73" s="17">
        <f>CHOOSE(CONTROL!$C$42, 5.7797, 5.7797) * CHOOSE(CONTROL!$C$21, $C$9, 100%, $E$9)</f>
        <v>5.7797000000000001</v>
      </c>
      <c r="O73" s="17">
        <f>CHOOSE(CONTROL!$C$42, 5.9012, 5.9012) * CHOOSE(CONTROL!$C$21, $C$9, 100%, $E$9)</f>
        <v>5.9012000000000002</v>
      </c>
      <c r="P73" s="17">
        <f>CHOOSE(CONTROL!$C$42, 5.7983, 5.7983) * CHOOSE(CONTROL!$C$21, $C$9, 100%, $E$9)</f>
        <v>5.7983000000000002</v>
      </c>
      <c r="Q73" s="17">
        <f>CHOOSE(CONTROL!$C$42, 6.4959, 6.4959) * CHOOSE(CONTROL!$C$21, $C$9, 100%, $E$9)</f>
        <v>6.4958999999999998</v>
      </c>
      <c r="R73" s="17">
        <f>CHOOSE(CONTROL!$C$42, 7.0992, 7.0992) * CHOOSE(CONTROL!$C$21, $C$9, 100%, $E$9)</f>
        <v>7.0991999999999997</v>
      </c>
      <c r="S73" s="17">
        <f>CHOOSE(CONTROL!$C$42, 5.6172, 5.6172) * CHOOSE(CONTROL!$C$21, $C$9, 100%, $E$9)</f>
        <v>5.6172000000000004</v>
      </c>
      <c r="T73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73" s="57">
        <f>(1000*CHOOSE(CONTROL!$C$42, 695, 695)*CHOOSE(CONTROL!$C$42, 0.5599, 0.5599)*CHOOSE(CONTROL!$C$42, 31, 31))/1000000</f>
        <v>12.063045499999998</v>
      </c>
      <c r="V73" s="57">
        <f>(1000*CHOOSE(CONTROL!$C$42, 500, 500)*CHOOSE(CONTROL!$C$42, 0.275, 0.275)*CHOOSE(CONTROL!$C$42, 31, 31))/1000000</f>
        <v>4.2625000000000002</v>
      </c>
      <c r="W73" s="57">
        <f>(1000*CHOOSE(CONTROL!$C$42, 0.0916, 0.0916)*CHOOSE(CONTROL!$C$42, 121.5, 121.5)*CHOOSE(CONTROL!$C$42, 31, 31))/1000000</f>
        <v>0.34501139999999997</v>
      </c>
      <c r="X73" s="57">
        <f>(31*0.2374*100000/1000000)</f>
        <v>0.73594000000000004</v>
      </c>
      <c r="Y73" s="57"/>
      <c r="Z73" s="17"/>
      <c r="AA73" s="56"/>
      <c r="AB73" s="49">
        <f>(B73*122.58+C73*297.941+D73*89.177+E73*140.302+F73*40+G73*60+H73*0+I73*100+J73*300)/(122.58+297.941+89.177+140.302+0+40+60+100+300)</f>
        <v>5.8396824364347824</v>
      </c>
      <c r="AC73" s="46">
        <f>(M73*'RAP TEMPLATE-GAS AVAILABILITY'!O72+N73*'RAP TEMPLATE-GAS AVAILABILITY'!P72+O73*'RAP TEMPLATE-GAS AVAILABILITY'!Q72+P73*'RAP TEMPLATE-GAS AVAILABILITY'!R72)/('RAP TEMPLATE-GAS AVAILABILITY'!O72+'RAP TEMPLATE-GAS AVAILABILITY'!P72+'RAP TEMPLATE-GAS AVAILABILITY'!Q72+'RAP TEMPLATE-GAS AVAILABILITY'!R72)</f>
        <v>5.83185035971223</v>
      </c>
    </row>
    <row r="74" spans="1:29" ht="15.75" x14ac:dyDescent="0.25">
      <c r="A74" s="16">
        <v>43132</v>
      </c>
      <c r="B74" s="17">
        <f>CHOOSE(CONTROL!$C$42, 5.9178, 5.9178) * CHOOSE(CONTROL!$C$21, $C$9, 100%, $E$9)</f>
        <v>5.9177999999999997</v>
      </c>
      <c r="C74" s="17">
        <f>CHOOSE(CONTROL!$C$42, 5.9229, 5.9229) * CHOOSE(CONTROL!$C$21, $C$9, 100%, $E$9)</f>
        <v>5.9229000000000003</v>
      </c>
      <c r="D74" s="17">
        <f>CHOOSE(CONTROL!$C$42, 6.0403, 6.0403) * CHOOSE(CONTROL!$C$21, $C$9, 100%, $E$9)</f>
        <v>6.0403000000000002</v>
      </c>
      <c r="E74" s="17">
        <f>CHOOSE(CONTROL!$C$42, 6.0741, 6.0741) * CHOOSE(CONTROL!$C$21, $C$9, 100%, $E$9)</f>
        <v>6.0740999999999996</v>
      </c>
      <c r="F74" s="17">
        <f>CHOOSE(CONTROL!$C$42, 5.9314, 5.9314)*CHOOSE(CONTROL!$C$21, $C$9, 100%, $E$9)</f>
        <v>5.9314</v>
      </c>
      <c r="G74" s="17">
        <f>CHOOSE(CONTROL!$C$42, 5.9477, 5.9477)*CHOOSE(CONTROL!$C$21, $C$9, 100%, $E$9)</f>
        <v>5.9477000000000002</v>
      </c>
      <c r="H74" s="17">
        <f>CHOOSE(CONTROL!$C$42, 6.063, 6.063) * CHOOSE(CONTROL!$C$21, $C$9, 100%, $E$9)</f>
        <v>6.0629999999999997</v>
      </c>
      <c r="I74" s="17">
        <f>CHOOSE(CONTROL!$C$42, 5.9595, 5.9595)* CHOOSE(CONTROL!$C$21, $C$9, 100%, $E$9)</f>
        <v>5.9595000000000002</v>
      </c>
      <c r="J74" s="17">
        <f>CHOOSE(CONTROL!$C$42, 5.924, 5.924)* CHOOSE(CONTROL!$C$21, $C$9, 100%, $E$9)</f>
        <v>5.9240000000000004</v>
      </c>
      <c r="K74" s="53">
        <f>CHOOSE(CONTROL!$C$42, 5.9535, 5.9535) * CHOOSE(CONTROL!$C$21, $C$9, 100%, $E$9)</f>
        <v>5.9535</v>
      </c>
      <c r="L74" s="17">
        <f>CHOOSE(CONTROL!$C$42, 6.65, 6.65) * CHOOSE(CONTROL!$C$21, $C$9, 100%, $E$9)</f>
        <v>6.65</v>
      </c>
      <c r="M74" s="17">
        <f>CHOOSE(CONTROL!$C$42, 5.8777, 5.8777) * CHOOSE(CONTROL!$C$21, $C$9, 100%, $E$9)</f>
        <v>5.8776999999999999</v>
      </c>
      <c r="N74" s="17">
        <f>CHOOSE(CONTROL!$C$42, 5.8939, 5.8939) * CHOOSE(CONTROL!$C$21, $C$9, 100%, $E$9)</f>
        <v>5.8939000000000004</v>
      </c>
      <c r="O74" s="17">
        <f>CHOOSE(CONTROL!$C$42, 6.0154, 6.0154) * CHOOSE(CONTROL!$C$21, $C$9, 100%, $E$9)</f>
        <v>6.0153999999999996</v>
      </c>
      <c r="P74" s="17">
        <f>CHOOSE(CONTROL!$C$42, 5.9128, 5.9128) * CHOOSE(CONTROL!$C$21, $C$9, 100%, $E$9)</f>
        <v>5.9127999999999998</v>
      </c>
      <c r="Q74" s="17">
        <f>CHOOSE(CONTROL!$C$42, 6.6101, 6.6101) * CHOOSE(CONTROL!$C$21, $C$9, 100%, $E$9)</f>
        <v>6.6101000000000001</v>
      </c>
      <c r="R74" s="17">
        <f>CHOOSE(CONTROL!$C$42, 7.2137, 7.2137) * CHOOSE(CONTROL!$C$21, $C$9, 100%, $E$9)</f>
        <v>7.2137000000000002</v>
      </c>
      <c r="S74" s="17">
        <f>CHOOSE(CONTROL!$C$42, 5.729, 5.729) * CHOOSE(CONTROL!$C$21, $C$9, 100%, $E$9)</f>
        <v>5.7290000000000001</v>
      </c>
      <c r="T74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74" s="57">
        <f>(1000*CHOOSE(CONTROL!$C$42, 695, 695)*CHOOSE(CONTROL!$C$42, 0.5599, 0.5599)*CHOOSE(CONTROL!$C$42, 28, 28))/1000000</f>
        <v>10.895653999999999</v>
      </c>
      <c r="V74" s="57">
        <f>(1000*CHOOSE(CONTROL!$C$42, 500, 500)*CHOOSE(CONTROL!$C$42, 0.275, 0.275)*CHOOSE(CONTROL!$C$42, 28, 28))/1000000</f>
        <v>3.85</v>
      </c>
      <c r="W74" s="57">
        <f>(1000*CHOOSE(CONTROL!$C$42, 0.0916, 0.0916)*CHOOSE(CONTROL!$C$42, 121.5, 121.5)*CHOOSE(CONTROL!$C$42, 28, 28))/1000000</f>
        <v>0.31162319999999999</v>
      </c>
      <c r="X74" s="57">
        <f>(28*0.2374*100000/1000000)</f>
        <v>0.66471999999999998</v>
      </c>
      <c r="Y74" s="57"/>
      <c r="Z74" s="17"/>
      <c r="AA74" s="56"/>
      <c r="AB74" s="49">
        <f>(B74*122.58+C74*297.941+D74*89.177+E74*140.302+F74*40+G74*60+H74*0+I74*100+J74*300)/(122.58+297.941+89.177+140.302+0+40+60+100+300)</f>
        <v>5.954965986260869</v>
      </c>
      <c r="AC74" s="46">
        <f>(M74*'RAP TEMPLATE-GAS AVAILABILITY'!O73+N74*'RAP TEMPLATE-GAS AVAILABILITY'!P73+O74*'RAP TEMPLATE-GAS AVAILABILITY'!Q73+P74*'RAP TEMPLATE-GAS AVAILABILITY'!R73)/('RAP TEMPLATE-GAS AVAILABILITY'!O73+'RAP TEMPLATE-GAS AVAILABILITY'!P73+'RAP TEMPLATE-GAS AVAILABILITY'!Q73+'RAP TEMPLATE-GAS AVAILABILITY'!R73)</f>
        <v>5.9460935251798563</v>
      </c>
    </row>
    <row r="75" spans="1:29" ht="15.75" x14ac:dyDescent="0.25">
      <c r="A75" s="16">
        <v>43160</v>
      </c>
      <c r="B75" s="17">
        <f>CHOOSE(CONTROL!$C$42, 5.7619, 5.7619) * CHOOSE(CONTROL!$C$21, $C$9, 100%, $E$9)</f>
        <v>5.7618999999999998</v>
      </c>
      <c r="C75" s="17">
        <f>CHOOSE(CONTROL!$C$42, 5.767, 5.767) * CHOOSE(CONTROL!$C$21, $C$9, 100%, $E$9)</f>
        <v>5.7670000000000003</v>
      </c>
      <c r="D75" s="17">
        <f>CHOOSE(CONTROL!$C$42, 5.8844, 5.8844) * CHOOSE(CONTROL!$C$21, $C$9, 100%, $E$9)</f>
        <v>5.8844000000000003</v>
      </c>
      <c r="E75" s="17">
        <f>CHOOSE(CONTROL!$C$42, 5.9182, 5.9182) * CHOOSE(CONTROL!$C$21, $C$9, 100%, $E$9)</f>
        <v>5.9181999999999997</v>
      </c>
      <c r="F75" s="17">
        <f>CHOOSE(CONTROL!$C$42, 5.7749, 5.7749)*CHOOSE(CONTROL!$C$21, $C$9, 100%, $E$9)</f>
        <v>5.7748999999999997</v>
      </c>
      <c r="G75" s="17">
        <f>CHOOSE(CONTROL!$C$42, 5.791, 5.791)*CHOOSE(CONTROL!$C$21, $C$9, 100%, $E$9)</f>
        <v>5.7910000000000004</v>
      </c>
      <c r="H75" s="17">
        <f>CHOOSE(CONTROL!$C$42, 5.9071, 5.9071) * CHOOSE(CONTROL!$C$21, $C$9, 100%, $E$9)</f>
        <v>5.9070999999999998</v>
      </c>
      <c r="I75" s="17">
        <f>CHOOSE(CONTROL!$C$42, 5.8032, 5.8032)* CHOOSE(CONTROL!$C$21, $C$9, 100%, $E$9)</f>
        <v>5.8032000000000004</v>
      </c>
      <c r="J75" s="17">
        <f>CHOOSE(CONTROL!$C$42, 5.7675, 5.7675)* CHOOSE(CONTROL!$C$21, $C$9, 100%, $E$9)</f>
        <v>5.7675000000000001</v>
      </c>
      <c r="K75" s="53">
        <f>CHOOSE(CONTROL!$C$42, 5.7971, 5.7971) * CHOOSE(CONTROL!$C$21, $C$9, 100%, $E$9)</f>
        <v>5.7971000000000004</v>
      </c>
      <c r="L75" s="17">
        <f>CHOOSE(CONTROL!$C$42, 6.4941, 6.4941) * CHOOSE(CONTROL!$C$21, $C$9, 100%, $E$9)</f>
        <v>6.4941000000000004</v>
      </c>
      <c r="M75" s="17">
        <f>CHOOSE(CONTROL!$C$42, 5.7226, 5.7226) * CHOOSE(CONTROL!$C$21, $C$9, 100%, $E$9)</f>
        <v>5.7225999999999999</v>
      </c>
      <c r="N75" s="17">
        <f>CHOOSE(CONTROL!$C$42, 5.7386, 5.7386) * CHOOSE(CONTROL!$C$21, $C$9, 100%, $E$9)</f>
        <v>5.7385999999999999</v>
      </c>
      <c r="O75" s="17">
        <f>CHOOSE(CONTROL!$C$42, 5.8609, 5.8609) * CHOOSE(CONTROL!$C$21, $C$9, 100%, $E$9)</f>
        <v>5.8609</v>
      </c>
      <c r="P75" s="17">
        <f>CHOOSE(CONTROL!$C$42, 5.7579, 5.7579) * CHOOSE(CONTROL!$C$21, $C$9, 100%, $E$9)</f>
        <v>5.7579000000000002</v>
      </c>
      <c r="Q75" s="17">
        <f>CHOOSE(CONTROL!$C$42, 6.4556, 6.4556) * CHOOSE(CONTROL!$C$21, $C$9, 100%, $E$9)</f>
        <v>6.4555999999999996</v>
      </c>
      <c r="R75" s="17">
        <f>CHOOSE(CONTROL!$C$42, 7.0588, 7.0588) * CHOOSE(CONTROL!$C$21, $C$9, 100%, $E$9)</f>
        <v>7.0587999999999997</v>
      </c>
      <c r="S75" s="17">
        <f>CHOOSE(CONTROL!$C$42, 5.5778, 5.5778) * CHOOSE(CONTROL!$C$21, $C$9, 100%, $E$9)</f>
        <v>5.5777999999999999</v>
      </c>
      <c r="T75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75" s="57">
        <f>(1000*CHOOSE(CONTROL!$C$42, 695, 695)*CHOOSE(CONTROL!$C$42, 0.5599, 0.5599)*CHOOSE(CONTROL!$C$42, 31, 31))/1000000</f>
        <v>12.063045499999998</v>
      </c>
      <c r="V75" s="57">
        <f>(1000*CHOOSE(CONTROL!$C$42, 500, 500)*CHOOSE(CONTROL!$C$42, 0.275, 0.275)*CHOOSE(CONTROL!$C$42, 31, 31))/1000000</f>
        <v>4.2625000000000002</v>
      </c>
      <c r="W75" s="57">
        <f>(1000*CHOOSE(CONTROL!$C$42, 0.0916, 0.0916)*CHOOSE(CONTROL!$C$42, 121.5, 121.5)*CHOOSE(CONTROL!$C$42, 31, 31))/1000000</f>
        <v>0.34501139999999997</v>
      </c>
      <c r="X75" s="57">
        <f>(31*0.2374*100000/1000000)</f>
        <v>0.73594000000000004</v>
      </c>
      <c r="Y75" s="57"/>
      <c r="Z75" s="17"/>
      <c r="AA75" s="56"/>
      <c r="AB75" s="49">
        <f>(B75*122.58+C75*297.941+D75*89.177+E75*140.302+F75*40+G75*60+H75*0+I75*100+J75*300)/(122.58+297.941+89.177+140.302+0+40+60+100+300)</f>
        <v>5.798812073217392</v>
      </c>
      <c r="AC75" s="46">
        <f>(M75*'RAP TEMPLATE-GAS AVAILABILITY'!O74+N75*'RAP TEMPLATE-GAS AVAILABILITY'!P74+O75*'RAP TEMPLATE-GAS AVAILABILITY'!Q74+P75*'RAP TEMPLATE-GAS AVAILABILITY'!R74)/('RAP TEMPLATE-GAS AVAILABILITY'!O74+'RAP TEMPLATE-GAS AVAILABILITY'!P74+'RAP TEMPLATE-GAS AVAILABILITY'!Q74+'RAP TEMPLATE-GAS AVAILABILITY'!R74)</f>
        <v>5.7912827338129498</v>
      </c>
    </row>
    <row r="76" spans="1:29" ht="15.75" x14ac:dyDescent="0.25">
      <c r="A76" s="16">
        <v>43191</v>
      </c>
      <c r="B76" s="17">
        <f>CHOOSE(CONTROL!$C$42, 5.7575, 5.7575) * CHOOSE(CONTROL!$C$21, $C$9, 100%, $E$9)</f>
        <v>5.7575000000000003</v>
      </c>
      <c r="C76" s="17">
        <f>CHOOSE(CONTROL!$C$42, 5.762, 5.762) * CHOOSE(CONTROL!$C$21, $C$9, 100%, $E$9)</f>
        <v>5.7619999999999996</v>
      </c>
      <c r="D76" s="17">
        <f>CHOOSE(CONTROL!$C$42, 6.0147, 6.0147) * CHOOSE(CONTROL!$C$21, $C$9, 100%, $E$9)</f>
        <v>6.0147000000000004</v>
      </c>
      <c r="E76" s="17">
        <f>CHOOSE(CONTROL!$C$42, 6.0465, 6.0465) * CHOOSE(CONTROL!$C$21, $C$9, 100%, $E$9)</f>
        <v>6.0465</v>
      </c>
      <c r="F76" s="17">
        <f>CHOOSE(CONTROL!$C$42, 5.7634, 5.7634)*CHOOSE(CONTROL!$C$21, $C$9, 100%, $E$9)</f>
        <v>5.7633999999999999</v>
      </c>
      <c r="G76" s="17">
        <f>CHOOSE(CONTROL!$C$42, 5.7793, 5.7793)*CHOOSE(CONTROL!$C$21, $C$9, 100%, $E$9)</f>
        <v>5.7793000000000001</v>
      </c>
      <c r="H76" s="17">
        <f>CHOOSE(CONTROL!$C$42, 6.0359, 6.0359) * CHOOSE(CONTROL!$C$21, $C$9, 100%, $E$9)</f>
        <v>6.0358999999999998</v>
      </c>
      <c r="I76" s="17">
        <f>CHOOSE(CONTROL!$C$42, 5.7969, 5.7969)* CHOOSE(CONTROL!$C$21, $C$9, 100%, $E$9)</f>
        <v>5.7968999999999999</v>
      </c>
      <c r="J76" s="17">
        <f>CHOOSE(CONTROL!$C$42, 5.756, 5.756)* CHOOSE(CONTROL!$C$21, $C$9, 100%, $E$9)</f>
        <v>5.7560000000000002</v>
      </c>
      <c r="K76" s="53">
        <f>CHOOSE(CONTROL!$C$42, 5.7909, 5.7909) * CHOOSE(CONTROL!$C$21, $C$9, 100%, $E$9)</f>
        <v>5.7908999999999997</v>
      </c>
      <c r="L76" s="17">
        <f>CHOOSE(CONTROL!$C$42, 6.6229, 6.6229) * CHOOSE(CONTROL!$C$21, $C$9, 100%, $E$9)</f>
        <v>6.6228999999999996</v>
      </c>
      <c r="M76" s="17">
        <f>CHOOSE(CONTROL!$C$42, 5.7113, 5.7113) * CHOOSE(CONTROL!$C$21, $C$9, 100%, $E$9)</f>
        <v>5.7112999999999996</v>
      </c>
      <c r="N76" s="17">
        <f>CHOOSE(CONTROL!$C$42, 5.727, 5.727) * CHOOSE(CONTROL!$C$21, $C$9, 100%, $E$9)</f>
        <v>5.7270000000000003</v>
      </c>
      <c r="O76" s="17">
        <f>CHOOSE(CONTROL!$C$42, 5.9887, 5.9887) * CHOOSE(CONTROL!$C$21, $C$9, 100%, $E$9)</f>
        <v>5.9886999999999997</v>
      </c>
      <c r="P76" s="17">
        <f>CHOOSE(CONTROL!$C$42, 5.7517, 5.7517) * CHOOSE(CONTROL!$C$21, $C$9, 100%, $E$9)</f>
        <v>5.7516999999999996</v>
      </c>
      <c r="Q76" s="17">
        <f>CHOOSE(CONTROL!$C$42, 6.5834, 6.5834) * CHOOSE(CONTROL!$C$21, $C$9, 100%, $E$9)</f>
        <v>6.5834000000000001</v>
      </c>
      <c r="R76" s="17">
        <f>CHOOSE(CONTROL!$C$42, 7.1868, 7.1868) * CHOOSE(CONTROL!$C$21, $C$9, 100%, $E$9)</f>
        <v>7.1867999999999999</v>
      </c>
      <c r="S76" s="17">
        <f>CHOOSE(CONTROL!$C$42, 5.5728, 5.5728) * CHOOSE(CONTROL!$C$21, $C$9, 100%, $E$9)</f>
        <v>5.5728</v>
      </c>
      <c r="T76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76" s="57">
        <f>(1000*CHOOSE(CONTROL!$C$42, 695, 695)*CHOOSE(CONTROL!$C$42, 0.5599, 0.5599)*CHOOSE(CONTROL!$C$42, 30, 30))/1000000</f>
        <v>11.673914999999997</v>
      </c>
      <c r="V76" s="57">
        <f>(1000*CHOOSE(CONTROL!$C$42, 500, 500)*CHOOSE(CONTROL!$C$42, 0.275, 0.275)*CHOOSE(CONTROL!$C$42, 30, 30))/1000000</f>
        <v>4.125</v>
      </c>
      <c r="W76" s="57">
        <f>(1000*CHOOSE(CONTROL!$C$42, 0.0916, 0.0916)*CHOOSE(CONTROL!$C$42, 121.5, 121.5)*CHOOSE(CONTROL!$C$42, 30, 30))/1000000</f>
        <v>0.33388200000000001</v>
      </c>
      <c r="X76" s="57">
        <f>(30*0.1790888*145000/1000000)+(30*0.2374*100000/1000000)</f>
        <v>1.4912362799999999</v>
      </c>
      <c r="Y76" s="57"/>
      <c r="Z76" s="17"/>
      <c r="AA76" s="56"/>
      <c r="AB76" s="49">
        <f>(B76*141.293+C76*267.993+D76*115.016+E76*189.698+F76*40+G76*85+H76*0+I76*100+J76*300)/(141.293+267.993+115.016+189.698+0+40+85+100+300)</f>
        <v>5.8310995203389826</v>
      </c>
      <c r="AC76" s="46">
        <f>(M76*'RAP TEMPLATE-GAS AVAILABILITY'!O75+N76*'RAP TEMPLATE-GAS AVAILABILITY'!P75+O76*'RAP TEMPLATE-GAS AVAILABILITY'!Q75+P76*'RAP TEMPLATE-GAS AVAILABILITY'!R75)/('RAP TEMPLATE-GAS AVAILABILITY'!O75+'RAP TEMPLATE-GAS AVAILABILITY'!P75+'RAP TEMPLATE-GAS AVAILABILITY'!Q75+'RAP TEMPLATE-GAS AVAILABILITY'!R75)</f>
        <v>5.7985589928057557</v>
      </c>
    </row>
    <row r="77" spans="1:29" ht="15.75" x14ac:dyDescent="0.25">
      <c r="A77" s="16">
        <v>43221</v>
      </c>
      <c r="B77" s="17">
        <f>CHOOSE(CONTROL!$C$42, 5.8215, 5.8215) * CHOOSE(CONTROL!$C$21, $C$9, 100%, $E$9)</f>
        <v>5.8215000000000003</v>
      </c>
      <c r="C77" s="17">
        <f>CHOOSE(CONTROL!$C$42, 5.8295, 5.8295) * CHOOSE(CONTROL!$C$21, $C$9, 100%, $E$9)</f>
        <v>5.8295000000000003</v>
      </c>
      <c r="D77" s="17">
        <f>CHOOSE(CONTROL!$C$42, 6.0791, 6.0791) * CHOOSE(CONTROL!$C$21, $C$9, 100%, $E$9)</f>
        <v>6.0791000000000004</v>
      </c>
      <c r="E77" s="17">
        <f>CHOOSE(CONTROL!$C$42, 6.1103, 6.1103) * CHOOSE(CONTROL!$C$21, $C$9, 100%, $E$9)</f>
        <v>6.1102999999999996</v>
      </c>
      <c r="F77" s="17">
        <f>CHOOSE(CONTROL!$C$42, 5.8263, 5.8263)*CHOOSE(CONTROL!$C$21, $C$9, 100%, $E$9)</f>
        <v>5.8262999999999998</v>
      </c>
      <c r="G77" s="17">
        <f>CHOOSE(CONTROL!$C$42, 5.8425, 5.8425)*CHOOSE(CONTROL!$C$21, $C$9, 100%, $E$9)</f>
        <v>5.8425000000000002</v>
      </c>
      <c r="H77" s="17">
        <f>CHOOSE(CONTROL!$C$42, 6.0986, 6.0986) * CHOOSE(CONTROL!$C$21, $C$9, 100%, $E$9)</f>
        <v>6.0986000000000002</v>
      </c>
      <c r="I77" s="17">
        <f>CHOOSE(CONTROL!$C$42, 5.8598, 5.8598)* CHOOSE(CONTROL!$C$21, $C$9, 100%, $E$9)</f>
        <v>5.8597999999999999</v>
      </c>
      <c r="J77" s="17">
        <f>CHOOSE(CONTROL!$C$42, 5.8189, 5.8189)* CHOOSE(CONTROL!$C$21, $C$9, 100%, $E$9)</f>
        <v>5.8189000000000002</v>
      </c>
      <c r="K77" s="53">
        <f>CHOOSE(CONTROL!$C$42, 5.8537, 5.8537) * CHOOSE(CONTROL!$C$21, $C$9, 100%, $E$9)</f>
        <v>5.8536999999999999</v>
      </c>
      <c r="L77" s="17">
        <f>CHOOSE(CONTROL!$C$42, 6.6856, 6.6856) * CHOOSE(CONTROL!$C$21, $C$9, 100%, $E$9)</f>
        <v>6.6856</v>
      </c>
      <c r="M77" s="17">
        <f>CHOOSE(CONTROL!$C$42, 5.7736, 5.7736) * CHOOSE(CONTROL!$C$21, $C$9, 100%, $E$9)</f>
        <v>5.7736000000000001</v>
      </c>
      <c r="N77" s="17">
        <f>CHOOSE(CONTROL!$C$42, 5.7896, 5.7896) * CHOOSE(CONTROL!$C$21, $C$9, 100%, $E$9)</f>
        <v>5.7896000000000001</v>
      </c>
      <c r="O77" s="17">
        <f>CHOOSE(CONTROL!$C$42, 6.0508, 6.0508) * CHOOSE(CONTROL!$C$21, $C$9, 100%, $E$9)</f>
        <v>6.0507999999999997</v>
      </c>
      <c r="P77" s="17">
        <f>CHOOSE(CONTROL!$C$42, 5.814, 5.814) * CHOOSE(CONTROL!$C$21, $C$9, 100%, $E$9)</f>
        <v>5.8140000000000001</v>
      </c>
      <c r="Q77" s="17">
        <f>CHOOSE(CONTROL!$C$42, 6.6455, 6.6455) * CHOOSE(CONTROL!$C$21, $C$9, 100%, $E$9)</f>
        <v>6.6455000000000002</v>
      </c>
      <c r="R77" s="17">
        <f>CHOOSE(CONTROL!$C$42, 7.2491, 7.2491) * CHOOSE(CONTROL!$C$21, $C$9, 100%, $E$9)</f>
        <v>7.2491000000000003</v>
      </c>
      <c r="S77" s="17">
        <f>CHOOSE(CONTROL!$C$42, 5.6335, 5.6335) * CHOOSE(CONTROL!$C$21, $C$9, 100%, $E$9)</f>
        <v>5.6334999999999997</v>
      </c>
      <c r="T77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77" s="57">
        <f>(1000*CHOOSE(CONTROL!$C$42, 695, 695)*CHOOSE(CONTROL!$C$42, 0.5599, 0.5599)*CHOOSE(CONTROL!$C$42, 31, 31))/1000000</f>
        <v>12.063045499999998</v>
      </c>
      <c r="V77" s="57">
        <f>(1000*CHOOSE(CONTROL!$C$42, 500, 500)*CHOOSE(CONTROL!$C$42, 0.275, 0.275)*CHOOSE(CONTROL!$C$42, 31, 31))/1000000</f>
        <v>4.2625000000000002</v>
      </c>
      <c r="W77" s="57">
        <f>(1000*CHOOSE(CONTROL!$C$42, 0.0916, 0.0916)*CHOOSE(CONTROL!$C$42, 121.5, 121.5)*CHOOSE(CONTROL!$C$42, 31, 31))/1000000</f>
        <v>0.34501139999999997</v>
      </c>
      <c r="X77" s="57">
        <f>(31*0.1790888*145000/1000000)+(31*0.2374*100000/1000000)</f>
        <v>1.5409441560000001</v>
      </c>
      <c r="Y77" s="57"/>
      <c r="Z77" s="17"/>
      <c r="AA77" s="56"/>
      <c r="AB77" s="49">
        <f>(B77*194.205+C77*267.466+D77*133.845+E77*153.484+F77*40+G77*85+H77*0+I77*100+J77*300)/(194.205+267.466+133.845+153.484+0+40+85+100+300)</f>
        <v>5.88898145934066</v>
      </c>
      <c r="AC77" s="46">
        <f>(M77*'RAP TEMPLATE-GAS AVAILABILITY'!O76+N77*'RAP TEMPLATE-GAS AVAILABILITY'!P76+O77*'RAP TEMPLATE-GAS AVAILABILITY'!Q76+P77*'RAP TEMPLATE-GAS AVAILABILITY'!R76)/('RAP TEMPLATE-GAS AVAILABILITY'!O76+'RAP TEMPLATE-GAS AVAILABILITY'!P76+'RAP TEMPLATE-GAS AVAILABILITY'!Q76+'RAP TEMPLATE-GAS AVAILABILITY'!R76)</f>
        <v>5.8608719424460434</v>
      </c>
    </row>
    <row r="78" spans="1:29" ht="15.75" x14ac:dyDescent="0.25">
      <c r="A78" s="16">
        <v>43252</v>
      </c>
      <c r="B78" s="17">
        <f>CHOOSE(CONTROL!$C$42, 5.9986, 5.9986) * CHOOSE(CONTROL!$C$21, $C$9, 100%, $E$9)</f>
        <v>5.9985999999999997</v>
      </c>
      <c r="C78" s="17">
        <f>CHOOSE(CONTROL!$C$42, 6.0065, 6.0065) * CHOOSE(CONTROL!$C$21, $C$9, 100%, $E$9)</f>
        <v>6.0065</v>
      </c>
      <c r="D78" s="17">
        <f>CHOOSE(CONTROL!$C$42, 6.2562, 6.2562) * CHOOSE(CONTROL!$C$21, $C$9, 100%, $E$9)</f>
        <v>6.2561999999999998</v>
      </c>
      <c r="E78" s="17">
        <f>CHOOSE(CONTROL!$C$42, 6.2873, 6.2873) * CHOOSE(CONTROL!$C$21, $C$9, 100%, $E$9)</f>
        <v>6.2873000000000001</v>
      </c>
      <c r="F78" s="17">
        <f>CHOOSE(CONTROL!$C$42, 6.0038, 6.0038)*CHOOSE(CONTROL!$C$21, $C$9, 100%, $E$9)</f>
        <v>6.0038</v>
      </c>
      <c r="G78" s="17">
        <f>CHOOSE(CONTROL!$C$42, 6.02, 6.02)*CHOOSE(CONTROL!$C$21, $C$9, 100%, $E$9)</f>
        <v>6.02</v>
      </c>
      <c r="H78" s="17">
        <f>CHOOSE(CONTROL!$C$42, 6.2757, 6.2757) * CHOOSE(CONTROL!$C$21, $C$9, 100%, $E$9)</f>
        <v>6.2756999999999996</v>
      </c>
      <c r="I78" s="17">
        <f>CHOOSE(CONTROL!$C$42, 6.0374, 6.0374)* CHOOSE(CONTROL!$C$21, $C$9, 100%, $E$9)</f>
        <v>6.0373999999999999</v>
      </c>
      <c r="J78" s="17">
        <f>CHOOSE(CONTROL!$C$42, 5.9964, 5.9964)* CHOOSE(CONTROL!$C$21, $C$9, 100%, $E$9)</f>
        <v>5.9964000000000004</v>
      </c>
      <c r="K78" s="53">
        <f>CHOOSE(CONTROL!$C$42, 6.0314, 6.0314) * CHOOSE(CONTROL!$C$21, $C$9, 100%, $E$9)</f>
        <v>6.0313999999999997</v>
      </c>
      <c r="L78" s="17">
        <f>CHOOSE(CONTROL!$C$42, 6.8627, 6.8627) * CHOOSE(CONTROL!$C$21, $C$9, 100%, $E$9)</f>
        <v>6.8627000000000002</v>
      </c>
      <c r="M78" s="17">
        <f>CHOOSE(CONTROL!$C$42, 5.9494, 5.9494) * CHOOSE(CONTROL!$C$21, $C$9, 100%, $E$9)</f>
        <v>5.9493999999999998</v>
      </c>
      <c r="N78" s="17">
        <f>CHOOSE(CONTROL!$C$42, 5.9655, 5.9655) * CHOOSE(CONTROL!$C$21, $C$9, 100%, $E$9)</f>
        <v>5.9654999999999996</v>
      </c>
      <c r="O78" s="17">
        <f>CHOOSE(CONTROL!$C$42, 6.2262, 6.2262) * CHOOSE(CONTROL!$C$21, $C$9, 100%, $E$9)</f>
        <v>6.2262000000000004</v>
      </c>
      <c r="P78" s="17">
        <f>CHOOSE(CONTROL!$C$42, 5.99, 5.99) * CHOOSE(CONTROL!$C$21, $C$9, 100%, $E$9)</f>
        <v>5.99</v>
      </c>
      <c r="Q78" s="17">
        <f>CHOOSE(CONTROL!$C$42, 6.8209, 6.8209) * CHOOSE(CONTROL!$C$21, $C$9, 100%, $E$9)</f>
        <v>6.8209</v>
      </c>
      <c r="R78" s="17">
        <f>CHOOSE(CONTROL!$C$42, 7.425, 7.425) * CHOOSE(CONTROL!$C$21, $C$9, 100%, $E$9)</f>
        <v>7.4249999999999998</v>
      </c>
      <c r="S78" s="17">
        <f>CHOOSE(CONTROL!$C$42, 5.8052, 5.8052) * CHOOSE(CONTROL!$C$21, $C$9, 100%, $E$9)</f>
        <v>5.8052000000000001</v>
      </c>
      <c r="T78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78" s="57">
        <f>(1000*CHOOSE(CONTROL!$C$42, 695, 695)*CHOOSE(CONTROL!$C$42, 0.5599, 0.5599)*CHOOSE(CONTROL!$C$42, 30, 30))/1000000</f>
        <v>11.673914999999997</v>
      </c>
      <c r="V78" s="57">
        <f>(1000*CHOOSE(CONTROL!$C$42, 500, 500)*CHOOSE(CONTROL!$C$42, 0.275, 0.275)*CHOOSE(CONTROL!$C$42, 30, 30))/1000000</f>
        <v>4.125</v>
      </c>
      <c r="W78" s="57">
        <f>(1000*CHOOSE(CONTROL!$C$42, 0.0916, 0.0916)*CHOOSE(CONTROL!$C$42, 121.5, 121.5)*CHOOSE(CONTROL!$C$42, 30, 30))/1000000</f>
        <v>0.33388200000000001</v>
      </c>
      <c r="X78" s="57">
        <f>(30*0.1790888*145000/1000000)+(30*0.2374*100000/1000000)</f>
        <v>1.4912362799999999</v>
      </c>
      <c r="Y78" s="57"/>
      <c r="Z78" s="17"/>
      <c r="AA78" s="56"/>
      <c r="AB78" s="49">
        <f>(B78*194.205+C78*267.466+D78*133.845+E78*153.484+F78*40+G78*85+H78*0+I78*100+J78*300)/(194.205+267.466+133.845+153.484+0+40+85+100+300)</f>
        <v>6.0662211021978019</v>
      </c>
      <c r="AC78" s="46">
        <f>(M78*'RAP TEMPLATE-GAS AVAILABILITY'!O77+N78*'RAP TEMPLATE-GAS AVAILABILITY'!P77+O78*'RAP TEMPLATE-GAS AVAILABILITY'!Q77+P78*'RAP TEMPLATE-GAS AVAILABILITY'!R77)/('RAP TEMPLATE-GAS AVAILABILITY'!O77+'RAP TEMPLATE-GAS AVAILABILITY'!P77+'RAP TEMPLATE-GAS AVAILABILITY'!Q77+'RAP TEMPLATE-GAS AVAILABILITY'!R77)</f>
        <v>6.0366115107913663</v>
      </c>
    </row>
    <row r="79" spans="1:29" ht="15.75" x14ac:dyDescent="0.25">
      <c r="A79" s="16">
        <v>43282</v>
      </c>
      <c r="B79" s="17">
        <f>CHOOSE(CONTROL!$C$42, 5.8958, 5.8958) * CHOOSE(CONTROL!$C$21, $C$9, 100%, $E$9)</f>
        <v>5.8958000000000004</v>
      </c>
      <c r="C79" s="17">
        <f>CHOOSE(CONTROL!$C$42, 5.9038, 5.9038) * CHOOSE(CONTROL!$C$21, $C$9, 100%, $E$9)</f>
        <v>5.9038000000000004</v>
      </c>
      <c r="D79" s="17">
        <f>CHOOSE(CONTROL!$C$42, 6.1534, 6.1534) * CHOOSE(CONTROL!$C$21, $C$9, 100%, $E$9)</f>
        <v>6.1534000000000004</v>
      </c>
      <c r="E79" s="17">
        <f>CHOOSE(CONTROL!$C$42, 6.1846, 6.1846) * CHOOSE(CONTROL!$C$21, $C$9, 100%, $E$9)</f>
        <v>6.1845999999999997</v>
      </c>
      <c r="F79" s="17">
        <f>CHOOSE(CONTROL!$C$42, 5.9015, 5.9015)*CHOOSE(CONTROL!$C$21, $C$9, 100%, $E$9)</f>
        <v>5.9015000000000004</v>
      </c>
      <c r="G79" s="17">
        <f>CHOOSE(CONTROL!$C$42, 5.9179, 5.9179)*CHOOSE(CONTROL!$C$21, $C$9, 100%, $E$9)</f>
        <v>5.9179000000000004</v>
      </c>
      <c r="H79" s="17">
        <f>CHOOSE(CONTROL!$C$42, 6.1729, 6.1729) * CHOOSE(CONTROL!$C$21, $C$9, 100%, $E$9)</f>
        <v>6.1729000000000003</v>
      </c>
      <c r="I79" s="17">
        <f>CHOOSE(CONTROL!$C$42, 5.9343, 5.9343)* CHOOSE(CONTROL!$C$21, $C$9, 100%, $E$9)</f>
        <v>5.9343000000000004</v>
      </c>
      <c r="J79" s="17">
        <f>CHOOSE(CONTROL!$C$42, 5.8941, 5.8941)* CHOOSE(CONTROL!$C$21, $C$9, 100%, $E$9)</f>
        <v>5.8940999999999999</v>
      </c>
      <c r="K79" s="53">
        <f>CHOOSE(CONTROL!$C$42, 5.9283, 5.9283) * CHOOSE(CONTROL!$C$21, $C$9, 100%, $E$9)</f>
        <v>5.9283000000000001</v>
      </c>
      <c r="L79" s="17">
        <f>CHOOSE(CONTROL!$C$42, 6.7599, 6.7599) * CHOOSE(CONTROL!$C$21, $C$9, 100%, $E$9)</f>
        <v>6.7599</v>
      </c>
      <c r="M79" s="17">
        <f>CHOOSE(CONTROL!$C$42, 5.8481, 5.8481) * CHOOSE(CONTROL!$C$21, $C$9, 100%, $E$9)</f>
        <v>5.8480999999999996</v>
      </c>
      <c r="N79" s="17">
        <f>CHOOSE(CONTROL!$C$42, 5.8643, 5.8643) * CHOOSE(CONTROL!$C$21, $C$9, 100%, $E$9)</f>
        <v>5.8643000000000001</v>
      </c>
      <c r="O79" s="17">
        <f>CHOOSE(CONTROL!$C$42, 6.1244, 6.1244) * CHOOSE(CONTROL!$C$21, $C$9, 100%, $E$9)</f>
        <v>6.1243999999999996</v>
      </c>
      <c r="P79" s="17">
        <f>CHOOSE(CONTROL!$C$42, 5.8879, 5.8879) * CHOOSE(CONTROL!$C$21, $C$9, 100%, $E$9)</f>
        <v>5.8879000000000001</v>
      </c>
      <c r="Q79" s="17">
        <f>CHOOSE(CONTROL!$C$42, 6.7191, 6.7191) * CHOOSE(CONTROL!$C$21, $C$9, 100%, $E$9)</f>
        <v>6.7191000000000001</v>
      </c>
      <c r="R79" s="17">
        <f>CHOOSE(CONTROL!$C$42, 7.3229, 7.3229) * CHOOSE(CONTROL!$C$21, $C$9, 100%, $E$9)</f>
        <v>7.3228999999999997</v>
      </c>
      <c r="S79" s="17">
        <f>CHOOSE(CONTROL!$C$42, 5.7056, 5.7056) * CHOOSE(CONTROL!$C$21, $C$9, 100%, $E$9)</f>
        <v>5.7055999999999996</v>
      </c>
      <c r="T79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79" s="57">
        <f>(1000*CHOOSE(CONTROL!$C$42, 695, 695)*CHOOSE(CONTROL!$C$42, 0.5599, 0.5599)*CHOOSE(CONTROL!$C$42, 31, 31))/1000000</f>
        <v>12.063045499999998</v>
      </c>
      <c r="V79" s="57">
        <f>(1000*CHOOSE(CONTROL!$C$42, 500, 500)*CHOOSE(CONTROL!$C$42, 0.275, 0.275)*CHOOSE(CONTROL!$C$42, 31, 31))/1000000</f>
        <v>4.2625000000000002</v>
      </c>
      <c r="W79" s="57">
        <f>(1000*CHOOSE(CONTROL!$C$42, 0.0916, 0.0916)*CHOOSE(CONTROL!$C$42, 121.5, 121.5)*CHOOSE(CONTROL!$C$42, 31, 31))/1000000</f>
        <v>0.34501139999999997</v>
      </c>
      <c r="X79" s="57">
        <f>(31*0.1790888*145000/1000000)+(31*0.2374*100000/1000000)</f>
        <v>1.5409441560000001</v>
      </c>
      <c r="Y79" s="57"/>
      <c r="Z79" s="17"/>
      <c r="AA79" s="56"/>
      <c r="AB79" s="49">
        <f>(B79*194.205+C79*267.466+D79*133.845+E79*153.484+F79*40+G79*85+H79*0+I79*100+J79*300)/(194.205+267.466+133.845+153.484+0+40+85+100+300)</f>
        <v>5.9636107372056522</v>
      </c>
      <c r="AC79" s="46">
        <f>(M79*'RAP TEMPLATE-GAS AVAILABILITY'!O78+N79*'RAP TEMPLATE-GAS AVAILABILITY'!P78+O79*'RAP TEMPLATE-GAS AVAILABILITY'!Q78+P79*'RAP TEMPLATE-GAS AVAILABILITY'!R78)/('RAP TEMPLATE-GAS AVAILABILITY'!O78+'RAP TEMPLATE-GAS AVAILABILITY'!P78+'RAP TEMPLATE-GAS AVAILABILITY'!Q78+'RAP TEMPLATE-GAS AVAILABILITY'!R78)</f>
        <v>5.9350791366906472</v>
      </c>
    </row>
    <row r="80" spans="1:29" ht="15.75" x14ac:dyDescent="0.25">
      <c r="A80" s="16">
        <v>43313</v>
      </c>
      <c r="B80" s="17">
        <f>CHOOSE(CONTROL!$C$42, 5.6168, 5.6168) * CHOOSE(CONTROL!$C$21, $C$9, 100%, $E$9)</f>
        <v>5.6167999999999996</v>
      </c>
      <c r="C80" s="17">
        <f>CHOOSE(CONTROL!$C$42, 5.6247, 5.6247) * CHOOSE(CONTROL!$C$21, $C$9, 100%, $E$9)</f>
        <v>5.6246999999999998</v>
      </c>
      <c r="D80" s="17">
        <f>CHOOSE(CONTROL!$C$42, 5.8744, 5.8744) * CHOOSE(CONTROL!$C$21, $C$9, 100%, $E$9)</f>
        <v>5.8743999999999996</v>
      </c>
      <c r="E80" s="17">
        <f>CHOOSE(CONTROL!$C$42, 5.9055, 5.9055) * CHOOSE(CONTROL!$C$21, $C$9, 100%, $E$9)</f>
        <v>5.9055</v>
      </c>
      <c r="F80" s="17">
        <f>CHOOSE(CONTROL!$C$42, 5.6227, 5.6227)*CHOOSE(CONTROL!$C$21, $C$9, 100%, $E$9)</f>
        <v>5.6227</v>
      </c>
      <c r="G80" s="17">
        <f>CHOOSE(CONTROL!$C$42, 5.6391, 5.6391)*CHOOSE(CONTROL!$C$21, $C$9, 100%, $E$9)</f>
        <v>5.6391</v>
      </c>
      <c r="H80" s="17">
        <f>CHOOSE(CONTROL!$C$42, 5.8939, 5.8939) * CHOOSE(CONTROL!$C$21, $C$9, 100%, $E$9)</f>
        <v>5.8939000000000004</v>
      </c>
      <c r="I80" s="17">
        <f>CHOOSE(CONTROL!$C$42, 5.6544, 5.6544)* CHOOSE(CONTROL!$C$21, $C$9, 100%, $E$9)</f>
        <v>5.6543999999999999</v>
      </c>
      <c r="J80" s="17">
        <f>CHOOSE(CONTROL!$C$42, 5.6153, 5.6153)* CHOOSE(CONTROL!$C$21, $C$9, 100%, $E$9)</f>
        <v>5.6153000000000004</v>
      </c>
      <c r="K80" s="53">
        <f>CHOOSE(CONTROL!$C$42, 5.6484, 5.6484) * CHOOSE(CONTROL!$C$21, $C$9, 100%, $E$9)</f>
        <v>5.6483999999999996</v>
      </c>
      <c r="L80" s="17">
        <f>CHOOSE(CONTROL!$C$42, 6.4809, 6.4809) * CHOOSE(CONTROL!$C$21, $C$9, 100%, $E$9)</f>
        <v>6.4809000000000001</v>
      </c>
      <c r="M80" s="17">
        <f>CHOOSE(CONTROL!$C$42, 5.5718, 5.5718) * CHOOSE(CONTROL!$C$21, $C$9, 100%, $E$9)</f>
        <v>5.5717999999999996</v>
      </c>
      <c r="N80" s="17">
        <f>CHOOSE(CONTROL!$C$42, 5.5881, 5.5881) * CHOOSE(CONTROL!$C$21, $C$9, 100%, $E$9)</f>
        <v>5.5880999999999998</v>
      </c>
      <c r="O80" s="17">
        <f>CHOOSE(CONTROL!$C$42, 5.8479, 5.8479) * CHOOSE(CONTROL!$C$21, $C$9, 100%, $E$9)</f>
        <v>5.8479000000000001</v>
      </c>
      <c r="P80" s="17">
        <f>CHOOSE(CONTROL!$C$42, 5.6105, 5.6105) * CHOOSE(CONTROL!$C$21, $C$9, 100%, $E$9)</f>
        <v>5.6105</v>
      </c>
      <c r="Q80" s="17">
        <f>CHOOSE(CONTROL!$C$42, 6.4426, 6.4426) * CHOOSE(CONTROL!$C$21, $C$9, 100%, $E$9)</f>
        <v>6.4425999999999997</v>
      </c>
      <c r="R80" s="17">
        <f>CHOOSE(CONTROL!$C$42, 7.0457, 7.0457) * CHOOSE(CONTROL!$C$21, $C$9, 100%, $E$9)</f>
        <v>7.0457000000000001</v>
      </c>
      <c r="S80" s="17">
        <f>CHOOSE(CONTROL!$C$42, 5.435, 5.435) * CHOOSE(CONTROL!$C$21, $C$9, 100%, $E$9)</f>
        <v>5.4349999999999996</v>
      </c>
      <c r="T80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80" s="57">
        <f>(1000*CHOOSE(CONTROL!$C$42, 695, 695)*CHOOSE(CONTROL!$C$42, 0.5599, 0.5599)*CHOOSE(CONTROL!$C$42, 31, 31))/1000000</f>
        <v>12.063045499999998</v>
      </c>
      <c r="V80" s="57">
        <f>(1000*CHOOSE(CONTROL!$C$42, 500, 500)*CHOOSE(CONTROL!$C$42, 0.275, 0.275)*CHOOSE(CONTROL!$C$42, 31, 31))/1000000</f>
        <v>4.2625000000000002</v>
      </c>
      <c r="W80" s="57">
        <f>(1000*CHOOSE(CONTROL!$C$42, 0.0916, 0.0916)*CHOOSE(CONTROL!$C$42, 121.5, 121.5)*CHOOSE(CONTROL!$C$42, 31, 31))/1000000</f>
        <v>0.34501139999999997</v>
      </c>
      <c r="X80" s="57">
        <f>(31*0.1790888*145000/1000000)+(31*0.2374*100000/1000000)</f>
        <v>1.5409441560000001</v>
      </c>
      <c r="Y80" s="57"/>
      <c r="Z80" s="17"/>
      <c r="AA80" s="56"/>
      <c r="AB80" s="49">
        <f>(B80*194.205+C80*267.466+D80*133.845+E80*153.484+F80*40+G80*85+H80*0+I80*100+J80*300)/(194.205+267.466+133.845+153.484+0+40+85+100+300)</f>
        <v>5.6845737709576145</v>
      </c>
      <c r="AC80" s="46">
        <f>(M80*'RAP TEMPLATE-GAS AVAILABILITY'!O79+N80*'RAP TEMPLATE-GAS AVAILABILITY'!P79+O80*'RAP TEMPLATE-GAS AVAILABILITY'!Q79+P80*'RAP TEMPLATE-GAS AVAILABILITY'!R79)/('RAP TEMPLATE-GAS AVAILABILITY'!O79+'RAP TEMPLATE-GAS AVAILABILITY'!P79+'RAP TEMPLATE-GAS AVAILABILITY'!Q79+'RAP TEMPLATE-GAS AVAILABILITY'!R79)</f>
        <v>5.6585877697841722</v>
      </c>
    </row>
    <row r="81" spans="1:29" ht="15.75" x14ac:dyDescent="0.25">
      <c r="A81" s="16">
        <v>43344</v>
      </c>
      <c r="B81" s="17">
        <f>CHOOSE(CONTROL!$C$42, 5.2716, 5.2716) * CHOOSE(CONTROL!$C$21, $C$9, 100%, $E$9)</f>
        <v>5.2716000000000003</v>
      </c>
      <c r="C81" s="17">
        <f>CHOOSE(CONTROL!$C$42, 5.2795, 5.2795) * CHOOSE(CONTROL!$C$21, $C$9, 100%, $E$9)</f>
        <v>5.2794999999999996</v>
      </c>
      <c r="D81" s="17">
        <f>CHOOSE(CONTROL!$C$42, 5.5292, 5.5292) * CHOOSE(CONTROL!$C$21, $C$9, 100%, $E$9)</f>
        <v>5.5292000000000003</v>
      </c>
      <c r="E81" s="17">
        <f>CHOOSE(CONTROL!$C$42, 5.5603, 5.5603) * CHOOSE(CONTROL!$C$21, $C$9, 100%, $E$9)</f>
        <v>5.5602999999999998</v>
      </c>
      <c r="F81" s="17">
        <f>CHOOSE(CONTROL!$C$42, 5.2776, 5.2776)*CHOOSE(CONTROL!$C$21, $C$9, 100%, $E$9)</f>
        <v>5.2775999999999996</v>
      </c>
      <c r="G81" s="17">
        <f>CHOOSE(CONTROL!$C$42, 5.294, 5.294)*CHOOSE(CONTROL!$C$21, $C$9, 100%, $E$9)</f>
        <v>5.2939999999999996</v>
      </c>
      <c r="H81" s="17">
        <f>CHOOSE(CONTROL!$C$42, 5.5487, 5.5487) * CHOOSE(CONTROL!$C$21, $C$9, 100%, $E$9)</f>
        <v>5.5487000000000002</v>
      </c>
      <c r="I81" s="17">
        <f>CHOOSE(CONTROL!$C$42, 5.3081, 5.3081)* CHOOSE(CONTROL!$C$21, $C$9, 100%, $E$9)</f>
        <v>5.3080999999999996</v>
      </c>
      <c r="J81" s="17">
        <f>CHOOSE(CONTROL!$C$42, 5.2702, 5.2702)* CHOOSE(CONTROL!$C$21, $C$9, 100%, $E$9)</f>
        <v>5.2702</v>
      </c>
      <c r="K81" s="53">
        <f>CHOOSE(CONTROL!$C$42, 5.3021, 5.3021) * CHOOSE(CONTROL!$C$21, $C$9, 100%, $E$9)</f>
        <v>5.3021000000000003</v>
      </c>
      <c r="L81" s="17">
        <f>CHOOSE(CONTROL!$C$42, 6.1357, 6.1357) * CHOOSE(CONTROL!$C$21, $C$9, 100%, $E$9)</f>
        <v>6.1356999999999999</v>
      </c>
      <c r="M81" s="17">
        <f>CHOOSE(CONTROL!$C$42, 5.2298, 5.2298) * CHOOSE(CONTROL!$C$21, $C$9, 100%, $E$9)</f>
        <v>5.2298</v>
      </c>
      <c r="N81" s="17">
        <f>CHOOSE(CONTROL!$C$42, 5.2461, 5.2461) * CHOOSE(CONTROL!$C$21, $C$9, 100%, $E$9)</f>
        <v>5.2461000000000002</v>
      </c>
      <c r="O81" s="17">
        <f>CHOOSE(CONTROL!$C$42, 5.5058, 5.5058) * CHOOSE(CONTROL!$C$21, $C$9, 100%, $E$9)</f>
        <v>5.5057999999999998</v>
      </c>
      <c r="P81" s="17">
        <f>CHOOSE(CONTROL!$C$42, 5.2673, 5.2673) * CHOOSE(CONTROL!$C$21, $C$9, 100%, $E$9)</f>
        <v>5.2672999999999996</v>
      </c>
      <c r="Q81" s="17">
        <f>CHOOSE(CONTROL!$C$42, 6.1005, 6.1005) * CHOOSE(CONTROL!$C$21, $C$9, 100%, $E$9)</f>
        <v>6.1005000000000003</v>
      </c>
      <c r="R81" s="17">
        <f>CHOOSE(CONTROL!$C$42, 6.7027, 6.7027) * CHOOSE(CONTROL!$C$21, $C$9, 100%, $E$9)</f>
        <v>6.7027000000000001</v>
      </c>
      <c r="S81" s="17">
        <f>CHOOSE(CONTROL!$C$42, 5.1003, 5.1003) * CHOOSE(CONTROL!$C$21, $C$9, 100%, $E$9)</f>
        <v>5.1002999999999998</v>
      </c>
      <c r="T81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81" s="57">
        <f>(1000*CHOOSE(CONTROL!$C$42, 695, 695)*CHOOSE(CONTROL!$C$42, 0.5599, 0.5599)*CHOOSE(CONTROL!$C$42, 30, 30))/1000000</f>
        <v>11.673914999999997</v>
      </c>
      <c r="V81" s="57">
        <f>(1000*CHOOSE(CONTROL!$C$42, 500, 500)*CHOOSE(CONTROL!$C$42, 0.275, 0.275)*CHOOSE(CONTROL!$C$42, 30, 30))/1000000</f>
        <v>4.125</v>
      </c>
      <c r="W81" s="57">
        <f>(1000*CHOOSE(CONTROL!$C$42, 0.0916, 0.0916)*CHOOSE(CONTROL!$C$42, 121.5, 121.5)*CHOOSE(CONTROL!$C$42, 30, 30))/1000000</f>
        <v>0.33388200000000001</v>
      </c>
      <c r="X81" s="57">
        <f>(30*0.1790888*145000/1000000)+(30*0.2374*100000/1000000)</f>
        <v>1.4912362799999999</v>
      </c>
      <c r="Y81" s="57"/>
      <c r="Z81" s="17"/>
      <c r="AA81" s="56"/>
      <c r="AB81" s="49">
        <f>(B81*194.205+C81*267.466+D81*133.845+E81*153.484+F81*40+G81*85+H81*0+I81*100+J81*300)/(194.205+267.466+133.845+153.484+0+40+85+100+300)</f>
        <v>5.3393207882260594</v>
      </c>
      <c r="AC81" s="46">
        <f>(M81*'RAP TEMPLATE-GAS AVAILABILITY'!O80+N81*'RAP TEMPLATE-GAS AVAILABILITY'!P80+O81*'RAP TEMPLATE-GAS AVAILABILITY'!Q80+P81*'RAP TEMPLATE-GAS AVAILABILITY'!R80)/('RAP TEMPLATE-GAS AVAILABILITY'!O80+'RAP TEMPLATE-GAS AVAILABILITY'!P80+'RAP TEMPLATE-GAS AVAILABILITY'!Q80+'RAP TEMPLATE-GAS AVAILABILITY'!R80)</f>
        <v>5.3163870503597126</v>
      </c>
    </row>
    <row r="82" spans="1:29" ht="15.75" x14ac:dyDescent="0.25">
      <c r="A82" s="16">
        <v>43374</v>
      </c>
      <c r="B82" s="17">
        <f>CHOOSE(CONTROL!$C$42, 5.1737, 5.1737) * CHOOSE(CONTROL!$C$21, $C$9, 100%, $E$9)</f>
        <v>5.1737000000000002</v>
      </c>
      <c r="C82" s="17">
        <f>CHOOSE(CONTROL!$C$42, 5.179, 5.179) * CHOOSE(CONTROL!$C$21, $C$9, 100%, $E$9)</f>
        <v>5.1790000000000003</v>
      </c>
      <c r="D82" s="17">
        <f>CHOOSE(CONTROL!$C$42, 5.4335, 5.4335) * CHOOSE(CONTROL!$C$21, $C$9, 100%, $E$9)</f>
        <v>5.4335000000000004</v>
      </c>
      <c r="E82" s="17">
        <f>CHOOSE(CONTROL!$C$42, 5.4624, 5.4624) * CHOOSE(CONTROL!$C$21, $C$9, 100%, $E$9)</f>
        <v>5.4623999999999997</v>
      </c>
      <c r="F82" s="17">
        <f>CHOOSE(CONTROL!$C$42, 5.1819, 5.1819)*CHOOSE(CONTROL!$C$21, $C$9, 100%, $E$9)</f>
        <v>5.1818999999999997</v>
      </c>
      <c r="G82" s="17">
        <f>CHOOSE(CONTROL!$C$42, 5.1982, 5.1982)*CHOOSE(CONTROL!$C$21, $C$9, 100%, $E$9)</f>
        <v>5.1981999999999999</v>
      </c>
      <c r="H82" s="17">
        <f>CHOOSE(CONTROL!$C$42, 5.4525, 5.4525) * CHOOSE(CONTROL!$C$21, $C$9, 100%, $E$9)</f>
        <v>5.4524999999999997</v>
      </c>
      <c r="I82" s="17">
        <f>CHOOSE(CONTROL!$C$42, 5.2117, 5.2117)* CHOOSE(CONTROL!$C$21, $C$9, 100%, $E$9)</f>
        <v>5.2117000000000004</v>
      </c>
      <c r="J82" s="17">
        <f>CHOOSE(CONTROL!$C$42, 5.1745, 5.1745)* CHOOSE(CONTROL!$C$21, $C$9, 100%, $E$9)</f>
        <v>5.1745000000000001</v>
      </c>
      <c r="K82" s="53">
        <f>CHOOSE(CONTROL!$C$42, 5.2056, 5.2056) * CHOOSE(CONTROL!$C$21, $C$9, 100%, $E$9)</f>
        <v>5.2055999999999996</v>
      </c>
      <c r="L82" s="17">
        <f>CHOOSE(CONTROL!$C$42, 6.0395, 6.0395) * CHOOSE(CONTROL!$C$21, $C$9, 100%, $E$9)</f>
        <v>6.0395000000000003</v>
      </c>
      <c r="M82" s="17">
        <f>CHOOSE(CONTROL!$C$42, 5.1349, 5.1349) * CHOOSE(CONTROL!$C$21, $C$9, 100%, $E$9)</f>
        <v>5.1349</v>
      </c>
      <c r="N82" s="17">
        <f>CHOOSE(CONTROL!$C$42, 5.1511, 5.1511) * CHOOSE(CONTROL!$C$21, $C$9, 100%, $E$9)</f>
        <v>5.1510999999999996</v>
      </c>
      <c r="O82" s="17">
        <f>CHOOSE(CONTROL!$C$42, 5.4105, 5.4105) * CHOOSE(CONTROL!$C$21, $C$9, 100%, $E$9)</f>
        <v>5.4104999999999999</v>
      </c>
      <c r="P82" s="17">
        <f>CHOOSE(CONTROL!$C$42, 5.1717, 5.1717) * CHOOSE(CONTROL!$C$21, $C$9, 100%, $E$9)</f>
        <v>5.1717000000000004</v>
      </c>
      <c r="Q82" s="17">
        <f>CHOOSE(CONTROL!$C$42, 6.0052, 6.0052) * CHOOSE(CONTROL!$C$21, $C$9, 100%, $E$9)</f>
        <v>6.0052000000000003</v>
      </c>
      <c r="R82" s="17">
        <f>CHOOSE(CONTROL!$C$42, 6.6072, 6.6072) * CHOOSE(CONTROL!$C$21, $C$9, 100%, $E$9)</f>
        <v>6.6071999999999997</v>
      </c>
      <c r="S82" s="17">
        <f>CHOOSE(CONTROL!$C$42, 5.007, 5.007) * CHOOSE(CONTROL!$C$21, $C$9, 100%, $E$9)</f>
        <v>5.0069999999999997</v>
      </c>
      <c r="T82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82" s="57">
        <f>(1000*CHOOSE(CONTROL!$C$42, 695, 695)*CHOOSE(CONTROL!$C$42, 0.5599, 0.5599)*CHOOSE(CONTROL!$C$42, 31, 31))/1000000</f>
        <v>12.063045499999998</v>
      </c>
      <c r="V82" s="57">
        <f>(1000*CHOOSE(CONTROL!$C$42, 500, 500)*CHOOSE(CONTROL!$C$42, 0.275, 0.275)*CHOOSE(CONTROL!$C$42, 31, 31))/1000000</f>
        <v>4.2625000000000002</v>
      </c>
      <c r="W82" s="57">
        <f>(1000*CHOOSE(CONTROL!$C$42, 0.0916, 0.0916)*CHOOSE(CONTROL!$C$42, 121.5, 121.5)*CHOOSE(CONTROL!$C$42, 31, 31))/1000000</f>
        <v>0.34501139999999997</v>
      </c>
      <c r="X82" s="57">
        <f>(31*0.1790888*145000/1000000)+(31*0.2374*100000/1000000)</f>
        <v>1.5409441560000001</v>
      </c>
      <c r="Y82" s="57"/>
      <c r="Z82" s="17"/>
      <c r="AA82" s="56"/>
      <c r="AB82" s="49">
        <f>(B82*131.881+C82*277.167+D82*79.08+E82*225.872+F82*40+G82*85+H82*0+I82*100+J82*300)/(131.881+277.167+79.08+225.872+0+40+85+100+300)</f>
        <v>5.2493042901533498</v>
      </c>
      <c r="AC82" s="46">
        <f>(M82*'RAP TEMPLATE-GAS AVAILABILITY'!O81+N82*'RAP TEMPLATE-GAS AVAILABILITY'!P81+O82*'RAP TEMPLATE-GAS AVAILABILITY'!Q81+P82*'RAP TEMPLATE-GAS AVAILABILITY'!R81)/('RAP TEMPLATE-GAS AVAILABILITY'!O81+'RAP TEMPLATE-GAS AVAILABILITY'!P81+'RAP TEMPLATE-GAS AVAILABILITY'!Q81+'RAP TEMPLATE-GAS AVAILABILITY'!R81)</f>
        <v>5.2212510791366897</v>
      </c>
    </row>
    <row r="83" spans="1:29" ht="15.75" x14ac:dyDescent="0.25">
      <c r="A83" s="16">
        <v>43405</v>
      </c>
      <c r="B83" s="17">
        <f>CHOOSE(CONTROL!$C$42, 5.3202, 5.3202) * CHOOSE(CONTROL!$C$21, $C$9, 100%, $E$9)</f>
        <v>5.3201999999999998</v>
      </c>
      <c r="C83" s="17">
        <f>CHOOSE(CONTROL!$C$42, 5.3253, 5.3253) * CHOOSE(CONTROL!$C$21, $C$9, 100%, $E$9)</f>
        <v>5.3253000000000004</v>
      </c>
      <c r="D83" s="17">
        <f>CHOOSE(CONTROL!$C$42, 5.4479, 5.4479) * CHOOSE(CONTROL!$C$21, $C$9, 100%, $E$9)</f>
        <v>5.4478999999999997</v>
      </c>
      <c r="E83" s="17">
        <f>CHOOSE(CONTROL!$C$42, 5.4817, 5.4817) * CHOOSE(CONTROL!$C$21, $C$9, 100%, $E$9)</f>
        <v>5.4817</v>
      </c>
      <c r="F83" s="17">
        <f>CHOOSE(CONTROL!$C$42, 5.3352, 5.3352)*CHOOSE(CONTROL!$C$21, $C$9, 100%, $E$9)</f>
        <v>5.3352000000000004</v>
      </c>
      <c r="G83" s="17">
        <f>CHOOSE(CONTROL!$C$42, 5.3519, 5.3519)*CHOOSE(CONTROL!$C$21, $C$9, 100%, $E$9)</f>
        <v>5.3518999999999997</v>
      </c>
      <c r="H83" s="17">
        <f>CHOOSE(CONTROL!$C$42, 5.4705, 5.4705) * CHOOSE(CONTROL!$C$21, $C$9, 100%, $E$9)</f>
        <v>5.4705000000000004</v>
      </c>
      <c r="I83" s="17">
        <f>CHOOSE(CONTROL!$C$42, 5.3617, 5.3617)* CHOOSE(CONTROL!$C$21, $C$9, 100%, $E$9)</f>
        <v>5.3616999999999999</v>
      </c>
      <c r="J83" s="17">
        <f>CHOOSE(CONTROL!$C$42, 5.3278, 5.3278)* CHOOSE(CONTROL!$C$21, $C$9, 100%, $E$9)</f>
        <v>5.3277999999999999</v>
      </c>
      <c r="K83" s="53">
        <f>CHOOSE(CONTROL!$C$42, 5.3556, 5.3556) * CHOOSE(CONTROL!$C$21, $C$9, 100%, $E$9)</f>
        <v>5.3555999999999999</v>
      </c>
      <c r="L83" s="17">
        <f>CHOOSE(CONTROL!$C$42, 6.0575, 6.0575) * CHOOSE(CONTROL!$C$21, $C$9, 100%, $E$9)</f>
        <v>6.0575000000000001</v>
      </c>
      <c r="M83" s="17">
        <f>CHOOSE(CONTROL!$C$42, 5.2869, 5.2869) * CHOOSE(CONTROL!$C$21, $C$9, 100%, $E$9)</f>
        <v>5.2869000000000002</v>
      </c>
      <c r="N83" s="17">
        <f>CHOOSE(CONTROL!$C$42, 5.3034, 5.3034) * CHOOSE(CONTROL!$C$21, $C$9, 100%, $E$9)</f>
        <v>5.3033999999999999</v>
      </c>
      <c r="O83" s="17">
        <f>CHOOSE(CONTROL!$C$42, 5.4283, 5.4283) * CHOOSE(CONTROL!$C$21, $C$9, 100%, $E$9)</f>
        <v>5.4283000000000001</v>
      </c>
      <c r="P83" s="17">
        <f>CHOOSE(CONTROL!$C$42, 5.3203, 5.3203) * CHOOSE(CONTROL!$C$21, $C$9, 100%, $E$9)</f>
        <v>5.3202999999999996</v>
      </c>
      <c r="Q83" s="17">
        <f>CHOOSE(CONTROL!$C$42, 6.023, 6.023) * CHOOSE(CONTROL!$C$21, $C$9, 100%, $E$9)</f>
        <v>6.0229999999999997</v>
      </c>
      <c r="R83" s="17">
        <f>CHOOSE(CONTROL!$C$42, 6.6251, 6.6251) * CHOOSE(CONTROL!$C$21, $C$9, 100%, $E$9)</f>
        <v>6.6250999999999998</v>
      </c>
      <c r="S83" s="17">
        <f>CHOOSE(CONTROL!$C$42, 5.1495, 5.1495) * CHOOSE(CONTROL!$C$21, $C$9, 100%, $E$9)</f>
        <v>5.1494999999999997</v>
      </c>
      <c r="T83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83" s="57">
        <f>(1000*CHOOSE(CONTROL!$C$42, 695, 695)*CHOOSE(CONTROL!$C$42, 0.5599, 0.5599)*CHOOSE(CONTROL!$C$42, 30, 30))/1000000</f>
        <v>11.673914999999997</v>
      </c>
      <c r="V83" s="57">
        <f>(1000*CHOOSE(CONTROL!$C$42, 500, 500)*CHOOSE(CONTROL!$C$42, 0.275, 0.275)*CHOOSE(CONTROL!$C$42, 30, 30))/1000000</f>
        <v>4.125</v>
      </c>
      <c r="W83" s="57">
        <f>(1000*CHOOSE(CONTROL!$C$42, 0.0916, 0.0916)*CHOOSE(CONTROL!$C$42, 121.5, 121.5)*CHOOSE(CONTROL!$C$42, 30, 30))/1000000</f>
        <v>0.33388200000000001</v>
      </c>
      <c r="X83" s="57">
        <f>(30*0.2374*100000/1000000)</f>
        <v>0.71220000000000006</v>
      </c>
      <c r="Y83" s="57"/>
      <c r="Z83" s="17"/>
      <c r="AA83" s="56"/>
      <c r="AB83" s="49">
        <f>(B83*122.58+C83*297.941+D83*89.177+E83*140.302+F83*40+G83*60+H83*0+I83*100+J83*300)/(122.58+297.941+89.177+140.302+0+40+60+100+300)</f>
        <v>5.3588940652173918</v>
      </c>
      <c r="AC83" s="46">
        <f>(M83*'RAP TEMPLATE-GAS AVAILABILITY'!O82+N83*'RAP TEMPLATE-GAS AVAILABILITY'!P82+O83*'RAP TEMPLATE-GAS AVAILABILITY'!Q82+P83*'RAP TEMPLATE-GAS AVAILABILITY'!R82)/('RAP TEMPLATE-GAS AVAILABILITY'!O82+'RAP TEMPLATE-GAS AVAILABILITY'!P82+'RAP TEMPLATE-GAS AVAILABILITY'!Q82+'RAP TEMPLATE-GAS AVAILABILITY'!R82)</f>
        <v>5.3567431654676252</v>
      </c>
    </row>
    <row r="84" spans="1:29" ht="15.75" x14ac:dyDescent="0.25">
      <c r="A84" s="16">
        <v>43435</v>
      </c>
      <c r="B84" s="17">
        <f>CHOOSE(CONTROL!$C$42, 5.6939, 5.6939) * CHOOSE(CONTROL!$C$21, $C$9, 100%, $E$9)</f>
        <v>5.6939000000000002</v>
      </c>
      <c r="C84" s="17">
        <f>CHOOSE(CONTROL!$C$42, 5.699, 5.699) * CHOOSE(CONTROL!$C$21, $C$9, 100%, $E$9)</f>
        <v>5.6989999999999998</v>
      </c>
      <c r="D84" s="17">
        <f>CHOOSE(CONTROL!$C$42, 5.8216, 5.8216) * CHOOSE(CONTROL!$C$21, $C$9, 100%, $E$9)</f>
        <v>5.8216000000000001</v>
      </c>
      <c r="E84" s="17">
        <f>CHOOSE(CONTROL!$C$42, 5.8553, 5.8553) * CHOOSE(CONTROL!$C$21, $C$9, 100%, $E$9)</f>
        <v>5.8552999999999997</v>
      </c>
      <c r="F84" s="17">
        <f>CHOOSE(CONTROL!$C$42, 5.7113, 5.7113)*CHOOSE(CONTROL!$C$21, $C$9, 100%, $E$9)</f>
        <v>5.7112999999999996</v>
      </c>
      <c r="G84" s="17">
        <f>CHOOSE(CONTROL!$C$42, 5.7286, 5.7286)*CHOOSE(CONTROL!$C$21, $C$9, 100%, $E$9)</f>
        <v>5.7286000000000001</v>
      </c>
      <c r="H84" s="17">
        <f>CHOOSE(CONTROL!$C$42, 5.8442, 5.8442) * CHOOSE(CONTROL!$C$21, $C$9, 100%, $E$9)</f>
        <v>5.8441999999999998</v>
      </c>
      <c r="I84" s="17">
        <f>CHOOSE(CONTROL!$C$42, 5.7365, 5.7365)* CHOOSE(CONTROL!$C$21, $C$9, 100%, $E$9)</f>
        <v>5.7365000000000004</v>
      </c>
      <c r="J84" s="17">
        <f>CHOOSE(CONTROL!$C$42, 5.7039, 5.7039)* CHOOSE(CONTROL!$C$21, $C$9, 100%, $E$9)</f>
        <v>5.7039</v>
      </c>
      <c r="K84" s="53">
        <f>CHOOSE(CONTROL!$C$42, 5.7305, 5.7305) * CHOOSE(CONTROL!$C$21, $C$9, 100%, $E$9)</f>
        <v>5.7305000000000001</v>
      </c>
      <c r="L84" s="17">
        <f>CHOOSE(CONTROL!$C$42, 6.4312, 6.4312) * CHOOSE(CONTROL!$C$21, $C$9, 100%, $E$9)</f>
        <v>6.4311999999999996</v>
      </c>
      <c r="M84" s="17">
        <f>CHOOSE(CONTROL!$C$42, 5.6596, 5.6596) * CHOOSE(CONTROL!$C$21, $C$9, 100%, $E$9)</f>
        <v>5.6596000000000002</v>
      </c>
      <c r="N84" s="17">
        <f>CHOOSE(CONTROL!$C$42, 5.6768, 5.6768) * CHOOSE(CONTROL!$C$21, $C$9, 100%, $E$9)</f>
        <v>5.6768000000000001</v>
      </c>
      <c r="O84" s="17">
        <f>CHOOSE(CONTROL!$C$42, 5.7987, 5.7987) * CHOOSE(CONTROL!$C$21, $C$9, 100%, $E$9)</f>
        <v>5.7987000000000002</v>
      </c>
      <c r="P84" s="17">
        <f>CHOOSE(CONTROL!$C$42, 5.6918, 5.6918) * CHOOSE(CONTROL!$C$21, $C$9, 100%, $E$9)</f>
        <v>5.6917999999999997</v>
      </c>
      <c r="Q84" s="17">
        <f>CHOOSE(CONTROL!$C$42, 6.3934, 6.3934) * CHOOSE(CONTROL!$C$21, $C$9, 100%, $E$9)</f>
        <v>6.3933999999999997</v>
      </c>
      <c r="R84" s="17">
        <f>CHOOSE(CONTROL!$C$42, 6.9963, 6.9963) * CHOOSE(CONTROL!$C$21, $C$9, 100%, $E$9)</f>
        <v>6.9962999999999997</v>
      </c>
      <c r="S84" s="17">
        <f>CHOOSE(CONTROL!$C$42, 5.5118, 5.5118) * CHOOSE(CONTROL!$C$21, $C$9, 100%, $E$9)</f>
        <v>5.5118</v>
      </c>
      <c r="T84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84" s="57">
        <f>(1000*CHOOSE(CONTROL!$C$42, 695, 695)*CHOOSE(CONTROL!$C$42, 0.5599, 0.5599)*CHOOSE(CONTROL!$C$42, 31, 31))/1000000</f>
        <v>12.063045499999998</v>
      </c>
      <c r="V84" s="57">
        <f>(1000*CHOOSE(CONTROL!$C$42, 500, 500)*CHOOSE(CONTROL!$C$42, 0.275, 0.275)*CHOOSE(CONTROL!$C$42, 31, 31))/1000000</f>
        <v>4.2625000000000002</v>
      </c>
      <c r="W84" s="57">
        <f>(1000*CHOOSE(CONTROL!$C$42, 0.0916, 0.0916)*CHOOSE(CONTROL!$C$42, 121.5, 121.5)*CHOOSE(CONTROL!$C$42, 31, 31))/1000000</f>
        <v>0.34501139999999997</v>
      </c>
      <c r="X84" s="57">
        <f>(31*0.2374*100000/1000000)</f>
        <v>0.73594000000000004</v>
      </c>
      <c r="Y84" s="57"/>
      <c r="Z84" s="17"/>
      <c r="AA84" s="56"/>
      <c r="AB84" s="49">
        <f>(B84*122.58+C84*297.941+D84*89.177+E84*140.302+F84*40+G84*60+H84*0+I84*100+J84*300)/(122.58+297.941+89.177+140.302+0+40+60+100+300)</f>
        <v>5.7335436041739136</v>
      </c>
      <c r="AC84" s="46">
        <f>(M84*'RAP TEMPLATE-GAS AVAILABILITY'!O83+N84*'RAP TEMPLATE-GAS AVAILABILITY'!P83+O84*'RAP TEMPLATE-GAS AVAILABILITY'!Q83+P84*'RAP TEMPLATE-GAS AVAILABILITY'!R83)/('RAP TEMPLATE-GAS AVAILABILITY'!O83+'RAP TEMPLATE-GAS AVAILABILITY'!P83+'RAP TEMPLATE-GAS AVAILABILITY'!Q83+'RAP TEMPLATE-GAS AVAILABILITY'!R83)</f>
        <v>5.7282683453237411</v>
      </c>
    </row>
    <row r="85" spans="1:29" ht="15.75" x14ac:dyDescent="0.25">
      <c r="A85" s="16">
        <v>43466</v>
      </c>
      <c r="B85" s="17">
        <f>CHOOSE(CONTROL!$C$42, 6.3448, 6.3448) * CHOOSE(CONTROL!$C$21, $C$9, 100%, $E$9)</f>
        <v>6.3448000000000002</v>
      </c>
      <c r="C85" s="17">
        <f>CHOOSE(CONTROL!$C$42, 6.3499, 6.3499) * CHOOSE(CONTROL!$C$21, $C$9, 100%, $E$9)</f>
        <v>6.3498999999999999</v>
      </c>
      <c r="D85" s="17">
        <f>CHOOSE(CONTROL!$C$42, 6.4674, 6.4674) * CHOOSE(CONTROL!$C$21, $C$9, 100%, $E$9)</f>
        <v>6.4673999999999996</v>
      </c>
      <c r="E85" s="17">
        <f>CHOOSE(CONTROL!$C$42, 6.5011, 6.5011) * CHOOSE(CONTROL!$C$21, $C$9, 100%, $E$9)</f>
        <v>6.5011000000000001</v>
      </c>
      <c r="F85" s="17">
        <f>CHOOSE(CONTROL!$C$42, 6.3584, 6.3584)*CHOOSE(CONTROL!$C$21, $C$9, 100%, $E$9)</f>
        <v>6.3583999999999996</v>
      </c>
      <c r="G85" s="17">
        <f>CHOOSE(CONTROL!$C$42, 6.3747, 6.3747)*CHOOSE(CONTROL!$C$21, $C$9, 100%, $E$9)</f>
        <v>6.3746999999999998</v>
      </c>
      <c r="H85" s="17">
        <f>CHOOSE(CONTROL!$C$42, 6.49, 6.49) * CHOOSE(CONTROL!$C$21, $C$9, 100%, $E$9)</f>
        <v>6.49</v>
      </c>
      <c r="I85" s="17">
        <f>CHOOSE(CONTROL!$C$42, 6.3879, 6.3879)* CHOOSE(CONTROL!$C$21, $C$9, 100%, $E$9)</f>
        <v>6.3879000000000001</v>
      </c>
      <c r="J85" s="17">
        <f>CHOOSE(CONTROL!$C$42, 6.351, 6.351)* CHOOSE(CONTROL!$C$21, $C$9, 100%, $E$9)</f>
        <v>6.351</v>
      </c>
      <c r="K85" s="53">
        <f>CHOOSE(CONTROL!$C$42, 6.3819, 6.3819) * CHOOSE(CONTROL!$C$21, $C$9, 100%, $E$9)</f>
        <v>6.3818999999999999</v>
      </c>
      <c r="L85" s="17">
        <f>CHOOSE(CONTROL!$C$42, 7.077, 7.077) * CHOOSE(CONTROL!$C$21, $C$9, 100%, $E$9)</f>
        <v>7.077</v>
      </c>
      <c r="M85" s="17">
        <f>CHOOSE(CONTROL!$C$42, 6.3009, 6.3009) * CHOOSE(CONTROL!$C$21, $C$9, 100%, $E$9)</f>
        <v>6.3009000000000004</v>
      </c>
      <c r="N85" s="17">
        <f>CHOOSE(CONTROL!$C$42, 6.3171, 6.3171) * CHOOSE(CONTROL!$C$21, $C$9, 100%, $E$9)</f>
        <v>6.3170999999999999</v>
      </c>
      <c r="O85" s="17">
        <f>CHOOSE(CONTROL!$C$42, 6.4386, 6.4386) * CHOOSE(CONTROL!$C$21, $C$9, 100%, $E$9)</f>
        <v>6.4386000000000001</v>
      </c>
      <c r="P85" s="17">
        <f>CHOOSE(CONTROL!$C$42, 6.3373, 6.3373) * CHOOSE(CONTROL!$C$21, $C$9, 100%, $E$9)</f>
        <v>6.3372999999999999</v>
      </c>
      <c r="Q85" s="17">
        <f>CHOOSE(CONTROL!$C$42, 7.0333, 7.0333) * CHOOSE(CONTROL!$C$21, $C$9, 100%, $E$9)</f>
        <v>7.0332999999999997</v>
      </c>
      <c r="R85" s="17">
        <f>CHOOSE(CONTROL!$C$42, 7.6379, 7.6379) * CHOOSE(CONTROL!$C$21, $C$9, 100%, $E$9)</f>
        <v>7.6379000000000001</v>
      </c>
      <c r="S85" s="17">
        <f>CHOOSE(CONTROL!$C$42, 6.1431, 6.1431) * CHOOSE(CONTROL!$C$21, $C$9, 100%, $E$9)</f>
        <v>6.1430999999999996</v>
      </c>
      <c r="T85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85" s="57">
        <f>(1000*CHOOSE(CONTROL!$C$42, 695, 695)*CHOOSE(CONTROL!$C$42, 0.5599, 0.5599)*CHOOSE(CONTROL!$C$42, 31, 31))/1000000</f>
        <v>12.063045499999998</v>
      </c>
      <c r="V85" s="57">
        <f>(1000*CHOOSE(CONTROL!$C$42, 500, 500)*CHOOSE(CONTROL!$C$42, 0.275, 0.275)*CHOOSE(CONTROL!$C$42, 31, 31))/1000000</f>
        <v>4.2625000000000002</v>
      </c>
      <c r="W85" s="57">
        <f>(1000*CHOOSE(CONTROL!$C$42, 0.0916, 0.0916)*CHOOSE(CONTROL!$C$42, 121.5, 121.5)*CHOOSE(CONTROL!$C$42, 31, 31))/1000000</f>
        <v>0.34501139999999997</v>
      </c>
      <c r="X85" s="57">
        <f>(31*0.2374*100000/1000000)</f>
        <v>0.73594000000000004</v>
      </c>
      <c r="Y85" s="57"/>
      <c r="Z85" s="17"/>
      <c r="AA85" s="56"/>
      <c r="AB85" s="49">
        <f>(B85*122.58+C85*297.941+D85*89.177+E85*140.302+F85*40+G85*60+H85*0+I85*100+J85*300)/(122.58+297.941+89.177+140.302+0+40+60+100+300)</f>
        <v>6.382095479913044</v>
      </c>
      <c r="AC85" s="46">
        <f>(M85*'RAP TEMPLATE-GAS AVAILABILITY'!O84+N85*'RAP TEMPLATE-GAS AVAILABILITY'!P84+O85*'RAP TEMPLATE-GAS AVAILABILITY'!Q84+P85*'RAP TEMPLATE-GAS AVAILABILITY'!R84)/('RAP TEMPLATE-GAS AVAILABILITY'!O84+'RAP TEMPLATE-GAS AVAILABILITY'!P84+'RAP TEMPLATE-GAS AVAILABILITY'!Q84+'RAP TEMPLATE-GAS AVAILABILITY'!R84)</f>
        <v>6.3694805755395691</v>
      </c>
    </row>
    <row r="86" spans="1:29" ht="15.75" x14ac:dyDescent="0.25">
      <c r="A86" s="16">
        <v>43497</v>
      </c>
      <c r="B86" s="17">
        <f>CHOOSE(CONTROL!$C$42, 6.4709, 6.4709) * CHOOSE(CONTROL!$C$21, $C$9, 100%, $E$9)</f>
        <v>6.4709000000000003</v>
      </c>
      <c r="C86" s="17">
        <f>CHOOSE(CONTROL!$C$42, 6.4759, 6.4759) * CHOOSE(CONTROL!$C$21, $C$9, 100%, $E$9)</f>
        <v>6.4759000000000002</v>
      </c>
      <c r="D86" s="17">
        <f>CHOOSE(CONTROL!$C$42, 6.5934, 6.5934) * CHOOSE(CONTROL!$C$21, $C$9, 100%, $E$9)</f>
        <v>6.5933999999999999</v>
      </c>
      <c r="E86" s="17">
        <f>CHOOSE(CONTROL!$C$42, 6.6272, 6.6272) * CHOOSE(CONTROL!$C$21, $C$9, 100%, $E$9)</f>
        <v>6.6272000000000002</v>
      </c>
      <c r="F86" s="17">
        <f>CHOOSE(CONTROL!$C$42, 6.4845, 6.4845)*CHOOSE(CONTROL!$C$21, $C$9, 100%, $E$9)</f>
        <v>6.4844999999999997</v>
      </c>
      <c r="G86" s="17">
        <f>CHOOSE(CONTROL!$C$42, 6.5008, 6.5008)*CHOOSE(CONTROL!$C$21, $C$9, 100%, $E$9)</f>
        <v>6.5007999999999999</v>
      </c>
      <c r="H86" s="17">
        <f>CHOOSE(CONTROL!$C$42, 6.616, 6.616) * CHOOSE(CONTROL!$C$21, $C$9, 100%, $E$9)</f>
        <v>6.6159999999999997</v>
      </c>
      <c r="I86" s="17">
        <f>CHOOSE(CONTROL!$C$42, 6.5143, 6.5143)* CHOOSE(CONTROL!$C$21, $C$9, 100%, $E$9)</f>
        <v>6.5143000000000004</v>
      </c>
      <c r="J86" s="17">
        <f>CHOOSE(CONTROL!$C$42, 6.4771, 6.4771)* CHOOSE(CONTROL!$C$21, $C$9, 100%, $E$9)</f>
        <v>6.4771000000000001</v>
      </c>
      <c r="K86" s="53">
        <f>CHOOSE(CONTROL!$C$42, 6.5083, 6.5083) * CHOOSE(CONTROL!$C$21, $C$9, 100%, $E$9)</f>
        <v>6.5083000000000002</v>
      </c>
      <c r="L86" s="17">
        <f>CHOOSE(CONTROL!$C$42, 7.203, 7.203) * CHOOSE(CONTROL!$C$21, $C$9, 100%, $E$9)</f>
        <v>7.2030000000000003</v>
      </c>
      <c r="M86" s="17">
        <f>CHOOSE(CONTROL!$C$42, 6.4258, 6.4258) * CHOOSE(CONTROL!$C$21, $C$9, 100%, $E$9)</f>
        <v>6.4257999999999997</v>
      </c>
      <c r="N86" s="17">
        <f>CHOOSE(CONTROL!$C$42, 6.442, 6.442) * CHOOSE(CONTROL!$C$21, $C$9, 100%, $E$9)</f>
        <v>6.4420000000000002</v>
      </c>
      <c r="O86" s="17">
        <f>CHOOSE(CONTROL!$C$42, 6.5635, 6.5635) * CHOOSE(CONTROL!$C$21, $C$9, 100%, $E$9)</f>
        <v>6.5635000000000003</v>
      </c>
      <c r="P86" s="17">
        <f>CHOOSE(CONTROL!$C$42, 6.4626, 6.4626) * CHOOSE(CONTROL!$C$21, $C$9, 100%, $E$9)</f>
        <v>6.4626000000000001</v>
      </c>
      <c r="Q86" s="17">
        <f>CHOOSE(CONTROL!$C$42, 7.1582, 7.1582) * CHOOSE(CONTROL!$C$21, $C$9, 100%, $E$9)</f>
        <v>7.1581999999999999</v>
      </c>
      <c r="R86" s="17">
        <f>CHOOSE(CONTROL!$C$42, 7.7631, 7.7631) * CHOOSE(CONTROL!$C$21, $C$9, 100%, $E$9)</f>
        <v>7.7630999999999997</v>
      </c>
      <c r="S86" s="17">
        <f>CHOOSE(CONTROL!$C$42, 6.2653, 6.2653) * CHOOSE(CONTROL!$C$21, $C$9, 100%, $E$9)</f>
        <v>6.2652999999999999</v>
      </c>
      <c r="T86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86" s="57">
        <f>(1000*CHOOSE(CONTROL!$C$42, 695, 695)*CHOOSE(CONTROL!$C$42, 0.5599, 0.5599)*CHOOSE(CONTROL!$C$42, 28, 28))/1000000</f>
        <v>10.895653999999999</v>
      </c>
      <c r="V86" s="57">
        <f>(1000*CHOOSE(CONTROL!$C$42, 500, 500)*CHOOSE(CONTROL!$C$42, 0.275, 0.275)*CHOOSE(CONTROL!$C$42, 28, 28))/1000000</f>
        <v>3.85</v>
      </c>
      <c r="W86" s="57">
        <f>(1000*CHOOSE(CONTROL!$C$42, 0.0916, 0.0916)*CHOOSE(CONTROL!$C$42, 121.5, 121.5)*CHOOSE(CONTROL!$C$42, 28, 28))/1000000</f>
        <v>0.31162319999999999</v>
      </c>
      <c r="X86" s="57">
        <f>(28*0.2374*100000/1000000)</f>
        <v>0.66471999999999998</v>
      </c>
      <c r="Y86" s="57"/>
      <c r="Z86" s="17"/>
      <c r="AA86" s="56"/>
      <c r="AB86" s="49">
        <f>(B86*122.58+C86*297.941+D86*89.177+E86*140.302+F86*40+G86*60+H86*0+I86*100+J86*300)/(122.58+297.941+89.177+140.302+0+40+60+100+300)</f>
        <v>6.5081879044347835</v>
      </c>
      <c r="AC86" s="46">
        <f>(M86*'RAP TEMPLATE-GAS AVAILABILITY'!O85+N86*'RAP TEMPLATE-GAS AVAILABILITY'!P85+O86*'RAP TEMPLATE-GAS AVAILABILITY'!Q85+P86*'RAP TEMPLATE-GAS AVAILABILITY'!R85)/('RAP TEMPLATE-GAS AVAILABILITY'!O85+'RAP TEMPLATE-GAS AVAILABILITY'!P85+'RAP TEMPLATE-GAS AVAILABILITY'!Q85+'RAP TEMPLATE-GAS AVAILABILITY'!R85)</f>
        <v>6.4944381294964026</v>
      </c>
    </row>
    <row r="87" spans="1:29" ht="15.75" x14ac:dyDescent="0.25">
      <c r="A87" s="16">
        <v>43525</v>
      </c>
      <c r="B87" s="17">
        <f>CHOOSE(CONTROL!$C$42, 6.3004, 6.3004) * CHOOSE(CONTROL!$C$21, $C$9, 100%, $E$9)</f>
        <v>6.3003999999999998</v>
      </c>
      <c r="C87" s="17">
        <f>CHOOSE(CONTROL!$C$42, 6.3055, 6.3055) * CHOOSE(CONTROL!$C$21, $C$9, 100%, $E$9)</f>
        <v>6.3055000000000003</v>
      </c>
      <c r="D87" s="17">
        <f>CHOOSE(CONTROL!$C$42, 6.4229, 6.4229) * CHOOSE(CONTROL!$C$21, $C$9, 100%, $E$9)</f>
        <v>6.4229000000000003</v>
      </c>
      <c r="E87" s="17">
        <f>CHOOSE(CONTROL!$C$42, 6.4567, 6.4567) * CHOOSE(CONTROL!$C$21, $C$9, 100%, $E$9)</f>
        <v>6.4566999999999997</v>
      </c>
      <c r="F87" s="17">
        <f>CHOOSE(CONTROL!$C$42, 6.3134, 6.3134)*CHOOSE(CONTROL!$C$21, $C$9, 100%, $E$9)</f>
        <v>6.3133999999999997</v>
      </c>
      <c r="G87" s="17">
        <f>CHOOSE(CONTROL!$C$42, 6.3295, 6.3295)*CHOOSE(CONTROL!$C$21, $C$9, 100%, $E$9)</f>
        <v>6.3295000000000003</v>
      </c>
      <c r="H87" s="17">
        <f>CHOOSE(CONTROL!$C$42, 6.4456, 6.4456) * CHOOSE(CONTROL!$C$21, $C$9, 100%, $E$9)</f>
        <v>6.4455999999999998</v>
      </c>
      <c r="I87" s="17">
        <f>CHOOSE(CONTROL!$C$42, 6.3433, 6.3433)* CHOOSE(CONTROL!$C$21, $C$9, 100%, $E$9)</f>
        <v>6.3433000000000002</v>
      </c>
      <c r="J87" s="17">
        <f>CHOOSE(CONTROL!$C$42, 6.306, 6.306)* CHOOSE(CONTROL!$C$21, $C$9, 100%, $E$9)</f>
        <v>6.306</v>
      </c>
      <c r="K87" s="53">
        <f>CHOOSE(CONTROL!$C$42, 6.3373, 6.3373) * CHOOSE(CONTROL!$C$21, $C$9, 100%, $E$9)</f>
        <v>6.3372999999999999</v>
      </c>
      <c r="L87" s="17">
        <f>CHOOSE(CONTROL!$C$42, 7.0326, 7.0326) * CHOOSE(CONTROL!$C$21, $C$9, 100%, $E$9)</f>
        <v>7.0326000000000004</v>
      </c>
      <c r="M87" s="17">
        <f>CHOOSE(CONTROL!$C$42, 6.2563, 6.2563) * CHOOSE(CONTROL!$C$21, $C$9, 100%, $E$9)</f>
        <v>6.2563000000000004</v>
      </c>
      <c r="N87" s="17">
        <f>CHOOSE(CONTROL!$C$42, 6.2723, 6.2723) * CHOOSE(CONTROL!$C$21, $C$9, 100%, $E$9)</f>
        <v>6.2723000000000004</v>
      </c>
      <c r="O87" s="17">
        <f>CHOOSE(CONTROL!$C$42, 6.3946, 6.3946) * CHOOSE(CONTROL!$C$21, $C$9, 100%, $E$9)</f>
        <v>6.3945999999999996</v>
      </c>
      <c r="P87" s="17">
        <f>CHOOSE(CONTROL!$C$42, 6.2932, 6.2932) * CHOOSE(CONTROL!$C$21, $C$9, 100%, $E$9)</f>
        <v>6.2931999999999997</v>
      </c>
      <c r="Q87" s="17">
        <f>CHOOSE(CONTROL!$C$42, 6.9893, 6.9893) * CHOOSE(CONTROL!$C$21, $C$9, 100%, $E$9)</f>
        <v>6.9893000000000001</v>
      </c>
      <c r="R87" s="17">
        <f>CHOOSE(CONTROL!$C$42, 7.5938, 7.5938) * CHOOSE(CONTROL!$C$21, $C$9, 100%, $E$9)</f>
        <v>7.5937999999999999</v>
      </c>
      <c r="S87" s="17">
        <f>CHOOSE(CONTROL!$C$42, 6.1, 6.1) * CHOOSE(CONTROL!$C$21, $C$9, 100%, $E$9)</f>
        <v>6.1</v>
      </c>
      <c r="T87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87" s="57">
        <f>(1000*CHOOSE(CONTROL!$C$42, 695, 695)*CHOOSE(CONTROL!$C$42, 0.5599, 0.5599)*CHOOSE(CONTROL!$C$42, 31, 31))/1000000</f>
        <v>12.063045499999998</v>
      </c>
      <c r="V87" s="57">
        <f>(1000*CHOOSE(CONTROL!$C$42, 500, 500)*CHOOSE(CONTROL!$C$42, 0.275, 0.275)*CHOOSE(CONTROL!$C$42, 31, 31))/1000000</f>
        <v>4.2625000000000002</v>
      </c>
      <c r="W87" s="57">
        <f>(1000*CHOOSE(CONTROL!$C$42, 0.0916, 0.0916)*CHOOSE(CONTROL!$C$42, 121.5, 121.5)*CHOOSE(CONTROL!$C$42, 31, 31))/1000000</f>
        <v>0.34501139999999997</v>
      </c>
      <c r="X87" s="57">
        <f>(31*0.2374*100000/1000000)</f>
        <v>0.73594000000000004</v>
      </c>
      <c r="Y87" s="57"/>
      <c r="Z87" s="17"/>
      <c r="AA87" s="56"/>
      <c r="AB87" s="49">
        <f>(B87*122.58+C87*297.941+D87*89.177+E87*140.302+F87*40+G87*60+H87*0+I87*100+J87*300)/(122.58+297.941+89.177+140.302+0+40+60+100+300)</f>
        <v>6.3374512036521748</v>
      </c>
      <c r="AC87" s="46">
        <f>(M87*'RAP TEMPLATE-GAS AVAILABILITY'!O86+N87*'RAP TEMPLATE-GAS AVAILABILITY'!P86+O87*'RAP TEMPLATE-GAS AVAILABILITY'!Q86+P87*'RAP TEMPLATE-GAS AVAILABILITY'!R86)/('RAP TEMPLATE-GAS AVAILABILITY'!O86+'RAP TEMPLATE-GAS AVAILABILITY'!P86+'RAP TEMPLATE-GAS AVAILABILITY'!Q86+'RAP TEMPLATE-GAS AVAILABILITY'!R86)</f>
        <v>6.3252129496402878</v>
      </c>
    </row>
    <row r="88" spans="1:29" ht="15.75" x14ac:dyDescent="0.25">
      <c r="A88" s="16">
        <v>43556</v>
      </c>
      <c r="B88" s="17">
        <f>CHOOSE(CONTROL!$C$42, 6.2955, 6.2955) * CHOOSE(CONTROL!$C$21, $C$9, 100%, $E$9)</f>
        <v>6.2954999999999997</v>
      </c>
      <c r="C88" s="17">
        <f>CHOOSE(CONTROL!$C$42, 6.3, 6.3) * CHOOSE(CONTROL!$C$21, $C$9, 100%, $E$9)</f>
        <v>6.3</v>
      </c>
      <c r="D88" s="17">
        <f>CHOOSE(CONTROL!$C$42, 6.5527, 6.5527) * CHOOSE(CONTROL!$C$21, $C$9, 100%, $E$9)</f>
        <v>6.5526999999999997</v>
      </c>
      <c r="E88" s="17">
        <f>CHOOSE(CONTROL!$C$42, 6.5845, 6.5845) * CHOOSE(CONTROL!$C$21, $C$9, 100%, $E$9)</f>
        <v>6.5845000000000002</v>
      </c>
      <c r="F88" s="17">
        <f>CHOOSE(CONTROL!$C$42, 6.3014, 6.3014)*CHOOSE(CONTROL!$C$21, $C$9, 100%, $E$9)</f>
        <v>6.3014000000000001</v>
      </c>
      <c r="G88" s="17">
        <f>CHOOSE(CONTROL!$C$42, 6.3173, 6.3173)*CHOOSE(CONTROL!$C$21, $C$9, 100%, $E$9)</f>
        <v>6.3173000000000004</v>
      </c>
      <c r="H88" s="17">
        <f>CHOOSE(CONTROL!$C$42, 6.5739, 6.5739) * CHOOSE(CONTROL!$C$21, $C$9, 100%, $E$9)</f>
        <v>6.5739000000000001</v>
      </c>
      <c r="I88" s="17">
        <f>CHOOSE(CONTROL!$C$42, 6.3366, 6.3366)* CHOOSE(CONTROL!$C$21, $C$9, 100%, $E$9)</f>
        <v>6.3365999999999998</v>
      </c>
      <c r="J88" s="17">
        <f>CHOOSE(CONTROL!$C$42, 6.294, 6.294)* CHOOSE(CONTROL!$C$21, $C$9, 100%, $E$9)</f>
        <v>6.2939999999999996</v>
      </c>
      <c r="K88" s="53">
        <f>CHOOSE(CONTROL!$C$42, 6.3305, 6.3305) * CHOOSE(CONTROL!$C$21, $C$9, 100%, $E$9)</f>
        <v>6.3304999999999998</v>
      </c>
      <c r="L88" s="17">
        <f>CHOOSE(CONTROL!$C$42, 7.1609, 7.1609) * CHOOSE(CONTROL!$C$21, $C$9, 100%, $E$9)</f>
        <v>7.1608999999999998</v>
      </c>
      <c r="M88" s="17">
        <f>CHOOSE(CONTROL!$C$42, 6.2444, 6.2444) * CHOOSE(CONTROL!$C$21, $C$9, 100%, $E$9)</f>
        <v>6.2443999999999997</v>
      </c>
      <c r="N88" s="17">
        <f>CHOOSE(CONTROL!$C$42, 6.2601, 6.2601) * CHOOSE(CONTROL!$C$21, $C$9, 100%, $E$9)</f>
        <v>6.2601000000000004</v>
      </c>
      <c r="O88" s="17">
        <f>CHOOSE(CONTROL!$C$42, 6.5218, 6.5218) * CHOOSE(CONTROL!$C$21, $C$9, 100%, $E$9)</f>
        <v>6.5217999999999998</v>
      </c>
      <c r="P88" s="17">
        <f>CHOOSE(CONTROL!$C$42, 6.2865, 6.2865) * CHOOSE(CONTROL!$C$21, $C$9, 100%, $E$9)</f>
        <v>6.2865000000000002</v>
      </c>
      <c r="Q88" s="17">
        <f>CHOOSE(CONTROL!$C$42, 7.1165, 7.1165) * CHOOSE(CONTROL!$C$21, $C$9, 100%, $E$9)</f>
        <v>7.1165000000000003</v>
      </c>
      <c r="R88" s="17">
        <f>CHOOSE(CONTROL!$C$42, 7.7213, 7.7213) * CHOOSE(CONTROL!$C$21, $C$9, 100%, $E$9)</f>
        <v>7.7213000000000003</v>
      </c>
      <c r="S88" s="17">
        <f>CHOOSE(CONTROL!$C$42, 6.0944, 6.0944) * CHOOSE(CONTROL!$C$21, $C$9, 100%, $E$9)</f>
        <v>6.0944000000000003</v>
      </c>
      <c r="T88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88" s="57">
        <f>(1000*CHOOSE(CONTROL!$C$42, 695, 695)*CHOOSE(CONTROL!$C$42, 0.5599, 0.5599)*CHOOSE(CONTROL!$C$42, 30, 30))/1000000</f>
        <v>11.673914999999997</v>
      </c>
      <c r="V88" s="57">
        <f>(1000*CHOOSE(CONTROL!$C$42, 500, 500)*CHOOSE(CONTROL!$C$42, 0.275, 0.275)*CHOOSE(CONTROL!$C$42, 30, 30))/1000000</f>
        <v>4.125</v>
      </c>
      <c r="W88" s="57">
        <f>(1000*CHOOSE(CONTROL!$C$42, 0.0916, 0.0916)*CHOOSE(CONTROL!$C$42, 121.5, 121.5)*CHOOSE(CONTROL!$C$42, 30, 30))/1000000</f>
        <v>0.33388200000000001</v>
      </c>
      <c r="X88" s="57">
        <f>(30*0.1790888*145000/1000000)+(30*0.2374*100000/1000000)</f>
        <v>1.4912362799999999</v>
      </c>
      <c r="Y88" s="57"/>
      <c r="Z88" s="17"/>
      <c r="AA88" s="56"/>
      <c r="AB88" s="49">
        <f>(B88*141.293+C88*267.993+D88*115.016+E88*189.698+F88*40+G88*85+H88*0+I88*100+J88*300)/(141.293+267.993+115.016+189.698+0+40+85+100+300)</f>
        <v>6.369236727764326</v>
      </c>
      <c r="AC88" s="46">
        <f>(M88*'RAP TEMPLATE-GAS AVAILABILITY'!O87+N88*'RAP TEMPLATE-GAS AVAILABILITY'!P87+O88*'RAP TEMPLATE-GAS AVAILABILITY'!Q87+P88*'RAP TEMPLATE-GAS AVAILABILITY'!R87)/('RAP TEMPLATE-GAS AVAILABILITY'!O87+'RAP TEMPLATE-GAS AVAILABILITY'!P87+'RAP TEMPLATE-GAS AVAILABILITY'!Q87+'RAP TEMPLATE-GAS AVAILABILITY'!R87)</f>
        <v>6.3319035971223014</v>
      </c>
    </row>
    <row r="89" spans="1:29" ht="15.75" x14ac:dyDescent="0.25">
      <c r="A89" s="16">
        <v>43586</v>
      </c>
      <c r="B89" s="17">
        <f>CHOOSE(CONTROL!$C$42, 6.3653, 6.3653) * CHOOSE(CONTROL!$C$21, $C$9, 100%, $E$9)</f>
        <v>6.3653000000000004</v>
      </c>
      <c r="C89" s="17">
        <f>CHOOSE(CONTROL!$C$42, 6.3733, 6.3733) * CHOOSE(CONTROL!$C$21, $C$9, 100%, $E$9)</f>
        <v>6.3733000000000004</v>
      </c>
      <c r="D89" s="17">
        <f>CHOOSE(CONTROL!$C$42, 6.6229, 6.6229) * CHOOSE(CONTROL!$C$21, $C$9, 100%, $E$9)</f>
        <v>6.6228999999999996</v>
      </c>
      <c r="E89" s="17">
        <f>CHOOSE(CONTROL!$C$42, 6.6541, 6.6541) * CHOOSE(CONTROL!$C$21, $C$9, 100%, $E$9)</f>
        <v>6.6540999999999997</v>
      </c>
      <c r="F89" s="17">
        <f>CHOOSE(CONTROL!$C$42, 6.3702, 6.3702)*CHOOSE(CONTROL!$C$21, $C$9, 100%, $E$9)</f>
        <v>6.3701999999999996</v>
      </c>
      <c r="G89" s="17">
        <f>CHOOSE(CONTROL!$C$42, 6.3863, 6.3863)*CHOOSE(CONTROL!$C$21, $C$9, 100%, $E$9)</f>
        <v>6.3863000000000003</v>
      </c>
      <c r="H89" s="17">
        <f>CHOOSE(CONTROL!$C$42, 6.6424, 6.6424) * CHOOSE(CONTROL!$C$21, $C$9, 100%, $E$9)</f>
        <v>6.6424000000000003</v>
      </c>
      <c r="I89" s="17">
        <f>CHOOSE(CONTROL!$C$42, 6.4053, 6.4053)* CHOOSE(CONTROL!$C$21, $C$9, 100%, $E$9)</f>
        <v>6.4053000000000004</v>
      </c>
      <c r="J89" s="17">
        <f>CHOOSE(CONTROL!$C$42, 6.3628, 6.3628)* CHOOSE(CONTROL!$C$21, $C$9, 100%, $E$9)</f>
        <v>6.3628</v>
      </c>
      <c r="K89" s="53">
        <f>CHOOSE(CONTROL!$C$42, 6.3993, 6.3993) * CHOOSE(CONTROL!$C$21, $C$9, 100%, $E$9)</f>
        <v>6.3993000000000002</v>
      </c>
      <c r="L89" s="17">
        <f>CHOOSE(CONTROL!$C$42, 7.2294, 7.2294) * CHOOSE(CONTROL!$C$21, $C$9, 100%, $E$9)</f>
        <v>7.2294</v>
      </c>
      <c r="M89" s="17">
        <f>CHOOSE(CONTROL!$C$42, 6.3126, 6.3126) * CHOOSE(CONTROL!$C$21, $C$9, 100%, $E$9)</f>
        <v>6.3125999999999998</v>
      </c>
      <c r="N89" s="17">
        <f>CHOOSE(CONTROL!$C$42, 6.3285, 6.3285) * CHOOSE(CONTROL!$C$21, $C$9, 100%, $E$9)</f>
        <v>6.3285</v>
      </c>
      <c r="O89" s="17">
        <f>CHOOSE(CONTROL!$C$42, 6.5897, 6.5897) * CHOOSE(CONTROL!$C$21, $C$9, 100%, $E$9)</f>
        <v>6.5896999999999997</v>
      </c>
      <c r="P89" s="17">
        <f>CHOOSE(CONTROL!$C$42, 6.3546, 6.3546) * CHOOSE(CONTROL!$C$21, $C$9, 100%, $E$9)</f>
        <v>6.3545999999999996</v>
      </c>
      <c r="Q89" s="17">
        <f>CHOOSE(CONTROL!$C$42, 7.1844, 7.1844) * CHOOSE(CONTROL!$C$21, $C$9, 100%, $E$9)</f>
        <v>7.1844000000000001</v>
      </c>
      <c r="R89" s="17">
        <f>CHOOSE(CONTROL!$C$42, 7.7894, 7.7894) * CHOOSE(CONTROL!$C$21, $C$9, 100%, $E$9)</f>
        <v>7.7893999999999997</v>
      </c>
      <c r="S89" s="17">
        <f>CHOOSE(CONTROL!$C$42, 6.1609, 6.1609) * CHOOSE(CONTROL!$C$21, $C$9, 100%, $E$9)</f>
        <v>6.1608999999999998</v>
      </c>
      <c r="T89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89" s="57">
        <f>(1000*CHOOSE(CONTROL!$C$42, 695, 695)*CHOOSE(CONTROL!$C$42, 0.5599, 0.5599)*CHOOSE(CONTROL!$C$42, 31, 31))/1000000</f>
        <v>12.063045499999998</v>
      </c>
      <c r="V89" s="57">
        <f>(1000*CHOOSE(CONTROL!$C$42, 500, 500)*CHOOSE(CONTROL!$C$42, 0.275, 0.275)*CHOOSE(CONTROL!$C$42, 31, 31))/1000000</f>
        <v>4.2625000000000002</v>
      </c>
      <c r="W89" s="57">
        <f>(1000*CHOOSE(CONTROL!$C$42, 0.0916, 0.0916)*CHOOSE(CONTROL!$C$42, 121.5, 121.5)*CHOOSE(CONTROL!$C$42, 31, 31))/1000000</f>
        <v>0.34501139999999997</v>
      </c>
      <c r="X89" s="57">
        <f>(31*0.1790888*145000/1000000)+(31*0.2374*100000/1000000)</f>
        <v>1.5409441560000001</v>
      </c>
      <c r="Y89" s="57"/>
      <c r="Z89" s="17"/>
      <c r="AA89" s="56"/>
      <c r="AB89" s="49">
        <f>(B89*194.205+C89*267.466+D89*133.845+E89*153.484+F89*40+G89*85+H89*0+I89*100+J89*300)/(194.205+267.466+133.845+153.484+0+40+85+100+300)</f>
        <v>6.4329415849293561</v>
      </c>
      <c r="AC89" s="46">
        <f>(M89*'RAP TEMPLATE-GAS AVAILABILITY'!O88+N89*'RAP TEMPLATE-GAS AVAILABILITY'!P88+O89*'RAP TEMPLATE-GAS AVAILABILITY'!Q88+P89*'RAP TEMPLATE-GAS AVAILABILITY'!R88)/('RAP TEMPLATE-GAS AVAILABILITY'!O88+'RAP TEMPLATE-GAS AVAILABILITY'!P88+'RAP TEMPLATE-GAS AVAILABILITY'!Q88+'RAP TEMPLATE-GAS AVAILABILITY'!R88)</f>
        <v>6.4000510791366905</v>
      </c>
    </row>
    <row r="90" spans="1:29" ht="15.75" x14ac:dyDescent="0.25">
      <c r="A90" s="16">
        <v>43617</v>
      </c>
      <c r="B90" s="17">
        <f>CHOOSE(CONTROL!$C$42, 6.559, 6.559) * CHOOSE(CONTROL!$C$21, $C$9, 100%, $E$9)</f>
        <v>6.5590000000000002</v>
      </c>
      <c r="C90" s="17">
        <f>CHOOSE(CONTROL!$C$42, 6.567, 6.567) * CHOOSE(CONTROL!$C$21, $C$9, 100%, $E$9)</f>
        <v>6.5670000000000002</v>
      </c>
      <c r="D90" s="17">
        <f>CHOOSE(CONTROL!$C$42, 6.8166, 6.8166) * CHOOSE(CONTROL!$C$21, $C$9, 100%, $E$9)</f>
        <v>6.8166000000000002</v>
      </c>
      <c r="E90" s="17">
        <f>CHOOSE(CONTROL!$C$42, 6.8478, 6.8478) * CHOOSE(CONTROL!$C$21, $C$9, 100%, $E$9)</f>
        <v>6.8478000000000003</v>
      </c>
      <c r="F90" s="17">
        <f>CHOOSE(CONTROL!$C$42, 6.5642, 6.5642)*CHOOSE(CONTROL!$C$21, $C$9, 100%, $E$9)</f>
        <v>6.5641999999999996</v>
      </c>
      <c r="G90" s="17">
        <f>CHOOSE(CONTROL!$C$42, 6.5804, 6.5804)*CHOOSE(CONTROL!$C$21, $C$9, 100%, $E$9)</f>
        <v>6.5804</v>
      </c>
      <c r="H90" s="17">
        <f>CHOOSE(CONTROL!$C$42, 6.8361, 6.8361) * CHOOSE(CONTROL!$C$21, $C$9, 100%, $E$9)</f>
        <v>6.8361000000000001</v>
      </c>
      <c r="I90" s="17">
        <f>CHOOSE(CONTROL!$C$42, 6.5996, 6.5996)* CHOOSE(CONTROL!$C$21, $C$9, 100%, $E$9)</f>
        <v>6.5995999999999997</v>
      </c>
      <c r="J90" s="17">
        <f>CHOOSE(CONTROL!$C$42, 6.5568, 6.5568)* CHOOSE(CONTROL!$C$21, $C$9, 100%, $E$9)</f>
        <v>6.5568</v>
      </c>
      <c r="K90" s="53">
        <f>CHOOSE(CONTROL!$C$42, 6.5935, 6.5935) * CHOOSE(CONTROL!$C$21, $C$9, 100%, $E$9)</f>
        <v>6.5934999999999997</v>
      </c>
      <c r="L90" s="17">
        <f>CHOOSE(CONTROL!$C$42, 7.4231, 7.4231) * CHOOSE(CONTROL!$C$21, $C$9, 100%, $E$9)</f>
        <v>7.4230999999999998</v>
      </c>
      <c r="M90" s="17">
        <f>CHOOSE(CONTROL!$C$42, 6.5048, 6.5048) * CHOOSE(CONTROL!$C$21, $C$9, 100%, $E$9)</f>
        <v>6.5048000000000004</v>
      </c>
      <c r="N90" s="17">
        <f>CHOOSE(CONTROL!$C$42, 6.5209, 6.5209) * CHOOSE(CONTROL!$C$21, $C$9, 100%, $E$9)</f>
        <v>6.5209000000000001</v>
      </c>
      <c r="O90" s="17">
        <f>CHOOSE(CONTROL!$C$42, 6.7816, 6.7816) * CHOOSE(CONTROL!$C$21, $C$9, 100%, $E$9)</f>
        <v>6.7816000000000001</v>
      </c>
      <c r="P90" s="17">
        <f>CHOOSE(CONTROL!$C$42, 6.5471, 6.5471) * CHOOSE(CONTROL!$C$21, $C$9, 100%, $E$9)</f>
        <v>6.5471000000000004</v>
      </c>
      <c r="Q90" s="17">
        <f>CHOOSE(CONTROL!$C$42, 7.3763, 7.3763) * CHOOSE(CONTROL!$C$21, $C$9, 100%, $E$9)</f>
        <v>7.3762999999999996</v>
      </c>
      <c r="R90" s="17">
        <f>CHOOSE(CONTROL!$C$42, 7.9818, 7.9818) * CHOOSE(CONTROL!$C$21, $C$9, 100%, $E$9)</f>
        <v>7.9817999999999998</v>
      </c>
      <c r="S90" s="17">
        <f>CHOOSE(CONTROL!$C$42, 6.3487, 6.3487) * CHOOSE(CONTROL!$C$21, $C$9, 100%, $E$9)</f>
        <v>6.3487</v>
      </c>
      <c r="T90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90" s="57">
        <f>(1000*CHOOSE(CONTROL!$C$42, 695, 695)*CHOOSE(CONTROL!$C$42, 0.5599, 0.5599)*CHOOSE(CONTROL!$C$42, 30, 30))/1000000</f>
        <v>11.673914999999997</v>
      </c>
      <c r="V90" s="57">
        <f>(1000*CHOOSE(CONTROL!$C$42, 500, 500)*CHOOSE(CONTROL!$C$42, 0.275, 0.275)*CHOOSE(CONTROL!$C$42, 30, 30))/1000000</f>
        <v>4.125</v>
      </c>
      <c r="W90" s="57">
        <f>(1000*CHOOSE(CONTROL!$C$42, 0.0916, 0.0916)*CHOOSE(CONTROL!$C$42, 121.5, 121.5)*CHOOSE(CONTROL!$C$42, 30, 30))/1000000</f>
        <v>0.33388200000000001</v>
      </c>
      <c r="X90" s="57">
        <f>(30*0.1790888*145000/1000000)+(30*0.2374*100000/1000000)</f>
        <v>1.4912362799999999</v>
      </c>
      <c r="Y90" s="57"/>
      <c r="Z90" s="17"/>
      <c r="AA90" s="56"/>
      <c r="AB90" s="49">
        <f>(B90*194.205+C90*267.466+D90*133.845+E90*153.484+F90*40+G90*85+H90*0+I90*100+J90*300)/(194.205+267.466+133.845+153.484+0+40+85+100+300)</f>
        <v>6.6267954310832033</v>
      </c>
      <c r="AC90" s="46">
        <f>(M90*'RAP TEMPLATE-GAS AVAILABILITY'!O89+N90*'RAP TEMPLATE-GAS AVAILABILITY'!P89+O90*'RAP TEMPLATE-GAS AVAILABILITY'!Q89+P90*'RAP TEMPLATE-GAS AVAILABILITY'!R89)/('RAP TEMPLATE-GAS AVAILABILITY'!O89+'RAP TEMPLATE-GAS AVAILABILITY'!P89+'RAP TEMPLATE-GAS AVAILABILITY'!Q89+'RAP TEMPLATE-GAS AVAILABILITY'!R89)</f>
        <v>6.5922561151079142</v>
      </c>
    </row>
    <row r="91" spans="1:29" ht="15.75" x14ac:dyDescent="0.25">
      <c r="A91" s="16">
        <v>43647</v>
      </c>
      <c r="B91" s="17">
        <f>CHOOSE(CONTROL!$C$42, 6.4466, 6.4466) * CHOOSE(CONTROL!$C$21, $C$9, 100%, $E$9)</f>
        <v>6.4466000000000001</v>
      </c>
      <c r="C91" s="17">
        <f>CHOOSE(CONTROL!$C$42, 6.4546, 6.4546) * CHOOSE(CONTROL!$C$21, $C$9, 100%, $E$9)</f>
        <v>6.4546000000000001</v>
      </c>
      <c r="D91" s="17">
        <f>CHOOSE(CONTROL!$C$42, 6.7042, 6.7042) * CHOOSE(CONTROL!$C$21, $C$9, 100%, $E$9)</f>
        <v>6.7042000000000002</v>
      </c>
      <c r="E91" s="17">
        <f>CHOOSE(CONTROL!$C$42, 6.7354, 6.7354) * CHOOSE(CONTROL!$C$21, $C$9, 100%, $E$9)</f>
        <v>6.7354000000000003</v>
      </c>
      <c r="F91" s="17">
        <f>CHOOSE(CONTROL!$C$42, 6.4523, 6.4523)*CHOOSE(CONTROL!$C$21, $C$9, 100%, $E$9)</f>
        <v>6.4523000000000001</v>
      </c>
      <c r="G91" s="17">
        <f>CHOOSE(CONTROL!$C$42, 6.4687, 6.4687)*CHOOSE(CONTROL!$C$21, $C$9, 100%, $E$9)</f>
        <v>6.4687000000000001</v>
      </c>
      <c r="H91" s="17">
        <f>CHOOSE(CONTROL!$C$42, 6.7237, 6.7237) * CHOOSE(CONTROL!$C$21, $C$9, 100%, $E$9)</f>
        <v>6.7237</v>
      </c>
      <c r="I91" s="17">
        <f>CHOOSE(CONTROL!$C$42, 6.4869, 6.4869)* CHOOSE(CONTROL!$C$21, $C$9, 100%, $E$9)</f>
        <v>6.4869000000000003</v>
      </c>
      <c r="J91" s="17">
        <f>CHOOSE(CONTROL!$C$42, 6.4449, 6.4449)* CHOOSE(CONTROL!$C$21, $C$9, 100%, $E$9)</f>
        <v>6.4448999999999996</v>
      </c>
      <c r="K91" s="53">
        <f>CHOOSE(CONTROL!$C$42, 6.4808, 6.4808) * CHOOSE(CONTROL!$C$21, $C$9, 100%, $E$9)</f>
        <v>6.4808000000000003</v>
      </c>
      <c r="L91" s="17">
        <f>CHOOSE(CONTROL!$C$42, 7.3107, 7.3107) * CHOOSE(CONTROL!$C$21, $C$9, 100%, $E$9)</f>
        <v>7.3106999999999998</v>
      </c>
      <c r="M91" s="17">
        <f>CHOOSE(CONTROL!$C$42, 6.394, 6.394) * CHOOSE(CONTROL!$C$21, $C$9, 100%, $E$9)</f>
        <v>6.3940000000000001</v>
      </c>
      <c r="N91" s="17">
        <f>CHOOSE(CONTROL!$C$42, 6.4102, 6.4102) * CHOOSE(CONTROL!$C$21, $C$9, 100%, $E$9)</f>
        <v>6.4101999999999997</v>
      </c>
      <c r="O91" s="17">
        <f>CHOOSE(CONTROL!$C$42, 6.6703, 6.6703) * CHOOSE(CONTROL!$C$21, $C$9, 100%, $E$9)</f>
        <v>6.6703000000000001</v>
      </c>
      <c r="P91" s="17">
        <f>CHOOSE(CONTROL!$C$42, 6.4354, 6.4354) * CHOOSE(CONTROL!$C$21, $C$9, 100%, $E$9)</f>
        <v>6.4353999999999996</v>
      </c>
      <c r="Q91" s="17">
        <f>CHOOSE(CONTROL!$C$42, 7.265, 7.265) * CHOOSE(CONTROL!$C$21, $C$9, 100%, $E$9)</f>
        <v>7.2649999999999997</v>
      </c>
      <c r="R91" s="17">
        <f>CHOOSE(CONTROL!$C$42, 7.8701, 7.8701) * CHOOSE(CONTROL!$C$21, $C$9, 100%, $E$9)</f>
        <v>7.8700999999999999</v>
      </c>
      <c r="S91" s="17">
        <f>CHOOSE(CONTROL!$C$42, 6.2397, 6.2397) * CHOOSE(CONTROL!$C$21, $C$9, 100%, $E$9)</f>
        <v>6.2397</v>
      </c>
      <c r="T91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91" s="57">
        <f>(1000*CHOOSE(CONTROL!$C$42, 695, 695)*CHOOSE(CONTROL!$C$42, 0.5599, 0.5599)*CHOOSE(CONTROL!$C$42, 31, 31))/1000000</f>
        <v>12.063045499999998</v>
      </c>
      <c r="V91" s="57">
        <f>(1000*CHOOSE(CONTROL!$C$42, 500, 500)*CHOOSE(CONTROL!$C$42, 0.275, 0.275)*CHOOSE(CONTROL!$C$42, 31, 31))/1000000</f>
        <v>4.2625000000000002</v>
      </c>
      <c r="W91" s="57">
        <f>(1000*CHOOSE(CONTROL!$C$42, 0.0916, 0.0916)*CHOOSE(CONTROL!$C$42, 121.5, 121.5)*CHOOSE(CONTROL!$C$42, 31, 31))/1000000</f>
        <v>0.34501139999999997</v>
      </c>
      <c r="X91" s="57">
        <f>(31*0.1790888*145000/1000000)+(31*0.2374*100000/1000000)</f>
        <v>1.5409441560000001</v>
      </c>
      <c r="Y91" s="57"/>
      <c r="Z91" s="17"/>
      <c r="AA91" s="56"/>
      <c r="AB91" s="49">
        <f>(B91*194.205+C91*267.466+D91*133.845+E91*153.484+F91*40+G91*85+H91*0+I91*100+J91*300)/(194.205+267.466+133.845+153.484+0+40+85+100+300)</f>
        <v>6.5145520244897943</v>
      </c>
      <c r="AC91" s="46">
        <f>(M91*'RAP TEMPLATE-GAS AVAILABILITY'!O90+N91*'RAP TEMPLATE-GAS AVAILABILITY'!P90+O91*'RAP TEMPLATE-GAS AVAILABILITY'!Q90+P91*'RAP TEMPLATE-GAS AVAILABILITY'!R90)/('RAP TEMPLATE-GAS AVAILABILITY'!O90+'RAP TEMPLATE-GAS AVAILABILITY'!P90+'RAP TEMPLATE-GAS AVAILABILITY'!Q90+'RAP TEMPLATE-GAS AVAILABILITY'!R90)</f>
        <v>6.4812093525179852</v>
      </c>
    </row>
    <row r="92" spans="1:29" ht="15.75" x14ac:dyDescent="0.25">
      <c r="A92" s="16">
        <v>43678</v>
      </c>
      <c r="B92" s="17">
        <f>CHOOSE(CONTROL!$C$42, 6.1414, 6.1414) * CHOOSE(CONTROL!$C$21, $C$9, 100%, $E$9)</f>
        <v>6.1414</v>
      </c>
      <c r="C92" s="17">
        <f>CHOOSE(CONTROL!$C$42, 6.1494, 6.1494) * CHOOSE(CONTROL!$C$21, $C$9, 100%, $E$9)</f>
        <v>6.1494</v>
      </c>
      <c r="D92" s="17">
        <f>CHOOSE(CONTROL!$C$42, 6.399, 6.399) * CHOOSE(CONTROL!$C$21, $C$9, 100%, $E$9)</f>
        <v>6.399</v>
      </c>
      <c r="E92" s="17">
        <f>CHOOSE(CONTROL!$C$42, 6.4302, 6.4302) * CHOOSE(CONTROL!$C$21, $C$9, 100%, $E$9)</f>
        <v>6.4302000000000001</v>
      </c>
      <c r="F92" s="17">
        <f>CHOOSE(CONTROL!$C$42, 6.1474, 6.1474)*CHOOSE(CONTROL!$C$21, $C$9, 100%, $E$9)</f>
        <v>6.1474000000000002</v>
      </c>
      <c r="G92" s="17">
        <f>CHOOSE(CONTROL!$C$42, 6.1638, 6.1638)*CHOOSE(CONTROL!$C$21, $C$9, 100%, $E$9)</f>
        <v>6.1638000000000002</v>
      </c>
      <c r="H92" s="17">
        <f>CHOOSE(CONTROL!$C$42, 6.4185, 6.4185) * CHOOSE(CONTROL!$C$21, $C$9, 100%, $E$9)</f>
        <v>6.4184999999999999</v>
      </c>
      <c r="I92" s="17">
        <f>CHOOSE(CONTROL!$C$42, 6.1807, 6.1807)* CHOOSE(CONTROL!$C$21, $C$9, 100%, $E$9)</f>
        <v>6.1806999999999999</v>
      </c>
      <c r="J92" s="17">
        <f>CHOOSE(CONTROL!$C$42, 6.14, 6.14)* CHOOSE(CONTROL!$C$21, $C$9, 100%, $E$9)</f>
        <v>6.14</v>
      </c>
      <c r="K92" s="53">
        <f>CHOOSE(CONTROL!$C$42, 6.1747, 6.1747) * CHOOSE(CONTROL!$C$21, $C$9, 100%, $E$9)</f>
        <v>6.1746999999999996</v>
      </c>
      <c r="L92" s="17">
        <f>CHOOSE(CONTROL!$C$42, 7.0055, 7.0055) * CHOOSE(CONTROL!$C$21, $C$9, 100%, $E$9)</f>
        <v>7.0054999999999996</v>
      </c>
      <c r="M92" s="17">
        <f>CHOOSE(CONTROL!$C$42, 6.0918, 6.0918) * CHOOSE(CONTROL!$C$21, $C$9, 100%, $E$9)</f>
        <v>6.0918000000000001</v>
      </c>
      <c r="N92" s="17">
        <f>CHOOSE(CONTROL!$C$42, 6.1081, 6.1081) * CHOOSE(CONTROL!$C$21, $C$9, 100%, $E$9)</f>
        <v>6.1081000000000003</v>
      </c>
      <c r="O92" s="17">
        <f>CHOOSE(CONTROL!$C$42, 6.3678, 6.3678) * CHOOSE(CONTROL!$C$21, $C$9, 100%, $E$9)</f>
        <v>6.3677999999999999</v>
      </c>
      <c r="P92" s="17">
        <f>CHOOSE(CONTROL!$C$42, 6.132, 6.132) * CHOOSE(CONTROL!$C$21, $C$9, 100%, $E$9)</f>
        <v>6.1319999999999997</v>
      </c>
      <c r="Q92" s="17">
        <f>CHOOSE(CONTROL!$C$42, 6.9625, 6.9625) * CHOOSE(CONTROL!$C$21, $C$9, 100%, $E$9)</f>
        <v>6.9625000000000004</v>
      </c>
      <c r="R92" s="17">
        <f>CHOOSE(CONTROL!$C$42, 7.5669, 7.5669) * CHOOSE(CONTROL!$C$21, $C$9, 100%, $E$9)</f>
        <v>7.5669000000000004</v>
      </c>
      <c r="S92" s="17">
        <f>CHOOSE(CONTROL!$C$42, 5.9438, 5.9438) * CHOOSE(CONTROL!$C$21, $C$9, 100%, $E$9)</f>
        <v>5.9438000000000004</v>
      </c>
      <c r="T92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92" s="57">
        <f>(1000*CHOOSE(CONTROL!$C$42, 695, 695)*CHOOSE(CONTROL!$C$42, 0.5599, 0.5599)*CHOOSE(CONTROL!$C$42, 31, 31))/1000000</f>
        <v>12.063045499999998</v>
      </c>
      <c r="V92" s="57">
        <f>(1000*CHOOSE(CONTROL!$C$42, 500, 500)*CHOOSE(CONTROL!$C$42, 0.275, 0.275)*CHOOSE(CONTROL!$C$42, 31, 31))/1000000</f>
        <v>4.2625000000000002</v>
      </c>
      <c r="W92" s="57">
        <f>(1000*CHOOSE(CONTROL!$C$42, 0.0916, 0.0916)*CHOOSE(CONTROL!$C$42, 121.5, 121.5)*CHOOSE(CONTROL!$C$42, 31, 31))/1000000</f>
        <v>0.34501139999999997</v>
      </c>
      <c r="X92" s="57">
        <f>(31*0.1790888*145000/1000000)+(31*0.2374*100000/1000000)</f>
        <v>1.5409441560000001</v>
      </c>
      <c r="Y92" s="57"/>
      <c r="Z92" s="17"/>
      <c r="AA92" s="56"/>
      <c r="AB92" s="49">
        <f>(B92*194.205+C92*267.466+D92*133.845+E92*153.484+F92*40+G92*85+H92*0+I92*100+J92*300)/(194.205+267.466+133.845+153.484+0+40+85+100+300)</f>
        <v>6.2093736100470949</v>
      </c>
      <c r="AC92" s="46">
        <f>(M92*'RAP TEMPLATE-GAS AVAILABILITY'!O91+N92*'RAP TEMPLATE-GAS AVAILABILITY'!P91+O92*'RAP TEMPLATE-GAS AVAILABILITY'!Q91+P92*'RAP TEMPLATE-GAS AVAILABILITY'!R91)/('RAP TEMPLATE-GAS AVAILABILITY'!O91+'RAP TEMPLATE-GAS AVAILABILITY'!P91+'RAP TEMPLATE-GAS AVAILABILITY'!Q91+'RAP TEMPLATE-GAS AVAILABILITY'!R91)</f>
        <v>6.1787755395683455</v>
      </c>
    </row>
    <row r="93" spans="1:29" ht="15.75" x14ac:dyDescent="0.25">
      <c r="A93" s="16">
        <v>43709</v>
      </c>
      <c r="B93" s="17">
        <f>CHOOSE(CONTROL!$C$42, 5.7639, 5.7639) * CHOOSE(CONTROL!$C$21, $C$9, 100%, $E$9)</f>
        <v>5.7638999999999996</v>
      </c>
      <c r="C93" s="17">
        <f>CHOOSE(CONTROL!$C$42, 5.7719, 5.7719) * CHOOSE(CONTROL!$C$21, $C$9, 100%, $E$9)</f>
        <v>5.7718999999999996</v>
      </c>
      <c r="D93" s="17">
        <f>CHOOSE(CONTROL!$C$42, 6.0215, 6.0215) * CHOOSE(CONTROL!$C$21, $C$9, 100%, $E$9)</f>
        <v>6.0214999999999996</v>
      </c>
      <c r="E93" s="17">
        <f>CHOOSE(CONTROL!$C$42, 6.0527, 6.0527) * CHOOSE(CONTROL!$C$21, $C$9, 100%, $E$9)</f>
        <v>6.0526999999999997</v>
      </c>
      <c r="F93" s="17">
        <f>CHOOSE(CONTROL!$C$42, 5.7699, 5.7699)*CHOOSE(CONTROL!$C$21, $C$9, 100%, $E$9)</f>
        <v>5.7698999999999998</v>
      </c>
      <c r="G93" s="17">
        <f>CHOOSE(CONTROL!$C$42, 5.7864, 5.7864)*CHOOSE(CONTROL!$C$21, $C$9, 100%, $E$9)</f>
        <v>5.7864000000000004</v>
      </c>
      <c r="H93" s="17">
        <f>CHOOSE(CONTROL!$C$42, 6.0411, 6.0411) * CHOOSE(CONTROL!$C$21, $C$9, 100%, $E$9)</f>
        <v>6.0411000000000001</v>
      </c>
      <c r="I93" s="17">
        <f>CHOOSE(CONTROL!$C$42, 5.8021, 5.8021)* CHOOSE(CONTROL!$C$21, $C$9, 100%, $E$9)</f>
        <v>5.8021000000000003</v>
      </c>
      <c r="J93" s="17">
        <f>CHOOSE(CONTROL!$C$42, 5.7625, 5.7625)* CHOOSE(CONTROL!$C$21, $C$9, 100%, $E$9)</f>
        <v>5.7625000000000002</v>
      </c>
      <c r="K93" s="53">
        <f>CHOOSE(CONTROL!$C$42, 5.796, 5.796) * CHOOSE(CONTROL!$C$21, $C$9, 100%, $E$9)</f>
        <v>5.7960000000000003</v>
      </c>
      <c r="L93" s="17">
        <f>CHOOSE(CONTROL!$C$42, 6.6281, 6.6281) * CHOOSE(CONTROL!$C$21, $C$9, 100%, $E$9)</f>
        <v>6.6280999999999999</v>
      </c>
      <c r="M93" s="17">
        <f>CHOOSE(CONTROL!$C$42, 5.7177, 5.7177) * CHOOSE(CONTROL!$C$21, $C$9, 100%, $E$9)</f>
        <v>5.7176999999999998</v>
      </c>
      <c r="N93" s="17">
        <f>CHOOSE(CONTROL!$C$42, 5.734, 5.734) * CHOOSE(CONTROL!$C$21, $C$9, 100%, $E$9)</f>
        <v>5.734</v>
      </c>
      <c r="O93" s="17">
        <f>CHOOSE(CONTROL!$C$42, 5.9937, 5.9937) * CHOOSE(CONTROL!$C$21, $C$9, 100%, $E$9)</f>
        <v>5.9936999999999996</v>
      </c>
      <c r="P93" s="17">
        <f>CHOOSE(CONTROL!$C$42, 5.7568, 5.7568) * CHOOSE(CONTROL!$C$21, $C$9, 100%, $E$9)</f>
        <v>5.7568000000000001</v>
      </c>
      <c r="Q93" s="17">
        <f>CHOOSE(CONTROL!$C$42, 6.5884, 6.5884) * CHOOSE(CONTROL!$C$21, $C$9, 100%, $E$9)</f>
        <v>6.5884</v>
      </c>
      <c r="R93" s="17">
        <f>CHOOSE(CONTROL!$C$42, 7.1919, 7.1919) * CHOOSE(CONTROL!$C$21, $C$9, 100%, $E$9)</f>
        <v>7.1919000000000004</v>
      </c>
      <c r="S93" s="17">
        <f>CHOOSE(CONTROL!$C$42, 5.5777, 5.5777) * CHOOSE(CONTROL!$C$21, $C$9, 100%, $E$9)</f>
        <v>5.5777000000000001</v>
      </c>
      <c r="T93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93" s="57">
        <f>(1000*CHOOSE(CONTROL!$C$42, 695, 695)*CHOOSE(CONTROL!$C$42, 0.5599, 0.5599)*CHOOSE(CONTROL!$C$42, 30, 30))/1000000</f>
        <v>11.673914999999997</v>
      </c>
      <c r="V93" s="57">
        <f>(1000*CHOOSE(CONTROL!$C$42, 500, 500)*CHOOSE(CONTROL!$C$42, 0.275, 0.275)*CHOOSE(CONTROL!$C$42, 30, 30))/1000000</f>
        <v>4.125</v>
      </c>
      <c r="W93" s="57">
        <f>(1000*CHOOSE(CONTROL!$C$42, 0.0916, 0.0916)*CHOOSE(CONTROL!$C$42, 121.5, 121.5)*CHOOSE(CONTROL!$C$42, 30, 30))/1000000</f>
        <v>0.33388200000000001</v>
      </c>
      <c r="X93" s="57">
        <f>(30*0.1790888*145000/1000000)+(30*0.2374*100000/1000000)</f>
        <v>1.4912362799999999</v>
      </c>
      <c r="Y93" s="57"/>
      <c r="Z93" s="17"/>
      <c r="AA93" s="56"/>
      <c r="AB93" s="49">
        <f>(B93*194.205+C93*267.466+D93*133.845+E93*153.484+F93*40+G93*85+H93*0+I93*100+J93*300)/(194.205+267.466+133.845+153.484+0+40+85+100+300)</f>
        <v>5.831793939717425</v>
      </c>
      <c r="AC93" s="46">
        <f>(M93*'RAP TEMPLATE-GAS AVAILABILITY'!O92+N93*'RAP TEMPLATE-GAS AVAILABILITY'!P92+O93*'RAP TEMPLATE-GAS AVAILABILITY'!Q92+P93*'RAP TEMPLATE-GAS AVAILABILITY'!R92)/('RAP TEMPLATE-GAS AVAILABILITY'!O92+'RAP TEMPLATE-GAS AVAILABILITY'!P92+'RAP TEMPLATE-GAS AVAILABILITY'!Q92+'RAP TEMPLATE-GAS AVAILABILITY'!R92)</f>
        <v>5.8045172661870508</v>
      </c>
    </row>
    <row r="94" spans="1:29" ht="15.75" x14ac:dyDescent="0.25">
      <c r="A94" s="16">
        <v>43739</v>
      </c>
      <c r="B94" s="17">
        <f>CHOOSE(CONTROL!$C$42, 5.6571, 5.6571) * CHOOSE(CONTROL!$C$21, $C$9, 100%, $E$9)</f>
        <v>5.6570999999999998</v>
      </c>
      <c r="C94" s="17">
        <f>CHOOSE(CONTROL!$C$42, 5.6624, 5.6624) * CHOOSE(CONTROL!$C$21, $C$9, 100%, $E$9)</f>
        <v>5.6623999999999999</v>
      </c>
      <c r="D94" s="17">
        <f>CHOOSE(CONTROL!$C$42, 5.9169, 5.9169) * CHOOSE(CONTROL!$C$21, $C$9, 100%, $E$9)</f>
        <v>5.9169</v>
      </c>
      <c r="E94" s="17">
        <f>CHOOSE(CONTROL!$C$42, 5.9458, 5.9458) * CHOOSE(CONTROL!$C$21, $C$9, 100%, $E$9)</f>
        <v>5.9458000000000002</v>
      </c>
      <c r="F94" s="17">
        <f>CHOOSE(CONTROL!$C$42, 5.6652, 5.6652)*CHOOSE(CONTROL!$C$21, $C$9, 100%, $E$9)</f>
        <v>5.6651999999999996</v>
      </c>
      <c r="G94" s="17">
        <f>CHOOSE(CONTROL!$C$42, 5.6816, 5.6816)*CHOOSE(CONTROL!$C$21, $C$9, 100%, $E$9)</f>
        <v>5.6816000000000004</v>
      </c>
      <c r="H94" s="17">
        <f>CHOOSE(CONTROL!$C$42, 5.9359, 5.9359) * CHOOSE(CONTROL!$C$21, $C$9, 100%, $E$9)</f>
        <v>5.9359000000000002</v>
      </c>
      <c r="I94" s="17">
        <f>CHOOSE(CONTROL!$C$42, 5.6966, 5.6966)* CHOOSE(CONTROL!$C$21, $C$9, 100%, $E$9)</f>
        <v>5.6966000000000001</v>
      </c>
      <c r="J94" s="17">
        <f>CHOOSE(CONTROL!$C$42, 5.6578, 5.6578)* CHOOSE(CONTROL!$C$21, $C$9, 100%, $E$9)</f>
        <v>5.6577999999999999</v>
      </c>
      <c r="K94" s="53">
        <f>CHOOSE(CONTROL!$C$42, 5.6905, 5.6905) * CHOOSE(CONTROL!$C$21, $C$9, 100%, $E$9)</f>
        <v>5.6905000000000001</v>
      </c>
      <c r="L94" s="17">
        <f>CHOOSE(CONTROL!$C$42, 6.5229, 6.5229) * CHOOSE(CONTROL!$C$21, $C$9, 100%, $E$9)</f>
        <v>6.5228999999999999</v>
      </c>
      <c r="M94" s="17">
        <f>CHOOSE(CONTROL!$C$42, 5.614, 5.614) * CHOOSE(CONTROL!$C$21, $C$9, 100%, $E$9)</f>
        <v>5.6139999999999999</v>
      </c>
      <c r="N94" s="17">
        <f>CHOOSE(CONTROL!$C$42, 5.6302, 5.6302) * CHOOSE(CONTROL!$C$21, $C$9, 100%, $E$9)</f>
        <v>5.6302000000000003</v>
      </c>
      <c r="O94" s="17">
        <f>CHOOSE(CONTROL!$C$42, 5.8895, 5.8895) * CHOOSE(CONTROL!$C$21, $C$9, 100%, $E$9)</f>
        <v>5.8895</v>
      </c>
      <c r="P94" s="17">
        <f>CHOOSE(CONTROL!$C$42, 5.6522, 5.6522) * CHOOSE(CONTROL!$C$21, $C$9, 100%, $E$9)</f>
        <v>5.6521999999999997</v>
      </c>
      <c r="Q94" s="17">
        <f>CHOOSE(CONTROL!$C$42, 6.4842, 6.4842) * CHOOSE(CONTROL!$C$21, $C$9, 100%, $E$9)</f>
        <v>6.4842000000000004</v>
      </c>
      <c r="R94" s="17">
        <f>CHOOSE(CONTROL!$C$42, 7.0874, 7.0874) * CHOOSE(CONTROL!$C$21, $C$9, 100%, $E$9)</f>
        <v>7.0873999999999997</v>
      </c>
      <c r="S94" s="17">
        <f>CHOOSE(CONTROL!$C$42, 5.4757, 5.4757) * CHOOSE(CONTROL!$C$21, $C$9, 100%, $E$9)</f>
        <v>5.4756999999999998</v>
      </c>
      <c r="T94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94" s="57">
        <f>(1000*CHOOSE(CONTROL!$C$42, 695, 695)*CHOOSE(CONTROL!$C$42, 0.5599, 0.5599)*CHOOSE(CONTROL!$C$42, 31, 31))/1000000</f>
        <v>12.063045499999998</v>
      </c>
      <c r="V94" s="57">
        <f>(1000*CHOOSE(CONTROL!$C$42, 500, 500)*CHOOSE(CONTROL!$C$42, 0.275, 0.275)*CHOOSE(CONTROL!$C$42, 31, 31))/1000000</f>
        <v>4.2625000000000002</v>
      </c>
      <c r="W94" s="57">
        <f>(1000*CHOOSE(CONTROL!$C$42, 0.0916, 0.0916)*CHOOSE(CONTROL!$C$42, 121.5, 121.5)*CHOOSE(CONTROL!$C$42, 31, 31))/1000000</f>
        <v>0.34501139999999997</v>
      </c>
      <c r="X94" s="57">
        <f>(31*0.1790888*145000/1000000)+(31*0.2374*100000/1000000)</f>
        <v>1.5409441560000001</v>
      </c>
      <c r="Y94" s="57"/>
      <c r="Z94" s="17"/>
      <c r="AA94" s="56"/>
      <c r="AB94" s="49">
        <f>(B94*131.881+C94*277.167+D94*79.08+E94*225.872+F94*40+G94*85+H94*0+I94*100+J94*300)/(131.881+277.167+79.08+225.872+0+40+85+100+300)</f>
        <v>5.7327979140435836</v>
      </c>
      <c r="AC94" s="46">
        <f>(M94*'RAP TEMPLATE-GAS AVAILABILITY'!O93+N94*'RAP TEMPLATE-GAS AVAILABILITY'!P93+O94*'RAP TEMPLATE-GAS AVAILABILITY'!Q93+P94*'RAP TEMPLATE-GAS AVAILABILITY'!R93)/('RAP TEMPLATE-GAS AVAILABILITY'!O93+'RAP TEMPLATE-GAS AVAILABILITY'!P93+'RAP TEMPLATE-GAS AVAILABILITY'!Q93+'RAP TEMPLATE-GAS AVAILABILITY'!R93)</f>
        <v>5.7005244604316552</v>
      </c>
    </row>
    <row r="95" spans="1:29" ht="15.75" x14ac:dyDescent="0.25">
      <c r="A95" s="16">
        <v>43770</v>
      </c>
      <c r="B95" s="17">
        <f>CHOOSE(CONTROL!$C$42, 5.8173, 5.8173) * CHOOSE(CONTROL!$C$21, $C$9, 100%, $E$9)</f>
        <v>5.8173000000000004</v>
      </c>
      <c r="C95" s="17">
        <f>CHOOSE(CONTROL!$C$42, 5.8224, 5.8224) * CHOOSE(CONTROL!$C$21, $C$9, 100%, $E$9)</f>
        <v>5.8224</v>
      </c>
      <c r="D95" s="17">
        <f>CHOOSE(CONTROL!$C$42, 5.945, 5.945) * CHOOSE(CONTROL!$C$21, $C$9, 100%, $E$9)</f>
        <v>5.9450000000000003</v>
      </c>
      <c r="E95" s="17">
        <f>CHOOSE(CONTROL!$C$42, 5.9788, 5.9788) * CHOOSE(CONTROL!$C$21, $C$9, 100%, $E$9)</f>
        <v>5.9787999999999997</v>
      </c>
      <c r="F95" s="17">
        <f>CHOOSE(CONTROL!$C$42, 5.8323, 5.8323)*CHOOSE(CONTROL!$C$21, $C$9, 100%, $E$9)</f>
        <v>5.8323</v>
      </c>
      <c r="G95" s="17">
        <f>CHOOSE(CONTROL!$C$42, 5.849, 5.849)*CHOOSE(CONTROL!$C$21, $C$9, 100%, $E$9)</f>
        <v>5.8490000000000002</v>
      </c>
      <c r="H95" s="17">
        <f>CHOOSE(CONTROL!$C$42, 5.9677, 5.9677) * CHOOSE(CONTROL!$C$21, $C$9, 100%, $E$9)</f>
        <v>5.9676999999999998</v>
      </c>
      <c r="I95" s="17">
        <f>CHOOSE(CONTROL!$C$42, 5.8603, 5.8603)* CHOOSE(CONTROL!$C$21, $C$9, 100%, $E$9)</f>
        <v>5.8602999999999996</v>
      </c>
      <c r="J95" s="17">
        <f>CHOOSE(CONTROL!$C$42, 5.8249, 5.8249)* CHOOSE(CONTROL!$C$21, $C$9, 100%, $E$9)</f>
        <v>5.8249000000000004</v>
      </c>
      <c r="K95" s="53">
        <f>CHOOSE(CONTROL!$C$42, 5.8543, 5.8543) * CHOOSE(CONTROL!$C$21, $C$9, 100%, $E$9)</f>
        <v>5.8543000000000003</v>
      </c>
      <c r="L95" s="17">
        <f>CHOOSE(CONTROL!$C$42, 6.5547, 6.5547) * CHOOSE(CONTROL!$C$21, $C$9, 100%, $E$9)</f>
        <v>6.5547000000000004</v>
      </c>
      <c r="M95" s="17">
        <f>CHOOSE(CONTROL!$C$42, 5.7795, 5.7795) * CHOOSE(CONTROL!$C$21, $C$9, 100%, $E$9)</f>
        <v>5.7794999999999996</v>
      </c>
      <c r="N95" s="17">
        <f>CHOOSE(CONTROL!$C$42, 5.7961, 5.7961) * CHOOSE(CONTROL!$C$21, $C$9, 100%, $E$9)</f>
        <v>5.7961</v>
      </c>
      <c r="O95" s="17">
        <f>CHOOSE(CONTROL!$C$42, 5.921, 5.921) * CHOOSE(CONTROL!$C$21, $C$9, 100%, $E$9)</f>
        <v>5.9210000000000003</v>
      </c>
      <c r="P95" s="17">
        <f>CHOOSE(CONTROL!$C$42, 5.8145, 5.8145) * CHOOSE(CONTROL!$C$21, $C$9, 100%, $E$9)</f>
        <v>5.8144999999999998</v>
      </c>
      <c r="Q95" s="17">
        <f>CHOOSE(CONTROL!$C$42, 6.5157, 6.5157) * CHOOSE(CONTROL!$C$21, $C$9, 100%, $E$9)</f>
        <v>6.5156999999999998</v>
      </c>
      <c r="R95" s="17">
        <f>CHOOSE(CONTROL!$C$42, 7.119, 7.119) * CHOOSE(CONTROL!$C$21, $C$9, 100%, $E$9)</f>
        <v>7.1189999999999998</v>
      </c>
      <c r="S95" s="17">
        <f>CHOOSE(CONTROL!$C$42, 5.6315, 5.6315) * CHOOSE(CONTROL!$C$21, $C$9, 100%, $E$9)</f>
        <v>5.6315</v>
      </c>
      <c r="T95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95" s="57">
        <f>(1000*CHOOSE(CONTROL!$C$42, 695, 695)*CHOOSE(CONTROL!$C$42, 0.5599, 0.5599)*CHOOSE(CONTROL!$C$42, 30, 30))/1000000</f>
        <v>11.673914999999997</v>
      </c>
      <c r="V95" s="57">
        <f>(1000*CHOOSE(CONTROL!$C$42, 500, 500)*CHOOSE(CONTROL!$C$42, 0.275, 0.275)*CHOOSE(CONTROL!$C$42, 30, 30))/1000000</f>
        <v>4.125</v>
      </c>
      <c r="W95" s="57">
        <f>(1000*CHOOSE(CONTROL!$C$42, 0.0916, 0.0916)*CHOOSE(CONTROL!$C$42, 121.5, 121.5)*CHOOSE(CONTROL!$C$42, 30, 30))/1000000</f>
        <v>0.33388200000000001</v>
      </c>
      <c r="X95" s="57">
        <f>(30*0.2374*100000/1000000)</f>
        <v>0.71220000000000006</v>
      </c>
      <c r="Y95" s="57"/>
      <c r="Z95" s="17"/>
      <c r="AA95" s="56"/>
      <c r="AB95" s="49">
        <f>(B95*122.58+C95*297.941+D95*89.177+E95*140.302+F95*40+G95*60+H95*0+I95*100+J95*300)/(122.58+297.941+89.177+140.302+0+40+60+100+300)</f>
        <v>5.8561245</v>
      </c>
      <c r="AC95" s="46">
        <f>(M95*'RAP TEMPLATE-GAS AVAILABILITY'!O94+N95*'RAP TEMPLATE-GAS AVAILABILITY'!P94+O95*'RAP TEMPLATE-GAS AVAILABILITY'!Q94+P95*'RAP TEMPLATE-GAS AVAILABILITY'!R94)/('RAP TEMPLATE-GAS AVAILABILITY'!O94+'RAP TEMPLATE-GAS AVAILABILITY'!P94+'RAP TEMPLATE-GAS AVAILABILITY'!Q94+'RAP TEMPLATE-GAS AVAILABILITY'!R94)</f>
        <v>5.8496244604316541</v>
      </c>
    </row>
    <row r="96" spans="1:29" ht="15.75" x14ac:dyDescent="0.25">
      <c r="A96" s="16">
        <v>43800</v>
      </c>
      <c r="B96" s="17">
        <f>CHOOSE(CONTROL!$C$42, 6.226, 6.226) * CHOOSE(CONTROL!$C$21, $C$9, 100%, $E$9)</f>
        <v>6.226</v>
      </c>
      <c r="C96" s="17">
        <f>CHOOSE(CONTROL!$C$42, 6.2311, 6.2311) * CHOOSE(CONTROL!$C$21, $C$9, 100%, $E$9)</f>
        <v>6.2310999999999996</v>
      </c>
      <c r="D96" s="17">
        <f>CHOOSE(CONTROL!$C$42, 6.3537, 6.3537) * CHOOSE(CONTROL!$C$21, $C$9, 100%, $E$9)</f>
        <v>6.3536999999999999</v>
      </c>
      <c r="E96" s="17">
        <f>CHOOSE(CONTROL!$C$42, 6.3875, 6.3875) * CHOOSE(CONTROL!$C$21, $C$9, 100%, $E$9)</f>
        <v>6.3875000000000002</v>
      </c>
      <c r="F96" s="17">
        <f>CHOOSE(CONTROL!$C$42, 6.2434, 6.2434)*CHOOSE(CONTROL!$C$21, $C$9, 100%, $E$9)</f>
        <v>6.2434000000000003</v>
      </c>
      <c r="G96" s="17">
        <f>CHOOSE(CONTROL!$C$42, 6.2607, 6.2607)*CHOOSE(CONTROL!$C$21, $C$9, 100%, $E$9)</f>
        <v>6.2606999999999999</v>
      </c>
      <c r="H96" s="17">
        <f>CHOOSE(CONTROL!$C$42, 6.3763, 6.3763) * CHOOSE(CONTROL!$C$21, $C$9, 100%, $E$9)</f>
        <v>6.3762999999999996</v>
      </c>
      <c r="I96" s="17">
        <f>CHOOSE(CONTROL!$C$42, 6.2703, 6.2703)* CHOOSE(CONTROL!$C$21, $C$9, 100%, $E$9)</f>
        <v>6.2702999999999998</v>
      </c>
      <c r="J96" s="17">
        <f>CHOOSE(CONTROL!$C$42, 6.236, 6.236)* CHOOSE(CONTROL!$C$21, $C$9, 100%, $E$9)</f>
        <v>6.2359999999999998</v>
      </c>
      <c r="K96" s="53">
        <f>CHOOSE(CONTROL!$C$42, 6.2642, 6.2642) * CHOOSE(CONTROL!$C$21, $C$9, 100%, $E$9)</f>
        <v>6.2641999999999998</v>
      </c>
      <c r="L96" s="17">
        <f>CHOOSE(CONTROL!$C$42, 6.9633, 6.9633) * CHOOSE(CONTROL!$C$21, $C$9, 100%, $E$9)</f>
        <v>6.9633000000000003</v>
      </c>
      <c r="M96" s="17">
        <f>CHOOSE(CONTROL!$C$42, 6.187, 6.187) * CHOOSE(CONTROL!$C$21, $C$9, 100%, $E$9)</f>
        <v>6.1870000000000003</v>
      </c>
      <c r="N96" s="17">
        <f>CHOOSE(CONTROL!$C$42, 6.2041, 6.2041) * CHOOSE(CONTROL!$C$21, $C$9, 100%, $E$9)</f>
        <v>6.2041000000000004</v>
      </c>
      <c r="O96" s="17">
        <f>CHOOSE(CONTROL!$C$42, 6.326, 6.326) * CHOOSE(CONTROL!$C$21, $C$9, 100%, $E$9)</f>
        <v>6.3259999999999996</v>
      </c>
      <c r="P96" s="17">
        <f>CHOOSE(CONTROL!$C$42, 6.2208, 6.2208) * CHOOSE(CONTROL!$C$21, $C$9, 100%, $E$9)</f>
        <v>6.2207999999999997</v>
      </c>
      <c r="Q96" s="17">
        <f>CHOOSE(CONTROL!$C$42, 6.9207, 6.9207) * CHOOSE(CONTROL!$C$21, $C$9, 100%, $E$9)</f>
        <v>6.9207000000000001</v>
      </c>
      <c r="R96" s="17">
        <f>CHOOSE(CONTROL!$C$42, 7.525, 7.525) * CHOOSE(CONTROL!$C$21, $C$9, 100%, $E$9)</f>
        <v>7.5250000000000004</v>
      </c>
      <c r="S96" s="17">
        <f>CHOOSE(CONTROL!$C$42, 6.0278, 6.0278) * CHOOSE(CONTROL!$C$21, $C$9, 100%, $E$9)</f>
        <v>6.0278</v>
      </c>
      <c r="T96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96" s="57">
        <f>(1000*CHOOSE(CONTROL!$C$42, 695, 695)*CHOOSE(CONTROL!$C$42, 0.5599, 0.5599)*CHOOSE(CONTROL!$C$42, 31, 31))/1000000</f>
        <v>12.063045499999998</v>
      </c>
      <c r="V96" s="57">
        <f>(1000*CHOOSE(CONTROL!$C$42, 500, 500)*CHOOSE(CONTROL!$C$42, 0.275, 0.275)*CHOOSE(CONTROL!$C$42, 31, 31))/1000000</f>
        <v>4.2625000000000002</v>
      </c>
      <c r="W96" s="57">
        <f>(1000*CHOOSE(CONTROL!$C$42, 0.0916, 0.0916)*CHOOSE(CONTROL!$C$42, 121.5, 121.5)*CHOOSE(CONTROL!$C$42, 31, 31))/1000000</f>
        <v>0.34501139999999997</v>
      </c>
      <c r="X96" s="57">
        <f>(31*0.2374*100000/1000000)</f>
        <v>0.73594000000000004</v>
      </c>
      <c r="Y96" s="57"/>
      <c r="Z96" s="17"/>
      <c r="AA96" s="56"/>
      <c r="AB96" s="49">
        <f>(B96*122.58+C96*297.941+D96*89.177+E96*140.302+F96*40+G96*60+H96*0+I96*100+J96*300)/(122.58+297.941+89.177+140.302+0+40+60+100+300)</f>
        <v>6.2658036304347826</v>
      </c>
      <c r="AC96" s="46">
        <f>(M96*'RAP TEMPLATE-GAS AVAILABILITY'!O95+N96*'RAP TEMPLATE-GAS AVAILABILITY'!P95+O96*'RAP TEMPLATE-GAS AVAILABILITY'!Q95+P96*'RAP TEMPLATE-GAS AVAILABILITY'!R95)/('RAP TEMPLATE-GAS AVAILABILITY'!O95+'RAP TEMPLATE-GAS AVAILABILITY'!P95+'RAP TEMPLATE-GAS AVAILABILITY'!Q95+'RAP TEMPLATE-GAS AVAILABILITY'!R95)</f>
        <v>6.2558474820143886</v>
      </c>
    </row>
    <row r="97" spans="1:29" ht="15.75" x14ac:dyDescent="0.25">
      <c r="A97" s="16">
        <v>43831</v>
      </c>
      <c r="B97" s="17">
        <f>CHOOSE(CONTROL!$C$42, 6.8843, 6.8843) * CHOOSE(CONTROL!$C$21, $C$9, 100%, $E$9)</f>
        <v>6.8842999999999996</v>
      </c>
      <c r="C97" s="17">
        <f>CHOOSE(CONTROL!$C$42, 6.8894, 6.8894) * CHOOSE(CONTROL!$C$21, $C$9, 100%, $E$9)</f>
        <v>6.8894000000000002</v>
      </c>
      <c r="D97" s="17">
        <f>CHOOSE(CONTROL!$C$42, 7.0069, 7.0069) * CHOOSE(CONTROL!$C$21, $C$9, 100%, $E$9)</f>
        <v>7.0068999999999999</v>
      </c>
      <c r="E97" s="17">
        <f>CHOOSE(CONTROL!$C$42, 7.0406, 7.0406) * CHOOSE(CONTROL!$C$21, $C$9, 100%, $E$9)</f>
        <v>7.0406000000000004</v>
      </c>
      <c r="F97" s="17">
        <f>CHOOSE(CONTROL!$C$42, 6.8979, 6.8979)*CHOOSE(CONTROL!$C$21, $C$9, 100%, $E$9)</f>
        <v>6.8978999999999999</v>
      </c>
      <c r="G97" s="17">
        <f>CHOOSE(CONTROL!$C$42, 6.9142, 6.9142)*CHOOSE(CONTROL!$C$21, $C$9, 100%, $E$9)</f>
        <v>6.9142000000000001</v>
      </c>
      <c r="H97" s="17">
        <f>CHOOSE(CONTROL!$C$42, 7.0295, 7.0295) * CHOOSE(CONTROL!$C$21, $C$9, 100%, $E$9)</f>
        <v>7.0294999999999996</v>
      </c>
      <c r="I97" s="17">
        <f>CHOOSE(CONTROL!$C$42, 6.9291, 6.9291)* CHOOSE(CONTROL!$C$21, $C$9, 100%, $E$9)</f>
        <v>6.9291</v>
      </c>
      <c r="J97" s="17">
        <f>CHOOSE(CONTROL!$C$42, 6.8905, 6.8905)* CHOOSE(CONTROL!$C$21, $C$9, 100%, $E$9)</f>
        <v>6.8905000000000003</v>
      </c>
      <c r="K97" s="53">
        <f>CHOOSE(CONTROL!$C$42, 6.923, 6.923) * CHOOSE(CONTROL!$C$21, $C$9, 100%, $E$9)</f>
        <v>6.923</v>
      </c>
      <c r="L97" s="17">
        <f>CHOOSE(CONTROL!$C$42, 7.6165, 7.6165) * CHOOSE(CONTROL!$C$21, $C$9, 100%, $E$9)</f>
        <v>7.6165000000000003</v>
      </c>
      <c r="M97" s="17">
        <f>CHOOSE(CONTROL!$C$42, 6.8356, 6.8356) * CHOOSE(CONTROL!$C$21, $C$9, 100%, $E$9)</f>
        <v>6.8356000000000003</v>
      </c>
      <c r="N97" s="17">
        <f>CHOOSE(CONTROL!$C$42, 6.8517, 6.8517) * CHOOSE(CONTROL!$C$21, $C$9, 100%, $E$9)</f>
        <v>6.8517000000000001</v>
      </c>
      <c r="O97" s="17">
        <f>CHOOSE(CONTROL!$C$42, 6.9733, 6.9733) * CHOOSE(CONTROL!$C$21, $C$9, 100%, $E$9)</f>
        <v>6.9733000000000001</v>
      </c>
      <c r="P97" s="17">
        <f>CHOOSE(CONTROL!$C$42, 6.8736, 6.8736) * CHOOSE(CONTROL!$C$21, $C$9, 100%, $E$9)</f>
        <v>6.8735999999999997</v>
      </c>
      <c r="Q97" s="17">
        <f>CHOOSE(CONTROL!$C$42, 7.568, 7.568) * CHOOSE(CONTROL!$C$21, $C$9, 100%, $E$9)</f>
        <v>7.5679999999999996</v>
      </c>
      <c r="R97" s="17">
        <f>CHOOSE(CONTROL!$C$42, 8.1739, 8.1739) * CHOOSE(CONTROL!$C$21, $C$9, 100%, $E$9)</f>
        <v>8.1738999999999997</v>
      </c>
      <c r="S97" s="17">
        <f>CHOOSE(CONTROL!$C$42, 6.6662, 6.6662) * CHOOSE(CONTROL!$C$21, $C$9, 100%, $E$9)</f>
        <v>6.6661999999999999</v>
      </c>
      <c r="T97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97" s="57">
        <f>(1000*CHOOSE(CONTROL!$C$42, 695, 695)*CHOOSE(CONTROL!$C$42, 0.5599, 0.5599)*CHOOSE(CONTROL!$C$42, 31, 31))/1000000</f>
        <v>12.063045499999998</v>
      </c>
      <c r="V97" s="57">
        <f>(1000*CHOOSE(CONTROL!$C$42, 500, 500)*CHOOSE(CONTROL!$C$42, 0.275, 0.275)*CHOOSE(CONTROL!$C$42, 31, 31))/1000000</f>
        <v>4.2625000000000002</v>
      </c>
      <c r="W97" s="57">
        <f>(1000*CHOOSE(CONTROL!$C$42, 0.0916, 0.0916)*CHOOSE(CONTROL!$C$42, 121.5, 121.5)*CHOOSE(CONTROL!$C$42, 31, 31))/1000000</f>
        <v>0.34501139999999997</v>
      </c>
      <c r="X97" s="57">
        <f>(31*0.2374*100000/1000000)</f>
        <v>0.73594000000000004</v>
      </c>
      <c r="Y97" s="57"/>
      <c r="Z97" s="17"/>
      <c r="AA97" s="56"/>
      <c r="AB97" s="49">
        <f>(B97*122.58+C97*297.941+D97*89.177+E97*140.302+F97*40+G97*60+H97*0+I97*100+J97*300)/(122.58+297.941+89.177+140.302+0+40+60+100+300)</f>
        <v>6.9217433060000007</v>
      </c>
      <c r="AC97" s="46">
        <f>(M97*'RAP TEMPLATE-GAS AVAILABILITY'!O96+N97*'RAP TEMPLATE-GAS AVAILABILITY'!P96+O97*'RAP TEMPLATE-GAS AVAILABILITY'!Q96+P97*'RAP TEMPLATE-GAS AVAILABILITY'!R96)/('RAP TEMPLATE-GAS AVAILABILITY'!O96+'RAP TEMPLATE-GAS AVAILABILITY'!P96+'RAP TEMPLATE-GAS AVAILABILITY'!Q96+'RAP TEMPLATE-GAS AVAILABILITY'!R96)</f>
        <v>6.904405035971223</v>
      </c>
    </row>
    <row r="98" spans="1:29" ht="15.75" x14ac:dyDescent="0.25">
      <c r="A98" s="16">
        <v>43862</v>
      </c>
      <c r="B98" s="17">
        <f>CHOOSE(CONTROL!$C$42, 7.0211, 7.0211) * CHOOSE(CONTROL!$C$21, $C$9, 100%, $E$9)</f>
        <v>7.0210999999999997</v>
      </c>
      <c r="C98" s="17">
        <f>CHOOSE(CONTROL!$C$42, 7.0262, 7.0262) * CHOOSE(CONTROL!$C$21, $C$9, 100%, $E$9)</f>
        <v>7.0262000000000002</v>
      </c>
      <c r="D98" s="17">
        <f>CHOOSE(CONTROL!$C$42, 7.1436, 7.1436) * CHOOSE(CONTROL!$C$21, $C$9, 100%, $E$9)</f>
        <v>7.1436000000000002</v>
      </c>
      <c r="E98" s="17">
        <f>CHOOSE(CONTROL!$C$42, 7.1774, 7.1774) * CHOOSE(CONTROL!$C$21, $C$9, 100%, $E$9)</f>
        <v>7.1773999999999996</v>
      </c>
      <c r="F98" s="17">
        <f>CHOOSE(CONTROL!$C$42, 7.0347, 7.0347)*CHOOSE(CONTROL!$C$21, $C$9, 100%, $E$9)</f>
        <v>7.0347</v>
      </c>
      <c r="G98" s="17">
        <f>CHOOSE(CONTROL!$C$42, 7.051, 7.051)*CHOOSE(CONTROL!$C$21, $C$9, 100%, $E$9)</f>
        <v>7.0510000000000002</v>
      </c>
      <c r="H98" s="17">
        <f>CHOOSE(CONTROL!$C$42, 7.1663, 7.1663) * CHOOSE(CONTROL!$C$21, $C$9, 100%, $E$9)</f>
        <v>7.1662999999999997</v>
      </c>
      <c r="I98" s="17">
        <f>CHOOSE(CONTROL!$C$42, 7.0663, 7.0663)* CHOOSE(CONTROL!$C$21, $C$9, 100%, $E$9)</f>
        <v>7.0663</v>
      </c>
      <c r="J98" s="17">
        <f>CHOOSE(CONTROL!$C$42, 7.0273, 7.0273)* CHOOSE(CONTROL!$C$21, $C$9, 100%, $E$9)</f>
        <v>7.0273000000000003</v>
      </c>
      <c r="K98" s="53">
        <f>CHOOSE(CONTROL!$C$42, 7.0602, 7.0602) * CHOOSE(CONTROL!$C$21, $C$9, 100%, $E$9)</f>
        <v>7.0602</v>
      </c>
      <c r="L98" s="17">
        <f>CHOOSE(CONTROL!$C$42, 7.7533, 7.7533) * CHOOSE(CONTROL!$C$21, $C$9, 100%, $E$9)</f>
        <v>7.7533000000000003</v>
      </c>
      <c r="M98" s="17">
        <f>CHOOSE(CONTROL!$C$42, 6.9711, 6.9711) * CHOOSE(CONTROL!$C$21, $C$9, 100%, $E$9)</f>
        <v>6.9710999999999999</v>
      </c>
      <c r="N98" s="17">
        <f>CHOOSE(CONTROL!$C$42, 6.9873, 6.9873) * CHOOSE(CONTROL!$C$21, $C$9, 100%, $E$9)</f>
        <v>6.9873000000000003</v>
      </c>
      <c r="O98" s="17">
        <f>CHOOSE(CONTROL!$C$42, 7.1088, 7.1088) * CHOOSE(CONTROL!$C$21, $C$9, 100%, $E$9)</f>
        <v>7.1087999999999996</v>
      </c>
      <c r="P98" s="17">
        <f>CHOOSE(CONTROL!$C$42, 7.0096, 7.0096) * CHOOSE(CONTROL!$C$21, $C$9, 100%, $E$9)</f>
        <v>7.0095999999999998</v>
      </c>
      <c r="Q98" s="17">
        <f>CHOOSE(CONTROL!$C$42, 7.7035, 7.7035) * CHOOSE(CONTROL!$C$21, $C$9, 100%, $E$9)</f>
        <v>7.7035</v>
      </c>
      <c r="R98" s="17">
        <f>CHOOSE(CONTROL!$C$42, 8.3098, 8.3098) * CHOOSE(CONTROL!$C$21, $C$9, 100%, $E$9)</f>
        <v>8.3097999999999992</v>
      </c>
      <c r="S98" s="17">
        <f>CHOOSE(CONTROL!$C$42, 6.7988, 6.7988) * CHOOSE(CONTROL!$C$21, $C$9, 100%, $E$9)</f>
        <v>6.7988</v>
      </c>
      <c r="T98" s="57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98" s="57">
        <f>(1000*CHOOSE(CONTROL!$C$42, 695, 695)*CHOOSE(CONTROL!$C$42, 0.5599, 0.5599)*CHOOSE(CONTROL!$C$42, 29, 29))/1000000</f>
        <v>11.284784499999999</v>
      </c>
      <c r="V98" s="57">
        <f>(1000*CHOOSE(CONTROL!$C$42, 500, 500)*CHOOSE(CONTROL!$C$42, 0.275, 0.275)*CHOOSE(CONTROL!$C$42, 29, 29))/1000000</f>
        <v>3.9874999999999998</v>
      </c>
      <c r="W98" s="57">
        <f>(1000*CHOOSE(CONTROL!$C$42, 0.0916, 0.0916)*CHOOSE(CONTROL!$C$42, 121.5, 121.5)*CHOOSE(CONTROL!$C$42, 29, 29))/1000000</f>
        <v>0.3227526</v>
      </c>
      <c r="X98" s="57">
        <f>(29*0.2374*100000/1000000)</f>
        <v>0.68845999999999996</v>
      </c>
      <c r="Y98" s="57"/>
      <c r="Z98" s="17"/>
      <c r="AA98" s="56"/>
      <c r="AB98" s="49">
        <f>(B98*122.58+C98*297.941+D98*89.177+E98*140.302+F98*40+G98*60+H98*0+I98*100+J98*300)/(122.58+297.941+89.177+140.302+0+40+60+100+300)</f>
        <v>7.0585703340869568</v>
      </c>
      <c r="AC98" s="46">
        <f>(M98*'RAP TEMPLATE-GAS AVAILABILITY'!O97+N98*'RAP TEMPLATE-GAS AVAILABILITY'!P97+O98*'RAP TEMPLATE-GAS AVAILABILITY'!Q97+P98*'RAP TEMPLATE-GAS AVAILABILITY'!R97)/('RAP TEMPLATE-GAS AVAILABILITY'!O97+'RAP TEMPLATE-GAS AVAILABILITY'!P97+'RAP TEMPLATE-GAS AVAILABILITY'!Q97+'RAP TEMPLATE-GAS AVAILABILITY'!R97)</f>
        <v>7.0399827338129493</v>
      </c>
    </row>
    <row r="99" spans="1:29" ht="15.75" x14ac:dyDescent="0.25">
      <c r="A99" s="16">
        <v>43891</v>
      </c>
      <c r="B99" s="17">
        <f>CHOOSE(CONTROL!$C$42, 6.8361, 6.8361) * CHOOSE(CONTROL!$C$21, $C$9, 100%, $E$9)</f>
        <v>6.8361000000000001</v>
      </c>
      <c r="C99" s="17">
        <f>CHOOSE(CONTROL!$C$42, 6.8412, 6.8412) * CHOOSE(CONTROL!$C$21, $C$9, 100%, $E$9)</f>
        <v>6.8411999999999997</v>
      </c>
      <c r="D99" s="17">
        <f>CHOOSE(CONTROL!$C$42, 6.9586, 6.9586) * CHOOSE(CONTROL!$C$21, $C$9, 100%, $E$9)</f>
        <v>6.9585999999999997</v>
      </c>
      <c r="E99" s="17">
        <f>CHOOSE(CONTROL!$C$42, 6.9924, 6.9924) * CHOOSE(CONTROL!$C$21, $C$9, 100%, $E$9)</f>
        <v>6.9923999999999999</v>
      </c>
      <c r="F99" s="17">
        <f>CHOOSE(CONTROL!$C$42, 6.8491, 6.8491)*CHOOSE(CONTROL!$C$21, $C$9, 100%, $E$9)</f>
        <v>6.8491</v>
      </c>
      <c r="G99" s="17">
        <f>CHOOSE(CONTROL!$C$42, 6.8652, 6.8652)*CHOOSE(CONTROL!$C$21, $C$9, 100%, $E$9)</f>
        <v>6.8651999999999997</v>
      </c>
      <c r="H99" s="17">
        <f>CHOOSE(CONTROL!$C$42, 6.9813, 6.9813) * CHOOSE(CONTROL!$C$21, $C$9, 100%, $E$9)</f>
        <v>6.9813000000000001</v>
      </c>
      <c r="I99" s="17">
        <f>CHOOSE(CONTROL!$C$42, 6.8807, 6.8807)* CHOOSE(CONTROL!$C$21, $C$9, 100%, $E$9)</f>
        <v>6.8807</v>
      </c>
      <c r="J99" s="17">
        <f>CHOOSE(CONTROL!$C$42, 6.8417, 6.8417)* CHOOSE(CONTROL!$C$21, $C$9, 100%, $E$9)</f>
        <v>6.8417000000000003</v>
      </c>
      <c r="K99" s="53">
        <f>CHOOSE(CONTROL!$C$42, 6.8747, 6.8747) * CHOOSE(CONTROL!$C$21, $C$9, 100%, $E$9)</f>
        <v>6.8746999999999998</v>
      </c>
      <c r="L99" s="17">
        <f>CHOOSE(CONTROL!$C$42, 7.5683, 7.5683) * CHOOSE(CONTROL!$C$21, $C$9, 100%, $E$9)</f>
        <v>7.5682999999999998</v>
      </c>
      <c r="M99" s="17">
        <f>CHOOSE(CONTROL!$C$42, 6.7872, 6.7872) * CHOOSE(CONTROL!$C$21, $C$9, 100%, $E$9)</f>
        <v>6.7872000000000003</v>
      </c>
      <c r="N99" s="17">
        <f>CHOOSE(CONTROL!$C$42, 6.8032, 6.8032) * CHOOSE(CONTROL!$C$21, $C$9, 100%, $E$9)</f>
        <v>6.8032000000000004</v>
      </c>
      <c r="O99" s="17">
        <f>CHOOSE(CONTROL!$C$42, 6.9255, 6.9255) * CHOOSE(CONTROL!$C$21, $C$9, 100%, $E$9)</f>
        <v>6.9255000000000004</v>
      </c>
      <c r="P99" s="17">
        <f>CHOOSE(CONTROL!$C$42, 6.8257, 6.8257) * CHOOSE(CONTROL!$C$21, $C$9, 100%, $E$9)</f>
        <v>6.8257000000000003</v>
      </c>
      <c r="Q99" s="17">
        <f>CHOOSE(CONTROL!$C$42, 7.5202, 7.5202) * CHOOSE(CONTROL!$C$21, $C$9, 100%, $E$9)</f>
        <v>7.5202</v>
      </c>
      <c r="R99" s="17">
        <f>CHOOSE(CONTROL!$C$42, 8.126, 8.126) * CHOOSE(CONTROL!$C$21, $C$9, 100%, $E$9)</f>
        <v>8.1259999999999994</v>
      </c>
      <c r="S99" s="17">
        <f>CHOOSE(CONTROL!$C$42, 6.6194, 6.6194) * CHOOSE(CONTROL!$C$21, $C$9, 100%, $E$9)</f>
        <v>6.6193999999999997</v>
      </c>
      <c r="T99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99" s="57">
        <f>(1000*CHOOSE(CONTROL!$C$42, 695, 695)*CHOOSE(CONTROL!$C$42, 0.5599, 0.5599)*CHOOSE(CONTROL!$C$42, 31, 31))/1000000</f>
        <v>12.063045499999998</v>
      </c>
      <c r="V99" s="57">
        <f>(1000*CHOOSE(CONTROL!$C$42, 500, 500)*CHOOSE(CONTROL!$C$42, 0.275, 0.275)*CHOOSE(CONTROL!$C$42, 31, 31))/1000000</f>
        <v>4.2625000000000002</v>
      </c>
      <c r="W99" s="57">
        <f>(1000*CHOOSE(CONTROL!$C$42, 0.0916, 0.0916)*CHOOSE(CONTROL!$C$42, 121.5, 121.5)*CHOOSE(CONTROL!$C$42, 31, 31))/1000000</f>
        <v>0.34501139999999997</v>
      </c>
      <c r="X99" s="57">
        <f>(31*0.2374*100000/1000000)</f>
        <v>0.73594000000000004</v>
      </c>
      <c r="Y99" s="57"/>
      <c r="Z99" s="17"/>
      <c r="AA99" s="56"/>
      <c r="AB99" s="49">
        <f>(B99*122.58+C99*297.941+D99*89.177+E99*140.302+F99*40+G99*60+H99*0+I99*100+J99*300)/(122.58+297.941+89.177+140.302+0+40+60+100+300)</f>
        <v>6.8732990297391305</v>
      </c>
      <c r="AC99" s="46">
        <f>(M99*'RAP TEMPLATE-GAS AVAILABILITY'!O98+N99*'RAP TEMPLATE-GAS AVAILABILITY'!P98+O99*'RAP TEMPLATE-GAS AVAILABILITY'!Q98+P99*'RAP TEMPLATE-GAS AVAILABILITY'!R98)/('RAP TEMPLATE-GAS AVAILABILITY'!O98+'RAP TEMPLATE-GAS AVAILABILITY'!P98+'RAP TEMPLATE-GAS AVAILABILITY'!Q98+'RAP TEMPLATE-GAS AVAILABILITY'!R98)</f>
        <v>6.8563431654676261</v>
      </c>
    </row>
    <row r="100" spans="1:29" ht="15.75" x14ac:dyDescent="0.25">
      <c r="A100" s="16">
        <v>43922</v>
      </c>
      <c r="B100" s="17">
        <f>CHOOSE(CONTROL!$C$42, 6.8307, 6.8307) * CHOOSE(CONTROL!$C$21, $C$9, 100%, $E$9)</f>
        <v>6.8307000000000002</v>
      </c>
      <c r="C100" s="17">
        <f>CHOOSE(CONTROL!$C$42, 6.8352, 6.8352) * CHOOSE(CONTROL!$C$21, $C$9, 100%, $E$9)</f>
        <v>6.8352000000000004</v>
      </c>
      <c r="D100" s="17">
        <f>CHOOSE(CONTROL!$C$42, 7.0879, 7.0879) * CHOOSE(CONTROL!$C$21, $C$9, 100%, $E$9)</f>
        <v>7.0879000000000003</v>
      </c>
      <c r="E100" s="17">
        <f>CHOOSE(CONTROL!$C$42, 7.1197, 7.1197) * CHOOSE(CONTROL!$C$21, $C$9, 100%, $E$9)</f>
        <v>7.1196999999999999</v>
      </c>
      <c r="F100" s="17">
        <f>CHOOSE(CONTROL!$C$42, 6.8366, 6.8366)*CHOOSE(CONTROL!$C$21, $C$9, 100%, $E$9)</f>
        <v>6.8365999999999998</v>
      </c>
      <c r="G100" s="17">
        <f>CHOOSE(CONTROL!$C$42, 6.8525, 6.8525)*CHOOSE(CONTROL!$C$21, $C$9, 100%, $E$9)</f>
        <v>6.8525</v>
      </c>
      <c r="H100" s="17">
        <f>CHOOSE(CONTROL!$C$42, 7.1091, 7.1091) * CHOOSE(CONTROL!$C$21, $C$9, 100%, $E$9)</f>
        <v>7.1090999999999998</v>
      </c>
      <c r="I100" s="17">
        <f>CHOOSE(CONTROL!$C$42, 6.8735, 6.8735)* CHOOSE(CONTROL!$C$21, $C$9, 100%, $E$9)</f>
        <v>6.8734999999999999</v>
      </c>
      <c r="J100" s="17">
        <f>CHOOSE(CONTROL!$C$42, 6.8292, 6.8292)* CHOOSE(CONTROL!$C$21, $C$9, 100%, $E$9)</f>
        <v>6.8292000000000002</v>
      </c>
      <c r="K100" s="53">
        <f>CHOOSE(CONTROL!$C$42, 6.8674, 6.8674) * CHOOSE(CONTROL!$C$21, $C$9, 100%, $E$9)</f>
        <v>6.8673999999999999</v>
      </c>
      <c r="L100" s="17">
        <f>CHOOSE(CONTROL!$C$42, 7.6961, 7.6961) * CHOOSE(CONTROL!$C$21, $C$9, 100%, $E$9)</f>
        <v>7.6961000000000004</v>
      </c>
      <c r="M100" s="17">
        <f>CHOOSE(CONTROL!$C$42, 6.7748, 6.7748) * CHOOSE(CONTROL!$C$21, $C$9, 100%, $E$9)</f>
        <v>6.7747999999999999</v>
      </c>
      <c r="N100" s="17">
        <f>CHOOSE(CONTROL!$C$42, 6.7905, 6.7905) * CHOOSE(CONTROL!$C$21, $C$9, 100%, $E$9)</f>
        <v>6.7904999999999998</v>
      </c>
      <c r="O100" s="17">
        <f>CHOOSE(CONTROL!$C$42, 7.0522, 7.0522) * CHOOSE(CONTROL!$C$21, $C$9, 100%, $E$9)</f>
        <v>7.0522</v>
      </c>
      <c r="P100" s="17">
        <f>CHOOSE(CONTROL!$C$42, 6.8185, 6.8185) * CHOOSE(CONTROL!$C$21, $C$9, 100%, $E$9)</f>
        <v>6.8185000000000002</v>
      </c>
      <c r="Q100" s="17">
        <f>CHOOSE(CONTROL!$C$42, 7.6469, 7.6469) * CHOOSE(CONTROL!$C$21, $C$9, 100%, $E$9)</f>
        <v>7.6468999999999996</v>
      </c>
      <c r="R100" s="17">
        <f>CHOOSE(CONTROL!$C$42, 8.253, 8.253) * CHOOSE(CONTROL!$C$21, $C$9, 100%, $E$9)</f>
        <v>8.2530000000000001</v>
      </c>
      <c r="S100" s="17">
        <f>CHOOSE(CONTROL!$C$42, 6.6134, 6.6134) * CHOOSE(CONTROL!$C$21, $C$9, 100%, $E$9)</f>
        <v>6.6134000000000004</v>
      </c>
      <c r="T100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100" s="57">
        <f>(1000*CHOOSE(CONTROL!$C$42, 695, 695)*CHOOSE(CONTROL!$C$42, 0.5599, 0.5599)*CHOOSE(CONTROL!$C$42, 30, 30))/1000000</f>
        <v>11.673914999999997</v>
      </c>
      <c r="V100" s="57">
        <f>(1000*CHOOSE(CONTROL!$C$42, 500, 500)*CHOOSE(CONTROL!$C$42, 0.275, 0.275)*CHOOSE(CONTROL!$C$42, 30, 30))/1000000</f>
        <v>4.125</v>
      </c>
      <c r="W100" s="57">
        <f>(1000*CHOOSE(CONTROL!$C$42, 0.0916, 0.0916)*CHOOSE(CONTROL!$C$42, 121.5, 121.5)*CHOOSE(CONTROL!$C$42, 30, 30))/1000000</f>
        <v>0.33388200000000001</v>
      </c>
      <c r="X100" s="57">
        <f>(30*0.1790888*145000/1000000)+(30*0.2374*100000/1000000)</f>
        <v>1.4912362799999999</v>
      </c>
      <c r="Y100" s="57"/>
      <c r="Z100" s="17"/>
      <c r="AA100" s="56"/>
      <c r="AB100" s="49">
        <f>(B100*141.293+C100*267.993+D100*115.016+E100*189.698+F100*40+G100*85+H100*0+I100*100+J100*300)/(141.293+267.993+115.016+189.698+0+40+85+100+300)</f>
        <v>6.9045739351896698</v>
      </c>
      <c r="AC100" s="46">
        <f>(M100*'RAP TEMPLATE-GAS AVAILABILITY'!O99+N100*'RAP TEMPLATE-GAS AVAILABILITY'!P99+O100*'RAP TEMPLATE-GAS AVAILABILITY'!Q99+P100*'RAP TEMPLATE-GAS AVAILABILITY'!R99)/('RAP TEMPLATE-GAS AVAILABILITY'!O99+'RAP TEMPLATE-GAS AVAILABILITY'!P99+'RAP TEMPLATE-GAS AVAILABILITY'!Q99+'RAP TEMPLATE-GAS AVAILABILITY'!R99)</f>
        <v>6.8625338129496409</v>
      </c>
    </row>
    <row r="101" spans="1:29" ht="15.75" x14ac:dyDescent="0.25">
      <c r="A101" s="16">
        <v>43952</v>
      </c>
      <c r="B101" s="17">
        <f>CHOOSE(CONTROL!$C$42, 6.9064, 6.9064) * CHOOSE(CONTROL!$C$21, $C$9, 100%, $E$9)</f>
        <v>6.9063999999999997</v>
      </c>
      <c r="C101" s="17">
        <f>CHOOSE(CONTROL!$C$42, 6.9144, 6.9144) * CHOOSE(CONTROL!$C$21, $C$9, 100%, $E$9)</f>
        <v>6.9143999999999997</v>
      </c>
      <c r="D101" s="17">
        <f>CHOOSE(CONTROL!$C$42, 7.164, 7.164) * CHOOSE(CONTROL!$C$21, $C$9, 100%, $E$9)</f>
        <v>7.1639999999999997</v>
      </c>
      <c r="E101" s="17">
        <f>CHOOSE(CONTROL!$C$42, 7.1952, 7.1952) * CHOOSE(CONTROL!$C$21, $C$9, 100%, $E$9)</f>
        <v>7.1951999999999998</v>
      </c>
      <c r="F101" s="17">
        <f>CHOOSE(CONTROL!$C$42, 6.9112, 6.9112)*CHOOSE(CONTROL!$C$21, $C$9, 100%, $E$9)</f>
        <v>6.9112</v>
      </c>
      <c r="G101" s="17">
        <f>CHOOSE(CONTROL!$C$42, 6.9274, 6.9274)*CHOOSE(CONTROL!$C$21, $C$9, 100%, $E$9)</f>
        <v>6.9273999999999996</v>
      </c>
      <c r="H101" s="17">
        <f>CHOOSE(CONTROL!$C$42, 7.1835, 7.1835) * CHOOSE(CONTROL!$C$21, $C$9, 100%, $E$9)</f>
        <v>7.1835000000000004</v>
      </c>
      <c r="I101" s="17">
        <f>CHOOSE(CONTROL!$C$42, 6.948, 6.948)* CHOOSE(CONTROL!$C$21, $C$9, 100%, $E$9)</f>
        <v>6.9480000000000004</v>
      </c>
      <c r="J101" s="17">
        <f>CHOOSE(CONTROL!$C$42, 6.9038, 6.9038)* CHOOSE(CONTROL!$C$21, $C$9, 100%, $E$9)</f>
        <v>6.9038000000000004</v>
      </c>
      <c r="K101" s="53">
        <f>CHOOSE(CONTROL!$C$42, 6.942, 6.942) * CHOOSE(CONTROL!$C$21, $C$9, 100%, $E$9)</f>
        <v>6.9420000000000002</v>
      </c>
      <c r="L101" s="17">
        <f>CHOOSE(CONTROL!$C$42, 7.7705, 7.7705) * CHOOSE(CONTROL!$C$21, $C$9, 100%, $E$9)</f>
        <v>7.7705000000000002</v>
      </c>
      <c r="M101" s="17">
        <f>CHOOSE(CONTROL!$C$42, 6.8487, 6.8487) * CHOOSE(CONTROL!$C$21, $C$9, 100%, $E$9)</f>
        <v>6.8487</v>
      </c>
      <c r="N101" s="17">
        <f>CHOOSE(CONTROL!$C$42, 6.8647, 6.8647) * CHOOSE(CONTROL!$C$21, $C$9, 100%, $E$9)</f>
        <v>6.8647</v>
      </c>
      <c r="O101" s="17">
        <f>CHOOSE(CONTROL!$C$42, 7.1259, 7.1259) * CHOOSE(CONTROL!$C$21, $C$9, 100%, $E$9)</f>
        <v>7.1258999999999997</v>
      </c>
      <c r="P101" s="17">
        <f>CHOOSE(CONTROL!$C$42, 6.8924, 6.8924) * CHOOSE(CONTROL!$C$21, $C$9, 100%, $E$9)</f>
        <v>6.8924000000000003</v>
      </c>
      <c r="Q101" s="17">
        <f>CHOOSE(CONTROL!$C$42, 7.7206, 7.7206) * CHOOSE(CONTROL!$C$21, $C$9, 100%, $E$9)</f>
        <v>7.7206000000000001</v>
      </c>
      <c r="R101" s="17">
        <f>CHOOSE(CONTROL!$C$42, 8.3269, 8.3269) * CHOOSE(CONTROL!$C$21, $C$9, 100%, $E$9)</f>
        <v>8.3269000000000002</v>
      </c>
      <c r="S101" s="17">
        <f>CHOOSE(CONTROL!$C$42, 6.6855, 6.6855) * CHOOSE(CONTROL!$C$21, $C$9, 100%, $E$9)</f>
        <v>6.6855000000000002</v>
      </c>
      <c r="T101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101" s="57">
        <f>(1000*CHOOSE(CONTROL!$C$42, 695, 695)*CHOOSE(CONTROL!$C$42, 0.5599, 0.5599)*CHOOSE(CONTROL!$C$42, 31, 31))/1000000</f>
        <v>12.063045499999998</v>
      </c>
      <c r="V101" s="57">
        <f>(1000*CHOOSE(CONTROL!$C$42, 500, 500)*CHOOSE(CONTROL!$C$42, 0.275, 0.275)*CHOOSE(CONTROL!$C$42, 31, 31))/1000000</f>
        <v>4.2625000000000002</v>
      </c>
      <c r="W101" s="57">
        <f>(1000*CHOOSE(CONTROL!$C$42, 0.0916, 0.0916)*CHOOSE(CONTROL!$C$42, 121.5, 121.5)*CHOOSE(CONTROL!$C$42, 31, 31))/1000000</f>
        <v>0.34501139999999997</v>
      </c>
      <c r="X101" s="57">
        <f>(31*0.1790888*145000/1000000)+(31*0.2374*100000/1000000)</f>
        <v>1.5409441560000001</v>
      </c>
      <c r="Y101" s="57"/>
      <c r="Z101" s="17"/>
      <c r="AA101" s="56"/>
      <c r="AB101" s="49">
        <f>(B101*194.205+C101*267.466+D101*133.845+E101*153.484+F101*40+G101*85+H101*0+I101*100+J101*300)/(194.205+267.466+133.845+153.484+0+40+85+100+300)</f>
        <v>6.9741404860282579</v>
      </c>
      <c r="AC101" s="46">
        <f>(M101*'RAP TEMPLATE-GAS AVAILABILITY'!O100+N101*'RAP TEMPLATE-GAS AVAILABILITY'!P100+O101*'RAP TEMPLATE-GAS AVAILABILITY'!Q100+P101*'RAP TEMPLATE-GAS AVAILABILITY'!R100)/('RAP TEMPLATE-GAS AVAILABILITY'!O100+'RAP TEMPLATE-GAS AVAILABILITY'!P100+'RAP TEMPLATE-GAS AVAILABILITY'!Q100+'RAP TEMPLATE-GAS AVAILABILITY'!R100)</f>
        <v>6.9364467625899282</v>
      </c>
    </row>
    <row r="102" spans="1:29" ht="15.75" x14ac:dyDescent="0.25">
      <c r="A102" s="16">
        <v>43983</v>
      </c>
      <c r="B102" s="17">
        <f>CHOOSE(CONTROL!$C$42, 7.1165, 7.1165) * CHOOSE(CONTROL!$C$21, $C$9, 100%, $E$9)</f>
        <v>7.1165000000000003</v>
      </c>
      <c r="C102" s="17">
        <f>CHOOSE(CONTROL!$C$42, 7.1245, 7.1245) * CHOOSE(CONTROL!$C$21, $C$9, 100%, $E$9)</f>
        <v>7.1245000000000003</v>
      </c>
      <c r="D102" s="17">
        <f>CHOOSE(CONTROL!$C$42, 7.3741, 7.3741) * CHOOSE(CONTROL!$C$21, $C$9, 100%, $E$9)</f>
        <v>7.3741000000000003</v>
      </c>
      <c r="E102" s="17">
        <f>CHOOSE(CONTROL!$C$42, 7.4053, 7.4053) * CHOOSE(CONTROL!$C$21, $C$9, 100%, $E$9)</f>
        <v>7.4053000000000004</v>
      </c>
      <c r="F102" s="17">
        <f>CHOOSE(CONTROL!$C$42, 7.1217, 7.1217)*CHOOSE(CONTROL!$C$21, $C$9, 100%, $E$9)</f>
        <v>7.1216999999999997</v>
      </c>
      <c r="G102" s="17">
        <f>CHOOSE(CONTROL!$C$42, 7.1379, 7.1379)*CHOOSE(CONTROL!$C$21, $C$9, 100%, $E$9)</f>
        <v>7.1379000000000001</v>
      </c>
      <c r="H102" s="17">
        <f>CHOOSE(CONTROL!$C$42, 7.3936, 7.3936) * CHOOSE(CONTROL!$C$21, $C$9, 100%, $E$9)</f>
        <v>7.3936000000000002</v>
      </c>
      <c r="I102" s="17">
        <f>CHOOSE(CONTROL!$C$42, 7.1588, 7.1588)* CHOOSE(CONTROL!$C$21, $C$9, 100%, $E$9)</f>
        <v>7.1588000000000003</v>
      </c>
      <c r="J102" s="17">
        <f>CHOOSE(CONTROL!$C$42, 7.1143, 7.1143)* CHOOSE(CONTROL!$C$21, $C$9, 100%, $E$9)</f>
        <v>7.1143000000000001</v>
      </c>
      <c r="K102" s="53">
        <f>CHOOSE(CONTROL!$C$42, 7.1528, 7.1528) * CHOOSE(CONTROL!$C$21, $C$9, 100%, $E$9)</f>
        <v>7.1528</v>
      </c>
      <c r="L102" s="17">
        <f>CHOOSE(CONTROL!$C$42, 7.9806, 7.9806) * CHOOSE(CONTROL!$C$21, $C$9, 100%, $E$9)</f>
        <v>7.9805999999999999</v>
      </c>
      <c r="M102" s="17">
        <f>CHOOSE(CONTROL!$C$42, 7.0573, 7.0573) * CHOOSE(CONTROL!$C$21, $C$9, 100%, $E$9)</f>
        <v>7.0572999999999997</v>
      </c>
      <c r="N102" s="17">
        <f>CHOOSE(CONTROL!$C$42, 7.0734, 7.0734) * CHOOSE(CONTROL!$C$21, $C$9, 100%, $E$9)</f>
        <v>7.0734000000000004</v>
      </c>
      <c r="O102" s="17">
        <f>CHOOSE(CONTROL!$C$42, 7.3341, 7.3341) * CHOOSE(CONTROL!$C$21, $C$9, 100%, $E$9)</f>
        <v>7.3341000000000003</v>
      </c>
      <c r="P102" s="17">
        <f>CHOOSE(CONTROL!$C$42, 7.1013, 7.1013) * CHOOSE(CONTROL!$C$21, $C$9, 100%, $E$9)</f>
        <v>7.1013000000000002</v>
      </c>
      <c r="Q102" s="17">
        <f>CHOOSE(CONTROL!$C$42, 7.9288, 7.9288) * CHOOSE(CONTROL!$C$21, $C$9, 100%, $E$9)</f>
        <v>7.9287999999999998</v>
      </c>
      <c r="R102" s="17">
        <f>CHOOSE(CONTROL!$C$42, 8.5357, 8.5357) * CHOOSE(CONTROL!$C$21, $C$9, 100%, $E$9)</f>
        <v>8.5357000000000003</v>
      </c>
      <c r="S102" s="17">
        <f>CHOOSE(CONTROL!$C$42, 6.8893, 6.8893) * CHOOSE(CONTROL!$C$21, $C$9, 100%, $E$9)</f>
        <v>6.8893000000000004</v>
      </c>
      <c r="T102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102" s="57">
        <f>(1000*CHOOSE(CONTROL!$C$42, 695, 695)*CHOOSE(CONTROL!$C$42, 0.5599, 0.5599)*CHOOSE(CONTROL!$C$42, 30, 30))/1000000</f>
        <v>11.673914999999997</v>
      </c>
      <c r="V102" s="57">
        <f>(1000*CHOOSE(CONTROL!$C$42, 500, 500)*CHOOSE(CONTROL!$C$42, 0.275, 0.275)*CHOOSE(CONTROL!$C$42, 30, 30))/1000000</f>
        <v>4.125</v>
      </c>
      <c r="W102" s="57">
        <f>(1000*CHOOSE(CONTROL!$C$42, 0.0916, 0.0916)*CHOOSE(CONTROL!$C$42, 121.5, 121.5)*CHOOSE(CONTROL!$C$42, 30, 30))/1000000</f>
        <v>0.33388200000000001</v>
      </c>
      <c r="X102" s="57">
        <f>(30*0.1790888*145000/1000000)+(30*0.2374*100000/1000000)</f>
        <v>1.4912362799999999</v>
      </c>
      <c r="Y102" s="57"/>
      <c r="Z102" s="17"/>
      <c r="AA102" s="56"/>
      <c r="AB102" s="49">
        <f>(B102*194.205+C102*267.466+D102*133.845+E102*153.484+F102*40+G102*85+H102*0+I102*100+J102*300)/(194.205+267.466+133.845+153.484+0+40+85+100+300)</f>
        <v>7.1844288690737832</v>
      </c>
      <c r="AC102" s="46">
        <f>(M102*'RAP TEMPLATE-GAS AVAILABILITY'!O101+N102*'RAP TEMPLATE-GAS AVAILABILITY'!P101+O102*'RAP TEMPLATE-GAS AVAILABILITY'!Q101+P102*'RAP TEMPLATE-GAS AVAILABILITY'!R101)/('RAP TEMPLATE-GAS AVAILABILITY'!O101+'RAP TEMPLATE-GAS AVAILABILITY'!P101+'RAP TEMPLATE-GAS AVAILABILITY'!Q101+'RAP TEMPLATE-GAS AVAILABILITY'!R101)</f>
        <v>7.1450007194244618</v>
      </c>
    </row>
    <row r="103" spans="1:29" ht="15.75" x14ac:dyDescent="0.25">
      <c r="A103" s="16">
        <v>44013</v>
      </c>
      <c r="B103" s="17">
        <f>CHOOSE(CONTROL!$C$42, 6.9946, 6.9946) * CHOOSE(CONTROL!$C$21, $C$9, 100%, $E$9)</f>
        <v>6.9946000000000002</v>
      </c>
      <c r="C103" s="17">
        <f>CHOOSE(CONTROL!$C$42, 7.0026, 7.0026) * CHOOSE(CONTROL!$C$21, $C$9, 100%, $E$9)</f>
        <v>7.0026000000000002</v>
      </c>
      <c r="D103" s="17">
        <f>CHOOSE(CONTROL!$C$42, 7.2522, 7.2522) * CHOOSE(CONTROL!$C$21, $C$9, 100%, $E$9)</f>
        <v>7.2522000000000002</v>
      </c>
      <c r="E103" s="17">
        <f>CHOOSE(CONTROL!$C$42, 7.2834, 7.2834) * CHOOSE(CONTROL!$C$21, $C$9, 100%, $E$9)</f>
        <v>7.2834000000000003</v>
      </c>
      <c r="F103" s="17">
        <f>CHOOSE(CONTROL!$C$42, 7.0003, 7.0003)*CHOOSE(CONTROL!$C$21, $C$9, 100%, $E$9)</f>
        <v>7.0003000000000002</v>
      </c>
      <c r="G103" s="17">
        <f>CHOOSE(CONTROL!$C$42, 7.0166, 7.0166)*CHOOSE(CONTROL!$C$21, $C$9, 100%, $E$9)</f>
        <v>7.0166000000000004</v>
      </c>
      <c r="H103" s="17">
        <f>CHOOSE(CONTROL!$C$42, 7.2717, 7.2717) * CHOOSE(CONTROL!$C$21, $C$9, 100%, $E$9)</f>
        <v>7.2717000000000001</v>
      </c>
      <c r="I103" s="17">
        <f>CHOOSE(CONTROL!$C$42, 7.0365, 7.0365)* CHOOSE(CONTROL!$C$21, $C$9, 100%, $E$9)</f>
        <v>7.0365000000000002</v>
      </c>
      <c r="J103" s="17">
        <f>CHOOSE(CONTROL!$C$42, 6.9929, 6.9929)* CHOOSE(CONTROL!$C$21, $C$9, 100%, $E$9)</f>
        <v>6.9928999999999997</v>
      </c>
      <c r="K103" s="53">
        <f>CHOOSE(CONTROL!$C$42, 7.0305, 7.0305) * CHOOSE(CONTROL!$C$21, $C$9, 100%, $E$9)</f>
        <v>7.0305</v>
      </c>
      <c r="L103" s="17">
        <f>CHOOSE(CONTROL!$C$42, 7.8587, 7.8587) * CHOOSE(CONTROL!$C$21, $C$9, 100%, $E$9)</f>
        <v>7.8586999999999998</v>
      </c>
      <c r="M103" s="17">
        <f>CHOOSE(CONTROL!$C$42, 6.937, 6.937) * CHOOSE(CONTROL!$C$21, $C$9, 100%, $E$9)</f>
        <v>6.9370000000000003</v>
      </c>
      <c r="N103" s="17">
        <f>CHOOSE(CONTROL!$C$42, 6.9532, 6.9532) * CHOOSE(CONTROL!$C$21, $C$9, 100%, $E$9)</f>
        <v>6.9531999999999998</v>
      </c>
      <c r="O103" s="17">
        <f>CHOOSE(CONTROL!$C$42, 7.2133, 7.2133) * CHOOSE(CONTROL!$C$21, $C$9, 100%, $E$9)</f>
        <v>7.2133000000000003</v>
      </c>
      <c r="P103" s="17">
        <f>CHOOSE(CONTROL!$C$42, 6.9801, 6.9801) * CHOOSE(CONTROL!$C$21, $C$9, 100%, $E$9)</f>
        <v>6.9801000000000002</v>
      </c>
      <c r="Q103" s="17">
        <f>CHOOSE(CONTROL!$C$42, 7.808, 7.808) * CHOOSE(CONTROL!$C$21, $C$9, 100%, $E$9)</f>
        <v>7.8079999999999998</v>
      </c>
      <c r="R103" s="17">
        <f>CHOOSE(CONTROL!$C$42, 8.4145, 8.4145) * CHOOSE(CONTROL!$C$21, $C$9, 100%, $E$9)</f>
        <v>8.4145000000000003</v>
      </c>
      <c r="S103" s="17">
        <f>CHOOSE(CONTROL!$C$42, 6.7711, 6.7711) * CHOOSE(CONTROL!$C$21, $C$9, 100%, $E$9)</f>
        <v>6.7710999999999997</v>
      </c>
      <c r="T103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103" s="57">
        <f>(1000*CHOOSE(CONTROL!$C$42, 695, 695)*CHOOSE(CONTROL!$C$42, 0.5599, 0.5599)*CHOOSE(CONTROL!$C$42, 31, 31))/1000000</f>
        <v>12.063045499999998</v>
      </c>
      <c r="V103" s="57">
        <f>(1000*CHOOSE(CONTROL!$C$42, 500, 500)*CHOOSE(CONTROL!$C$42, 0.275, 0.275)*CHOOSE(CONTROL!$C$42, 31, 31))/1000000</f>
        <v>4.2625000000000002</v>
      </c>
      <c r="W103" s="57">
        <f>(1000*CHOOSE(CONTROL!$C$42, 0.0916, 0.0916)*CHOOSE(CONTROL!$C$42, 121.5, 121.5)*CHOOSE(CONTROL!$C$42, 31, 31))/1000000</f>
        <v>0.34501139999999997</v>
      </c>
      <c r="X103" s="57">
        <f>(31*0.1790888*145000/1000000)+(31*0.2374*100000/1000000)</f>
        <v>1.5409441560000001</v>
      </c>
      <c r="Y103" s="57"/>
      <c r="Z103" s="17"/>
      <c r="AA103" s="56"/>
      <c r="AB103" s="49">
        <f>(B103*194.205+C103*267.466+D103*133.845+E103*153.484+F103*40+G103*85+H103*0+I103*100+J103*300)/(194.205+267.466+133.845+153.484+0+40+85+100+300)</f>
        <v>7.0626709412872843</v>
      </c>
      <c r="AC103" s="46">
        <f>(M103*'RAP TEMPLATE-GAS AVAILABILITY'!O102+N103*'RAP TEMPLATE-GAS AVAILABILITY'!P102+O103*'RAP TEMPLATE-GAS AVAILABILITY'!Q102+P103*'RAP TEMPLATE-GAS AVAILABILITY'!R102)/('RAP TEMPLATE-GAS AVAILABILITY'!O102+'RAP TEMPLATE-GAS AVAILABILITY'!P102+'RAP TEMPLATE-GAS AVAILABILITY'!Q102+'RAP TEMPLATE-GAS AVAILABILITY'!R102)</f>
        <v>7.0244539568345328</v>
      </c>
    </row>
    <row r="104" spans="1:29" ht="15.75" x14ac:dyDescent="0.25">
      <c r="A104" s="16">
        <v>44044</v>
      </c>
      <c r="B104" s="17">
        <f>CHOOSE(CONTROL!$C$42, 6.6634, 6.6634) * CHOOSE(CONTROL!$C$21, $C$9, 100%, $E$9)</f>
        <v>6.6634000000000002</v>
      </c>
      <c r="C104" s="17">
        <f>CHOOSE(CONTROL!$C$42, 6.6714, 6.6714) * CHOOSE(CONTROL!$C$21, $C$9, 100%, $E$9)</f>
        <v>6.6714000000000002</v>
      </c>
      <c r="D104" s="17">
        <f>CHOOSE(CONTROL!$C$42, 6.921, 6.921) * CHOOSE(CONTROL!$C$21, $C$9, 100%, $E$9)</f>
        <v>6.9210000000000003</v>
      </c>
      <c r="E104" s="17">
        <f>CHOOSE(CONTROL!$C$42, 6.9522, 6.9522) * CHOOSE(CONTROL!$C$21, $C$9, 100%, $E$9)</f>
        <v>6.9522000000000004</v>
      </c>
      <c r="F104" s="17">
        <f>CHOOSE(CONTROL!$C$42, 6.6694, 6.6694)*CHOOSE(CONTROL!$C$21, $C$9, 100%, $E$9)</f>
        <v>6.6694000000000004</v>
      </c>
      <c r="G104" s="17">
        <f>CHOOSE(CONTROL!$C$42, 6.6858, 6.6858)*CHOOSE(CONTROL!$C$21, $C$9, 100%, $E$9)</f>
        <v>6.6858000000000004</v>
      </c>
      <c r="H104" s="17">
        <f>CHOOSE(CONTROL!$C$42, 6.9405, 6.9405) * CHOOSE(CONTROL!$C$21, $C$9, 100%, $E$9)</f>
        <v>6.9405000000000001</v>
      </c>
      <c r="I104" s="17">
        <f>CHOOSE(CONTROL!$C$42, 6.7043, 6.7043)* CHOOSE(CONTROL!$C$21, $C$9, 100%, $E$9)</f>
        <v>6.7042999999999999</v>
      </c>
      <c r="J104" s="17">
        <f>CHOOSE(CONTROL!$C$42, 6.662, 6.662)* CHOOSE(CONTROL!$C$21, $C$9, 100%, $E$9)</f>
        <v>6.6619999999999999</v>
      </c>
      <c r="K104" s="53">
        <f>CHOOSE(CONTROL!$C$42, 6.6983, 6.6983) * CHOOSE(CONTROL!$C$21, $C$9, 100%, $E$9)</f>
        <v>6.6982999999999997</v>
      </c>
      <c r="L104" s="17">
        <f>CHOOSE(CONTROL!$C$42, 7.5275, 7.5275) * CHOOSE(CONTROL!$C$21, $C$9, 100%, $E$9)</f>
        <v>7.5274999999999999</v>
      </c>
      <c r="M104" s="17">
        <f>CHOOSE(CONTROL!$C$42, 6.6091, 6.6091) * CHOOSE(CONTROL!$C$21, $C$9, 100%, $E$9)</f>
        <v>6.6090999999999998</v>
      </c>
      <c r="N104" s="17">
        <f>CHOOSE(CONTROL!$C$42, 6.6253, 6.6253) * CHOOSE(CONTROL!$C$21, $C$9, 100%, $E$9)</f>
        <v>6.6253000000000002</v>
      </c>
      <c r="O104" s="17">
        <f>CHOOSE(CONTROL!$C$42, 6.8851, 6.8851) * CHOOSE(CONTROL!$C$21, $C$9, 100%, $E$9)</f>
        <v>6.8851000000000004</v>
      </c>
      <c r="P104" s="17">
        <f>CHOOSE(CONTROL!$C$42, 6.6509, 6.6509) * CHOOSE(CONTROL!$C$21, $C$9, 100%, $E$9)</f>
        <v>6.6509</v>
      </c>
      <c r="Q104" s="17">
        <f>CHOOSE(CONTROL!$C$42, 7.4798, 7.4798) * CHOOSE(CONTROL!$C$21, $C$9, 100%, $E$9)</f>
        <v>7.4798</v>
      </c>
      <c r="R104" s="17">
        <f>CHOOSE(CONTROL!$C$42, 8.0855, 8.0855) * CHOOSE(CONTROL!$C$21, $C$9, 100%, $E$9)</f>
        <v>8.0854999999999997</v>
      </c>
      <c r="S104" s="17">
        <f>CHOOSE(CONTROL!$C$42, 6.4499, 6.4499) * CHOOSE(CONTROL!$C$21, $C$9, 100%, $E$9)</f>
        <v>6.4499000000000004</v>
      </c>
      <c r="T104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104" s="57">
        <f>(1000*CHOOSE(CONTROL!$C$42, 695, 695)*CHOOSE(CONTROL!$C$42, 0.5599, 0.5599)*CHOOSE(CONTROL!$C$42, 31, 31))/1000000</f>
        <v>12.063045499999998</v>
      </c>
      <c r="V104" s="57">
        <f>(1000*CHOOSE(CONTROL!$C$42, 500, 500)*CHOOSE(CONTROL!$C$42, 0.275, 0.275)*CHOOSE(CONTROL!$C$42, 31, 31))/1000000</f>
        <v>4.2625000000000002</v>
      </c>
      <c r="W104" s="57">
        <f>(1000*CHOOSE(CONTROL!$C$42, 0.0916, 0.0916)*CHOOSE(CONTROL!$C$42, 121.5, 121.5)*CHOOSE(CONTROL!$C$42, 31, 31))/1000000</f>
        <v>0.34501139999999997</v>
      </c>
      <c r="X104" s="57">
        <f>(31*0.1790888*145000/1000000)+(31*0.2374*100000/1000000)</f>
        <v>1.5409441560000001</v>
      </c>
      <c r="Y104" s="57"/>
      <c r="Z104" s="17"/>
      <c r="AA104" s="56"/>
      <c r="AB104" s="49">
        <f>(B104*194.205+C104*267.466+D104*133.845+E104*153.484+F104*40+G104*85+H104*0+I104*100+J104*300)/(194.205+267.466+133.845+153.484+0+40+85+100+300)</f>
        <v>6.7314991987441131</v>
      </c>
      <c r="AC104" s="46">
        <f>(M104*'RAP TEMPLATE-GAS AVAILABILITY'!O103+N104*'RAP TEMPLATE-GAS AVAILABILITY'!P103+O104*'RAP TEMPLATE-GAS AVAILABILITY'!Q103+P104*'RAP TEMPLATE-GAS AVAILABILITY'!R103)/('RAP TEMPLATE-GAS AVAILABILITY'!O103+'RAP TEMPLATE-GAS AVAILABILITY'!P103+'RAP TEMPLATE-GAS AVAILABILITY'!Q103+'RAP TEMPLATE-GAS AVAILABILITY'!R103)</f>
        <v>6.69628273381295</v>
      </c>
    </row>
    <row r="105" spans="1:29" ht="15.75" x14ac:dyDescent="0.25">
      <c r="A105" s="16">
        <v>44075</v>
      </c>
      <c r="B105" s="17">
        <f>CHOOSE(CONTROL!$C$42, 6.2538, 6.2538) * CHOOSE(CONTROL!$C$21, $C$9, 100%, $E$9)</f>
        <v>6.2538</v>
      </c>
      <c r="C105" s="17">
        <f>CHOOSE(CONTROL!$C$42, 6.2618, 6.2618) * CHOOSE(CONTROL!$C$21, $C$9, 100%, $E$9)</f>
        <v>6.2618</v>
      </c>
      <c r="D105" s="17">
        <f>CHOOSE(CONTROL!$C$42, 6.5114, 6.5114) * CHOOSE(CONTROL!$C$21, $C$9, 100%, $E$9)</f>
        <v>6.5114000000000001</v>
      </c>
      <c r="E105" s="17">
        <f>CHOOSE(CONTROL!$C$42, 6.5426, 6.5426) * CHOOSE(CONTROL!$C$21, $C$9, 100%, $E$9)</f>
        <v>6.5426000000000002</v>
      </c>
      <c r="F105" s="17">
        <f>CHOOSE(CONTROL!$C$42, 6.2598, 6.2598)*CHOOSE(CONTROL!$C$21, $C$9, 100%, $E$9)</f>
        <v>6.2598000000000003</v>
      </c>
      <c r="G105" s="17">
        <f>CHOOSE(CONTROL!$C$42, 6.2762, 6.2762)*CHOOSE(CONTROL!$C$21, $C$9, 100%, $E$9)</f>
        <v>6.2762000000000002</v>
      </c>
      <c r="H105" s="17">
        <f>CHOOSE(CONTROL!$C$42, 6.5309, 6.5309) * CHOOSE(CONTROL!$C$21, $C$9, 100%, $E$9)</f>
        <v>6.5308999999999999</v>
      </c>
      <c r="I105" s="17">
        <f>CHOOSE(CONTROL!$C$42, 6.2934, 6.2934)* CHOOSE(CONTROL!$C$21, $C$9, 100%, $E$9)</f>
        <v>6.2934000000000001</v>
      </c>
      <c r="J105" s="17">
        <f>CHOOSE(CONTROL!$C$42, 6.2524, 6.2524)* CHOOSE(CONTROL!$C$21, $C$9, 100%, $E$9)</f>
        <v>6.2523999999999997</v>
      </c>
      <c r="K105" s="53">
        <f>CHOOSE(CONTROL!$C$42, 6.2874, 6.2874) * CHOOSE(CONTROL!$C$21, $C$9, 100%, $E$9)</f>
        <v>6.2873999999999999</v>
      </c>
      <c r="L105" s="17">
        <f>CHOOSE(CONTROL!$C$42, 7.1179, 7.1179) * CHOOSE(CONTROL!$C$21, $C$9, 100%, $E$9)</f>
        <v>7.1178999999999997</v>
      </c>
      <c r="M105" s="17">
        <f>CHOOSE(CONTROL!$C$42, 6.2032, 6.2032) * CHOOSE(CONTROL!$C$21, $C$9, 100%, $E$9)</f>
        <v>6.2031999999999998</v>
      </c>
      <c r="N105" s="17">
        <f>CHOOSE(CONTROL!$C$42, 6.2194, 6.2194) * CHOOSE(CONTROL!$C$21, $C$9, 100%, $E$9)</f>
        <v>6.2194000000000003</v>
      </c>
      <c r="O105" s="17">
        <f>CHOOSE(CONTROL!$C$42, 6.4792, 6.4792) * CHOOSE(CONTROL!$C$21, $C$9, 100%, $E$9)</f>
        <v>6.4791999999999996</v>
      </c>
      <c r="P105" s="17">
        <f>CHOOSE(CONTROL!$C$42, 6.2437, 6.2437) * CHOOSE(CONTROL!$C$21, $C$9, 100%, $E$9)</f>
        <v>6.2436999999999996</v>
      </c>
      <c r="Q105" s="17">
        <f>CHOOSE(CONTROL!$C$42, 7.0739, 7.0739) * CHOOSE(CONTROL!$C$21, $C$9, 100%, $E$9)</f>
        <v>7.0739000000000001</v>
      </c>
      <c r="R105" s="17">
        <f>CHOOSE(CONTROL!$C$42, 7.6785, 7.6785) * CHOOSE(CONTROL!$C$21, $C$9, 100%, $E$9)</f>
        <v>7.6784999999999997</v>
      </c>
      <c r="S105" s="17">
        <f>CHOOSE(CONTROL!$C$42, 6.0527, 6.0527) * CHOOSE(CONTROL!$C$21, $C$9, 100%, $E$9)</f>
        <v>6.0526999999999997</v>
      </c>
      <c r="T105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105" s="57">
        <f>(1000*CHOOSE(CONTROL!$C$42, 695, 695)*CHOOSE(CONTROL!$C$42, 0.5599, 0.5599)*CHOOSE(CONTROL!$C$42, 30, 30))/1000000</f>
        <v>11.673914999999997</v>
      </c>
      <c r="V105" s="57">
        <f>(1000*CHOOSE(CONTROL!$C$42, 500, 500)*CHOOSE(CONTROL!$C$42, 0.275, 0.275)*CHOOSE(CONTROL!$C$42, 30, 30))/1000000</f>
        <v>4.125</v>
      </c>
      <c r="W105" s="57">
        <f>(1000*CHOOSE(CONTROL!$C$42, 0.0916, 0.0916)*CHOOSE(CONTROL!$C$42, 121.5, 121.5)*CHOOSE(CONTROL!$C$42, 30, 30))/1000000</f>
        <v>0.33388200000000001</v>
      </c>
      <c r="X105" s="57">
        <f>(30*0.1790888*145000/1000000)+(30*0.2374*100000/1000000)</f>
        <v>1.4912362799999999</v>
      </c>
      <c r="Y105" s="57"/>
      <c r="Z105" s="17"/>
      <c r="AA105" s="56"/>
      <c r="AB105" s="49">
        <f>(B105*194.205+C105*267.466+D105*133.845+E105*153.484+F105*40+G105*85+H105*0+I105*100+J105*300)/(194.205+267.466+133.845+153.484+0+40+85+100+300)</f>
        <v>6.3217971579277865</v>
      </c>
      <c r="AC105" s="46">
        <f>(M105*'RAP TEMPLATE-GAS AVAILABILITY'!O104+N105*'RAP TEMPLATE-GAS AVAILABILITY'!P104+O105*'RAP TEMPLATE-GAS AVAILABILITY'!Q104+P105*'RAP TEMPLATE-GAS AVAILABILITY'!R104)/('RAP TEMPLATE-GAS AVAILABILITY'!O104+'RAP TEMPLATE-GAS AVAILABILITY'!P104+'RAP TEMPLATE-GAS AVAILABILITY'!Q104+'RAP TEMPLATE-GAS AVAILABILITY'!R104)</f>
        <v>6.2901956834532387</v>
      </c>
    </row>
    <row r="106" spans="1:29" ht="15.75" x14ac:dyDescent="0.25">
      <c r="A106" s="16">
        <v>44105</v>
      </c>
      <c r="B106" s="17">
        <f>CHOOSE(CONTROL!$C$42, 6.1379, 6.1379) * CHOOSE(CONTROL!$C$21, $C$9, 100%, $E$9)</f>
        <v>6.1379000000000001</v>
      </c>
      <c r="C106" s="17">
        <f>CHOOSE(CONTROL!$C$42, 6.1433, 6.1433) * CHOOSE(CONTROL!$C$21, $C$9, 100%, $E$9)</f>
        <v>6.1433</v>
      </c>
      <c r="D106" s="17">
        <f>CHOOSE(CONTROL!$C$42, 6.3978, 6.3978) * CHOOSE(CONTROL!$C$21, $C$9, 100%, $E$9)</f>
        <v>6.3978000000000002</v>
      </c>
      <c r="E106" s="17">
        <f>CHOOSE(CONTROL!$C$42, 6.4266, 6.4266) * CHOOSE(CONTROL!$C$21, $C$9, 100%, $E$9)</f>
        <v>6.4265999999999996</v>
      </c>
      <c r="F106" s="17">
        <f>CHOOSE(CONTROL!$C$42, 6.1461, 6.1461)*CHOOSE(CONTROL!$C$21, $C$9, 100%, $E$9)</f>
        <v>6.1460999999999997</v>
      </c>
      <c r="G106" s="17">
        <f>CHOOSE(CONTROL!$C$42, 6.1625, 6.1625)*CHOOSE(CONTROL!$C$21, $C$9, 100%, $E$9)</f>
        <v>6.1624999999999996</v>
      </c>
      <c r="H106" s="17">
        <f>CHOOSE(CONTROL!$C$42, 6.4168, 6.4168) * CHOOSE(CONTROL!$C$21, $C$9, 100%, $E$9)</f>
        <v>6.4168000000000003</v>
      </c>
      <c r="I106" s="17">
        <f>CHOOSE(CONTROL!$C$42, 6.1789, 6.1789)* CHOOSE(CONTROL!$C$21, $C$9, 100%, $E$9)</f>
        <v>6.1788999999999996</v>
      </c>
      <c r="J106" s="17">
        <f>CHOOSE(CONTROL!$C$42, 6.1387, 6.1387)* CHOOSE(CONTROL!$C$21, $C$9, 100%, $E$9)</f>
        <v>6.1387</v>
      </c>
      <c r="K106" s="53">
        <f>CHOOSE(CONTROL!$C$42, 6.1729, 6.1729) * CHOOSE(CONTROL!$C$21, $C$9, 100%, $E$9)</f>
        <v>6.1729000000000003</v>
      </c>
      <c r="L106" s="17">
        <f>CHOOSE(CONTROL!$C$42, 7.0038, 7.0038) * CHOOSE(CONTROL!$C$21, $C$9, 100%, $E$9)</f>
        <v>7.0038</v>
      </c>
      <c r="M106" s="17">
        <f>CHOOSE(CONTROL!$C$42, 6.0905, 6.0905) * CHOOSE(CONTROL!$C$21, $C$9, 100%, $E$9)</f>
        <v>6.0904999999999996</v>
      </c>
      <c r="N106" s="17">
        <f>CHOOSE(CONTROL!$C$42, 6.1067, 6.1067) * CHOOSE(CONTROL!$C$21, $C$9, 100%, $E$9)</f>
        <v>6.1067</v>
      </c>
      <c r="O106" s="17">
        <f>CHOOSE(CONTROL!$C$42, 6.3661, 6.3661) * CHOOSE(CONTROL!$C$21, $C$9, 100%, $E$9)</f>
        <v>6.3661000000000003</v>
      </c>
      <c r="P106" s="17">
        <f>CHOOSE(CONTROL!$C$42, 6.1303, 6.1303) * CHOOSE(CONTROL!$C$21, $C$9, 100%, $E$9)</f>
        <v>6.1303000000000001</v>
      </c>
      <c r="Q106" s="17">
        <f>CHOOSE(CONTROL!$C$42, 6.9608, 6.9608) * CHOOSE(CONTROL!$C$21, $C$9, 100%, $E$9)</f>
        <v>6.9607999999999999</v>
      </c>
      <c r="R106" s="17">
        <f>CHOOSE(CONTROL!$C$42, 7.5652, 7.5652) * CHOOSE(CONTROL!$C$21, $C$9, 100%, $E$9)</f>
        <v>7.5651999999999999</v>
      </c>
      <c r="S106" s="17">
        <f>CHOOSE(CONTROL!$C$42, 5.9421, 5.9421) * CHOOSE(CONTROL!$C$21, $C$9, 100%, $E$9)</f>
        <v>5.9420999999999999</v>
      </c>
      <c r="T106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106" s="57">
        <f>(1000*CHOOSE(CONTROL!$C$42, 695, 695)*CHOOSE(CONTROL!$C$42, 0.5599, 0.5599)*CHOOSE(CONTROL!$C$42, 31, 31))/1000000</f>
        <v>12.063045499999998</v>
      </c>
      <c r="V106" s="57">
        <f>(1000*CHOOSE(CONTROL!$C$42, 500, 500)*CHOOSE(CONTROL!$C$42, 0.275, 0.275)*CHOOSE(CONTROL!$C$42, 31, 31))/1000000</f>
        <v>4.2625000000000002</v>
      </c>
      <c r="W106" s="57">
        <f>(1000*CHOOSE(CONTROL!$C$42, 0.0916, 0.0916)*CHOOSE(CONTROL!$C$42, 121.5, 121.5)*CHOOSE(CONTROL!$C$42, 31, 31))/1000000</f>
        <v>0.34501139999999997</v>
      </c>
      <c r="X106" s="57">
        <f>(31*0.1790888*145000/1000000)+(31*0.2374*100000/1000000)</f>
        <v>1.5409441560000001</v>
      </c>
      <c r="Y106" s="57"/>
      <c r="Z106" s="17"/>
      <c r="AA106" s="56"/>
      <c r="AB106" s="49">
        <f>(B106*131.881+C106*277.167+D106*79.08+E106*225.872+F106*40+G106*85+H106*0+I106*100+J106*300)/(131.881+277.167+79.08+225.872+0+40+85+100+300)</f>
        <v>6.213782034059725</v>
      </c>
      <c r="AC106" s="46">
        <f>(M106*'RAP TEMPLATE-GAS AVAILABILITY'!O105+N106*'RAP TEMPLATE-GAS AVAILABILITY'!P105+O106*'RAP TEMPLATE-GAS AVAILABILITY'!Q105+P106*'RAP TEMPLATE-GAS AVAILABILITY'!R105)/('RAP TEMPLATE-GAS AVAILABILITY'!O105+'RAP TEMPLATE-GAS AVAILABILITY'!P105+'RAP TEMPLATE-GAS AVAILABILITY'!Q105+'RAP TEMPLATE-GAS AVAILABILITY'!R105)</f>
        <v>6.177282733812949</v>
      </c>
    </row>
    <row r="107" spans="1:29" ht="15.75" x14ac:dyDescent="0.25">
      <c r="A107" s="16">
        <v>44136</v>
      </c>
      <c r="B107" s="17">
        <f>CHOOSE(CONTROL!$C$42, 6.3119, 6.3119) * CHOOSE(CONTROL!$C$21, $C$9, 100%, $E$9)</f>
        <v>6.3118999999999996</v>
      </c>
      <c r="C107" s="17">
        <f>CHOOSE(CONTROL!$C$42, 6.317, 6.317) * CHOOSE(CONTROL!$C$21, $C$9, 100%, $E$9)</f>
        <v>6.3170000000000002</v>
      </c>
      <c r="D107" s="17">
        <f>CHOOSE(CONTROL!$C$42, 6.4396, 6.4396) * CHOOSE(CONTROL!$C$21, $C$9, 100%, $E$9)</f>
        <v>6.4396000000000004</v>
      </c>
      <c r="E107" s="17">
        <f>CHOOSE(CONTROL!$C$42, 6.4734, 6.4734) * CHOOSE(CONTROL!$C$21, $C$9, 100%, $E$9)</f>
        <v>6.4733999999999998</v>
      </c>
      <c r="F107" s="17">
        <f>CHOOSE(CONTROL!$C$42, 6.3269, 6.3269)*CHOOSE(CONTROL!$C$21, $C$9, 100%, $E$9)</f>
        <v>6.3269000000000002</v>
      </c>
      <c r="G107" s="17">
        <f>CHOOSE(CONTROL!$C$42, 6.3436, 6.3436)*CHOOSE(CONTROL!$C$21, $C$9, 100%, $E$9)</f>
        <v>6.3436000000000003</v>
      </c>
      <c r="H107" s="17">
        <f>CHOOSE(CONTROL!$C$42, 6.4622, 6.4622) * CHOOSE(CONTROL!$C$21, $C$9, 100%, $E$9)</f>
        <v>6.4622000000000002</v>
      </c>
      <c r="I107" s="17">
        <f>CHOOSE(CONTROL!$C$42, 6.3564, 6.3564)* CHOOSE(CONTROL!$C$21, $C$9, 100%, $E$9)</f>
        <v>6.3563999999999998</v>
      </c>
      <c r="J107" s="17">
        <f>CHOOSE(CONTROL!$C$42, 6.3195, 6.3195)* CHOOSE(CONTROL!$C$21, $C$9, 100%, $E$9)</f>
        <v>6.3194999999999997</v>
      </c>
      <c r="K107" s="53">
        <f>CHOOSE(CONTROL!$C$42, 6.3504, 6.3504) * CHOOSE(CONTROL!$C$21, $C$9, 100%, $E$9)</f>
        <v>6.3503999999999996</v>
      </c>
      <c r="L107" s="17">
        <f>CHOOSE(CONTROL!$C$42, 7.0492, 7.0492) * CHOOSE(CONTROL!$C$21, $C$9, 100%, $E$9)</f>
        <v>7.0491999999999999</v>
      </c>
      <c r="M107" s="17">
        <f>CHOOSE(CONTROL!$C$42, 6.2697, 6.2697) * CHOOSE(CONTROL!$C$21, $C$9, 100%, $E$9)</f>
        <v>6.2697000000000003</v>
      </c>
      <c r="N107" s="17">
        <f>CHOOSE(CONTROL!$C$42, 6.2862, 6.2862) * CHOOSE(CONTROL!$C$21, $C$9, 100%, $E$9)</f>
        <v>6.2862</v>
      </c>
      <c r="O107" s="17">
        <f>CHOOSE(CONTROL!$C$42, 6.4111, 6.4111) * CHOOSE(CONTROL!$C$21, $C$9, 100%, $E$9)</f>
        <v>6.4111000000000002</v>
      </c>
      <c r="P107" s="17">
        <f>CHOOSE(CONTROL!$C$42, 6.3061, 6.3061) * CHOOSE(CONTROL!$C$21, $C$9, 100%, $E$9)</f>
        <v>6.3060999999999998</v>
      </c>
      <c r="Q107" s="17">
        <f>CHOOSE(CONTROL!$C$42, 7.0058, 7.0058) * CHOOSE(CONTROL!$C$21, $C$9, 100%, $E$9)</f>
        <v>7.0057999999999998</v>
      </c>
      <c r="R107" s="17">
        <f>CHOOSE(CONTROL!$C$42, 7.6103, 7.6103) * CHOOSE(CONTROL!$C$21, $C$9, 100%, $E$9)</f>
        <v>7.6102999999999996</v>
      </c>
      <c r="S107" s="17">
        <f>CHOOSE(CONTROL!$C$42, 6.1111, 6.1111) * CHOOSE(CONTROL!$C$21, $C$9, 100%, $E$9)</f>
        <v>6.1111000000000004</v>
      </c>
      <c r="T107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107" s="57">
        <f>(1000*CHOOSE(CONTROL!$C$42, 695, 695)*CHOOSE(CONTROL!$C$42, 0.5599, 0.5599)*CHOOSE(CONTROL!$C$42, 30, 30))/1000000</f>
        <v>11.673914999999997</v>
      </c>
      <c r="V107" s="57">
        <f>(1000*CHOOSE(CONTROL!$C$42, 500, 500)*CHOOSE(CONTROL!$C$42, 0.275, 0.275)*CHOOSE(CONTROL!$C$42, 30, 30))/1000000</f>
        <v>4.125</v>
      </c>
      <c r="W107" s="57">
        <f>(1000*CHOOSE(CONTROL!$C$42, 0.0916, 0.0916)*CHOOSE(CONTROL!$C$42, 121.5, 121.5)*CHOOSE(CONTROL!$C$42, 30, 30))/1000000</f>
        <v>0.33388200000000001</v>
      </c>
      <c r="X107" s="57">
        <f>(30*0.2374*100000/1000000)</f>
        <v>0.71220000000000006</v>
      </c>
      <c r="Y107" s="57"/>
      <c r="Z107" s="17"/>
      <c r="AA107" s="56"/>
      <c r="AB107" s="49">
        <f>(B107*122.58+C107*297.941+D107*89.177+E107*140.302+F107*40+G107*60+H107*0+I107*100+J107*300)/(122.58+297.941+89.177+140.302+0+40+60+100+300)</f>
        <v>6.3508549347826078</v>
      </c>
      <c r="AC107" s="46">
        <f>(M107*'RAP TEMPLATE-GAS AVAILABILITY'!O106+N107*'RAP TEMPLATE-GAS AVAILABILITY'!P106+O107*'RAP TEMPLATE-GAS AVAILABILITY'!Q106+P107*'RAP TEMPLATE-GAS AVAILABILITY'!R106)/('RAP TEMPLATE-GAS AVAILABILITY'!O106+'RAP TEMPLATE-GAS AVAILABILITY'!P106+'RAP TEMPLATE-GAS AVAILABILITY'!Q106+'RAP TEMPLATE-GAS AVAILABILITY'!R106)</f>
        <v>6.339974820143885</v>
      </c>
    </row>
    <row r="108" spans="1:29" ht="15.75" x14ac:dyDescent="0.25">
      <c r="A108" s="16">
        <v>44166</v>
      </c>
      <c r="B108" s="17">
        <f>CHOOSE(CONTROL!$C$42, 6.7554, 6.7554) * CHOOSE(CONTROL!$C$21, $C$9, 100%, $E$9)</f>
        <v>6.7553999999999998</v>
      </c>
      <c r="C108" s="17">
        <f>CHOOSE(CONTROL!$C$42, 6.7605, 6.7605) * CHOOSE(CONTROL!$C$21, $C$9, 100%, $E$9)</f>
        <v>6.7605000000000004</v>
      </c>
      <c r="D108" s="17">
        <f>CHOOSE(CONTROL!$C$42, 6.8831, 6.8831) * CHOOSE(CONTROL!$C$21, $C$9, 100%, $E$9)</f>
        <v>6.8830999999999998</v>
      </c>
      <c r="E108" s="17">
        <f>CHOOSE(CONTROL!$C$42, 6.9168, 6.9168) * CHOOSE(CONTROL!$C$21, $C$9, 100%, $E$9)</f>
        <v>6.9168000000000003</v>
      </c>
      <c r="F108" s="17">
        <f>CHOOSE(CONTROL!$C$42, 6.7728, 6.7728)*CHOOSE(CONTROL!$C$21, $C$9, 100%, $E$9)</f>
        <v>6.7728000000000002</v>
      </c>
      <c r="G108" s="17">
        <f>CHOOSE(CONTROL!$C$42, 6.7901, 6.7901)*CHOOSE(CONTROL!$C$21, $C$9, 100%, $E$9)</f>
        <v>6.7900999999999998</v>
      </c>
      <c r="H108" s="17">
        <f>CHOOSE(CONTROL!$C$42, 6.9057, 6.9057) * CHOOSE(CONTROL!$C$21, $C$9, 100%, $E$9)</f>
        <v>6.9057000000000004</v>
      </c>
      <c r="I108" s="17">
        <f>CHOOSE(CONTROL!$C$42, 6.8013, 6.8013)* CHOOSE(CONTROL!$C$21, $C$9, 100%, $E$9)</f>
        <v>6.8013000000000003</v>
      </c>
      <c r="J108" s="17">
        <f>CHOOSE(CONTROL!$C$42, 6.7654, 6.7654)* CHOOSE(CONTROL!$C$21, $C$9, 100%, $E$9)</f>
        <v>6.7653999999999996</v>
      </c>
      <c r="K108" s="53">
        <f>CHOOSE(CONTROL!$C$42, 6.7953, 6.7953) * CHOOSE(CONTROL!$C$21, $C$9, 100%, $E$9)</f>
        <v>6.7953000000000001</v>
      </c>
      <c r="L108" s="17">
        <f>CHOOSE(CONTROL!$C$42, 7.4927, 7.4927) * CHOOSE(CONTROL!$C$21, $C$9, 100%, $E$9)</f>
        <v>7.4927000000000001</v>
      </c>
      <c r="M108" s="17">
        <f>CHOOSE(CONTROL!$C$42, 6.7116, 6.7116) * CHOOSE(CONTROL!$C$21, $C$9, 100%, $E$9)</f>
        <v>6.7115999999999998</v>
      </c>
      <c r="N108" s="17">
        <f>CHOOSE(CONTROL!$C$42, 6.7287, 6.7287) * CHOOSE(CONTROL!$C$21, $C$9, 100%, $E$9)</f>
        <v>6.7286999999999999</v>
      </c>
      <c r="O108" s="17">
        <f>CHOOSE(CONTROL!$C$42, 6.8506, 6.8506) * CHOOSE(CONTROL!$C$21, $C$9, 100%, $E$9)</f>
        <v>6.8506</v>
      </c>
      <c r="P108" s="17">
        <f>CHOOSE(CONTROL!$C$42, 6.747, 6.747) * CHOOSE(CONTROL!$C$21, $C$9, 100%, $E$9)</f>
        <v>6.7469999999999999</v>
      </c>
      <c r="Q108" s="17">
        <f>CHOOSE(CONTROL!$C$42, 7.4453, 7.4453) * CHOOSE(CONTROL!$C$21, $C$9, 100%, $E$9)</f>
        <v>7.4452999999999996</v>
      </c>
      <c r="R108" s="17">
        <f>CHOOSE(CONTROL!$C$42, 8.0509, 8.0509) * CHOOSE(CONTROL!$C$21, $C$9, 100%, $E$9)</f>
        <v>8.0509000000000004</v>
      </c>
      <c r="S108" s="17">
        <f>CHOOSE(CONTROL!$C$42, 6.5412, 6.5412) * CHOOSE(CONTROL!$C$21, $C$9, 100%, $E$9)</f>
        <v>6.5411999999999999</v>
      </c>
      <c r="T108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108" s="57">
        <f>(1000*CHOOSE(CONTROL!$C$42, 695, 695)*CHOOSE(CONTROL!$C$42, 0.5599, 0.5599)*CHOOSE(CONTROL!$C$42, 31, 31))/1000000</f>
        <v>12.063045499999998</v>
      </c>
      <c r="V108" s="57">
        <f>(1000*CHOOSE(CONTROL!$C$42, 500, 500)*CHOOSE(CONTROL!$C$42, 0.275, 0.275)*CHOOSE(CONTROL!$C$42, 31, 31))/1000000</f>
        <v>4.2625000000000002</v>
      </c>
      <c r="W108" s="57">
        <f>(1000*CHOOSE(CONTROL!$C$42, 0.0916, 0.0916)*CHOOSE(CONTROL!$C$42, 121.5, 121.5)*CHOOSE(CONTROL!$C$42, 31, 31))/1000000</f>
        <v>0.34501139999999997</v>
      </c>
      <c r="X108" s="57">
        <f>(31*0.2374*100000/1000000)</f>
        <v>0.73594000000000004</v>
      </c>
      <c r="Y108" s="57"/>
      <c r="Z108" s="17"/>
      <c r="AA108" s="56"/>
      <c r="AB108" s="49">
        <f>(B108*122.58+C108*297.941+D108*89.177+E108*140.302+F108*40+G108*60+H108*0+I108*100+J108*300)/(122.58+297.941+89.177+140.302+0+40+60+100+300)</f>
        <v>6.7953305606956524</v>
      </c>
      <c r="AC108" s="46">
        <f>(M108*'RAP TEMPLATE-GAS AVAILABILITY'!O107+N108*'RAP TEMPLATE-GAS AVAILABILITY'!P107+O108*'RAP TEMPLATE-GAS AVAILABILITY'!Q107+P108*'RAP TEMPLATE-GAS AVAILABILITY'!R107)/('RAP TEMPLATE-GAS AVAILABILITY'!O107+'RAP TEMPLATE-GAS AVAILABILITY'!P107+'RAP TEMPLATE-GAS AVAILABILITY'!Q107+'RAP TEMPLATE-GAS AVAILABILITY'!R107)</f>
        <v>6.7806776978417265</v>
      </c>
    </row>
    <row r="109" spans="1:29" ht="15.75" x14ac:dyDescent="0.25">
      <c r="A109" s="16">
        <v>44197</v>
      </c>
      <c r="B109" s="17">
        <f>CHOOSE(CONTROL!$C$42, 7.2852, 7.2852) * CHOOSE(CONTROL!$C$21, $C$9, 100%, $E$9)</f>
        <v>7.2851999999999997</v>
      </c>
      <c r="C109" s="17">
        <f>CHOOSE(CONTROL!$C$42, 7.2903, 7.2903) * CHOOSE(CONTROL!$C$21, $C$9, 100%, $E$9)</f>
        <v>7.2903000000000002</v>
      </c>
      <c r="D109" s="17">
        <f>CHOOSE(CONTROL!$C$42, 7.4077, 7.4077) * CHOOSE(CONTROL!$C$21, $C$9, 100%, $E$9)</f>
        <v>7.4077000000000002</v>
      </c>
      <c r="E109" s="17">
        <f>CHOOSE(CONTROL!$C$42, 7.4415, 7.4415) * CHOOSE(CONTROL!$C$21, $C$9, 100%, $E$9)</f>
        <v>7.4414999999999996</v>
      </c>
      <c r="F109" s="17">
        <f>CHOOSE(CONTROL!$C$42, 7.2988, 7.2988)*CHOOSE(CONTROL!$C$21, $C$9, 100%, $E$9)</f>
        <v>7.2988</v>
      </c>
      <c r="G109" s="17">
        <f>CHOOSE(CONTROL!$C$42, 7.3151, 7.3151)*CHOOSE(CONTROL!$C$21, $C$9, 100%, $E$9)</f>
        <v>7.3151000000000002</v>
      </c>
      <c r="H109" s="17">
        <f>CHOOSE(CONTROL!$C$42, 7.4304, 7.4304) * CHOOSE(CONTROL!$C$21, $C$9, 100%, $E$9)</f>
        <v>7.4303999999999997</v>
      </c>
      <c r="I109" s="17">
        <f>CHOOSE(CONTROL!$C$42, 7.3312, 7.3312)* CHOOSE(CONTROL!$C$21, $C$9, 100%, $E$9)</f>
        <v>7.3311999999999999</v>
      </c>
      <c r="J109" s="17">
        <f>CHOOSE(CONTROL!$C$42, 7.2914, 7.2914)* CHOOSE(CONTROL!$C$21, $C$9, 100%, $E$9)</f>
        <v>7.2914000000000003</v>
      </c>
      <c r="K109" s="53">
        <f>CHOOSE(CONTROL!$C$42, 7.3251, 7.3251) * CHOOSE(CONTROL!$C$21, $C$9, 100%, $E$9)</f>
        <v>7.3250999999999999</v>
      </c>
      <c r="L109" s="17">
        <f>CHOOSE(CONTROL!$C$42, 8.0174, 8.0174) * CHOOSE(CONTROL!$C$21, $C$9, 100%, $E$9)</f>
        <v>8.0174000000000003</v>
      </c>
      <c r="M109" s="17">
        <f>CHOOSE(CONTROL!$C$42, 7.2328, 7.2328) * CHOOSE(CONTROL!$C$21, $C$9, 100%, $E$9)</f>
        <v>7.2328000000000001</v>
      </c>
      <c r="N109" s="17">
        <f>CHOOSE(CONTROL!$C$42, 7.249, 7.249) * CHOOSE(CONTROL!$C$21, $C$9, 100%, $E$9)</f>
        <v>7.2489999999999997</v>
      </c>
      <c r="O109" s="17">
        <f>CHOOSE(CONTROL!$C$42, 7.3705, 7.3705) * CHOOSE(CONTROL!$C$21, $C$9, 100%, $E$9)</f>
        <v>7.3704999999999998</v>
      </c>
      <c r="P109" s="17">
        <f>CHOOSE(CONTROL!$C$42, 7.2721, 7.2721) * CHOOSE(CONTROL!$C$21, $C$9, 100%, $E$9)</f>
        <v>7.2721</v>
      </c>
      <c r="Q109" s="17">
        <f>CHOOSE(CONTROL!$C$42, 7.9652, 7.9652) * CHOOSE(CONTROL!$C$21, $C$9, 100%, $E$9)</f>
        <v>7.9652000000000003</v>
      </c>
      <c r="R109" s="17">
        <f>CHOOSE(CONTROL!$C$42, 8.5721, 8.5721) * CHOOSE(CONTROL!$C$21, $C$9, 100%, $E$9)</f>
        <v>8.5721000000000007</v>
      </c>
      <c r="S109" s="17">
        <f>CHOOSE(CONTROL!$C$42, 7.0549, 7.0549) * CHOOSE(CONTROL!$C$21, $C$9, 100%, $E$9)</f>
        <v>7.0548999999999999</v>
      </c>
      <c r="T109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109" s="57">
        <f>(1000*CHOOSE(CONTROL!$C$42, 695, 695)*CHOOSE(CONTROL!$C$42, 0.5599, 0.5599)*CHOOSE(CONTROL!$C$42, 31, 31))/1000000</f>
        <v>12.063045499999998</v>
      </c>
      <c r="V109" s="57">
        <f>(1000*CHOOSE(CONTROL!$C$42, 500, 500)*CHOOSE(CONTROL!$C$42, 0.275, 0.275)*CHOOSE(CONTROL!$C$42, 31, 31))/1000000</f>
        <v>4.2625000000000002</v>
      </c>
      <c r="W109" s="57">
        <f>(1000*CHOOSE(CONTROL!$C$42, 0.0916, 0.0916)*CHOOSE(CONTROL!$C$42, 121.5, 121.5)*CHOOSE(CONTROL!$C$42, 31, 31))/1000000</f>
        <v>0.34501139999999997</v>
      </c>
      <c r="X109" s="57">
        <f>(31*0.2374*100000/1000000)</f>
        <v>0.73594000000000004</v>
      </c>
      <c r="Y109" s="57"/>
      <c r="Z109" s="17"/>
      <c r="AA109" s="56"/>
      <c r="AB109" s="49">
        <f>(B109*122.58+C109*297.941+D109*89.177+E109*140.302+F109*40+G109*60+H109*0+I109*100+J109*300)/(122.58+297.941+89.177+140.302+0+40+60+100+300)</f>
        <v>7.3227398993043478</v>
      </c>
      <c r="AC109" s="46">
        <f>(M109*'RAP TEMPLATE-GAS AVAILABILITY'!O108+N109*'RAP TEMPLATE-GAS AVAILABILITY'!P108+O109*'RAP TEMPLATE-GAS AVAILABILITY'!Q108+P109*'RAP TEMPLATE-GAS AVAILABILITY'!R108)/('RAP TEMPLATE-GAS AVAILABILITY'!O108+'RAP TEMPLATE-GAS AVAILABILITY'!P108+'RAP TEMPLATE-GAS AVAILABILITY'!Q108+'RAP TEMPLATE-GAS AVAILABILITY'!R108)</f>
        <v>7.3017978417266187</v>
      </c>
    </row>
    <row r="110" spans="1:29" ht="15.75" x14ac:dyDescent="0.25">
      <c r="A110" s="16">
        <v>44228</v>
      </c>
      <c r="B110" s="17">
        <f>CHOOSE(CONTROL!$C$42, 7.4299, 7.4299) * CHOOSE(CONTROL!$C$21, $C$9, 100%, $E$9)</f>
        <v>7.4298999999999999</v>
      </c>
      <c r="C110" s="17">
        <f>CHOOSE(CONTROL!$C$42, 7.435, 7.435) * CHOOSE(CONTROL!$C$21, $C$9, 100%, $E$9)</f>
        <v>7.4349999999999996</v>
      </c>
      <c r="D110" s="17">
        <f>CHOOSE(CONTROL!$C$42, 7.5525, 7.5525) * CHOOSE(CONTROL!$C$21, $C$9, 100%, $E$9)</f>
        <v>7.5525000000000002</v>
      </c>
      <c r="E110" s="17">
        <f>CHOOSE(CONTROL!$C$42, 7.5862, 7.5862) * CHOOSE(CONTROL!$C$21, $C$9, 100%, $E$9)</f>
        <v>7.5861999999999998</v>
      </c>
      <c r="F110" s="17">
        <f>CHOOSE(CONTROL!$C$42, 7.4436, 7.4436)*CHOOSE(CONTROL!$C$21, $C$9, 100%, $E$9)</f>
        <v>7.4436</v>
      </c>
      <c r="G110" s="17">
        <f>CHOOSE(CONTROL!$C$42, 7.4599, 7.4599)*CHOOSE(CONTROL!$C$21, $C$9, 100%, $E$9)</f>
        <v>7.4599000000000002</v>
      </c>
      <c r="H110" s="17">
        <f>CHOOSE(CONTROL!$C$42, 7.5751, 7.5751) * CHOOSE(CONTROL!$C$21, $C$9, 100%, $E$9)</f>
        <v>7.5750999999999999</v>
      </c>
      <c r="I110" s="17">
        <f>CHOOSE(CONTROL!$C$42, 7.4764, 7.4764)* CHOOSE(CONTROL!$C$21, $C$9, 100%, $E$9)</f>
        <v>7.4763999999999999</v>
      </c>
      <c r="J110" s="17">
        <f>CHOOSE(CONTROL!$C$42, 7.4362, 7.4362)* CHOOSE(CONTROL!$C$21, $C$9, 100%, $E$9)</f>
        <v>7.4362000000000004</v>
      </c>
      <c r="K110" s="53">
        <f>CHOOSE(CONTROL!$C$42, 7.4703, 7.4703) * CHOOSE(CONTROL!$C$21, $C$9, 100%, $E$9)</f>
        <v>7.4702999999999999</v>
      </c>
      <c r="L110" s="17">
        <f>CHOOSE(CONTROL!$C$42, 8.1621, 8.1621) * CHOOSE(CONTROL!$C$21, $C$9, 100%, $E$9)</f>
        <v>8.1621000000000006</v>
      </c>
      <c r="M110" s="17">
        <f>CHOOSE(CONTROL!$C$42, 7.3763, 7.3763) * CHOOSE(CONTROL!$C$21, $C$9, 100%, $E$9)</f>
        <v>7.3762999999999996</v>
      </c>
      <c r="N110" s="17">
        <f>CHOOSE(CONTROL!$C$42, 7.3925, 7.3925) * CHOOSE(CONTROL!$C$21, $C$9, 100%, $E$9)</f>
        <v>7.3925000000000001</v>
      </c>
      <c r="O110" s="17">
        <f>CHOOSE(CONTROL!$C$42, 7.514, 7.514) * CHOOSE(CONTROL!$C$21, $C$9, 100%, $E$9)</f>
        <v>7.5140000000000002</v>
      </c>
      <c r="P110" s="17">
        <f>CHOOSE(CONTROL!$C$42, 7.416, 7.416) * CHOOSE(CONTROL!$C$21, $C$9, 100%, $E$9)</f>
        <v>7.4160000000000004</v>
      </c>
      <c r="Q110" s="17">
        <f>CHOOSE(CONTROL!$C$42, 8.1087, 8.1087) * CHOOSE(CONTROL!$C$21, $C$9, 100%, $E$9)</f>
        <v>8.1087000000000007</v>
      </c>
      <c r="R110" s="17">
        <f>CHOOSE(CONTROL!$C$42, 8.716, 8.716) * CHOOSE(CONTROL!$C$21, $C$9, 100%, $E$9)</f>
        <v>8.7159999999999993</v>
      </c>
      <c r="S110" s="17">
        <f>CHOOSE(CONTROL!$C$42, 7.1953, 7.1953) * CHOOSE(CONTROL!$C$21, $C$9, 100%, $E$9)</f>
        <v>7.1952999999999996</v>
      </c>
      <c r="T110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110" s="57">
        <f>(1000*CHOOSE(CONTROL!$C$42, 695, 695)*CHOOSE(CONTROL!$C$42, 0.5599, 0.5599)*CHOOSE(CONTROL!$C$42, 28, 28))/1000000</f>
        <v>10.895653999999999</v>
      </c>
      <c r="V110" s="57">
        <f>(1000*CHOOSE(CONTROL!$C$42, 500, 500)*CHOOSE(CONTROL!$C$42, 0.275, 0.275)*CHOOSE(CONTROL!$C$42, 28, 28))/1000000</f>
        <v>3.85</v>
      </c>
      <c r="W110" s="57">
        <f>(1000*CHOOSE(CONTROL!$C$42, 0.0916, 0.0916)*CHOOSE(CONTROL!$C$42, 121.5, 121.5)*CHOOSE(CONTROL!$C$42, 28, 28))/1000000</f>
        <v>0.31162319999999999</v>
      </c>
      <c r="X110" s="57">
        <f>(28*0.2374*100000/1000000)</f>
        <v>0.66471999999999998</v>
      </c>
      <c r="Y110" s="57"/>
      <c r="Z110" s="17"/>
      <c r="AA110" s="56"/>
      <c r="AB110" s="49">
        <f>(B110*122.58+C110*297.941+D110*89.177+E110*140.302+F110*40+G110*60+H110*0+I110*100+J110*300)/(122.58+297.941+89.177+140.302+0+40+60+100+300)</f>
        <v>7.4675259146956527</v>
      </c>
      <c r="AC110" s="46">
        <f>(M110*'RAP TEMPLATE-GAS AVAILABILITY'!O109+N110*'RAP TEMPLATE-GAS AVAILABILITY'!P109+O110*'RAP TEMPLATE-GAS AVAILABILITY'!Q109+P110*'RAP TEMPLATE-GAS AVAILABILITY'!R109)/('RAP TEMPLATE-GAS AVAILABILITY'!O109+'RAP TEMPLATE-GAS AVAILABILITY'!P109+'RAP TEMPLATE-GAS AVAILABILITY'!Q109+'RAP TEMPLATE-GAS AVAILABILITY'!R109)</f>
        <v>7.4453553956834533</v>
      </c>
    </row>
    <row r="111" spans="1:29" ht="15.75" x14ac:dyDescent="0.25">
      <c r="A111" s="16">
        <v>44256</v>
      </c>
      <c r="B111" s="17">
        <f>CHOOSE(CONTROL!$C$42, 7.2341, 7.2341) * CHOOSE(CONTROL!$C$21, $C$9, 100%, $E$9)</f>
        <v>7.2340999999999998</v>
      </c>
      <c r="C111" s="17">
        <f>CHOOSE(CONTROL!$C$42, 7.2392, 7.2392) * CHOOSE(CONTROL!$C$21, $C$9, 100%, $E$9)</f>
        <v>7.2392000000000003</v>
      </c>
      <c r="D111" s="17">
        <f>CHOOSE(CONTROL!$C$42, 7.3567, 7.3567) * CHOOSE(CONTROL!$C$21, $C$9, 100%, $E$9)</f>
        <v>7.3567</v>
      </c>
      <c r="E111" s="17">
        <f>CHOOSE(CONTROL!$C$42, 7.3904, 7.3904) * CHOOSE(CONTROL!$C$21, $C$9, 100%, $E$9)</f>
        <v>7.3903999999999996</v>
      </c>
      <c r="F111" s="17">
        <f>CHOOSE(CONTROL!$C$42, 7.2471, 7.2471)*CHOOSE(CONTROL!$C$21, $C$9, 100%, $E$9)</f>
        <v>7.2470999999999997</v>
      </c>
      <c r="G111" s="17">
        <f>CHOOSE(CONTROL!$C$42, 7.2633, 7.2633)*CHOOSE(CONTROL!$C$21, $C$9, 100%, $E$9)</f>
        <v>7.2633000000000001</v>
      </c>
      <c r="H111" s="17">
        <f>CHOOSE(CONTROL!$C$42, 7.3793, 7.3793) * CHOOSE(CONTROL!$C$21, $C$9, 100%, $E$9)</f>
        <v>7.3792999999999997</v>
      </c>
      <c r="I111" s="17">
        <f>CHOOSE(CONTROL!$C$42, 7.28, 7.28)* CHOOSE(CONTROL!$C$21, $C$9, 100%, $E$9)</f>
        <v>7.28</v>
      </c>
      <c r="J111" s="17">
        <f>CHOOSE(CONTROL!$C$42, 7.2397, 7.2397)* CHOOSE(CONTROL!$C$21, $C$9, 100%, $E$9)</f>
        <v>7.2397</v>
      </c>
      <c r="K111" s="53">
        <f>CHOOSE(CONTROL!$C$42, 7.2739, 7.2739) * CHOOSE(CONTROL!$C$21, $C$9, 100%, $E$9)</f>
        <v>7.2739000000000003</v>
      </c>
      <c r="L111" s="17">
        <f>CHOOSE(CONTROL!$C$42, 7.9663, 7.9663) * CHOOSE(CONTROL!$C$21, $C$9, 100%, $E$9)</f>
        <v>7.9663000000000004</v>
      </c>
      <c r="M111" s="17">
        <f>CHOOSE(CONTROL!$C$42, 7.1816, 7.1816) * CHOOSE(CONTROL!$C$21, $C$9, 100%, $E$9)</f>
        <v>7.1816000000000004</v>
      </c>
      <c r="N111" s="17">
        <f>CHOOSE(CONTROL!$C$42, 7.1976, 7.1976) * CHOOSE(CONTROL!$C$21, $C$9, 100%, $E$9)</f>
        <v>7.1976000000000004</v>
      </c>
      <c r="O111" s="17">
        <f>CHOOSE(CONTROL!$C$42, 7.32, 7.32) * CHOOSE(CONTROL!$C$21, $C$9, 100%, $E$9)</f>
        <v>7.32</v>
      </c>
      <c r="P111" s="17">
        <f>CHOOSE(CONTROL!$C$42, 7.2214, 7.2214) * CHOOSE(CONTROL!$C$21, $C$9, 100%, $E$9)</f>
        <v>7.2214</v>
      </c>
      <c r="Q111" s="17">
        <f>CHOOSE(CONTROL!$C$42, 7.9147, 7.9147) * CHOOSE(CONTROL!$C$21, $C$9, 100%, $E$9)</f>
        <v>7.9146999999999998</v>
      </c>
      <c r="R111" s="17">
        <f>CHOOSE(CONTROL!$C$42, 8.5214, 8.5214) * CHOOSE(CONTROL!$C$21, $C$9, 100%, $E$9)</f>
        <v>8.5213999999999999</v>
      </c>
      <c r="S111" s="17">
        <f>CHOOSE(CONTROL!$C$42, 7.0054, 7.0054) * CHOOSE(CONTROL!$C$21, $C$9, 100%, $E$9)</f>
        <v>7.0053999999999998</v>
      </c>
      <c r="T111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111" s="57">
        <f>(1000*CHOOSE(CONTROL!$C$42, 695, 695)*CHOOSE(CONTROL!$C$42, 0.5599, 0.5599)*CHOOSE(CONTROL!$C$42, 31, 31))/1000000</f>
        <v>12.063045499999998</v>
      </c>
      <c r="V111" s="57">
        <f>(1000*CHOOSE(CONTROL!$C$42, 500, 500)*CHOOSE(CONTROL!$C$42, 0.275, 0.275)*CHOOSE(CONTROL!$C$42, 31, 31))/1000000</f>
        <v>4.2625000000000002</v>
      </c>
      <c r="W111" s="57">
        <f>(1000*CHOOSE(CONTROL!$C$42, 0.0916, 0.0916)*CHOOSE(CONTROL!$C$42, 121.5, 121.5)*CHOOSE(CONTROL!$C$42, 31, 31))/1000000</f>
        <v>0.34501139999999997</v>
      </c>
      <c r="X111" s="57">
        <f>(31*0.2374*100000/1000000)</f>
        <v>0.73594000000000004</v>
      </c>
      <c r="Y111" s="57"/>
      <c r="Z111" s="17"/>
      <c r="AA111" s="56"/>
      <c r="AB111" s="49">
        <f>(B111*122.58+C111*297.941+D111*89.177+E111*140.302+F111*40+G111*60+H111*0+I111*100+J111*300)/(122.58+297.941+89.177+140.302+0+40+60+100+300)</f>
        <v>7.2714250451304352</v>
      </c>
      <c r="AC111" s="46">
        <f>(M111*'RAP TEMPLATE-GAS AVAILABILITY'!O110+N111*'RAP TEMPLATE-GAS AVAILABILITY'!P110+O111*'RAP TEMPLATE-GAS AVAILABILITY'!Q110+P111*'RAP TEMPLATE-GAS AVAILABILITY'!R110)/('RAP TEMPLATE-GAS AVAILABILITY'!O110+'RAP TEMPLATE-GAS AVAILABILITY'!P110+'RAP TEMPLATE-GAS AVAILABILITY'!Q110+'RAP TEMPLATE-GAS AVAILABILITY'!R110)</f>
        <v>7.2509755395683468</v>
      </c>
    </row>
    <row r="112" spans="1:29" ht="15.75" x14ac:dyDescent="0.25">
      <c r="A112" s="16">
        <v>44287</v>
      </c>
      <c r="B112" s="17">
        <f>CHOOSE(CONTROL!$C$42, 7.2283, 7.2283) * CHOOSE(CONTROL!$C$21, $C$9, 100%, $E$9)</f>
        <v>7.2282999999999999</v>
      </c>
      <c r="C112" s="17">
        <f>CHOOSE(CONTROL!$C$42, 7.2329, 7.2329) * CHOOSE(CONTROL!$C$21, $C$9, 100%, $E$9)</f>
        <v>7.2328999999999999</v>
      </c>
      <c r="D112" s="17">
        <f>CHOOSE(CONTROL!$C$42, 7.4856, 7.4856) * CHOOSE(CONTROL!$C$21, $C$9, 100%, $E$9)</f>
        <v>7.4855999999999998</v>
      </c>
      <c r="E112" s="17">
        <f>CHOOSE(CONTROL!$C$42, 7.5174, 7.5174) * CHOOSE(CONTROL!$C$21, $C$9, 100%, $E$9)</f>
        <v>7.5174000000000003</v>
      </c>
      <c r="F112" s="17">
        <f>CHOOSE(CONTROL!$C$42, 7.2343, 7.2343)*CHOOSE(CONTROL!$C$21, $C$9, 100%, $E$9)</f>
        <v>7.2343000000000002</v>
      </c>
      <c r="G112" s="17">
        <f>CHOOSE(CONTROL!$C$42, 7.2501, 7.2501)*CHOOSE(CONTROL!$C$21, $C$9, 100%, $E$9)</f>
        <v>7.2500999999999998</v>
      </c>
      <c r="H112" s="17">
        <f>CHOOSE(CONTROL!$C$42, 7.5068, 7.5068) * CHOOSE(CONTROL!$C$21, $C$9, 100%, $E$9)</f>
        <v>7.5068000000000001</v>
      </c>
      <c r="I112" s="17">
        <f>CHOOSE(CONTROL!$C$42, 7.2724, 7.2724)* CHOOSE(CONTROL!$C$21, $C$9, 100%, $E$9)</f>
        <v>7.2724000000000002</v>
      </c>
      <c r="J112" s="17">
        <f>CHOOSE(CONTROL!$C$42, 7.2269, 7.2269)* CHOOSE(CONTROL!$C$21, $C$9, 100%, $E$9)</f>
        <v>7.2268999999999997</v>
      </c>
      <c r="K112" s="53">
        <f>CHOOSE(CONTROL!$C$42, 7.2663, 7.2663) * CHOOSE(CONTROL!$C$21, $C$9, 100%, $E$9)</f>
        <v>7.2663000000000002</v>
      </c>
      <c r="L112" s="17">
        <f>CHOOSE(CONTROL!$C$42, 8.0938, 8.0938) * CHOOSE(CONTROL!$C$21, $C$9, 100%, $E$9)</f>
        <v>8.0937999999999999</v>
      </c>
      <c r="M112" s="17">
        <f>CHOOSE(CONTROL!$C$42, 7.1689, 7.1689) * CHOOSE(CONTROL!$C$21, $C$9, 100%, $E$9)</f>
        <v>7.1688999999999998</v>
      </c>
      <c r="N112" s="17">
        <f>CHOOSE(CONTROL!$C$42, 7.1846, 7.1846) * CHOOSE(CONTROL!$C$21, $C$9, 100%, $E$9)</f>
        <v>7.1845999999999997</v>
      </c>
      <c r="O112" s="17">
        <f>CHOOSE(CONTROL!$C$42, 7.4463, 7.4463) * CHOOSE(CONTROL!$C$21, $C$9, 100%, $E$9)</f>
        <v>7.4462999999999999</v>
      </c>
      <c r="P112" s="17">
        <f>CHOOSE(CONTROL!$C$42, 7.2138, 7.2138) * CHOOSE(CONTROL!$C$21, $C$9, 100%, $E$9)</f>
        <v>7.2138</v>
      </c>
      <c r="Q112" s="17">
        <f>CHOOSE(CONTROL!$C$42, 8.041, 8.041) * CHOOSE(CONTROL!$C$21, $C$9, 100%, $E$9)</f>
        <v>8.0410000000000004</v>
      </c>
      <c r="R112" s="17">
        <f>CHOOSE(CONTROL!$C$42, 8.6481, 8.6481) * CHOOSE(CONTROL!$C$21, $C$9, 100%, $E$9)</f>
        <v>8.6480999999999995</v>
      </c>
      <c r="S112" s="17">
        <f>CHOOSE(CONTROL!$C$42, 6.9991, 6.9991) * CHOOSE(CONTROL!$C$21, $C$9, 100%, $E$9)</f>
        <v>6.9991000000000003</v>
      </c>
      <c r="T112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112" s="57">
        <f>(1000*CHOOSE(CONTROL!$C$42, 695, 695)*CHOOSE(CONTROL!$C$42, 0.5599, 0.5599)*CHOOSE(CONTROL!$C$42, 30, 30))/1000000</f>
        <v>11.673914999999997</v>
      </c>
      <c r="V112" s="57">
        <f>(1000*CHOOSE(CONTROL!$C$42, 500, 500)*CHOOSE(CONTROL!$C$42, 0.275, 0.275)*CHOOSE(CONTROL!$C$42, 30, 30))/1000000</f>
        <v>4.125</v>
      </c>
      <c r="W112" s="57">
        <f>(1000*CHOOSE(CONTROL!$C$42, 0.0916, 0.0916)*CHOOSE(CONTROL!$C$42, 121.5, 121.5)*CHOOSE(CONTROL!$C$42, 30, 30))/1000000</f>
        <v>0.33388200000000001</v>
      </c>
      <c r="X112" s="57">
        <f>(30*0.1790888*145000/1000000)+(30*0.2374*100000/1000000)</f>
        <v>1.4912362799999999</v>
      </c>
      <c r="Y112" s="57"/>
      <c r="Z112" s="17"/>
      <c r="AA112" s="56"/>
      <c r="AB112" s="49">
        <f>(B112*141.293+C112*267.993+D112*115.016+E112*189.698+F112*40+G112*85+H112*0+I112*100+J112*300)/(141.293+267.993+115.016+189.698+0+40+85+100+300)</f>
        <v>7.3023525233252622</v>
      </c>
      <c r="AC112" s="46">
        <f>(M112*'RAP TEMPLATE-GAS AVAILABILITY'!O111+N112*'RAP TEMPLATE-GAS AVAILABILITY'!P111+O112*'RAP TEMPLATE-GAS AVAILABILITY'!Q111+P112*'RAP TEMPLATE-GAS AVAILABILITY'!R111)/('RAP TEMPLATE-GAS AVAILABILITY'!O111+'RAP TEMPLATE-GAS AVAILABILITY'!P111+'RAP TEMPLATE-GAS AVAILABILITY'!Q111+'RAP TEMPLATE-GAS AVAILABILITY'!R111)</f>
        <v>7.2568064748201451</v>
      </c>
    </row>
    <row r="113" spans="1:29" ht="15.75" x14ac:dyDescent="0.25">
      <c r="A113" s="16">
        <v>44317</v>
      </c>
      <c r="B113" s="17">
        <f>CHOOSE(CONTROL!$C$42, 7.3084, 7.3084) * CHOOSE(CONTROL!$C$21, $C$9, 100%, $E$9)</f>
        <v>7.3083999999999998</v>
      </c>
      <c r="C113" s="17">
        <f>CHOOSE(CONTROL!$C$42, 7.3164, 7.3164) * CHOOSE(CONTROL!$C$21, $C$9, 100%, $E$9)</f>
        <v>7.3163999999999998</v>
      </c>
      <c r="D113" s="17">
        <f>CHOOSE(CONTROL!$C$42, 7.566, 7.566) * CHOOSE(CONTROL!$C$21, $C$9, 100%, $E$9)</f>
        <v>7.5659999999999998</v>
      </c>
      <c r="E113" s="17">
        <f>CHOOSE(CONTROL!$C$42, 7.5972, 7.5972) * CHOOSE(CONTROL!$C$21, $C$9, 100%, $E$9)</f>
        <v>7.5972</v>
      </c>
      <c r="F113" s="17">
        <f>CHOOSE(CONTROL!$C$42, 7.3132, 7.3132)*CHOOSE(CONTROL!$C$21, $C$9, 100%, $E$9)</f>
        <v>7.3132000000000001</v>
      </c>
      <c r="G113" s="17">
        <f>CHOOSE(CONTROL!$C$42, 7.3294, 7.3294)*CHOOSE(CONTROL!$C$21, $C$9, 100%, $E$9)</f>
        <v>7.3293999999999997</v>
      </c>
      <c r="H113" s="17">
        <f>CHOOSE(CONTROL!$C$42, 7.5855, 7.5855) * CHOOSE(CONTROL!$C$21, $C$9, 100%, $E$9)</f>
        <v>7.5854999999999997</v>
      </c>
      <c r="I113" s="17">
        <f>CHOOSE(CONTROL!$C$42, 7.3513, 7.3513)* CHOOSE(CONTROL!$C$21, $C$9, 100%, $E$9)</f>
        <v>7.3513000000000002</v>
      </c>
      <c r="J113" s="17">
        <f>CHOOSE(CONTROL!$C$42, 7.3058, 7.3058)* CHOOSE(CONTROL!$C$21, $C$9, 100%, $E$9)</f>
        <v>7.3057999999999996</v>
      </c>
      <c r="K113" s="53">
        <f>CHOOSE(CONTROL!$C$42, 7.3453, 7.3453) * CHOOSE(CONTROL!$C$21, $C$9, 100%, $E$9)</f>
        <v>7.3452999999999999</v>
      </c>
      <c r="L113" s="17">
        <f>CHOOSE(CONTROL!$C$42, 8.1725, 8.1725) * CHOOSE(CONTROL!$C$21, $C$9, 100%, $E$9)</f>
        <v>8.1724999999999994</v>
      </c>
      <c r="M113" s="17">
        <f>CHOOSE(CONTROL!$C$42, 7.2471, 7.2471) * CHOOSE(CONTROL!$C$21, $C$9, 100%, $E$9)</f>
        <v>7.2470999999999997</v>
      </c>
      <c r="N113" s="17">
        <f>CHOOSE(CONTROL!$C$42, 7.2631, 7.2631) * CHOOSE(CONTROL!$C$21, $C$9, 100%, $E$9)</f>
        <v>7.2630999999999997</v>
      </c>
      <c r="O113" s="17">
        <f>CHOOSE(CONTROL!$C$42, 7.5243, 7.5243) * CHOOSE(CONTROL!$C$21, $C$9, 100%, $E$9)</f>
        <v>7.5243000000000002</v>
      </c>
      <c r="P113" s="17">
        <f>CHOOSE(CONTROL!$C$42, 7.292, 7.292) * CHOOSE(CONTROL!$C$21, $C$9, 100%, $E$9)</f>
        <v>7.2919999999999998</v>
      </c>
      <c r="Q113" s="17">
        <f>CHOOSE(CONTROL!$C$42, 8.119, 8.119) * CHOOSE(CONTROL!$C$21, $C$9, 100%, $E$9)</f>
        <v>8.1189999999999998</v>
      </c>
      <c r="R113" s="17">
        <f>CHOOSE(CONTROL!$C$42, 8.7263, 8.7263) * CHOOSE(CONTROL!$C$21, $C$9, 100%, $E$9)</f>
        <v>8.7263000000000002</v>
      </c>
      <c r="S113" s="17">
        <f>CHOOSE(CONTROL!$C$42, 7.0754, 7.0754) * CHOOSE(CONTROL!$C$21, $C$9, 100%, $E$9)</f>
        <v>7.0754000000000001</v>
      </c>
      <c r="T113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113" s="57">
        <f>(1000*CHOOSE(CONTROL!$C$42, 695, 695)*CHOOSE(CONTROL!$C$42, 0.5599, 0.5599)*CHOOSE(CONTROL!$C$42, 31, 31))/1000000</f>
        <v>12.063045499999998</v>
      </c>
      <c r="V113" s="57">
        <f>(1000*CHOOSE(CONTROL!$C$42, 500, 500)*CHOOSE(CONTROL!$C$42, 0.275, 0.275)*CHOOSE(CONTROL!$C$42, 31, 31))/1000000</f>
        <v>4.2625000000000002</v>
      </c>
      <c r="W113" s="57">
        <f>(1000*CHOOSE(CONTROL!$C$42, 0.0916, 0.0916)*CHOOSE(CONTROL!$C$42, 121.5, 121.5)*CHOOSE(CONTROL!$C$42, 31, 31))/1000000</f>
        <v>0.34501139999999997</v>
      </c>
      <c r="X113" s="57">
        <f>(31*0.1790888*145000/1000000)+(31*0.2374*100000/1000000)</f>
        <v>1.5409441560000001</v>
      </c>
      <c r="Y113" s="57"/>
      <c r="Z113" s="17"/>
      <c r="AA113" s="56"/>
      <c r="AB113" s="49">
        <f>(B113*194.205+C113*267.466+D113*133.845+E113*153.484+F113*40+G113*85+H113*0+I113*100+J113*300)/(194.205+267.466+133.845+153.484+0+40+85+100+300)</f>
        <v>7.3762425268445844</v>
      </c>
      <c r="AC113" s="46">
        <f>(M113*'RAP TEMPLATE-GAS AVAILABILITY'!O112+N113*'RAP TEMPLATE-GAS AVAILABILITY'!P112+O113*'RAP TEMPLATE-GAS AVAILABILITY'!Q112+P113*'RAP TEMPLATE-GAS AVAILABILITY'!R112)/('RAP TEMPLATE-GAS AVAILABILITY'!O112+'RAP TEMPLATE-GAS AVAILABILITY'!P112+'RAP TEMPLATE-GAS AVAILABILITY'!Q112+'RAP TEMPLATE-GAS AVAILABILITY'!R112)</f>
        <v>7.3350194244604303</v>
      </c>
    </row>
    <row r="114" spans="1:29" ht="15.75" x14ac:dyDescent="0.25">
      <c r="A114" s="16">
        <v>44348</v>
      </c>
      <c r="B114" s="17">
        <f>CHOOSE(CONTROL!$C$42, 7.5308, 7.5308) * CHOOSE(CONTROL!$C$21, $C$9, 100%, $E$9)</f>
        <v>7.5308000000000002</v>
      </c>
      <c r="C114" s="17">
        <f>CHOOSE(CONTROL!$C$42, 7.5388, 7.5388) * CHOOSE(CONTROL!$C$21, $C$9, 100%, $E$9)</f>
        <v>7.5388000000000002</v>
      </c>
      <c r="D114" s="17">
        <f>CHOOSE(CONTROL!$C$42, 7.7884, 7.7884) * CHOOSE(CONTROL!$C$21, $C$9, 100%, $E$9)</f>
        <v>7.7884000000000002</v>
      </c>
      <c r="E114" s="17">
        <f>CHOOSE(CONTROL!$C$42, 7.8196, 7.8196) * CHOOSE(CONTROL!$C$21, $C$9, 100%, $E$9)</f>
        <v>7.8196000000000003</v>
      </c>
      <c r="F114" s="17">
        <f>CHOOSE(CONTROL!$C$42, 7.536, 7.536)*CHOOSE(CONTROL!$C$21, $C$9, 100%, $E$9)</f>
        <v>7.5359999999999996</v>
      </c>
      <c r="G114" s="17">
        <f>CHOOSE(CONTROL!$C$42, 7.5522, 7.5522)*CHOOSE(CONTROL!$C$21, $C$9, 100%, $E$9)</f>
        <v>7.5522</v>
      </c>
      <c r="H114" s="17">
        <f>CHOOSE(CONTROL!$C$42, 7.8079, 7.8079) * CHOOSE(CONTROL!$C$21, $C$9, 100%, $E$9)</f>
        <v>7.8079000000000001</v>
      </c>
      <c r="I114" s="17">
        <f>CHOOSE(CONTROL!$C$42, 7.5744, 7.5744)* CHOOSE(CONTROL!$C$21, $C$9, 100%, $E$9)</f>
        <v>7.5743999999999998</v>
      </c>
      <c r="J114" s="17">
        <f>CHOOSE(CONTROL!$C$42, 7.5286, 7.5286)* CHOOSE(CONTROL!$C$21, $C$9, 100%, $E$9)</f>
        <v>7.5286</v>
      </c>
      <c r="K114" s="53">
        <f>CHOOSE(CONTROL!$C$42, 7.5683, 7.5683) * CHOOSE(CONTROL!$C$21, $C$9, 100%, $E$9)</f>
        <v>7.5682999999999998</v>
      </c>
      <c r="L114" s="17">
        <f>CHOOSE(CONTROL!$C$42, 8.3949, 8.3949) * CHOOSE(CONTROL!$C$21, $C$9, 100%, $E$9)</f>
        <v>8.3948999999999998</v>
      </c>
      <c r="M114" s="17">
        <f>CHOOSE(CONTROL!$C$42, 7.4679, 7.4679) * CHOOSE(CONTROL!$C$21, $C$9, 100%, $E$9)</f>
        <v>7.4679000000000002</v>
      </c>
      <c r="N114" s="17">
        <f>CHOOSE(CONTROL!$C$42, 7.484, 7.484) * CHOOSE(CONTROL!$C$21, $C$9, 100%, $E$9)</f>
        <v>7.484</v>
      </c>
      <c r="O114" s="17">
        <f>CHOOSE(CONTROL!$C$42, 7.7447, 7.7447) * CHOOSE(CONTROL!$C$21, $C$9, 100%, $E$9)</f>
        <v>7.7446999999999999</v>
      </c>
      <c r="P114" s="17">
        <f>CHOOSE(CONTROL!$C$42, 7.5131, 7.5131) * CHOOSE(CONTROL!$C$21, $C$9, 100%, $E$9)</f>
        <v>7.5130999999999997</v>
      </c>
      <c r="Q114" s="17">
        <f>CHOOSE(CONTROL!$C$42, 8.3394, 8.3394) * CHOOSE(CONTROL!$C$21, $C$9, 100%, $E$9)</f>
        <v>8.3393999999999995</v>
      </c>
      <c r="R114" s="17">
        <f>CHOOSE(CONTROL!$C$42, 8.9472, 8.9472) * CHOOSE(CONTROL!$C$21, $C$9, 100%, $E$9)</f>
        <v>8.9472000000000005</v>
      </c>
      <c r="S114" s="17">
        <f>CHOOSE(CONTROL!$C$42, 7.291, 7.291) * CHOOSE(CONTROL!$C$21, $C$9, 100%, $E$9)</f>
        <v>7.2910000000000004</v>
      </c>
      <c r="T114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114" s="57">
        <f>(1000*CHOOSE(CONTROL!$C$42, 695, 695)*CHOOSE(CONTROL!$C$42, 0.5599, 0.5599)*CHOOSE(CONTROL!$C$42, 30, 30))/1000000</f>
        <v>11.673914999999997</v>
      </c>
      <c r="V114" s="57">
        <f>(1000*CHOOSE(CONTROL!$C$42, 500, 500)*CHOOSE(CONTROL!$C$42, 0.275, 0.275)*CHOOSE(CONTROL!$C$42, 30, 30))/1000000</f>
        <v>4.125</v>
      </c>
      <c r="W114" s="57">
        <f>(1000*CHOOSE(CONTROL!$C$42, 0.0916, 0.0916)*CHOOSE(CONTROL!$C$42, 121.5, 121.5)*CHOOSE(CONTROL!$C$42, 30, 30))/1000000</f>
        <v>0.33388200000000001</v>
      </c>
      <c r="X114" s="57">
        <f>(30*0.1790888*145000/1000000)+(30*0.2374*100000/1000000)</f>
        <v>1.4912362799999999</v>
      </c>
      <c r="Y114" s="57"/>
      <c r="Z114" s="17"/>
      <c r="AA114" s="56"/>
      <c r="AB114" s="49">
        <f>(B114*194.205+C114*267.466+D114*133.845+E114*153.484+F114*40+G114*85+H114*0+I114*100+J114*300)/(194.205+267.466+133.845+153.484+0+40+85+100+300)</f>
        <v>7.5988309098901103</v>
      </c>
      <c r="AC114" s="46">
        <f>(M114*'RAP TEMPLATE-GAS AVAILABILITY'!O113+N114*'RAP TEMPLATE-GAS AVAILABILITY'!P113+O114*'RAP TEMPLATE-GAS AVAILABILITY'!Q113+P114*'RAP TEMPLATE-GAS AVAILABILITY'!R113)/('RAP TEMPLATE-GAS AVAILABILITY'!O113+'RAP TEMPLATE-GAS AVAILABILITY'!P113+'RAP TEMPLATE-GAS AVAILABILITY'!Q113+'RAP TEMPLATE-GAS AVAILABILITY'!R113)</f>
        <v>7.5557733812949621</v>
      </c>
    </row>
    <row r="115" spans="1:29" ht="15.75" x14ac:dyDescent="0.25">
      <c r="A115" s="16">
        <v>44378</v>
      </c>
      <c r="B115" s="17">
        <f>CHOOSE(CONTROL!$C$42, 7.4018, 7.4018) * CHOOSE(CONTROL!$C$21, $C$9, 100%, $E$9)</f>
        <v>7.4017999999999997</v>
      </c>
      <c r="C115" s="17">
        <f>CHOOSE(CONTROL!$C$42, 7.4097, 7.4097) * CHOOSE(CONTROL!$C$21, $C$9, 100%, $E$9)</f>
        <v>7.4097</v>
      </c>
      <c r="D115" s="17">
        <f>CHOOSE(CONTROL!$C$42, 7.6594, 7.6594) * CHOOSE(CONTROL!$C$21, $C$9, 100%, $E$9)</f>
        <v>7.6593999999999998</v>
      </c>
      <c r="E115" s="17">
        <f>CHOOSE(CONTROL!$C$42, 7.6905, 7.6905) * CHOOSE(CONTROL!$C$21, $C$9, 100%, $E$9)</f>
        <v>7.6905000000000001</v>
      </c>
      <c r="F115" s="17">
        <f>CHOOSE(CONTROL!$C$42, 7.4074, 7.4074)*CHOOSE(CONTROL!$C$21, $C$9, 100%, $E$9)</f>
        <v>7.4074</v>
      </c>
      <c r="G115" s="17">
        <f>CHOOSE(CONTROL!$C$42, 7.4238, 7.4238)*CHOOSE(CONTROL!$C$21, $C$9, 100%, $E$9)</f>
        <v>7.4238</v>
      </c>
      <c r="H115" s="17">
        <f>CHOOSE(CONTROL!$C$42, 7.6789, 7.6789) * CHOOSE(CONTROL!$C$21, $C$9, 100%, $E$9)</f>
        <v>7.6788999999999996</v>
      </c>
      <c r="I115" s="17">
        <f>CHOOSE(CONTROL!$C$42, 7.4449, 7.4449)* CHOOSE(CONTROL!$C$21, $C$9, 100%, $E$9)</f>
        <v>7.4448999999999996</v>
      </c>
      <c r="J115" s="17">
        <f>CHOOSE(CONTROL!$C$42, 7.4, 7.4)* CHOOSE(CONTROL!$C$21, $C$9, 100%, $E$9)</f>
        <v>7.4</v>
      </c>
      <c r="K115" s="53">
        <f>CHOOSE(CONTROL!$C$42, 7.4389, 7.4389) * CHOOSE(CONTROL!$C$21, $C$9, 100%, $E$9)</f>
        <v>7.4389000000000003</v>
      </c>
      <c r="L115" s="17">
        <f>CHOOSE(CONTROL!$C$42, 8.2659, 8.2659) * CHOOSE(CONTROL!$C$21, $C$9, 100%, $E$9)</f>
        <v>8.2659000000000002</v>
      </c>
      <c r="M115" s="17">
        <f>CHOOSE(CONTROL!$C$42, 7.3405, 7.3405) * CHOOSE(CONTROL!$C$21, $C$9, 100%, $E$9)</f>
        <v>7.3404999999999996</v>
      </c>
      <c r="N115" s="17">
        <f>CHOOSE(CONTROL!$C$42, 7.3567, 7.3567) * CHOOSE(CONTROL!$C$21, $C$9, 100%, $E$9)</f>
        <v>7.3567</v>
      </c>
      <c r="O115" s="17">
        <f>CHOOSE(CONTROL!$C$42, 7.6168, 7.6168) * CHOOSE(CONTROL!$C$21, $C$9, 100%, $E$9)</f>
        <v>7.6167999999999996</v>
      </c>
      <c r="P115" s="17">
        <f>CHOOSE(CONTROL!$C$42, 7.3848, 7.3848) * CHOOSE(CONTROL!$C$21, $C$9, 100%, $E$9)</f>
        <v>7.3848000000000003</v>
      </c>
      <c r="Q115" s="17">
        <f>CHOOSE(CONTROL!$C$42, 8.2115, 8.2115) * CHOOSE(CONTROL!$C$21, $C$9, 100%, $E$9)</f>
        <v>8.2114999999999991</v>
      </c>
      <c r="R115" s="17">
        <f>CHOOSE(CONTROL!$C$42, 8.819, 8.819) * CHOOSE(CONTROL!$C$21, $C$9, 100%, $E$9)</f>
        <v>8.8190000000000008</v>
      </c>
      <c r="S115" s="17">
        <f>CHOOSE(CONTROL!$C$42, 7.1659, 7.1659) * CHOOSE(CONTROL!$C$21, $C$9, 100%, $E$9)</f>
        <v>7.1658999999999997</v>
      </c>
      <c r="T115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115" s="57">
        <f>(1000*CHOOSE(CONTROL!$C$42, 695, 695)*CHOOSE(CONTROL!$C$42, 0.5599, 0.5599)*CHOOSE(CONTROL!$C$42, 31, 31))/1000000</f>
        <v>12.063045499999998</v>
      </c>
      <c r="V115" s="57">
        <f>(1000*CHOOSE(CONTROL!$C$42, 500, 500)*CHOOSE(CONTROL!$C$42, 0.275, 0.275)*CHOOSE(CONTROL!$C$42, 31, 31))/1000000</f>
        <v>4.2625000000000002</v>
      </c>
      <c r="W115" s="57">
        <f>(1000*CHOOSE(CONTROL!$C$42, 0.0916, 0.0916)*CHOOSE(CONTROL!$C$42, 121.5, 121.5)*CHOOSE(CONTROL!$C$42, 31, 31))/1000000</f>
        <v>0.34501139999999997</v>
      </c>
      <c r="X115" s="57">
        <f>(31*0.1790888*145000/1000000)+(31*0.2374*100000/1000000)</f>
        <v>1.5409441560000001</v>
      </c>
      <c r="Y115" s="57"/>
      <c r="Z115" s="17"/>
      <c r="AA115" s="56"/>
      <c r="AB115" s="49">
        <f>(B115*194.205+C115*267.466+D115*133.845+E115*153.484+F115*40+G115*85+H115*0+I115*100+J115*300)/(194.205+267.466+133.845+153.484+0+40+85+100+300)</f>
        <v>7.4699054036106745</v>
      </c>
      <c r="AC115" s="46">
        <f>(M115*'RAP TEMPLATE-GAS AVAILABILITY'!O114+N115*'RAP TEMPLATE-GAS AVAILABILITY'!P114+O115*'RAP TEMPLATE-GAS AVAILABILITY'!Q114+P115*'RAP TEMPLATE-GAS AVAILABILITY'!R114)/('RAP TEMPLATE-GAS AVAILABILITY'!O114+'RAP TEMPLATE-GAS AVAILABILITY'!P114+'RAP TEMPLATE-GAS AVAILABILITY'!Q114+'RAP TEMPLATE-GAS AVAILABILITY'!R114)</f>
        <v>7.4281266187050345</v>
      </c>
    </row>
    <row r="116" spans="1:29" ht="15.75" x14ac:dyDescent="0.25">
      <c r="A116" s="16">
        <v>44409</v>
      </c>
      <c r="B116" s="17">
        <f>CHOOSE(CONTROL!$C$42, 7.0512, 7.0512) * CHOOSE(CONTROL!$C$21, $C$9, 100%, $E$9)</f>
        <v>7.0511999999999997</v>
      </c>
      <c r="C116" s="17">
        <f>CHOOSE(CONTROL!$C$42, 7.0592, 7.0592) * CHOOSE(CONTROL!$C$21, $C$9, 100%, $E$9)</f>
        <v>7.0591999999999997</v>
      </c>
      <c r="D116" s="17">
        <f>CHOOSE(CONTROL!$C$42, 7.3089, 7.3089) * CHOOSE(CONTROL!$C$21, $C$9, 100%, $E$9)</f>
        <v>7.3089000000000004</v>
      </c>
      <c r="E116" s="17">
        <f>CHOOSE(CONTROL!$C$42, 7.34, 7.34) * CHOOSE(CONTROL!$C$21, $C$9, 100%, $E$9)</f>
        <v>7.34</v>
      </c>
      <c r="F116" s="17">
        <f>CHOOSE(CONTROL!$C$42, 7.0572, 7.0572)*CHOOSE(CONTROL!$C$21, $C$9, 100%, $E$9)</f>
        <v>7.0571999999999999</v>
      </c>
      <c r="G116" s="17">
        <f>CHOOSE(CONTROL!$C$42, 7.0736, 7.0736)*CHOOSE(CONTROL!$C$21, $C$9, 100%, $E$9)</f>
        <v>7.0735999999999999</v>
      </c>
      <c r="H116" s="17">
        <f>CHOOSE(CONTROL!$C$42, 7.3284, 7.3284) * CHOOSE(CONTROL!$C$21, $C$9, 100%, $E$9)</f>
        <v>7.3284000000000002</v>
      </c>
      <c r="I116" s="17">
        <f>CHOOSE(CONTROL!$C$42, 7.0934, 7.0934)* CHOOSE(CONTROL!$C$21, $C$9, 100%, $E$9)</f>
        <v>7.0933999999999999</v>
      </c>
      <c r="J116" s="17">
        <f>CHOOSE(CONTROL!$C$42, 7.0498, 7.0498)* CHOOSE(CONTROL!$C$21, $C$9, 100%, $E$9)</f>
        <v>7.0498000000000003</v>
      </c>
      <c r="K116" s="53">
        <f>CHOOSE(CONTROL!$C$42, 7.0873, 7.0873) * CHOOSE(CONTROL!$C$21, $C$9, 100%, $E$9)</f>
        <v>7.0872999999999999</v>
      </c>
      <c r="L116" s="17">
        <f>CHOOSE(CONTROL!$C$42, 7.9154, 7.9154) * CHOOSE(CONTROL!$C$21, $C$9, 100%, $E$9)</f>
        <v>7.9154</v>
      </c>
      <c r="M116" s="17">
        <f>CHOOSE(CONTROL!$C$42, 6.9934, 6.9934) * CHOOSE(CONTROL!$C$21, $C$9, 100%, $E$9)</f>
        <v>6.9934000000000003</v>
      </c>
      <c r="N116" s="17">
        <f>CHOOSE(CONTROL!$C$42, 7.0097, 7.0097) * CHOOSE(CONTROL!$C$21, $C$9, 100%, $E$9)</f>
        <v>7.0096999999999996</v>
      </c>
      <c r="O116" s="17">
        <f>CHOOSE(CONTROL!$C$42, 7.2695, 7.2695) * CHOOSE(CONTROL!$C$21, $C$9, 100%, $E$9)</f>
        <v>7.2694999999999999</v>
      </c>
      <c r="P116" s="17">
        <f>CHOOSE(CONTROL!$C$42, 7.0364, 7.0364) * CHOOSE(CONTROL!$C$21, $C$9, 100%, $E$9)</f>
        <v>7.0364000000000004</v>
      </c>
      <c r="Q116" s="17">
        <f>CHOOSE(CONTROL!$C$42, 7.8642, 7.8642) * CHOOSE(CONTROL!$C$21, $C$9, 100%, $E$9)</f>
        <v>7.8642000000000003</v>
      </c>
      <c r="R116" s="17">
        <f>CHOOSE(CONTROL!$C$42, 8.4708, 8.4708) * CHOOSE(CONTROL!$C$21, $C$9, 100%, $E$9)</f>
        <v>8.4708000000000006</v>
      </c>
      <c r="S116" s="17">
        <f>CHOOSE(CONTROL!$C$42, 6.826, 6.826) * CHOOSE(CONTROL!$C$21, $C$9, 100%, $E$9)</f>
        <v>6.8259999999999996</v>
      </c>
      <c r="T116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116" s="57">
        <f>(1000*CHOOSE(CONTROL!$C$42, 695, 695)*CHOOSE(CONTROL!$C$42, 0.5599, 0.5599)*CHOOSE(CONTROL!$C$42, 31, 31))/1000000</f>
        <v>12.063045499999998</v>
      </c>
      <c r="V116" s="57">
        <f>(1000*CHOOSE(CONTROL!$C$42, 500, 500)*CHOOSE(CONTROL!$C$42, 0.275, 0.275)*CHOOSE(CONTROL!$C$42, 31, 31))/1000000</f>
        <v>4.2625000000000002</v>
      </c>
      <c r="W116" s="57">
        <f>(1000*CHOOSE(CONTROL!$C$42, 0.0916, 0.0916)*CHOOSE(CONTROL!$C$42, 121.5, 121.5)*CHOOSE(CONTROL!$C$42, 31, 31))/1000000</f>
        <v>0.34501139999999997</v>
      </c>
      <c r="X116" s="57">
        <f>(31*0.1790888*145000/1000000)+(31*0.2374*100000/1000000)</f>
        <v>1.5409441560000001</v>
      </c>
      <c r="Y116" s="57"/>
      <c r="Z116" s="17"/>
      <c r="AA116" s="56"/>
      <c r="AB116" s="49">
        <f>(B116*194.205+C116*267.466+D116*133.845+E116*153.484+F116*40+G116*85+H116*0+I116*100+J116*300)/(194.205+267.466+133.845+153.484+0+40+85+100+300)</f>
        <v>7.11941174544741</v>
      </c>
      <c r="AC116" s="46">
        <f>(M116*'RAP TEMPLATE-GAS AVAILABILITY'!O115+N116*'RAP TEMPLATE-GAS AVAILABILITY'!P115+O116*'RAP TEMPLATE-GAS AVAILABILITY'!Q115+P116*'RAP TEMPLATE-GAS AVAILABILITY'!R115)/('RAP TEMPLATE-GAS AVAILABILITY'!O115+'RAP TEMPLATE-GAS AVAILABILITY'!P115+'RAP TEMPLATE-GAS AVAILABILITY'!Q115+'RAP TEMPLATE-GAS AVAILABILITY'!R115)</f>
        <v>7.080806474820144</v>
      </c>
    </row>
    <row r="117" spans="1:29" ht="15.75" x14ac:dyDescent="0.25">
      <c r="A117" s="16">
        <v>44440</v>
      </c>
      <c r="B117" s="17">
        <f>CHOOSE(CONTROL!$C$42, 6.6178, 6.6178) * CHOOSE(CONTROL!$C$21, $C$9, 100%, $E$9)</f>
        <v>6.6177999999999999</v>
      </c>
      <c r="C117" s="17">
        <f>CHOOSE(CONTROL!$C$42, 6.6257, 6.6257) * CHOOSE(CONTROL!$C$21, $C$9, 100%, $E$9)</f>
        <v>6.6257000000000001</v>
      </c>
      <c r="D117" s="17">
        <f>CHOOSE(CONTROL!$C$42, 6.8754, 6.8754) * CHOOSE(CONTROL!$C$21, $C$9, 100%, $E$9)</f>
        <v>6.8754</v>
      </c>
      <c r="E117" s="17">
        <f>CHOOSE(CONTROL!$C$42, 6.9065, 6.9065) * CHOOSE(CONTROL!$C$21, $C$9, 100%, $E$9)</f>
        <v>6.9065000000000003</v>
      </c>
      <c r="F117" s="17">
        <f>CHOOSE(CONTROL!$C$42, 6.6237, 6.6237)*CHOOSE(CONTROL!$C$21, $C$9, 100%, $E$9)</f>
        <v>6.6237000000000004</v>
      </c>
      <c r="G117" s="17">
        <f>CHOOSE(CONTROL!$C$42, 6.6402, 6.6402)*CHOOSE(CONTROL!$C$21, $C$9, 100%, $E$9)</f>
        <v>6.6402000000000001</v>
      </c>
      <c r="H117" s="17">
        <f>CHOOSE(CONTROL!$C$42, 6.8949, 6.8949) * CHOOSE(CONTROL!$C$21, $C$9, 100%, $E$9)</f>
        <v>6.8948999999999998</v>
      </c>
      <c r="I117" s="17">
        <f>CHOOSE(CONTROL!$C$42, 6.6585, 6.6585)* CHOOSE(CONTROL!$C$21, $C$9, 100%, $E$9)</f>
        <v>6.6585000000000001</v>
      </c>
      <c r="J117" s="17">
        <f>CHOOSE(CONTROL!$C$42, 6.6163, 6.6163)* CHOOSE(CONTROL!$C$21, $C$9, 100%, $E$9)</f>
        <v>6.6162999999999998</v>
      </c>
      <c r="K117" s="53">
        <f>CHOOSE(CONTROL!$C$42, 6.6525, 6.6525) * CHOOSE(CONTROL!$C$21, $C$9, 100%, $E$9)</f>
        <v>6.6524999999999999</v>
      </c>
      <c r="L117" s="17">
        <f>CHOOSE(CONTROL!$C$42, 7.4819, 7.4819) * CHOOSE(CONTROL!$C$21, $C$9, 100%, $E$9)</f>
        <v>7.4819000000000004</v>
      </c>
      <c r="M117" s="17">
        <f>CHOOSE(CONTROL!$C$42, 6.5638, 6.5638) * CHOOSE(CONTROL!$C$21, $C$9, 100%, $E$9)</f>
        <v>6.5637999999999996</v>
      </c>
      <c r="N117" s="17">
        <f>CHOOSE(CONTROL!$C$42, 6.5801, 6.5801) * CHOOSE(CONTROL!$C$21, $C$9, 100%, $E$9)</f>
        <v>6.5800999999999998</v>
      </c>
      <c r="O117" s="17">
        <f>CHOOSE(CONTROL!$C$42, 6.8399, 6.8399) * CHOOSE(CONTROL!$C$21, $C$9, 100%, $E$9)</f>
        <v>6.8399000000000001</v>
      </c>
      <c r="P117" s="17">
        <f>CHOOSE(CONTROL!$C$42, 6.6055, 6.6055) * CHOOSE(CONTROL!$C$21, $C$9, 100%, $E$9)</f>
        <v>6.6055000000000001</v>
      </c>
      <c r="Q117" s="17">
        <f>CHOOSE(CONTROL!$C$42, 7.4346, 7.4346) * CHOOSE(CONTROL!$C$21, $C$9, 100%, $E$9)</f>
        <v>7.4345999999999997</v>
      </c>
      <c r="R117" s="17">
        <f>CHOOSE(CONTROL!$C$42, 8.0401, 8.0401) * CHOOSE(CONTROL!$C$21, $C$9, 100%, $E$9)</f>
        <v>8.0401000000000007</v>
      </c>
      <c r="S117" s="17">
        <f>CHOOSE(CONTROL!$C$42, 6.4057, 6.4057) * CHOOSE(CONTROL!$C$21, $C$9, 100%, $E$9)</f>
        <v>6.4057000000000004</v>
      </c>
      <c r="T117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117" s="57">
        <f>(1000*CHOOSE(CONTROL!$C$42, 695, 695)*CHOOSE(CONTROL!$C$42, 0.5599, 0.5599)*CHOOSE(CONTROL!$C$42, 30, 30))/1000000</f>
        <v>11.673914999999997</v>
      </c>
      <c r="V117" s="57">
        <f>(1000*CHOOSE(CONTROL!$C$42, 500, 500)*CHOOSE(CONTROL!$C$42, 0.275, 0.275)*CHOOSE(CONTROL!$C$42, 30, 30))/1000000</f>
        <v>4.125</v>
      </c>
      <c r="W117" s="57">
        <f>(1000*CHOOSE(CONTROL!$C$42, 0.0916, 0.0916)*CHOOSE(CONTROL!$C$42, 121.5, 121.5)*CHOOSE(CONTROL!$C$42, 30, 30))/1000000</f>
        <v>0.33388200000000001</v>
      </c>
      <c r="X117" s="57">
        <f>(30*0.1790888*145000/1000000)+(30*0.2374*100000/1000000)</f>
        <v>1.4912362799999999</v>
      </c>
      <c r="Y117" s="57"/>
      <c r="Z117" s="17"/>
      <c r="AA117" s="56"/>
      <c r="AB117" s="49">
        <f>(B117*194.205+C117*267.466+D117*133.845+E117*153.484+F117*40+G117*85+H117*0+I117*100+J117*300)/(194.205+267.466+133.845+153.484+0+40+85+100+300)</f>
        <v>6.6858237709576152</v>
      </c>
      <c r="AC117" s="46">
        <f>(M117*'RAP TEMPLATE-GAS AVAILABILITY'!O116+N117*'RAP TEMPLATE-GAS AVAILABILITY'!P116+O117*'RAP TEMPLATE-GAS AVAILABILITY'!Q116+P117*'RAP TEMPLATE-GAS AVAILABILITY'!R116)/('RAP TEMPLATE-GAS AVAILABILITY'!O116+'RAP TEMPLATE-GAS AVAILABILITY'!P116+'RAP TEMPLATE-GAS AVAILABILITY'!Q116+'RAP TEMPLATE-GAS AVAILABILITY'!R116)</f>
        <v>6.651019424460431</v>
      </c>
    </row>
    <row r="118" spans="1:29" ht="15.75" x14ac:dyDescent="0.25">
      <c r="A118" s="16">
        <v>44470</v>
      </c>
      <c r="B118" s="17">
        <f>CHOOSE(CONTROL!$C$42, 6.4952, 6.4952) * CHOOSE(CONTROL!$C$21, $C$9, 100%, $E$9)</f>
        <v>6.4951999999999996</v>
      </c>
      <c r="C118" s="17">
        <f>CHOOSE(CONTROL!$C$42, 6.5006, 6.5006) * CHOOSE(CONTROL!$C$21, $C$9, 100%, $E$9)</f>
        <v>6.5006000000000004</v>
      </c>
      <c r="D118" s="17">
        <f>CHOOSE(CONTROL!$C$42, 6.7551, 6.7551) * CHOOSE(CONTROL!$C$21, $C$9, 100%, $E$9)</f>
        <v>6.7550999999999997</v>
      </c>
      <c r="E118" s="17">
        <f>CHOOSE(CONTROL!$C$42, 6.784, 6.784) * CHOOSE(CONTROL!$C$21, $C$9, 100%, $E$9)</f>
        <v>6.7839999999999998</v>
      </c>
      <c r="F118" s="17">
        <f>CHOOSE(CONTROL!$C$42, 6.5034, 6.5034)*CHOOSE(CONTROL!$C$21, $C$9, 100%, $E$9)</f>
        <v>6.5034000000000001</v>
      </c>
      <c r="G118" s="17">
        <f>CHOOSE(CONTROL!$C$42, 6.5198, 6.5198)*CHOOSE(CONTROL!$C$21, $C$9, 100%, $E$9)</f>
        <v>6.5198</v>
      </c>
      <c r="H118" s="17">
        <f>CHOOSE(CONTROL!$C$42, 6.7741, 6.7741) * CHOOSE(CONTROL!$C$21, $C$9, 100%, $E$9)</f>
        <v>6.7740999999999998</v>
      </c>
      <c r="I118" s="17">
        <f>CHOOSE(CONTROL!$C$42, 6.5374, 6.5374)* CHOOSE(CONTROL!$C$21, $C$9, 100%, $E$9)</f>
        <v>6.5373999999999999</v>
      </c>
      <c r="J118" s="17">
        <f>CHOOSE(CONTROL!$C$42, 6.496, 6.496)* CHOOSE(CONTROL!$C$21, $C$9, 100%, $E$9)</f>
        <v>6.4960000000000004</v>
      </c>
      <c r="K118" s="53">
        <f>CHOOSE(CONTROL!$C$42, 6.5313, 6.5313) * CHOOSE(CONTROL!$C$21, $C$9, 100%, $E$9)</f>
        <v>6.5312999999999999</v>
      </c>
      <c r="L118" s="17">
        <f>CHOOSE(CONTROL!$C$42, 7.3611, 7.3611) * CHOOSE(CONTROL!$C$21, $C$9, 100%, $E$9)</f>
        <v>7.3611000000000004</v>
      </c>
      <c r="M118" s="17">
        <f>CHOOSE(CONTROL!$C$42, 6.4446, 6.4446) * CHOOSE(CONTROL!$C$21, $C$9, 100%, $E$9)</f>
        <v>6.4446000000000003</v>
      </c>
      <c r="N118" s="17">
        <f>CHOOSE(CONTROL!$C$42, 6.4608, 6.4608) * CHOOSE(CONTROL!$C$21, $C$9, 100%, $E$9)</f>
        <v>6.4607999999999999</v>
      </c>
      <c r="O118" s="17">
        <f>CHOOSE(CONTROL!$C$42, 6.7202, 6.7202) * CHOOSE(CONTROL!$C$21, $C$9, 100%, $E$9)</f>
        <v>6.7202000000000002</v>
      </c>
      <c r="P118" s="17">
        <f>CHOOSE(CONTROL!$C$42, 6.4854, 6.4854) * CHOOSE(CONTROL!$C$21, $C$9, 100%, $E$9)</f>
        <v>6.4854000000000003</v>
      </c>
      <c r="Q118" s="17">
        <f>CHOOSE(CONTROL!$C$42, 7.3149, 7.3149) * CHOOSE(CONTROL!$C$21, $C$9, 100%, $E$9)</f>
        <v>7.3148999999999997</v>
      </c>
      <c r="R118" s="17">
        <f>CHOOSE(CONTROL!$C$42, 7.9201, 7.9201) * CHOOSE(CONTROL!$C$21, $C$9, 100%, $E$9)</f>
        <v>7.9200999999999997</v>
      </c>
      <c r="S118" s="17">
        <f>CHOOSE(CONTROL!$C$42, 6.2885, 6.2885) * CHOOSE(CONTROL!$C$21, $C$9, 100%, $E$9)</f>
        <v>6.2885</v>
      </c>
      <c r="T118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118" s="57">
        <f>(1000*CHOOSE(CONTROL!$C$42, 695, 695)*CHOOSE(CONTROL!$C$42, 0.5599, 0.5599)*CHOOSE(CONTROL!$C$42, 31, 31))/1000000</f>
        <v>12.063045499999998</v>
      </c>
      <c r="V118" s="57">
        <f>(1000*CHOOSE(CONTROL!$C$42, 500, 500)*CHOOSE(CONTROL!$C$42, 0.275, 0.275)*CHOOSE(CONTROL!$C$42, 31, 31))/1000000</f>
        <v>4.2625000000000002</v>
      </c>
      <c r="W118" s="57">
        <f>(1000*CHOOSE(CONTROL!$C$42, 0.0916, 0.0916)*CHOOSE(CONTROL!$C$42, 121.5, 121.5)*CHOOSE(CONTROL!$C$42, 31, 31))/1000000</f>
        <v>0.34501139999999997</v>
      </c>
      <c r="X118" s="57">
        <f>(31*0.1790888*145000/1000000)+(31*0.2374*100000/1000000)</f>
        <v>1.5409441560000001</v>
      </c>
      <c r="Y118" s="57"/>
      <c r="Z118" s="17"/>
      <c r="AA118" s="56"/>
      <c r="AB118" s="49">
        <f>(B118*131.881+C118*277.167+D118*79.08+E118*225.872+F118*40+G118*85+H118*0+I118*100+J118*300)/(131.881+277.167+79.08+225.872+0+40+85+100+300)</f>
        <v>6.5711971165456013</v>
      </c>
      <c r="AC118" s="46">
        <f>(M118*'RAP TEMPLATE-GAS AVAILABILITY'!O117+N118*'RAP TEMPLATE-GAS AVAILABILITY'!P117+O118*'RAP TEMPLATE-GAS AVAILABILITY'!Q117+P118*'RAP TEMPLATE-GAS AVAILABILITY'!R117)/('RAP TEMPLATE-GAS AVAILABILITY'!O117+'RAP TEMPLATE-GAS AVAILABILITY'!P117+'RAP TEMPLATE-GAS AVAILABILITY'!Q117+'RAP TEMPLATE-GAS AVAILABILITY'!R117)</f>
        <v>6.531526618705036</v>
      </c>
    </row>
    <row r="119" spans="1:29" ht="15.75" x14ac:dyDescent="0.25">
      <c r="A119" s="16">
        <v>44501</v>
      </c>
      <c r="B119" s="17">
        <f>CHOOSE(CONTROL!$C$42, 6.6794, 6.6794) * CHOOSE(CONTROL!$C$21, $C$9, 100%, $E$9)</f>
        <v>6.6794000000000002</v>
      </c>
      <c r="C119" s="17">
        <f>CHOOSE(CONTROL!$C$42, 6.6845, 6.6845) * CHOOSE(CONTROL!$C$21, $C$9, 100%, $E$9)</f>
        <v>6.6844999999999999</v>
      </c>
      <c r="D119" s="17">
        <f>CHOOSE(CONTROL!$C$42, 6.8071, 6.8071) * CHOOSE(CONTROL!$C$21, $C$9, 100%, $E$9)</f>
        <v>6.8071000000000002</v>
      </c>
      <c r="E119" s="17">
        <f>CHOOSE(CONTROL!$C$42, 6.8408, 6.8408) * CHOOSE(CONTROL!$C$21, $C$9, 100%, $E$9)</f>
        <v>6.8407999999999998</v>
      </c>
      <c r="F119" s="17">
        <f>CHOOSE(CONTROL!$C$42, 6.6944, 6.6944)*CHOOSE(CONTROL!$C$21, $C$9, 100%, $E$9)</f>
        <v>6.6943999999999999</v>
      </c>
      <c r="G119" s="17">
        <f>CHOOSE(CONTROL!$C$42, 6.711, 6.711)*CHOOSE(CONTROL!$C$21, $C$9, 100%, $E$9)</f>
        <v>6.7110000000000003</v>
      </c>
      <c r="H119" s="17">
        <f>CHOOSE(CONTROL!$C$42, 6.8297, 6.8297) * CHOOSE(CONTROL!$C$21, $C$9, 100%, $E$9)</f>
        <v>6.8296999999999999</v>
      </c>
      <c r="I119" s="17">
        <f>CHOOSE(CONTROL!$C$42, 6.725, 6.725)* CHOOSE(CONTROL!$C$21, $C$9, 100%, $E$9)</f>
        <v>6.7249999999999996</v>
      </c>
      <c r="J119" s="17">
        <f>CHOOSE(CONTROL!$C$42, 6.687, 6.687)* CHOOSE(CONTROL!$C$21, $C$9, 100%, $E$9)</f>
        <v>6.6870000000000003</v>
      </c>
      <c r="K119" s="53">
        <f>CHOOSE(CONTROL!$C$42, 6.719, 6.719) * CHOOSE(CONTROL!$C$21, $C$9, 100%, $E$9)</f>
        <v>6.7190000000000003</v>
      </c>
      <c r="L119" s="17">
        <f>CHOOSE(CONTROL!$C$42, 7.4167, 7.4167) * CHOOSE(CONTROL!$C$21, $C$9, 100%, $E$9)</f>
        <v>7.4166999999999996</v>
      </c>
      <c r="M119" s="17">
        <f>CHOOSE(CONTROL!$C$42, 6.6338, 6.6338) * CHOOSE(CONTROL!$C$21, $C$9, 100%, $E$9)</f>
        <v>6.6337999999999999</v>
      </c>
      <c r="N119" s="17">
        <f>CHOOSE(CONTROL!$C$42, 6.6504, 6.6504) * CHOOSE(CONTROL!$C$21, $C$9, 100%, $E$9)</f>
        <v>6.6504000000000003</v>
      </c>
      <c r="O119" s="17">
        <f>CHOOSE(CONTROL!$C$42, 6.7753, 6.7753) * CHOOSE(CONTROL!$C$21, $C$9, 100%, $E$9)</f>
        <v>6.7752999999999997</v>
      </c>
      <c r="P119" s="17">
        <f>CHOOSE(CONTROL!$C$42, 6.6714, 6.6714) * CHOOSE(CONTROL!$C$21, $C$9, 100%, $E$9)</f>
        <v>6.6714000000000002</v>
      </c>
      <c r="Q119" s="17">
        <f>CHOOSE(CONTROL!$C$42, 7.37, 7.37) * CHOOSE(CONTROL!$C$21, $C$9, 100%, $E$9)</f>
        <v>7.37</v>
      </c>
      <c r="R119" s="17">
        <f>CHOOSE(CONTROL!$C$42, 7.9754, 7.9754) * CHOOSE(CONTROL!$C$21, $C$9, 100%, $E$9)</f>
        <v>7.9753999999999996</v>
      </c>
      <c r="S119" s="17">
        <f>CHOOSE(CONTROL!$C$42, 6.4675, 6.4675) * CHOOSE(CONTROL!$C$21, $C$9, 100%, $E$9)</f>
        <v>6.4675000000000002</v>
      </c>
      <c r="T119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119" s="57">
        <f>(1000*CHOOSE(CONTROL!$C$42, 695, 695)*CHOOSE(CONTROL!$C$42, 0.5599, 0.5599)*CHOOSE(CONTROL!$C$42, 30, 30))/1000000</f>
        <v>11.673914999999997</v>
      </c>
      <c r="V119" s="57">
        <f>(1000*CHOOSE(CONTROL!$C$42, 500, 500)*CHOOSE(CONTROL!$C$42, 0.275, 0.275)*CHOOSE(CONTROL!$C$42, 30, 30))/1000000</f>
        <v>4.125</v>
      </c>
      <c r="W119" s="57">
        <f>(1000*CHOOSE(CONTROL!$C$42, 0.0916, 0.0916)*CHOOSE(CONTROL!$C$42, 121.5, 121.5)*CHOOSE(CONTROL!$C$42, 30, 30))/1000000</f>
        <v>0.33388200000000001</v>
      </c>
      <c r="X119" s="57">
        <f>(30*0.2374*100000/1000000)</f>
        <v>0.71220000000000006</v>
      </c>
      <c r="Y119" s="57"/>
      <c r="Z119" s="17"/>
      <c r="AA119" s="56"/>
      <c r="AB119" s="49">
        <f>(B119*122.58+C119*297.941+D119*89.177+E119*140.302+F119*40+G119*60+H119*0+I119*100+J119*300)/(122.58+297.941+89.177+140.302+0+40+60+100+300)</f>
        <v>6.7184331693913037</v>
      </c>
      <c r="AC119" s="46">
        <f>(M119*'RAP TEMPLATE-GAS AVAILABILITY'!O118+N119*'RAP TEMPLATE-GAS AVAILABILITY'!P118+O119*'RAP TEMPLATE-GAS AVAILABILITY'!Q118+P119*'RAP TEMPLATE-GAS AVAILABILITY'!R118)/('RAP TEMPLATE-GAS AVAILABILITY'!O118+'RAP TEMPLATE-GAS AVAILABILITY'!P118+'RAP TEMPLATE-GAS AVAILABILITY'!Q118+'RAP TEMPLATE-GAS AVAILABILITY'!R118)</f>
        <v>6.704298561151079</v>
      </c>
    </row>
    <row r="120" spans="1:29" ht="15.75" x14ac:dyDescent="0.25">
      <c r="A120" s="16">
        <v>44531</v>
      </c>
      <c r="B120" s="17">
        <f>CHOOSE(CONTROL!$C$42, 7.1487, 7.1487) * CHOOSE(CONTROL!$C$21, $C$9, 100%, $E$9)</f>
        <v>7.1486999999999998</v>
      </c>
      <c r="C120" s="17">
        <f>CHOOSE(CONTROL!$C$42, 7.1538, 7.1538) * CHOOSE(CONTROL!$C$21, $C$9, 100%, $E$9)</f>
        <v>7.1538000000000004</v>
      </c>
      <c r="D120" s="17">
        <f>CHOOSE(CONTROL!$C$42, 7.2764, 7.2764) * CHOOSE(CONTROL!$C$21, $C$9, 100%, $E$9)</f>
        <v>7.2763999999999998</v>
      </c>
      <c r="E120" s="17">
        <f>CHOOSE(CONTROL!$C$42, 7.3102, 7.3102) * CHOOSE(CONTROL!$C$21, $C$9, 100%, $E$9)</f>
        <v>7.3102</v>
      </c>
      <c r="F120" s="17">
        <f>CHOOSE(CONTROL!$C$42, 7.1662, 7.1662)*CHOOSE(CONTROL!$C$21, $C$9, 100%, $E$9)</f>
        <v>7.1661999999999999</v>
      </c>
      <c r="G120" s="17">
        <f>CHOOSE(CONTROL!$C$42, 7.1835, 7.1835)*CHOOSE(CONTROL!$C$21, $C$9, 100%, $E$9)</f>
        <v>7.1835000000000004</v>
      </c>
      <c r="H120" s="17">
        <f>CHOOSE(CONTROL!$C$42, 7.2991, 7.2991) * CHOOSE(CONTROL!$C$21, $C$9, 100%, $E$9)</f>
        <v>7.2991000000000001</v>
      </c>
      <c r="I120" s="17">
        <f>CHOOSE(CONTROL!$C$42, 7.1959, 7.1959)* CHOOSE(CONTROL!$C$21, $C$9, 100%, $E$9)</f>
        <v>7.1959</v>
      </c>
      <c r="J120" s="17">
        <f>CHOOSE(CONTROL!$C$42, 7.1588, 7.1588)* CHOOSE(CONTROL!$C$21, $C$9, 100%, $E$9)</f>
        <v>7.1588000000000003</v>
      </c>
      <c r="K120" s="53">
        <f>CHOOSE(CONTROL!$C$42, 7.1898, 7.1898) * CHOOSE(CONTROL!$C$21, $C$9, 100%, $E$9)</f>
        <v>7.1898</v>
      </c>
      <c r="L120" s="17">
        <f>CHOOSE(CONTROL!$C$42, 7.8861, 7.8861) * CHOOSE(CONTROL!$C$21, $C$9, 100%, $E$9)</f>
        <v>7.8860999999999999</v>
      </c>
      <c r="M120" s="17">
        <f>CHOOSE(CONTROL!$C$42, 7.1014, 7.1014) * CHOOSE(CONTROL!$C$21, $C$9, 100%, $E$9)</f>
        <v>7.1013999999999999</v>
      </c>
      <c r="N120" s="17">
        <f>CHOOSE(CONTROL!$C$42, 7.1185, 7.1185) * CHOOSE(CONTROL!$C$21, $C$9, 100%, $E$9)</f>
        <v>7.1185</v>
      </c>
      <c r="O120" s="17">
        <f>CHOOSE(CONTROL!$C$42, 7.2404, 7.2404) * CHOOSE(CONTROL!$C$21, $C$9, 100%, $E$9)</f>
        <v>7.2404000000000002</v>
      </c>
      <c r="P120" s="17">
        <f>CHOOSE(CONTROL!$C$42, 7.138, 7.138) * CHOOSE(CONTROL!$C$21, $C$9, 100%, $E$9)</f>
        <v>7.1379999999999999</v>
      </c>
      <c r="Q120" s="17">
        <f>CHOOSE(CONTROL!$C$42, 7.8351, 7.8351) * CHOOSE(CONTROL!$C$21, $C$9, 100%, $E$9)</f>
        <v>7.8350999999999997</v>
      </c>
      <c r="R120" s="17">
        <f>CHOOSE(CONTROL!$C$42, 8.4417, 8.4417) * CHOOSE(CONTROL!$C$21, $C$9, 100%, $E$9)</f>
        <v>8.4417000000000009</v>
      </c>
      <c r="S120" s="17">
        <f>CHOOSE(CONTROL!$C$42, 6.9226, 6.9226) * CHOOSE(CONTROL!$C$21, $C$9, 100%, $E$9)</f>
        <v>6.9226000000000001</v>
      </c>
      <c r="T120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120" s="57">
        <f>(1000*CHOOSE(CONTROL!$C$42, 695, 695)*CHOOSE(CONTROL!$C$42, 0.5599, 0.5599)*CHOOSE(CONTROL!$C$42, 31, 31))/1000000</f>
        <v>12.063045499999998</v>
      </c>
      <c r="V120" s="57">
        <f>(1000*CHOOSE(CONTROL!$C$42, 500, 500)*CHOOSE(CONTROL!$C$42, 0.275, 0.275)*CHOOSE(CONTROL!$C$42, 31, 31))/1000000</f>
        <v>4.2625000000000002</v>
      </c>
      <c r="W120" s="57">
        <f>(1000*CHOOSE(CONTROL!$C$42, 0.0916, 0.0916)*CHOOSE(CONTROL!$C$42, 121.5, 121.5)*CHOOSE(CONTROL!$C$42, 31, 31))/1000000</f>
        <v>0.34501139999999997</v>
      </c>
      <c r="X120" s="57">
        <f>(31*0.2374*100000/1000000)</f>
        <v>0.73594000000000004</v>
      </c>
      <c r="Y120" s="57"/>
      <c r="Z120" s="17"/>
      <c r="AA120" s="56"/>
      <c r="AB120" s="49">
        <f>(B120*122.58+C120*297.941+D120*89.177+E120*140.302+F120*40+G120*60+H120*0+I120*100+J120*300)/(122.58+297.941+89.177+140.302+0+40+60+100+300)</f>
        <v>7.1887905869565234</v>
      </c>
      <c r="AC120" s="46">
        <f>(M120*'RAP TEMPLATE-GAS AVAILABILITY'!O119+N120*'RAP TEMPLATE-GAS AVAILABILITY'!P119+O120*'RAP TEMPLATE-GAS AVAILABILITY'!Q119+P120*'RAP TEMPLATE-GAS AVAILABILITY'!R119)/('RAP TEMPLATE-GAS AVAILABILITY'!O119+'RAP TEMPLATE-GAS AVAILABILITY'!P119+'RAP TEMPLATE-GAS AVAILABILITY'!Q119+'RAP TEMPLATE-GAS AVAILABILITY'!R119)</f>
        <v>7.17065035971223</v>
      </c>
    </row>
    <row r="121" spans="1:29" ht="15.75" x14ac:dyDescent="0.25">
      <c r="A121" s="16">
        <v>44562</v>
      </c>
      <c r="B121" s="17">
        <f>CHOOSE(CONTROL!$C$42, 7.5913, 7.5913) * CHOOSE(CONTROL!$C$21, $C$9, 100%, $E$9)</f>
        <v>7.5913000000000004</v>
      </c>
      <c r="C121" s="17">
        <f>CHOOSE(CONTROL!$C$42, 7.5964, 7.5964) * CHOOSE(CONTROL!$C$21, $C$9, 100%, $E$9)</f>
        <v>7.5964</v>
      </c>
      <c r="D121" s="17">
        <f>CHOOSE(CONTROL!$C$42, 7.7139, 7.7139) * CHOOSE(CONTROL!$C$21, $C$9, 100%, $E$9)</f>
        <v>7.7138999999999998</v>
      </c>
      <c r="E121" s="17">
        <f>CHOOSE(CONTROL!$C$42, 7.7476, 7.7476) * CHOOSE(CONTROL!$C$21, $C$9, 100%, $E$9)</f>
        <v>7.7476000000000003</v>
      </c>
      <c r="F121" s="17">
        <f>CHOOSE(CONTROL!$C$42, 7.6049, 7.6049)*CHOOSE(CONTROL!$C$21, $C$9, 100%, $E$9)</f>
        <v>7.6048999999999998</v>
      </c>
      <c r="G121" s="17">
        <f>CHOOSE(CONTROL!$C$42, 7.6212, 7.6212)*CHOOSE(CONTROL!$C$21, $C$9, 100%, $E$9)</f>
        <v>7.6212</v>
      </c>
      <c r="H121" s="17">
        <f>CHOOSE(CONTROL!$C$42, 7.7365, 7.7365) * CHOOSE(CONTROL!$C$21, $C$9, 100%, $E$9)</f>
        <v>7.7365000000000004</v>
      </c>
      <c r="I121" s="17">
        <f>CHOOSE(CONTROL!$C$42, 7.6383, 7.6383)* CHOOSE(CONTROL!$C$21, $C$9, 100%, $E$9)</f>
        <v>7.6383000000000001</v>
      </c>
      <c r="J121" s="17">
        <f>CHOOSE(CONTROL!$C$42, 7.5975, 7.5975)* CHOOSE(CONTROL!$C$21, $C$9, 100%, $E$9)</f>
        <v>7.5975000000000001</v>
      </c>
      <c r="K121" s="53">
        <f>CHOOSE(CONTROL!$C$42, 7.6322, 7.6322) * CHOOSE(CONTROL!$C$21, $C$9, 100%, $E$9)</f>
        <v>7.6322000000000001</v>
      </c>
      <c r="L121" s="17">
        <f>CHOOSE(CONTROL!$C$42, 8.3235, 8.3235) * CHOOSE(CONTROL!$C$21, $C$9, 100%, $E$9)</f>
        <v>8.3234999999999992</v>
      </c>
      <c r="M121" s="17">
        <f>CHOOSE(CONTROL!$C$42, 7.5362, 7.5362) * CHOOSE(CONTROL!$C$21, $C$9, 100%, $E$9)</f>
        <v>7.5362</v>
      </c>
      <c r="N121" s="17">
        <f>CHOOSE(CONTROL!$C$42, 7.5524, 7.5524) * CHOOSE(CONTROL!$C$21, $C$9, 100%, $E$9)</f>
        <v>7.5523999999999996</v>
      </c>
      <c r="O121" s="17">
        <f>CHOOSE(CONTROL!$C$42, 7.6739, 7.6739) * CHOOSE(CONTROL!$C$21, $C$9, 100%, $E$9)</f>
        <v>7.6738999999999997</v>
      </c>
      <c r="P121" s="17">
        <f>CHOOSE(CONTROL!$C$42, 7.5764, 7.5764) * CHOOSE(CONTROL!$C$21, $C$9, 100%, $E$9)</f>
        <v>7.5763999999999996</v>
      </c>
      <c r="Q121" s="17">
        <f>CHOOSE(CONTROL!$C$42, 8.2686, 8.2686) * CHOOSE(CONTROL!$C$21, $C$9, 100%, $E$9)</f>
        <v>8.2685999999999993</v>
      </c>
      <c r="R121" s="17">
        <f>CHOOSE(CONTROL!$C$42, 8.8763, 8.8763) * CHOOSE(CONTROL!$C$21, $C$9, 100%, $E$9)</f>
        <v>8.8763000000000005</v>
      </c>
      <c r="S121" s="17">
        <f>CHOOSE(CONTROL!$C$42, 7.3518, 7.3518) * CHOOSE(CONTROL!$C$21, $C$9, 100%, $E$9)</f>
        <v>7.3517999999999999</v>
      </c>
      <c r="T121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121" s="57">
        <f>(1000*CHOOSE(CONTROL!$C$42, 695, 695)*CHOOSE(CONTROL!$C$42, 0.5599, 0.5599)*CHOOSE(CONTROL!$C$42, 31, 31))/1000000</f>
        <v>12.063045499999998</v>
      </c>
      <c r="V121" s="57">
        <f>(1000*CHOOSE(CONTROL!$C$42, 500, 500)*CHOOSE(CONTROL!$C$42, 0.275, 0.275)*CHOOSE(CONTROL!$C$42, 31, 31))/1000000</f>
        <v>4.2625000000000002</v>
      </c>
      <c r="W121" s="57">
        <f>(1000*CHOOSE(CONTROL!$C$42, 0.0916, 0.0916)*CHOOSE(CONTROL!$C$42, 121.5, 121.5)*CHOOSE(CONTROL!$C$42, 31, 31))/1000000</f>
        <v>0.34501139999999997</v>
      </c>
      <c r="X121" s="57">
        <f>(31*0.2374*100000/1000000)</f>
        <v>0.73594000000000004</v>
      </c>
      <c r="Y121" s="57"/>
      <c r="Z121" s="17"/>
      <c r="AA121" s="56"/>
      <c r="AB121" s="49">
        <f>(B121*122.58+C121*297.941+D121*89.177+E121*140.302+F121*40+G121*60+H121*0+I121*100+J121*300)/(122.58+297.941+89.177+140.302+0+40+60+100+300)</f>
        <v>7.6289346103478257</v>
      </c>
      <c r="AC121" s="46">
        <f>(M121*'RAP TEMPLATE-GAS AVAILABILITY'!O120+N121*'RAP TEMPLATE-GAS AVAILABILITY'!P120+O121*'RAP TEMPLATE-GAS AVAILABILITY'!Q120+P121*'RAP TEMPLATE-GAS AVAILABILITY'!R120)/('RAP TEMPLATE-GAS AVAILABILITY'!O120+'RAP TEMPLATE-GAS AVAILABILITY'!P120+'RAP TEMPLATE-GAS AVAILABILITY'!Q120+'RAP TEMPLATE-GAS AVAILABILITY'!R120)</f>
        <v>7.6053273381294968</v>
      </c>
    </row>
    <row r="122" spans="1:29" ht="15.75" x14ac:dyDescent="0.25">
      <c r="A122" s="16">
        <v>44593</v>
      </c>
      <c r="B122" s="17">
        <f>CHOOSE(CONTROL!$C$42, 7.7422, 7.7422) * CHOOSE(CONTROL!$C$21, $C$9, 100%, $E$9)</f>
        <v>7.7422000000000004</v>
      </c>
      <c r="C122" s="17">
        <f>CHOOSE(CONTROL!$C$42, 7.7472, 7.7472) * CHOOSE(CONTROL!$C$21, $C$9, 100%, $E$9)</f>
        <v>7.7472000000000003</v>
      </c>
      <c r="D122" s="17">
        <f>CHOOSE(CONTROL!$C$42, 7.8647, 7.8647) * CHOOSE(CONTROL!$C$21, $C$9, 100%, $E$9)</f>
        <v>7.8647</v>
      </c>
      <c r="E122" s="17">
        <f>CHOOSE(CONTROL!$C$42, 7.8985, 7.8985) * CHOOSE(CONTROL!$C$21, $C$9, 100%, $E$9)</f>
        <v>7.8985000000000003</v>
      </c>
      <c r="F122" s="17">
        <f>CHOOSE(CONTROL!$C$42, 7.7558, 7.7558)*CHOOSE(CONTROL!$C$21, $C$9, 100%, $E$9)</f>
        <v>7.7557999999999998</v>
      </c>
      <c r="G122" s="17">
        <f>CHOOSE(CONTROL!$C$42, 7.7721, 7.7721)*CHOOSE(CONTROL!$C$21, $C$9, 100%, $E$9)</f>
        <v>7.7721</v>
      </c>
      <c r="H122" s="17">
        <f>CHOOSE(CONTROL!$C$42, 7.8873, 7.8873) * CHOOSE(CONTROL!$C$21, $C$9, 100%, $E$9)</f>
        <v>7.8872999999999998</v>
      </c>
      <c r="I122" s="17">
        <f>CHOOSE(CONTROL!$C$42, 7.7896, 7.7896)* CHOOSE(CONTROL!$C$21, $C$9, 100%, $E$9)</f>
        <v>7.7896000000000001</v>
      </c>
      <c r="J122" s="17">
        <f>CHOOSE(CONTROL!$C$42, 7.7484, 7.7484)* CHOOSE(CONTROL!$C$21, $C$9, 100%, $E$9)</f>
        <v>7.7484000000000002</v>
      </c>
      <c r="K122" s="53">
        <f>CHOOSE(CONTROL!$C$42, 7.7835, 7.7835) * CHOOSE(CONTROL!$C$21, $C$9, 100%, $E$9)</f>
        <v>7.7835000000000001</v>
      </c>
      <c r="L122" s="17">
        <f>CHOOSE(CONTROL!$C$42, 8.4743, 8.4743) * CHOOSE(CONTROL!$C$21, $C$9, 100%, $E$9)</f>
        <v>8.4742999999999995</v>
      </c>
      <c r="M122" s="17">
        <f>CHOOSE(CONTROL!$C$42, 7.6857, 7.6857) * CHOOSE(CONTROL!$C$21, $C$9, 100%, $E$9)</f>
        <v>7.6856999999999998</v>
      </c>
      <c r="N122" s="17">
        <f>CHOOSE(CONTROL!$C$42, 7.7019, 7.7019) * CHOOSE(CONTROL!$C$21, $C$9, 100%, $E$9)</f>
        <v>7.7019000000000002</v>
      </c>
      <c r="O122" s="17">
        <f>CHOOSE(CONTROL!$C$42, 7.8234, 7.8234) * CHOOSE(CONTROL!$C$21, $C$9, 100%, $E$9)</f>
        <v>7.8234000000000004</v>
      </c>
      <c r="P122" s="17">
        <f>CHOOSE(CONTROL!$C$42, 7.7264, 7.7264) * CHOOSE(CONTROL!$C$21, $C$9, 100%, $E$9)</f>
        <v>7.7263999999999999</v>
      </c>
      <c r="Q122" s="17">
        <f>CHOOSE(CONTROL!$C$42, 8.4181, 8.4181) * CHOOSE(CONTROL!$C$21, $C$9, 100%, $E$9)</f>
        <v>8.4181000000000008</v>
      </c>
      <c r="R122" s="17">
        <f>CHOOSE(CONTROL!$C$42, 9.0262, 9.0262) * CHOOSE(CONTROL!$C$21, $C$9, 100%, $E$9)</f>
        <v>9.0261999999999993</v>
      </c>
      <c r="S122" s="17">
        <f>CHOOSE(CONTROL!$C$42, 7.4981, 7.4981) * CHOOSE(CONTROL!$C$21, $C$9, 100%, $E$9)</f>
        <v>7.4981</v>
      </c>
      <c r="T122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122" s="57">
        <f>(1000*CHOOSE(CONTROL!$C$42, 695, 695)*CHOOSE(CONTROL!$C$42, 0.5599, 0.5599)*CHOOSE(CONTROL!$C$42, 28, 28))/1000000</f>
        <v>10.895653999999999</v>
      </c>
      <c r="V122" s="57">
        <f>(1000*CHOOSE(CONTROL!$C$42, 500, 500)*CHOOSE(CONTROL!$C$42, 0.275, 0.275)*CHOOSE(CONTROL!$C$42, 28, 28))/1000000</f>
        <v>3.85</v>
      </c>
      <c r="W122" s="57">
        <f>(1000*CHOOSE(CONTROL!$C$42, 0.0916, 0.0916)*CHOOSE(CONTROL!$C$42, 121.5, 121.5)*CHOOSE(CONTROL!$C$42, 28, 28))/1000000</f>
        <v>0.31162319999999999</v>
      </c>
      <c r="X122" s="57">
        <f>(28*0.2374*100000/1000000)</f>
        <v>0.66471999999999998</v>
      </c>
      <c r="Y122" s="57"/>
      <c r="Z122" s="17"/>
      <c r="AA122" s="56"/>
      <c r="AB122" s="49">
        <f>(B122*122.58+C122*297.941+D122*89.177+E122*140.302+F122*40+G122*60+H122*0+I122*100+J122*300)/(122.58+297.941+89.177+140.302+0+40+60+100+300)</f>
        <v>7.7798357305217394</v>
      </c>
      <c r="AC122" s="46">
        <f>(M122*'RAP TEMPLATE-GAS AVAILABILITY'!O121+N122*'RAP TEMPLATE-GAS AVAILABILITY'!P121+O122*'RAP TEMPLATE-GAS AVAILABILITY'!Q121+P122*'RAP TEMPLATE-GAS AVAILABILITY'!R121)/('RAP TEMPLATE-GAS AVAILABILITY'!O121+'RAP TEMPLATE-GAS AVAILABILITY'!P121+'RAP TEMPLATE-GAS AVAILABILITY'!Q121+'RAP TEMPLATE-GAS AVAILABILITY'!R121)</f>
        <v>7.7548992805755406</v>
      </c>
    </row>
    <row r="123" spans="1:29" ht="15.75" x14ac:dyDescent="0.25">
      <c r="A123" s="16">
        <v>44621</v>
      </c>
      <c r="B123" s="17">
        <f>CHOOSE(CONTROL!$C$42, 7.5381, 7.5381) * CHOOSE(CONTROL!$C$21, $C$9, 100%, $E$9)</f>
        <v>7.5381</v>
      </c>
      <c r="C123" s="17">
        <f>CHOOSE(CONTROL!$C$42, 7.5432, 7.5432) * CHOOSE(CONTROL!$C$21, $C$9, 100%, $E$9)</f>
        <v>7.5431999999999997</v>
      </c>
      <c r="D123" s="17">
        <f>CHOOSE(CONTROL!$C$42, 7.6607, 7.6607) * CHOOSE(CONTROL!$C$21, $C$9, 100%, $E$9)</f>
        <v>7.6607000000000003</v>
      </c>
      <c r="E123" s="17">
        <f>CHOOSE(CONTROL!$C$42, 7.6944, 7.6944) * CHOOSE(CONTROL!$C$21, $C$9, 100%, $E$9)</f>
        <v>7.6943999999999999</v>
      </c>
      <c r="F123" s="17">
        <f>CHOOSE(CONTROL!$C$42, 7.5511, 7.5511)*CHOOSE(CONTROL!$C$21, $C$9, 100%, $E$9)</f>
        <v>7.5510999999999999</v>
      </c>
      <c r="G123" s="17">
        <f>CHOOSE(CONTROL!$C$42, 7.5673, 7.5673)*CHOOSE(CONTROL!$C$21, $C$9, 100%, $E$9)</f>
        <v>7.5673000000000004</v>
      </c>
      <c r="H123" s="17">
        <f>CHOOSE(CONTROL!$C$42, 7.6833, 7.6833) * CHOOSE(CONTROL!$C$21, $C$9, 100%, $E$9)</f>
        <v>7.6833</v>
      </c>
      <c r="I123" s="17">
        <f>CHOOSE(CONTROL!$C$42, 7.5849, 7.5849)* CHOOSE(CONTROL!$C$21, $C$9, 100%, $E$9)</f>
        <v>7.5849000000000002</v>
      </c>
      <c r="J123" s="17">
        <f>CHOOSE(CONTROL!$C$42, 7.5437, 7.5437)* CHOOSE(CONTROL!$C$21, $C$9, 100%, $E$9)</f>
        <v>7.5437000000000003</v>
      </c>
      <c r="K123" s="53">
        <f>CHOOSE(CONTROL!$C$42, 7.5789, 7.5789) * CHOOSE(CONTROL!$C$21, $C$9, 100%, $E$9)</f>
        <v>7.5789</v>
      </c>
      <c r="L123" s="17">
        <f>CHOOSE(CONTROL!$C$42, 8.2703, 8.2703) * CHOOSE(CONTROL!$C$21, $C$9, 100%, $E$9)</f>
        <v>8.2703000000000007</v>
      </c>
      <c r="M123" s="17">
        <f>CHOOSE(CONTROL!$C$42, 7.4829, 7.4829) * CHOOSE(CONTROL!$C$21, $C$9, 100%, $E$9)</f>
        <v>7.4828999999999999</v>
      </c>
      <c r="N123" s="17">
        <f>CHOOSE(CONTROL!$C$42, 7.4989, 7.4989) * CHOOSE(CONTROL!$C$21, $C$9, 100%, $E$9)</f>
        <v>7.4988999999999999</v>
      </c>
      <c r="O123" s="17">
        <f>CHOOSE(CONTROL!$C$42, 7.6212, 7.6212) * CHOOSE(CONTROL!$C$21, $C$9, 100%, $E$9)</f>
        <v>7.6212</v>
      </c>
      <c r="P123" s="17">
        <f>CHOOSE(CONTROL!$C$42, 7.5236, 7.5236) * CHOOSE(CONTROL!$C$21, $C$9, 100%, $E$9)</f>
        <v>7.5236000000000001</v>
      </c>
      <c r="Q123" s="17">
        <f>CHOOSE(CONTROL!$C$42, 8.2159, 8.2159) * CHOOSE(CONTROL!$C$21, $C$9, 100%, $E$9)</f>
        <v>8.2158999999999995</v>
      </c>
      <c r="R123" s="17">
        <f>CHOOSE(CONTROL!$C$42, 8.8234, 8.8234) * CHOOSE(CONTROL!$C$21, $C$9, 100%, $E$9)</f>
        <v>8.8233999999999995</v>
      </c>
      <c r="S123" s="17">
        <f>CHOOSE(CONTROL!$C$42, 7.3002, 7.3002) * CHOOSE(CONTROL!$C$21, $C$9, 100%, $E$9)</f>
        <v>7.3002000000000002</v>
      </c>
      <c r="T123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123" s="57">
        <f>(1000*CHOOSE(CONTROL!$C$42, 695, 695)*CHOOSE(CONTROL!$C$42, 0.5599, 0.5599)*CHOOSE(CONTROL!$C$42, 31, 31))/1000000</f>
        <v>12.063045499999998</v>
      </c>
      <c r="V123" s="57">
        <f>(1000*CHOOSE(CONTROL!$C$42, 500, 500)*CHOOSE(CONTROL!$C$42, 0.275, 0.275)*CHOOSE(CONTROL!$C$42, 31, 31))/1000000</f>
        <v>4.2625000000000002</v>
      </c>
      <c r="W123" s="57">
        <f>(1000*CHOOSE(CONTROL!$C$42, 0.0916, 0.0916)*CHOOSE(CONTROL!$C$42, 121.5, 121.5)*CHOOSE(CONTROL!$C$42, 31, 31))/1000000</f>
        <v>0.34501139999999997</v>
      </c>
      <c r="X123" s="57">
        <f>(31*0.2374*100000/1000000)</f>
        <v>0.73594000000000004</v>
      </c>
      <c r="Y123" s="57"/>
      <c r="Z123" s="17"/>
      <c r="AA123" s="56"/>
      <c r="AB123" s="49">
        <f>(B123*122.58+C123*297.941+D123*89.177+E123*140.302+F123*40+G123*60+H123*0+I123*100+J123*300)/(122.58+297.941+89.177+140.302+0+40+60+100+300)</f>
        <v>7.575503305999999</v>
      </c>
      <c r="AC123" s="46">
        <f>(M123*'RAP TEMPLATE-GAS AVAILABILITY'!O122+N123*'RAP TEMPLATE-GAS AVAILABILITY'!P122+O123*'RAP TEMPLATE-GAS AVAILABILITY'!Q122+P123*'RAP TEMPLATE-GAS AVAILABILITY'!R122)/('RAP TEMPLATE-GAS AVAILABILITY'!O122+'RAP TEMPLATE-GAS AVAILABILITY'!P122+'RAP TEMPLATE-GAS AVAILABILITY'!Q122+'RAP TEMPLATE-GAS AVAILABILITY'!R122)</f>
        <v>7.5523597122302153</v>
      </c>
    </row>
    <row r="124" spans="1:29" ht="15.75" x14ac:dyDescent="0.25">
      <c r="A124" s="16">
        <v>44652</v>
      </c>
      <c r="B124" s="17">
        <f>CHOOSE(CONTROL!$C$42, 7.532, 7.532) * CHOOSE(CONTROL!$C$21, $C$9, 100%, $E$9)</f>
        <v>7.532</v>
      </c>
      <c r="C124" s="17">
        <f>CHOOSE(CONTROL!$C$42, 7.5366, 7.5366) * CHOOSE(CONTROL!$C$21, $C$9, 100%, $E$9)</f>
        <v>7.5366</v>
      </c>
      <c r="D124" s="17">
        <f>CHOOSE(CONTROL!$C$42, 7.7893, 7.7893) * CHOOSE(CONTROL!$C$21, $C$9, 100%, $E$9)</f>
        <v>7.7892999999999999</v>
      </c>
      <c r="E124" s="17">
        <f>CHOOSE(CONTROL!$C$42, 7.8211, 7.8211) * CHOOSE(CONTROL!$C$21, $C$9, 100%, $E$9)</f>
        <v>7.8211000000000004</v>
      </c>
      <c r="F124" s="17">
        <f>CHOOSE(CONTROL!$C$42, 7.538, 7.538)*CHOOSE(CONTROL!$C$21, $C$9, 100%, $E$9)</f>
        <v>7.5380000000000003</v>
      </c>
      <c r="G124" s="17">
        <f>CHOOSE(CONTROL!$C$42, 7.5538, 7.5538)*CHOOSE(CONTROL!$C$21, $C$9, 100%, $E$9)</f>
        <v>7.5537999999999998</v>
      </c>
      <c r="H124" s="17">
        <f>CHOOSE(CONTROL!$C$42, 7.8105, 7.8105) * CHOOSE(CONTROL!$C$21, $C$9, 100%, $E$9)</f>
        <v>7.8105000000000002</v>
      </c>
      <c r="I124" s="17">
        <f>CHOOSE(CONTROL!$C$42, 7.577, 7.577)* CHOOSE(CONTROL!$C$21, $C$9, 100%, $E$9)</f>
        <v>7.577</v>
      </c>
      <c r="J124" s="17">
        <f>CHOOSE(CONTROL!$C$42, 7.5306, 7.5306)* CHOOSE(CONTROL!$C$21, $C$9, 100%, $E$9)</f>
        <v>7.5305999999999997</v>
      </c>
      <c r="K124" s="53">
        <f>CHOOSE(CONTROL!$C$42, 7.571, 7.571) * CHOOSE(CONTROL!$C$21, $C$9, 100%, $E$9)</f>
        <v>7.5709999999999997</v>
      </c>
      <c r="L124" s="17">
        <f>CHOOSE(CONTROL!$C$42, 8.3975, 8.3975) * CHOOSE(CONTROL!$C$21, $C$9, 100%, $E$9)</f>
        <v>8.3975000000000009</v>
      </c>
      <c r="M124" s="17">
        <f>CHOOSE(CONTROL!$C$42, 7.4699, 7.4699) * CHOOSE(CONTROL!$C$21, $C$9, 100%, $E$9)</f>
        <v>7.4699</v>
      </c>
      <c r="N124" s="17">
        <f>CHOOSE(CONTROL!$C$42, 7.4856, 7.4856) * CHOOSE(CONTROL!$C$21, $C$9, 100%, $E$9)</f>
        <v>7.4855999999999998</v>
      </c>
      <c r="O124" s="17">
        <f>CHOOSE(CONTROL!$C$42, 7.7473, 7.7473) * CHOOSE(CONTROL!$C$21, $C$9, 100%, $E$9)</f>
        <v>7.7473000000000001</v>
      </c>
      <c r="P124" s="17">
        <f>CHOOSE(CONTROL!$C$42, 7.5157, 7.5157) * CHOOSE(CONTROL!$C$21, $C$9, 100%, $E$9)</f>
        <v>7.5156999999999998</v>
      </c>
      <c r="Q124" s="17">
        <f>CHOOSE(CONTROL!$C$42, 8.342, 8.342) * CHOOSE(CONTROL!$C$21, $C$9, 100%, $E$9)</f>
        <v>8.3420000000000005</v>
      </c>
      <c r="R124" s="17">
        <f>CHOOSE(CONTROL!$C$42, 8.9498, 8.9498) * CHOOSE(CONTROL!$C$21, $C$9, 100%, $E$9)</f>
        <v>8.9497999999999998</v>
      </c>
      <c r="S124" s="17">
        <f>CHOOSE(CONTROL!$C$42, 7.2936, 7.2936) * CHOOSE(CONTROL!$C$21, $C$9, 100%, $E$9)</f>
        <v>7.2935999999999996</v>
      </c>
      <c r="T124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124" s="57">
        <f>(1000*CHOOSE(CONTROL!$C$42, 695, 695)*CHOOSE(CONTROL!$C$42, 0.5599, 0.5599)*CHOOSE(CONTROL!$C$42, 30, 30))/1000000</f>
        <v>11.673914999999997</v>
      </c>
      <c r="V124" s="57">
        <f>(1000*CHOOSE(CONTROL!$C$42, 500, 500)*CHOOSE(CONTROL!$C$42, 0.275, 0.275)*CHOOSE(CONTROL!$C$42, 30, 30))/1000000</f>
        <v>4.125</v>
      </c>
      <c r="W124" s="57">
        <f>(1000*CHOOSE(CONTROL!$C$42, 0.0916, 0.0916)*CHOOSE(CONTROL!$C$42, 121.5, 121.5)*CHOOSE(CONTROL!$C$42, 30, 30))/1000000</f>
        <v>0.33388200000000001</v>
      </c>
      <c r="X124" s="57">
        <f>(30*0.1790888*145000/1000000)+(30*0.2374*100000/1000000)</f>
        <v>1.4912362799999999</v>
      </c>
      <c r="Y124" s="57"/>
      <c r="Z124" s="17"/>
      <c r="AA124" s="56"/>
      <c r="AB124" s="49">
        <f>(B124*141.293+C124*267.993+D124*115.016+E124*189.698+F124*40+G124*85+H124*0+I124*100+J124*300)/(141.293+267.993+115.016+189.698+0+40+85+100+300)</f>
        <v>7.6061251625504429</v>
      </c>
      <c r="AC124" s="46">
        <f>(M124*'RAP TEMPLATE-GAS AVAILABILITY'!O123+N124*'RAP TEMPLATE-GAS AVAILABILITY'!P123+O124*'RAP TEMPLATE-GAS AVAILABILITY'!Q123+P124*'RAP TEMPLATE-GAS AVAILABILITY'!R123)/('RAP TEMPLATE-GAS AVAILABILITY'!O123+'RAP TEMPLATE-GAS AVAILABILITY'!P123+'RAP TEMPLATE-GAS AVAILABILITY'!Q123+'RAP TEMPLATE-GAS AVAILABILITY'!R123)</f>
        <v>7.5579359712230207</v>
      </c>
    </row>
    <row r="125" spans="1:29" ht="15.75" x14ac:dyDescent="0.25">
      <c r="A125" s="16">
        <v>44682</v>
      </c>
      <c r="B125" s="17">
        <f>CHOOSE(CONTROL!$C$42, 7.6154, 7.6154) * CHOOSE(CONTROL!$C$21, $C$9, 100%, $E$9)</f>
        <v>7.6154000000000002</v>
      </c>
      <c r="C125" s="17">
        <f>CHOOSE(CONTROL!$C$42, 7.6234, 7.6234) * CHOOSE(CONTROL!$C$21, $C$9, 100%, $E$9)</f>
        <v>7.6234000000000002</v>
      </c>
      <c r="D125" s="17">
        <f>CHOOSE(CONTROL!$C$42, 7.873, 7.873) * CHOOSE(CONTROL!$C$21, $C$9, 100%, $E$9)</f>
        <v>7.8730000000000002</v>
      </c>
      <c r="E125" s="17">
        <f>CHOOSE(CONTROL!$C$42, 7.9042, 7.9042) * CHOOSE(CONTROL!$C$21, $C$9, 100%, $E$9)</f>
        <v>7.9042000000000003</v>
      </c>
      <c r="F125" s="17">
        <f>CHOOSE(CONTROL!$C$42, 7.6203, 7.6203)*CHOOSE(CONTROL!$C$21, $C$9, 100%, $E$9)</f>
        <v>7.6203000000000003</v>
      </c>
      <c r="G125" s="17">
        <f>CHOOSE(CONTROL!$C$42, 7.6364, 7.6364)*CHOOSE(CONTROL!$C$21, $C$9, 100%, $E$9)</f>
        <v>7.6364000000000001</v>
      </c>
      <c r="H125" s="17">
        <f>CHOOSE(CONTROL!$C$42, 7.8925, 7.8925) * CHOOSE(CONTROL!$C$21, $C$9, 100%, $E$9)</f>
        <v>7.8925000000000001</v>
      </c>
      <c r="I125" s="17">
        <f>CHOOSE(CONTROL!$C$42, 7.6593, 7.6593)* CHOOSE(CONTROL!$C$21, $C$9, 100%, $E$9)</f>
        <v>7.6593</v>
      </c>
      <c r="J125" s="17">
        <f>CHOOSE(CONTROL!$C$42, 7.6129, 7.6129)* CHOOSE(CONTROL!$C$21, $C$9, 100%, $E$9)</f>
        <v>7.6128999999999998</v>
      </c>
      <c r="K125" s="53">
        <f>CHOOSE(CONTROL!$C$42, 7.6532, 7.6532) * CHOOSE(CONTROL!$C$21, $C$9, 100%, $E$9)</f>
        <v>7.6532</v>
      </c>
      <c r="L125" s="17">
        <f>CHOOSE(CONTROL!$C$42, 8.4795, 8.4795) * CHOOSE(CONTROL!$C$21, $C$9, 100%, $E$9)</f>
        <v>8.4794999999999998</v>
      </c>
      <c r="M125" s="17">
        <f>CHOOSE(CONTROL!$C$42, 7.5514, 7.5514) * CHOOSE(CONTROL!$C$21, $C$9, 100%, $E$9)</f>
        <v>7.5514000000000001</v>
      </c>
      <c r="N125" s="17">
        <f>CHOOSE(CONTROL!$C$42, 7.5674, 7.5674) * CHOOSE(CONTROL!$C$21, $C$9, 100%, $E$9)</f>
        <v>7.5674000000000001</v>
      </c>
      <c r="O125" s="17">
        <f>CHOOSE(CONTROL!$C$42, 7.8285, 7.8285) * CHOOSE(CONTROL!$C$21, $C$9, 100%, $E$9)</f>
        <v>7.8285</v>
      </c>
      <c r="P125" s="17">
        <f>CHOOSE(CONTROL!$C$42, 7.5972, 7.5972) * CHOOSE(CONTROL!$C$21, $C$9, 100%, $E$9)</f>
        <v>7.5972</v>
      </c>
      <c r="Q125" s="17">
        <f>CHOOSE(CONTROL!$C$42, 8.4232, 8.4232) * CHOOSE(CONTROL!$C$21, $C$9, 100%, $E$9)</f>
        <v>8.4231999999999996</v>
      </c>
      <c r="R125" s="17">
        <f>CHOOSE(CONTROL!$C$42, 9.0313, 9.0313) * CHOOSE(CONTROL!$C$21, $C$9, 100%, $E$9)</f>
        <v>9.0312999999999999</v>
      </c>
      <c r="S125" s="17">
        <f>CHOOSE(CONTROL!$C$42, 7.3731, 7.3731) * CHOOSE(CONTROL!$C$21, $C$9, 100%, $E$9)</f>
        <v>7.3731</v>
      </c>
      <c r="T125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125" s="57">
        <f>(1000*CHOOSE(CONTROL!$C$42, 695, 695)*CHOOSE(CONTROL!$C$42, 0.5599, 0.5599)*CHOOSE(CONTROL!$C$42, 31, 31))/1000000</f>
        <v>12.063045499999998</v>
      </c>
      <c r="V125" s="57">
        <f>(1000*CHOOSE(CONTROL!$C$42, 500, 500)*CHOOSE(CONTROL!$C$42, 0.275, 0.275)*CHOOSE(CONTROL!$C$42, 31, 31))/1000000</f>
        <v>4.2625000000000002</v>
      </c>
      <c r="W125" s="57">
        <f>(1000*CHOOSE(CONTROL!$C$42, 0.0916, 0.0916)*CHOOSE(CONTROL!$C$42, 121.5, 121.5)*CHOOSE(CONTROL!$C$42, 31, 31))/1000000</f>
        <v>0.34501139999999997</v>
      </c>
      <c r="X125" s="57">
        <f>(31*0.1790888*145000/1000000)+(31*0.2374*100000/1000000)</f>
        <v>1.5409441560000001</v>
      </c>
      <c r="Y125" s="57"/>
      <c r="Z125" s="17"/>
      <c r="AA125" s="56"/>
      <c r="AB125" s="49">
        <f>(B125*194.205+C125*267.466+D125*133.845+E125*153.484+F125*40+G125*85+H125*0+I125*100+J125*300)/(194.205+267.466+133.845+153.484+0+40+85+100+300)</f>
        <v>7.6833477073783367</v>
      </c>
      <c r="AC125" s="46">
        <f>(M125*'RAP TEMPLATE-GAS AVAILABILITY'!O124+N125*'RAP TEMPLATE-GAS AVAILABILITY'!P124+O125*'RAP TEMPLATE-GAS AVAILABILITY'!Q124+P125*'RAP TEMPLATE-GAS AVAILABILITY'!R124)/('RAP TEMPLATE-GAS AVAILABILITY'!O124+'RAP TEMPLATE-GAS AVAILABILITY'!P124+'RAP TEMPLATE-GAS AVAILABILITY'!Q124+'RAP TEMPLATE-GAS AVAILABILITY'!R124)</f>
        <v>7.6394208633093523</v>
      </c>
    </row>
    <row r="126" spans="1:29" ht="15.75" x14ac:dyDescent="0.25">
      <c r="A126" s="16">
        <v>44713</v>
      </c>
      <c r="B126" s="17">
        <f>CHOOSE(CONTROL!$C$42, 7.8472, 7.8472) * CHOOSE(CONTROL!$C$21, $C$9, 100%, $E$9)</f>
        <v>7.8472</v>
      </c>
      <c r="C126" s="17">
        <f>CHOOSE(CONTROL!$C$42, 7.8552, 7.8552) * CHOOSE(CONTROL!$C$21, $C$9, 100%, $E$9)</f>
        <v>7.8552</v>
      </c>
      <c r="D126" s="17">
        <f>CHOOSE(CONTROL!$C$42, 8.1048, 8.1048) * CHOOSE(CONTROL!$C$21, $C$9, 100%, $E$9)</f>
        <v>8.1047999999999991</v>
      </c>
      <c r="E126" s="17">
        <f>CHOOSE(CONTROL!$C$42, 8.136, 8.136) * CHOOSE(CONTROL!$C$21, $C$9, 100%, $E$9)</f>
        <v>8.1359999999999992</v>
      </c>
      <c r="F126" s="17">
        <f>CHOOSE(CONTROL!$C$42, 7.8524, 7.8524)*CHOOSE(CONTROL!$C$21, $C$9, 100%, $E$9)</f>
        <v>7.8524000000000003</v>
      </c>
      <c r="G126" s="17">
        <f>CHOOSE(CONTROL!$C$42, 7.8686, 7.8686)*CHOOSE(CONTROL!$C$21, $C$9, 100%, $E$9)</f>
        <v>7.8685999999999998</v>
      </c>
      <c r="H126" s="17">
        <f>CHOOSE(CONTROL!$C$42, 8.1243, 8.1243) * CHOOSE(CONTROL!$C$21, $C$9, 100%, $E$9)</f>
        <v>8.1242999999999999</v>
      </c>
      <c r="I126" s="17">
        <f>CHOOSE(CONTROL!$C$42, 7.8917, 7.8917)* CHOOSE(CONTROL!$C$21, $C$9, 100%, $E$9)</f>
        <v>7.8917000000000002</v>
      </c>
      <c r="J126" s="17">
        <f>CHOOSE(CONTROL!$C$42, 7.845, 7.845)* CHOOSE(CONTROL!$C$21, $C$9, 100%, $E$9)</f>
        <v>7.8449999999999998</v>
      </c>
      <c r="K126" s="53">
        <f>CHOOSE(CONTROL!$C$42, 7.8857, 7.8857) * CHOOSE(CONTROL!$C$21, $C$9, 100%, $E$9)</f>
        <v>7.8856999999999999</v>
      </c>
      <c r="L126" s="17">
        <f>CHOOSE(CONTROL!$C$42, 8.7113, 8.7113) * CHOOSE(CONTROL!$C$21, $C$9, 100%, $E$9)</f>
        <v>8.7112999999999996</v>
      </c>
      <c r="M126" s="17">
        <f>CHOOSE(CONTROL!$C$42, 7.7814, 7.7814) * CHOOSE(CONTROL!$C$21, $C$9, 100%, $E$9)</f>
        <v>7.7813999999999997</v>
      </c>
      <c r="N126" s="17">
        <f>CHOOSE(CONTROL!$C$42, 7.7975, 7.7975) * CHOOSE(CONTROL!$C$21, $C$9, 100%, $E$9)</f>
        <v>7.7975000000000003</v>
      </c>
      <c r="O126" s="17">
        <f>CHOOSE(CONTROL!$C$42, 8.0582, 8.0582) * CHOOSE(CONTROL!$C$21, $C$9, 100%, $E$9)</f>
        <v>8.0581999999999994</v>
      </c>
      <c r="P126" s="17">
        <f>CHOOSE(CONTROL!$C$42, 7.8276, 7.8276) * CHOOSE(CONTROL!$C$21, $C$9, 100%, $E$9)</f>
        <v>7.8276000000000003</v>
      </c>
      <c r="Q126" s="17">
        <f>CHOOSE(CONTROL!$C$42, 8.6529, 8.6529) * CHOOSE(CONTROL!$C$21, $C$9, 100%, $E$9)</f>
        <v>8.6529000000000007</v>
      </c>
      <c r="R126" s="17">
        <f>CHOOSE(CONTROL!$C$42, 9.2615, 9.2615) * CHOOSE(CONTROL!$C$21, $C$9, 100%, $E$9)</f>
        <v>9.2614999999999998</v>
      </c>
      <c r="S126" s="17">
        <f>CHOOSE(CONTROL!$C$42, 7.5978, 7.5978) * CHOOSE(CONTROL!$C$21, $C$9, 100%, $E$9)</f>
        <v>7.5978000000000003</v>
      </c>
      <c r="T126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126" s="57">
        <f>(1000*CHOOSE(CONTROL!$C$42, 695, 695)*CHOOSE(CONTROL!$C$42, 0.5599, 0.5599)*CHOOSE(CONTROL!$C$42, 30, 30))/1000000</f>
        <v>11.673914999999997</v>
      </c>
      <c r="V126" s="57">
        <f>(1000*CHOOSE(CONTROL!$C$42, 500, 500)*CHOOSE(CONTROL!$C$42, 0.275, 0.275)*CHOOSE(CONTROL!$C$42, 30, 30))/1000000</f>
        <v>4.125</v>
      </c>
      <c r="W126" s="57">
        <f>(1000*CHOOSE(CONTROL!$C$42, 0.0916, 0.0916)*CHOOSE(CONTROL!$C$42, 121.5, 121.5)*CHOOSE(CONTROL!$C$42, 30, 30))/1000000</f>
        <v>0.33388200000000001</v>
      </c>
      <c r="X126" s="57">
        <f>(30*0.1790888*145000/1000000)+(30*0.2374*100000/1000000)</f>
        <v>1.4912362799999999</v>
      </c>
      <c r="Y126" s="57"/>
      <c r="Z126" s="17"/>
      <c r="AA126" s="56"/>
      <c r="AB126" s="49">
        <f>(B126*194.205+C126*267.466+D126*133.845+E126*153.484+F126*40+G126*85+H126*0+I126*100+J126*300)/(194.205+267.466+133.845+153.484+0+40+85+100+300)</f>
        <v>7.9153015535321813</v>
      </c>
      <c r="AC126" s="46">
        <f>(M126*'RAP TEMPLATE-GAS AVAILABILITY'!O125+N126*'RAP TEMPLATE-GAS AVAILABILITY'!P125+O126*'RAP TEMPLATE-GAS AVAILABILITY'!Q125+P126*'RAP TEMPLATE-GAS AVAILABILITY'!R125)/('RAP TEMPLATE-GAS AVAILABILITY'!O125+'RAP TEMPLATE-GAS AVAILABILITY'!P125+'RAP TEMPLATE-GAS AVAILABILITY'!Q125+'RAP TEMPLATE-GAS AVAILABILITY'!R125)</f>
        <v>7.8694172661870505</v>
      </c>
    </row>
    <row r="127" spans="1:29" ht="15.75" x14ac:dyDescent="0.25">
      <c r="A127" s="16">
        <v>44743</v>
      </c>
      <c r="B127" s="17">
        <f>CHOOSE(CONTROL!$C$42, 7.7127, 7.7127) * CHOOSE(CONTROL!$C$21, $C$9, 100%, $E$9)</f>
        <v>7.7126999999999999</v>
      </c>
      <c r="C127" s="17">
        <f>CHOOSE(CONTROL!$C$42, 7.7207, 7.7207) * CHOOSE(CONTROL!$C$21, $C$9, 100%, $E$9)</f>
        <v>7.7206999999999999</v>
      </c>
      <c r="D127" s="17">
        <f>CHOOSE(CONTROL!$C$42, 7.9703, 7.9703) * CHOOSE(CONTROL!$C$21, $C$9, 100%, $E$9)</f>
        <v>7.9702999999999999</v>
      </c>
      <c r="E127" s="17">
        <f>CHOOSE(CONTROL!$C$42, 8.0015, 8.0015) * CHOOSE(CONTROL!$C$21, $C$9, 100%, $E$9)</f>
        <v>8.0015000000000001</v>
      </c>
      <c r="F127" s="17">
        <f>CHOOSE(CONTROL!$C$42, 7.7184, 7.7184)*CHOOSE(CONTROL!$C$21, $C$9, 100%, $E$9)</f>
        <v>7.7183999999999999</v>
      </c>
      <c r="G127" s="17">
        <f>CHOOSE(CONTROL!$C$42, 7.7347, 7.7347)*CHOOSE(CONTROL!$C$21, $C$9, 100%, $E$9)</f>
        <v>7.7347000000000001</v>
      </c>
      <c r="H127" s="17">
        <f>CHOOSE(CONTROL!$C$42, 7.9898, 7.9898) * CHOOSE(CONTROL!$C$21, $C$9, 100%, $E$9)</f>
        <v>7.9897999999999998</v>
      </c>
      <c r="I127" s="17">
        <f>CHOOSE(CONTROL!$C$42, 7.7569, 7.7569)* CHOOSE(CONTROL!$C$21, $C$9, 100%, $E$9)</f>
        <v>7.7568999999999999</v>
      </c>
      <c r="J127" s="17">
        <f>CHOOSE(CONTROL!$C$42, 7.711, 7.711)* CHOOSE(CONTROL!$C$21, $C$9, 100%, $E$9)</f>
        <v>7.7110000000000003</v>
      </c>
      <c r="K127" s="53">
        <f>CHOOSE(CONTROL!$C$42, 7.7508, 7.7508) * CHOOSE(CONTROL!$C$21, $C$9, 100%, $E$9)</f>
        <v>7.7507999999999999</v>
      </c>
      <c r="L127" s="17">
        <f>CHOOSE(CONTROL!$C$42, 8.5768, 8.5768) * CHOOSE(CONTROL!$C$21, $C$9, 100%, $E$9)</f>
        <v>8.5768000000000004</v>
      </c>
      <c r="M127" s="17">
        <f>CHOOSE(CONTROL!$C$42, 7.6486, 7.6486) * CHOOSE(CONTROL!$C$21, $C$9, 100%, $E$9)</f>
        <v>7.6486000000000001</v>
      </c>
      <c r="N127" s="17">
        <f>CHOOSE(CONTROL!$C$42, 7.6649, 7.6649) * CHOOSE(CONTROL!$C$21, $C$9, 100%, $E$9)</f>
        <v>7.6649000000000003</v>
      </c>
      <c r="O127" s="17">
        <f>CHOOSE(CONTROL!$C$42, 7.925, 7.925) * CHOOSE(CONTROL!$C$21, $C$9, 100%, $E$9)</f>
        <v>7.9249999999999998</v>
      </c>
      <c r="P127" s="17">
        <f>CHOOSE(CONTROL!$C$42, 7.6939, 7.6939) * CHOOSE(CONTROL!$C$21, $C$9, 100%, $E$9)</f>
        <v>7.6939000000000002</v>
      </c>
      <c r="Q127" s="17">
        <f>CHOOSE(CONTROL!$C$42, 8.5197, 8.5197) * CHOOSE(CONTROL!$C$21, $C$9, 100%, $E$9)</f>
        <v>8.5197000000000003</v>
      </c>
      <c r="R127" s="17">
        <f>CHOOSE(CONTROL!$C$42, 9.128, 9.128) * CHOOSE(CONTROL!$C$21, $C$9, 100%, $E$9)</f>
        <v>9.1280000000000001</v>
      </c>
      <c r="S127" s="17">
        <f>CHOOSE(CONTROL!$C$42, 7.4674, 7.4674) * CHOOSE(CONTROL!$C$21, $C$9, 100%, $E$9)</f>
        <v>7.4673999999999996</v>
      </c>
      <c r="T127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127" s="57">
        <f>(1000*CHOOSE(CONTROL!$C$42, 695, 695)*CHOOSE(CONTROL!$C$42, 0.5599, 0.5599)*CHOOSE(CONTROL!$C$42, 31, 31))/1000000</f>
        <v>12.063045499999998</v>
      </c>
      <c r="V127" s="57">
        <f>(1000*CHOOSE(CONTROL!$C$42, 500, 500)*CHOOSE(CONTROL!$C$42, 0.275, 0.275)*CHOOSE(CONTROL!$C$42, 31, 31))/1000000</f>
        <v>4.2625000000000002</v>
      </c>
      <c r="W127" s="57">
        <f>(1000*CHOOSE(CONTROL!$C$42, 0.0916, 0.0916)*CHOOSE(CONTROL!$C$42, 121.5, 121.5)*CHOOSE(CONTROL!$C$42, 31, 31))/1000000</f>
        <v>0.34501139999999997</v>
      </c>
      <c r="X127" s="57">
        <f>(31*0.1790888*145000/1000000)+(31*0.2374*100000/1000000)</f>
        <v>1.5409441560000001</v>
      </c>
      <c r="Y127" s="57"/>
      <c r="Z127" s="17"/>
      <c r="AA127" s="56"/>
      <c r="AB127" s="49">
        <f>(B127*194.205+C127*267.466+D127*133.845+E127*153.484+F127*40+G127*85+H127*0+I127*100+J127*300)/(194.205+267.466+133.845+153.484+0+40+85+100+300)</f>
        <v>7.7809514750392461</v>
      </c>
      <c r="AC127" s="46">
        <f>(M127*'RAP TEMPLATE-GAS AVAILABILITY'!O126+N127*'RAP TEMPLATE-GAS AVAILABILITY'!P126+O127*'RAP TEMPLATE-GAS AVAILABILITY'!Q126+P127*'RAP TEMPLATE-GAS AVAILABILITY'!R126)/('RAP TEMPLATE-GAS AVAILABILITY'!O126+'RAP TEMPLATE-GAS AVAILABILITY'!P126+'RAP TEMPLATE-GAS AVAILABILITY'!Q126+'RAP TEMPLATE-GAS AVAILABILITY'!R126)</f>
        <v>7.7364215827338132</v>
      </c>
    </row>
    <row r="128" spans="1:29" ht="15.75" x14ac:dyDescent="0.25">
      <c r="A128" s="16">
        <v>44774</v>
      </c>
      <c r="B128" s="17">
        <f>CHOOSE(CONTROL!$C$42, 7.3474, 7.3474) * CHOOSE(CONTROL!$C$21, $C$9, 100%, $E$9)</f>
        <v>7.3474000000000004</v>
      </c>
      <c r="C128" s="17">
        <f>CHOOSE(CONTROL!$C$42, 7.3554, 7.3554) * CHOOSE(CONTROL!$C$21, $C$9, 100%, $E$9)</f>
        <v>7.3554000000000004</v>
      </c>
      <c r="D128" s="17">
        <f>CHOOSE(CONTROL!$C$42, 7.605, 7.605) * CHOOSE(CONTROL!$C$21, $C$9, 100%, $E$9)</f>
        <v>7.6050000000000004</v>
      </c>
      <c r="E128" s="17">
        <f>CHOOSE(CONTROL!$C$42, 7.6362, 7.6362) * CHOOSE(CONTROL!$C$21, $C$9, 100%, $E$9)</f>
        <v>7.6361999999999997</v>
      </c>
      <c r="F128" s="17">
        <f>CHOOSE(CONTROL!$C$42, 7.3534, 7.3534)*CHOOSE(CONTROL!$C$21, $C$9, 100%, $E$9)</f>
        <v>7.3533999999999997</v>
      </c>
      <c r="G128" s="17">
        <f>CHOOSE(CONTROL!$C$42, 7.3698, 7.3698)*CHOOSE(CONTROL!$C$21, $C$9, 100%, $E$9)</f>
        <v>7.3697999999999997</v>
      </c>
      <c r="H128" s="17">
        <f>CHOOSE(CONTROL!$C$42, 7.6246, 7.6246) * CHOOSE(CONTROL!$C$21, $C$9, 100%, $E$9)</f>
        <v>7.6246</v>
      </c>
      <c r="I128" s="17">
        <f>CHOOSE(CONTROL!$C$42, 7.3905, 7.3905)* CHOOSE(CONTROL!$C$21, $C$9, 100%, $E$9)</f>
        <v>7.3905000000000003</v>
      </c>
      <c r="J128" s="17">
        <f>CHOOSE(CONTROL!$C$42, 7.346, 7.346)* CHOOSE(CONTROL!$C$21, $C$9, 100%, $E$9)</f>
        <v>7.3460000000000001</v>
      </c>
      <c r="K128" s="53">
        <f>CHOOSE(CONTROL!$C$42, 7.3844, 7.3844) * CHOOSE(CONTROL!$C$21, $C$9, 100%, $E$9)</f>
        <v>7.3844000000000003</v>
      </c>
      <c r="L128" s="17">
        <f>CHOOSE(CONTROL!$C$42, 8.2116, 8.2116) * CHOOSE(CONTROL!$C$21, $C$9, 100%, $E$9)</f>
        <v>8.2116000000000007</v>
      </c>
      <c r="M128" s="17">
        <f>CHOOSE(CONTROL!$C$42, 7.2869, 7.2869) * CHOOSE(CONTROL!$C$21, $C$9, 100%, $E$9)</f>
        <v>7.2869000000000002</v>
      </c>
      <c r="N128" s="17">
        <f>CHOOSE(CONTROL!$C$42, 7.3032, 7.3032) * CHOOSE(CONTROL!$C$21, $C$9, 100%, $E$9)</f>
        <v>7.3032000000000004</v>
      </c>
      <c r="O128" s="17">
        <f>CHOOSE(CONTROL!$C$42, 7.563, 7.563) * CHOOSE(CONTROL!$C$21, $C$9, 100%, $E$9)</f>
        <v>7.5629999999999997</v>
      </c>
      <c r="P128" s="17">
        <f>CHOOSE(CONTROL!$C$42, 7.3309, 7.3309) * CHOOSE(CONTROL!$C$21, $C$9, 100%, $E$9)</f>
        <v>7.3308999999999997</v>
      </c>
      <c r="Q128" s="17">
        <f>CHOOSE(CONTROL!$C$42, 8.1577, 8.1577) * CHOOSE(CONTROL!$C$21, $C$9, 100%, $E$9)</f>
        <v>8.1577000000000002</v>
      </c>
      <c r="R128" s="17">
        <f>CHOOSE(CONTROL!$C$42, 8.7651, 8.7651) * CHOOSE(CONTROL!$C$21, $C$9, 100%, $E$9)</f>
        <v>8.7651000000000003</v>
      </c>
      <c r="S128" s="17">
        <f>CHOOSE(CONTROL!$C$42, 7.1132, 7.1132) * CHOOSE(CONTROL!$C$21, $C$9, 100%, $E$9)</f>
        <v>7.1132</v>
      </c>
      <c r="T128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128" s="57">
        <f>(1000*CHOOSE(CONTROL!$C$42, 695, 695)*CHOOSE(CONTROL!$C$42, 0.5599, 0.5599)*CHOOSE(CONTROL!$C$42, 31, 31))/1000000</f>
        <v>12.063045499999998</v>
      </c>
      <c r="V128" s="57">
        <f>(1000*CHOOSE(CONTROL!$C$42, 500, 500)*CHOOSE(CONTROL!$C$42, 0.275, 0.275)*CHOOSE(CONTROL!$C$42, 31, 31))/1000000</f>
        <v>4.2625000000000002</v>
      </c>
      <c r="W128" s="57">
        <f>(1000*CHOOSE(CONTROL!$C$42, 0.0916, 0.0916)*CHOOSE(CONTROL!$C$42, 121.5, 121.5)*CHOOSE(CONTROL!$C$42, 31, 31))/1000000</f>
        <v>0.34501139999999997</v>
      </c>
      <c r="X128" s="57">
        <f>(31*0.1790888*145000/1000000)+(31*0.2374*100000/1000000)</f>
        <v>1.5409441560000001</v>
      </c>
      <c r="Y128" s="57"/>
      <c r="Z128" s="17"/>
      <c r="AA128" s="56"/>
      <c r="AB128" s="49">
        <f>(B128*194.205+C128*267.466+D128*133.845+E128*153.484+F128*40+G128*85+H128*0+I128*100+J128*300)/(194.205+267.466+133.845+153.484+0+40+85+100+300)</f>
        <v>7.4156718832025126</v>
      </c>
      <c r="AC128" s="46">
        <f>(M128*'RAP TEMPLATE-GAS AVAILABILITY'!O127+N128*'RAP TEMPLATE-GAS AVAILABILITY'!P127+O128*'RAP TEMPLATE-GAS AVAILABILITY'!Q127+P128*'RAP TEMPLATE-GAS AVAILABILITY'!R127)/('RAP TEMPLATE-GAS AVAILABILITY'!O127+'RAP TEMPLATE-GAS AVAILABILITY'!P127+'RAP TEMPLATE-GAS AVAILABILITY'!Q127+'RAP TEMPLATE-GAS AVAILABILITY'!R127)</f>
        <v>7.3744503597122311</v>
      </c>
    </row>
    <row r="129" spans="1:29" ht="15.75" x14ac:dyDescent="0.25">
      <c r="A129" s="16">
        <v>44805</v>
      </c>
      <c r="B129" s="17">
        <f>CHOOSE(CONTROL!$C$42, 6.8957, 6.8957) * CHOOSE(CONTROL!$C$21, $C$9, 100%, $E$9)</f>
        <v>6.8956999999999997</v>
      </c>
      <c r="C129" s="17">
        <f>CHOOSE(CONTROL!$C$42, 6.9037, 6.9037) * CHOOSE(CONTROL!$C$21, $C$9, 100%, $E$9)</f>
        <v>6.9036999999999997</v>
      </c>
      <c r="D129" s="17">
        <f>CHOOSE(CONTROL!$C$42, 7.1533, 7.1533) * CHOOSE(CONTROL!$C$21, $C$9, 100%, $E$9)</f>
        <v>7.1532999999999998</v>
      </c>
      <c r="E129" s="17">
        <f>CHOOSE(CONTROL!$C$42, 7.1845, 7.1845) * CHOOSE(CONTROL!$C$21, $C$9, 100%, $E$9)</f>
        <v>7.1844999999999999</v>
      </c>
      <c r="F129" s="17">
        <f>CHOOSE(CONTROL!$C$42, 6.9017, 6.9017)*CHOOSE(CONTROL!$C$21, $C$9, 100%, $E$9)</f>
        <v>6.9016999999999999</v>
      </c>
      <c r="G129" s="17">
        <f>CHOOSE(CONTROL!$C$42, 6.9181, 6.9181)*CHOOSE(CONTROL!$C$21, $C$9, 100%, $E$9)</f>
        <v>6.9180999999999999</v>
      </c>
      <c r="H129" s="17">
        <f>CHOOSE(CONTROL!$C$42, 7.1728, 7.1728) * CHOOSE(CONTROL!$C$21, $C$9, 100%, $E$9)</f>
        <v>7.1727999999999996</v>
      </c>
      <c r="I129" s="17">
        <f>CHOOSE(CONTROL!$C$42, 6.9373, 6.9373)* CHOOSE(CONTROL!$C$21, $C$9, 100%, $E$9)</f>
        <v>6.9372999999999996</v>
      </c>
      <c r="J129" s="17">
        <f>CHOOSE(CONTROL!$C$42, 6.8943, 6.8943)* CHOOSE(CONTROL!$C$21, $C$9, 100%, $E$9)</f>
        <v>6.8943000000000003</v>
      </c>
      <c r="K129" s="53">
        <f>CHOOSE(CONTROL!$C$42, 6.9313, 6.9313) * CHOOSE(CONTROL!$C$21, $C$9, 100%, $E$9)</f>
        <v>6.9313000000000002</v>
      </c>
      <c r="L129" s="17">
        <f>CHOOSE(CONTROL!$C$42, 7.7598, 7.7598) * CHOOSE(CONTROL!$C$21, $C$9, 100%, $E$9)</f>
        <v>7.7598000000000003</v>
      </c>
      <c r="M129" s="17">
        <f>CHOOSE(CONTROL!$C$42, 6.8393, 6.8393) * CHOOSE(CONTROL!$C$21, $C$9, 100%, $E$9)</f>
        <v>6.8392999999999997</v>
      </c>
      <c r="N129" s="17">
        <f>CHOOSE(CONTROL!$C$42, 6.8556, 6.8556) * CHOOSE(CONTROL!$C$21, $C$9, 100%, $E$9)</f>
        <v>6.8555999999999999</v>
      </c>
      <c r="O129" s="17">
        <f>CHOOSE(CONTROL!$C$42, 7.1153, 7.1153) * CHOOSE(CONTROL!$C$21, $C$9, 100%, $E$9)</f>
        <v>7.1153000000000004</v>
      </c>
      <c r="P129" s="17">
        <f>CHOOSE(CONTROL!$C$42, 6.8818, 6.8818) * CHOOSE(CONTROL!$C$21, $C$9, 100%, $E$9)</f>
        <v>6.8818000000000001</v>
      </c>
      <c r="Q129" s="17">
        <f>CHOOSE(CONTROL!$C$42, 7.71, 7.71) * CHOOSE(CONTROL!$C$21, $C$9, 100%, $E$9)</f>
        <v>7.71</v>
      </c>
      <c r="R129" s="17">
        <f>CHOOSE(CONTROL!$C$42, 8.3163, 8.3163) * CHOOSE(CONTROL!$C$21, $C$9, 100%, $E$9)</f>
        <v>8.3163</v>
      </c>
      <c r="S129" s="17">
        <f>CHOOSE(CONTROL!$C$42, 6.6752, 6.6752) * CHOOSE(CONTROL!$C$21, $C$9, 100%, $E$9)</f>
        <v>6.6752000000000002</v>
      </c>
      <c r="T129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129" s="57">
        <f>(1000*CHOOSE(CONTROL!$C$42, 695, 695)*CHOOSE(CONTROL!$C$42, 0.5599, 0.5599)*CHOOSE(CONTROL!$C$42, 30, 30))/1000000</f>
        <v>11.673914999999997</v>
      </c>
      <c r="V129" s="57">
        <f>(1000*CHOOSE(CONTROL!$C$42, 500, 500)*CHOOSE(CONTROL!$C$42, 0.275, 0.275)*CHOOSE(CONTROL!$C$42, 30, 30))/1000000</f>
        <v>4.125</v>
      </c>
      <c r="W129" s="57">
        <f>(1000*CHOOSE(CONTROL!$C$42, 0.0916, 0.0916)*CHOOSE(CONTROL!$C$42, 121.5, 121.5)*CHOOSE(CONTROL!$C$42, 30, 30))/1000000</f>
        <v>0.33388200000000001</v>
      </c>
      <c r="X129" s="57">
        <f>(30*0.1790888*145000/1000000)+(30*0.2374*100000/1000000)</f>
        <v>1.4912362799999999</v>
      </c>
      <c r="Y129" s="57"/>
      <c r="Z129" s="17"/>
      <c r="AA129" s="56"/>
      <c r="AB129" s="49">
        <f>(B129*194.205+C129*267.466+D129*133.845+E129*153.484+F129*40+G129*85+H129*0+I129*100+J129*300)/(194.205+267.466+133.845+153.484+0+40+85+100+300)</f>
        <v>6.9638541437990575</v>
      </c>
      <c r="AC129" s="46">
        <f>(M129*'RAP TEMPLATE-GAS AVAILABILITY'!O128+N129*'RAP TEMPLATE-GAS AVAILABILITY'!P128+O129*'RAP TEMPLATE-GAS AVAILABILITY'!Q128+P129*'RAP TEMPLATE-GAS AVAILABILITY'!R128)/('RAP TEMPLATE-GAS AVAILABILITY'!O128+'RAP TEMPLATE-GAS AVAILABILITY'!P128+'RAP TEMPLATE-GAS AVAILABILITY'!Q128+'RAP TEMPLATE-GAS AVAILABILITY'!R128)</f>
        <v>6.9266064748201437</v>
      </c>
    </row>
    <row r="130" spans="1:29" ht="15.75" x14ac:dyDescent="0.25">
      <c r="A130" s="16">
        <v>44835</v>
      </c>
      <c r="B130" s="17">
        <f>CHOOSE(CONTROL!$C$42, 6.7681, 6.7681) * CHOOSE(CONTROL!$C$21, $C$9, 100%, $E$9)</f>
        <v>6.7680999999999996</v>
      </c>
      <c r="C130" s="17">
        <f>CHOOSE(CONTROL!$C$42, 6.7735, 6.7735) * CHOOSE(CONTROL!$C$21, $C$9, 100%, $E$9)</f>
        <v>6.7735000000000003</v>
      </c>
      <c r="D130" s="17">
        <f>CHOOSE(CONTROL!$C$42, 7.0279, 7.0279) * CHOOSE(CONTROL!$C$21, $C$9, 100%, $E$9)</f>
        <v>7.0278999999999998</v>
      </c>
      <c r="E130" s="17">
        <f>CHOOSE(CONTROL!$C$42, 7.0568, 7.0568) * CHOOSE(CONTROL!$C$21, $C$9, 100%, $E$9)</f>
        <v>7.0568</v>
      </c>
      <c r="F130" s="17">
        <f>CHOOSE(CONTROL!$C$42, 6.7763, 6.7763)*CHOOSE(CONTROL!$C$21, $C$9, 100%, $E$9)</f>
        <v>6.7763</v>
      </c>
      <c r="G130" s="17">
        <f>CHOOSE(CONTROL!$C$42, 6.7927, 6.7927)*CHOOSE(CONTROL!$C$21, $C$9, 100%, $E$9)</f>
        <v>6.7927</v>
      </c>
      <c r="H130" s="17">
        <f>CHOOSE(CONTROL!$C$42, 7.047, 7.047) * CHOOSE(CONTROL!$C$21, $C$9, 100%, $E$9)</f>
        <v>7.0469999999999997</v>
      </c>
      <c r="I130" s="17">
        <f>CHOOSE(CONTROL!$C$42, 6.8111, 6.8111)* CHOOSE(CONTROL!$C$21, $C$9, 100%, $E$9)</f>
        <v>6.8110999999999997</v>
      </c>
      <c r="J130" s="17">
        <f>CHOOSE(CONTROL!$C$42, 6.7689, 6.7689)* CHOOSE(CONTROL!$C$21, $C$9, 100%, $E$9)</f>
        <v>6.7689000000000004</v>
      </c>
      <c r="K130" s="53">
        <f>CHOOSE(CONTROL!$C$42, 6.805, 6.805) * CHOOSE(CONTROL!$C$21, $C$9, 100%, $E$9)</f>
        <v>6.8049999999999997</v>
      </c>
      <c r="L130" s="17">
        <f>CHOOSE(CONTROL!$C$42, 7.634, 7.634) * CHOOSE(CONTROL!$C$21, $C$9, 100%, $E$9)</f>
        <v>7.6340000000000003</v>
      </c>
      <c r="M130" s="17">
        <f>CHOOSE(CONTROL!$C$42, 6.715, 6.715) * CHOOSE(CONTROL!$C$21, $C$9, 100%, $E$9)</f>
        <v>6.7149999999999999</v>
      </c>
      <c r="N130" s="17">
        <f>CHOOSE(CONTROL!$C$42, 6.7312, 6.7312) * CHOOSE(CONTROL!$C$21, $C$9, 100%, $E$9)</f>
        <v>6.7312000000000003</v>
      </c>
      <c r="O130" s="17">
        <f>CHOOSE(CONTROL!$C$42, 6.9906, 6.9906) * CHOOSE(CONTROL!$C$21, $C$9, 100%, $E$9)</f>
        <v>6.9905999999999997</v>
      </c>
      <c r="P130" s="17">
        <f>CHOOSE(CONTROL!$C$42, 6.7567, 6.7567) * CHOOSE(CONTROL!$C$21, $C$9, 100%, $E$9)</f>
        <v>6.7567000000000004</v>
      </c>
      <c r="Q130" s="17">
        <f>CHOOSE(CONTROL!$C$42, 7.5853, 7.5853) * CHOOSE(CONTROL!$C$21, $C$9, 100%, $E$9)</f>
        <v>7.5853000000000002</v>
      </c>
      <c r="R130" s="17">
        <f>CHOOSE(CONTROL!$C$42, 8.1912, 8.1912) * CHOOSE(CONTROL!$C$21, $C$9, 100%, $E$9)</f>
        <v>8.1912000000000003</v>
      </c>
      <c r="S130" s="17">
        <f>CHOOSE(CONTROL!$C$42, 6.5531, 6.5531) * CHOOSE(CONTROL!$C$21, $C$9, 100%, $E$9)</f>
        <v>6.5530999999999997</v>
      </c>
      <c r="T130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130" s="57">
        <f>(1000*CHOOSE(CONTROL!$C$42, 695, 695)*CHOOSE(CONTROL!$C$42, 0.5599, 0.5599)*CHOOSE(CONTROL!$C$42, 31, 31))/1000000</f>
        <v>12.063045499999998</v>
      </c>
      <c r="V130" s="57">
        <f>(1000*CHOOSE(CONTROL!$C$42, 500, 500)*CHOOSE(CONTROL!$C$42, 0.275, 0.275)*CHOOSE(CONTROL!$C$42, 31, 31))/1000000</f>
        <v>4.2625000000000002</v>
      </c>
      <c r="W130" s="57">
        <f>(1000*CHOOSE(CONTROL!$C$42, 0.0916, 0.0916)*CHOOSE(CONTROL!$C$42, 121.5, 121.5)*CHOOSE(CONTROL!$C$42, 31, 31))/1000000</f>
        <v>0.34501139999999997</v>
      </c>
      <c r="X130" s="57">
        <f>(31*0.1790888*145000/1000000)+(31*0.2374*100000/1000000)</f>
        <v>1.5409441560000001</v>
      </c>
      <c r="Y130" s="57"/>
      <c r="Z130" s="17"/>
      <c r="AA130" s="56"/>
      <c r="AB130" s="49">
        <f>(B130*131.881+C130*277.167+D130*79.08+E130*225.872+F130*40+G130*85+H130*0+I130*100+J130*300)/(131.881+277.167+79.08+225.872+0+40+85+100+300)</f>
        <v>6.8441370719935426</v>
      </c>
      <c r="AC130" s="46">
        <f>(M130*'RAP TEMPLATE-GAS AVAILABILITY'!O129+N130*'RAP TEMPLATE-GAS AVAILABILITY'!P129+O130*'RAP TEMPLATE-GAS AVAILABILITY'!Q129+P130*'RAP TEMPLATE-GAS AVAILABILITY'!R129)/('RAP TEMPLATE-GAS AVAILABILITY'!O129+'RAP TEMPLATE-GAS AVAILABILITY'!P129+'RAP TEMPLATE-GAS AVAILABILITY'!Q129+'RAP TEMPLATE-GAS AVAILABILITY'!R129)</f>
        <v>6.8020561151079137</v>
      </c>
    </row>
    <row r="131" spans="1:29" ht="15.75" x14ac:dyDescent="0.25">
      <c r="A131" s="16">
        <v>44866</v>
      </c>
      <c r="B131" s="17">
        <f>CHOOSE(CONTROL!$C$42, 6.96, 6.96) * CHOOSE(CONTROL!$C$21, $C$9, 100%, $E$9)</f>
        <v>6.96</v>
      </c>
      <c r="C131" s="17">
        <f>CHOOSE(CONTROL!$C$42, 6.9651, 6.9651) * CHOOSE(CONTROL!$C$21, $C$9, 100%, $E$9)</f>
        <v>6.9650999999999996</v>
      </c>
      <c r="D131" s="17">
        <f>CHOOSE(CONTROL!$C$42, 7.0877, 7.0877) * CHOOSE(CONTROL!$C$21, $C$9, 100%, $E$9)</f>
        <v>7.0876999999999999</v>
      </c>
      <c r="E131" s="17">
        <f>CHOOSE(CONTROL!$C$42, 7.1215, 7.1215) * CHOOSE(CONTROL!$C$21, $C$9, 100%, $E$9)</f>
        <v>7.1215000000000002</v>
      </c>
      <c r="F131" s="17">
        <f>CHOOSE(CONTROL!$C$42, 6.975, 6.975)*CHOOSE(CONTROL!$C$21, $C$9, 100%, $E$9)</f>
        <v>6.9749999999999996</v>
      </c>
      <c r="G131" s="17">
        <f>CHOOSE(CONTROL!$C$42, 6.9917, 6.9917)*CHOOSE(CONTROL!$C$21, $C$9, 100%, $E$9)</f>
        <v>6.9916999999999998</v>
      </c>
      <c r="H131" s="17">
        <f>CHOOSE(CONTROL!$C$42, 7.1104, 7.1104) * CHOOSE(CONTROL!$C$21, $C$9, 100%, $E$9)</f>
        <v>7.1104000000000003</v>
      </c>
      <c r="I131" s="17">
        <f>CHOOSE(CONTROL!$C$42, 7.0066, 7.0066)* CHOOSE(CONTROL!$C$21, $C$9, 100%, $E$9)</f>
        <v>7.0065999999999997</v>
      </c>
      <c r="J131" s="17">
        <f>CHOOSE(CONTROL!$C$42, 6.9676, 6.9676)* CHOOSE(CONTROL!$C$21, $C$9, 100%, $E$9)</f>
        <v>6.9676</v>
      </c>
      <c r="K131" s="53">
        <f>CHOOSE(CONTROL!$C$42, 7.0005, 7.0005) * CHOOSE(CONTROL!$C$21, $C$9, 100%, $E$9)</f>
        <v>7.0004999999999997</v>
      </c>
      <c r="L131" s="17">
        <f>CHOOSE(CONTROL!$C$42, 7.6974, 7.6974) * CHOOSE(CONTROL!$C$21, $C$9, 100%, $E$9)</f>
        <v>7.6974</v>
      </c>
      <c r="M131" s="17">
        <f>CHOOSE(CONTROL!$C$42, 6.912, 6.912) * CHOOSE(CONTROL!$C$21, $C$9, 100%, $E$9)</f>
        <v>6.9119999999999999</v>
      </c>
      <c r="N131" s="17">
        <f>CHOOSE(CONTROL!$C$42, 6.9285, 6.9285) * CHOOSE(CONTROL!$C$21, $C$9, 100%, $E$9)</f>
        <v>6.9284999999999997</v>
      </c>
      <c r="O131" s="17">
        <f>CHOOSE(CONTROL!$C$42, 7.0534, 7.0534) * CHOOSE(CONTROL!$C$21, $C$9, 100%, $E$9)</f>
        <v>7.0533999999999999</v>
      </c>
      <c r="P131" s="17">
        <f>CHOOSE(CONTROL!$C$42, 6.9504, 6.9504) * CHOOSE(CONTROL!$C$21, $C$9, 100%, $E$9)</f>
        <v>6.9504000000000001</v>
      </c>
      <c r="Q131" s="17">
        <f>CHOOSE(CONTROL!$C$42, 7.6481, 7.6481) * CHOOSE(CONTROL!$C$21, $C$9, 100%, $E$9)</f>
        <v>7.6481000000000003</v>
      </c>
      <c r="R131" s="17">
        <f>CHOOSE(CONTROL!$C$42, 8.2542, 8.2542) * CHOOSE(CONTROL!$C$21, $C$9, 100%, $E$9)</f>
        <v>8.2542000000000009</v>
      </c>
      <c r="S131" s="17">
        <f>CHOOSE(CONTROL!$C$42, 6.7396, 6.7396) * CHOOSE(CONTROL!$C$21, $C$9, 100%, $E$9)</f>
        <v>6.7396000000000003</v>
      </c>
      <c r="T131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131" s="57">
        <f>(1000*CHOOSE(CONTROL!$C$42, 695, 695)*CHOOSE(CONTROL!$C$42, 0.5599, 0.5599)*CHOOSE(CONTROL!$C$42, 30, 30))/1000000</f>
        <v>11.673914999999997</v>
      </c>
      <c r="V131" s="57">
        <f>(1000*CHOOSE(CONTROL!$C$42, 500, 500)*CHOOSE(CONTROL!$C$42, 0.275, 0.275)*CHOOSE(CONTROL!$C$42, 30, 30))/1000000</f>
        <v>4.125</v>
      </c>
      <c r="W131" s="57">
        <f>(1000*CHOOSE(CONTROL!$C$42, 0.0916, 0.0916)*CHOOSE(CONTROL!$C$42, 121.5, 121.5)*CHOOSE(CONTROL!$C$42, 30, 30))/1000000</f>
        <v>0.33388200000000001</v>
      </c>
      <c r="X131" s="57">
        <f>(30*0.2374*100000/1000000)</f>
        <v>0.71220000000000006</v>
      </c>
      <c r="Y131" s="57"/>
      <c r="Z131" s="17"/>
      <c r="AA131" s="56"/>
      <c r="AB131" s="49">
        <f>(B131*122.58+C131*297.941+D131*89.177+E131*140.302+F131*40+G131*60+H131*0+I131*100+J131*300)/(122.58+297.941+89.177+140.302+0+40+60+100+300)</f>
        <v>6.9991375434782617</v>
      </c>
      <c r="AC131" s="46">
        <f>(M131*'RAP TEMPLATE-GAS AVAILABILITY'!O130+N131*'RAP TEMPLATE-GAS AVAILABILITY'!P130+O131*'RAP TEMPLATE-GAS AVAILABILITY'!Q130+P131*'RAP TEMPLATE-GAS AVAILABILITY'!R130)/('RAP TEMPLATE-GAS AVAILABILITY'!O130+'RAP TEMPLATE-GAS AVAILABILITY'!P130+'RAP TEMPLATE-GAS AVAILABILITY'!Q130+'RAP TEMPLATE-GAS AVAILABILITY'!R130)</f>
        <v>6.9825625899280581</v>
      </c>
    </row>
    <row r="132" spans="1:29" ht="15.75" x14ac:dyDescent="0.25">
      <c r="A132" s="16">
        <v>44896</v>
      </c>
      <c r="B132" s="17">
        <f>CHOOSE(CONTROL!$C$42, 7.4491, 7.4491) * CHOOSE(CONTROL!$C$21, $C$9, 100%, $E$9)</f>
        <v>7.4490999999999996</v>
      </c>
      <c r="C132" s="17">
        <f>CHOOSE(CONTROL!$C$42, 7.4542, 7.4542) * CHOOSE(CONTROL!$C$21, $C$9, 100%, $E$9)</f>
        <v>7.4542000000000002</v>
      </c>
      <c r="D132" s="17">
        <f>CHOOSE(CONTROL!$C$42, 7.5768, 7.5768) * CHOOSE(CONTROL!$C$21, $C$9, 100%, $E$9)</f>
        <v>7.5768000000000004</v>
      </c>
      <c r="E132" s="17">
        <f>CHOOSE(CONTROL!$C$42, 7.6106, 7.6106) * CHOOSE(CONTROL!$C$21, $C$9, 100%, $E$9)</f>
        <v>7.6105999999999998</v>
      </c>
      <c r="F132" s="17">
        <f>CHOOSE(CONTROL!$C$42, 7.4666, 7.4666)*CHOOSE(CONTROL!$C$21, $C$9, 100%, $E$9)</f>
        <v>7.4665999999999997</v>
      </c>
      <c r="G132" s="17">
        <f>CHOOSE(CONTROL!$C$42, 7.4839, 7.4839)*CHOOSE(CONTROL!$C$21, $C$9, 100%, $E$9)</f>
        <v>7.4839000000000002</v>
      </c>
      <c r="H132" s="17">
        <f>CHOOSE(CONTROL!$C$42, 7.5995, 7.5995) * CHOOSE(CONTROL!$C$21, $C$9, 100%, $E$9)</f>
        <v>7.5994999999999999</v>
      </c>
      <c r="I132" s="17">
        <f>CHOOSE(CONTROL!$C$42, 7.4972, 7.4972)* CHOOSE(CONTROL!$C$21, $C$9, 100%, $E$9)</f>
        <v>7.4972000000000003</v>
      </c>
      <c r="J132" s="17">
        <f>CHOOSE(CONTROL!$C$42, 7.4592, 7.4592)* CHOOSE(CONTROL!$C$21, $C$9, 100%, $E$9)</f>
        <v>7.4592000000000001</v>
      </c>
      <c r="K132" s="53">
        <f>CHOOSE(CONTROL!$C$42, 7.4911, 7.4911) * CHOOSE(CONTROL!$C$21, $C$9, 100%, $E$9)</f>
        <v>7.4911000000000003</v>
      </c>
      <c r="L132" s="17">
        <f>CHOOSE(CONTROL!$C$42, 8.1865, 8.1865) * CHOOSE(CONTROL!$C$21, $C$9, 100%, $E$9)</f>
        <v>8.1865000000000006</v>
      </c>
      <c r="M132" s="17">
        <f>CHOOSE(CONTROL!$C$42, 7.3991, 7.3991) * CHOOSE(CONTROL!$C$21, $C$9, 100%, $E$9)</f>
        <v>7.3990999999999998</v>
      </c>
      <c r="N132" s="17">
        <f>CHOOSE(CONTROL!$C$42, 7.4162, 7.4162) * CHOOSE(CONTROL!$C$21, $C$9, 100%, $E$9)</f>
        <v>7.4161999999999999</v>
      </c>
      <c r="O132" s="17">
        <f>CHOOSE(CONTROL!$C$42, 7.5381, 7.5381) * CHOOSE(CONTROL!$C$21, $C$9, 100%, $E$9)</f>
        <v>7.5381</v>
      </c>
      <c r="P132" s="17">
        <f>CHOOSE(CONTROL!$C$42, 7.4366, 7.4366) * CHOOSE(CONTROL!$C$21, $C$9, 100%, $E$9)</f>
        <v>7.4366000000000003</v>
      </c>
      <c r="Q132" s="17">
        <f>CHOOSE(CONTROL!$C$42, 8.1328, 8.1328) * CHOOSE(CONTROL!$C$21, $C$9, 100%, $E$9)</f>
        <v>8.1327999999999996</v>
      </c>
      <c r="R132" s="17">
        <f>CHOOSE(CONTROL!$C$42, 8.7401, 8.7401) * CHOOSE(CONTROL!$C$21, $C$9, 100%, $E$9)</f>
        <v>8.7401</v>
      </c>
      <c r="S132" s="17">
        <f>CHOOSE(CONTROL!$C$42, 7.2139, 7.2139) * CHOOSE(CONTROL!$C$21, $C$9, 100%, $E$9)</f>
        <v>7.2138999999999998</v>
      </c>
      <c r="T132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132" s="57">
        <f>(1000*CHOOSE(CONTROL!$C$42, 695, 695)*CHOOSE(CONTROL!$C$42, 0.5599, 0.5599)*CHOOSE(CONTROL!$C$42, 31, 31))/1000000</f>
        <v>12.063045499999998</v>
      </c>
      <c r="V132" s="57">
        <f>(1000*CHOOSE(CONTROL!$C$42, 500, 500)*CHOOSE(CONTROL!$C$42, 0.275, 0.275)*CHOOSE(CONTROL!$C$42, 31, 31))/1000000</f>
        <v>4.2625000000000002</v>
      </c>
      <c r="W132" s="57">
        <f>(1000*CHOOSE(CONTROL!$C$42, 0.0916, 0.0916)*CHOOSE(CONTROL!$C$42, 121.5, 121.5)*CHOOSE(CONTROL!$C$42, 31, 31))/1000000</f>
        <v>0.34501139999999997</v>
      </c>
      <c r="X132" s="57">
        <f>(31*0.2374*100000/1000000)</f>
        <v>0.73594000000000004</v>
      </c>
      <c r="Y132" s="57"/>
      <c r="Z132" s="17"/>
      <c r="AA132" s="56"/>
      <c r="AB132" s="49">
        <f>(B132*122.58+C132*297.941+D132*89.177+E132*140.302+F132*40+G132*60+H132*0+I132*100+J132*300)/(122.58+297.941+89.177+140.302+0+40+60+100+300)</f>
        <v>7.4892688478260876</v>
      </c>
      <c r="AC132" s="46">
        <f>(M132*'RAP TEMPLATE-GAS AVAILABILITY'!O131+N132*'RAP TEMPLATE-GAS AVAILABILITY'!P131+O132*'RAP TEMPLATE-GAS AVAILABILITY'!Q131+P132*'RAP TEMPLATE-GAS AVAILABILITY'!R131)/('RAP TEMPLATE-GAS AVAILABILITY'!O131+'RAP TEMPLATE-GAS AVAILABILITY'!P131+'RAP TEMPLATE-GAS AVAILABILITY'!Q131+'RAP TEMPLATE-GAS AVAILABILITY'!R131)</f>
        <v>7.4684798561151062</v>
      </c>
    </row>
    <row r="133" spans="1:29" ht="15.75" x14ac:dyDescent="0.25">
      <c r="A133" s="16">
        <v>44927</v>
      </c>
      <c r="B133" s="17">
        <f>CHOOSE(CONTROL!$C$42, 8.2196, 8.2196) * CHOOSE(CONTROL!$C$21, $C$9, 100%, $E$9)</f>
        <v>8.2195999999999998</v>
      </c>
      <c r="C133" s="17">
        <f>CHOOSE(CONTROL!$C$42, 8.2247, 8.2247) * CHOOSE(CONTROL!$C$21, $C$9, 100%, $E$9)</f>
        <v>8.2247000000000003</v>
      </c>
      <c r="D133" s="17">
        <f>CHOOSE(CONTROL!$C$42, 8.3421, 8.3421) * CHOOSE(CONTROL!$C$21, $C$9, 100%, $E$9)</f>
        <v>8.3421000000000003</v>
      </c>
      <c r="E133" s="17">
        <f>CHOOSE(CONTROL!$C$42, 8.3759, 8.3759) * CHOOSE(CONTROL!$C$21, $C$9, 100%, $E$9)</f>
        <v>8.3758999999999997</v>
      </c>
      <c r="F133" s="17">
        <f>CHOOSE(CONTROL!$C$42, 8.2332, 8.2332)*CHOOSE(CONTROL!$C$21, $C$9, 100%, $E$9)</f>
        <v>8.2332000000000001</v>
      </c>
      <c r="G133" s="17">
        <f>CHOOSE(CONTROL!$C$42, 8.2495, 8.2495)*CHOOSE(CONTROL!$C$21, $C$9, 100%, $E$9)</f>
        <v>8.2494999999999994</v>
      </c>
      <c r="H133" s="17">
        <f>CHOOSE(CONTROL!$C$42, 8.3648, 8.3648) * CHOOSE(CONTROL!$C$21, $C$9, 100%, $E$9)</f>
        <v>8.3648000000000007</v>
      </c>
      <c r="I133" s="17">
        <f>CHOOSE(CONTROL!$C$42, 8.2685, 8.2685)* CHOOSE(CONTROL!$C$21, $C$9, 100%, $E$9)</f>
        <v>8.2684999999999995</v>
      </c>
      <c r="J133" s="17">
        <f>CHOOSE(CONTROL!$C$42, 8.2258, 8.2258)* CHOOSE(CONTROL!$C$21, $C$9, 100%, $E$9)</f>
        <v>8.2257999999999996</v>
      </c>
      <c r="K133" s="53">
        <f>CHOOSE(CONTROL!$C$42, 8.2625, 8.2625) * CHOOSE(CONTROL!$C$21, $C$9, 100%, $E$9)</f>
        <v>8.2624999999999993</v>
      </c>
      <c r="L133" s="17">
        <f>CHOOSE(CONTROL!$C$42, 8.9518, 8.9518) * CHOOSE(CONTROL!$C$21, $C$9, 100%, $E$9)</f>
        <v>8.9518000000000004</v>
      </c>
      <c r="M133" s="17">
        <f>CHOOSE(CONTROL!$C$42, 8.1588, 8.1588) * CHOOSE(CONTROL!$C$21, $C$9, 100%, $E$9)</f>
        <v>8.1587999999999994</v>
      </c>
      <c r="N133" s="17">
        <f>CHOOSE(CONTROL!$C$42, 8.175, 8.175) * CHOOSE(CONTROL!$C$21, $C$9, 100%, $E$9)</f>
        <v>8.1750000000000007</v>
      </c>
      <c r="O133" s="17">
        <f>CHOOSE(CONTROL!$C$42, 8.2965, 8.2965) * CHOOSE(CONTROL!$C$21, $C$9, 100%, $E$9)</f>
        <v>8.2965</v>
      </c>
      <c r="P133" s="17">
        <f>CHOOSE(CONTROL!$C$42, 8.201, 8.201) * CHOOSE(CONTROL!$C$21, $C$9, 100%, $E$9)</f>
        <v>8.2010000000000005</v>
      </c>
      <c r="Q133" s="17">
        <f>CHOOSE(CONTROL!$C$42, 8.8912, 8.8912) * CHOOSE(CONTROL!$C$21, $C$9, 100%, $E$9)</f>
        <v>8.8911999999999995</v>
      </c>
      <c r="R133" s="17">
        <f>CHOOSE(CONTROL!$C$42, 9.5005, 9.5005) * CHOOSE(CONTROL!$C$21, $C$9, 100%, $E$9)</f>
        <v>9.5005000000000006</v>
      </c>
      <c r="S133" s="17">
        <f>CHOOSE(CONTROL!$C$42, 7.961, 7.961) * CHOOSE(CONTROL!$C$21, $C$9, 100%, $E$9)</f>
        <v>7.9610000000000003</v>
      </c>
      <c r="T133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133" s="57">
        <f>(1000*CHOOSE(CONTROL!$C$42, 695, 695)*CHOOSE(CONTROL!$C$42, 0.5599, 0.5599)*CHOOSE(CONTROL!$C$42, 31, 31))/1000000</f>
        <v>12.063045499999998</v>
      </c>
      <c r="V133" s="57">
        <f>(1000*CHOOSE(CONTROL!$C$42, 500, 500)*CHOOSE(CONTROL!$C$42, 0.275, 0.275)*CHOOSE(CONTROL!$C$42, 31, 31))/1000000</f>
        <v>4.2625000000000002</v>
      </c>
      <c r="W133" s="57">
        <f>(1000*CHOOSE(CONTROL!$C$42, 0.0916, 0.0916)*CHOOSE(CONTROL!$C$42, 121.5, 121.5)*CHOOSE(CONTROL!$C$42, 31, 31))/1000000</f>
        <v>0.34501139999999997</v>
      </c>
      <c r="X133" s="57">
        <f>(31*0.2374*100000/1000000)</f>
        <v>0.73594000000000004</v>
      </c>
      <c r="Y133" s="57"/>
      <c r="Z133" s="17"/>
      <c r="AA133" s="56"/>
      <c r="AB133" s="49">
        <f>(B133*122.58+C133*297.941+D133*89.177+E133*140.302+F133*40+G133*60+H133*0+I133*100+J133*300)/(122.58+297.941+89.177+140.302+0+40+60+100+300)</f>
        <v>8.2573920732173907</v>
      </c>
      <c r="AC133" s="46">
        <f>(M133*'RAP TEMPLATE-GAS AVAILABILITY'!O132+N133*'RAP TEMPLATE-GAS AVAILABILITY'!P132+O133*'RAP TEMPLATE-GAS AVAILABILITY'!Q132+P133*'RAP TEMPLATE-GAS AVAILABILITY'!R132)/('RAP TEMPLATE-GAS AVAILABILITY'!O132+'RAP TEMPLATE-GAS AVAILABILITY'!P132+'RAP TEMPLATE-GAS AVAILABILITY'!Q132+'RAP TEMPLATE-GAS AVAILABILITY'!R132)</f>
        <v>8.2282151079136696</v>
      </c>
    </row>
    <row r="134" spans="1:29" ht="15.75" x14ac:dyDescent="0.25">
      <c r="A134" s="16">
        <v>44958</v>
      </c>
      <c r="B134" s="17">
        <f>CHOOSE(CONTROL!$C$42, 8.3829, 8.3829) * CHOOSE(CONTROL!$C$21, $C$9, 100%, $E$9)</f>
        <v>8.3828999999999994</v>
      </c>
      <c r="C134" s="17">
        <f>CHOOSE(CONTROL!$C$42, 8.388, 8.388) * CHOOSE(CONTROL!$C$21, $C$9, 100%, $E$9)</f>
        <v>8.3879999999999999</v>
      </c>
      <c r="D134" s="17">
        <f>CHOOSE(CONTROL!$C$42, 8.5055, 8.5055) * CHOOSE(CONTROL!$C$21, $C$9, 100%, $E$9)</f>
        <v>8.5054999999999996</v>
      </c>
      <c r="E134" s="17">
        <f>CHOOSE(CONTROL!$C$42, 8.5392, 8.5392) * CHOOSE(CONTROL!$C$21, $C$9, 100%, $E$9)</f>
        <v>8.5391999999999992</v>
      </c>
      <c r="F134" s="17">
        <f>CHOOSE(CONTROL!$C$42, 8.3966, 8.3966)*CHOOSE(CONTROL!$C$21, $C$9, 100%, $E$9)</f>
        <v>8.3965999999999994</v>
      </c>
      <c r="G134" s="17">
        <f>CHOOSE(CONTROL!$C$42, 8.4129, 8.4129)*CHOOSE(CONTROL!$C$21, $C$9, 100%, $E$9)</f>
        <v>8.4129000000000005</v>
      </c>
      <c r="H134" s="17">
        <f>CHOOSE(CONTROL!$C$42, 8.5281, 8.5281) * CHOOSE(CONTROL!$C$21, $C$9, 100%, $E$9)</f>
        <v>8.5281000000000002</v>
      </c>
      <c r="I134" s="17">
        <f>CHOOSE(CONTROL!$C$42, 8.4323, 8.4323)* CHOOSE(CONTROL!$C$21, $C$9, 100%, $E$9)</f>
        <v>8.4322999999999997</v>
      </c>
      <c r="J134" s="17">
        <f>CHOOSE(CONTROL!$C$42, 8.3892, 8.3892)* CHOOSE(CONTROL!$C$21, $C$9, 100%, $E$9)</f>
        <v>8.3892000000000007</v>
      </c>
      <c r="K134" s="53">
        <f>CHOOSE(CONTROL!$C$42, 8.4263, 8.4263) * CHOOSE(CONTROL!$C$21, $C$9, 100%, $E$9)</f>
        <v>8.4262999999999995</v>
      </c>
      <c r="L134" s="17">
        <f>CHOOSE(CONTROL!$C$42, 9.1151, 9.1151) * CHOOSE(CONTROL!$C$21, $C$9, 100%, $E$9)</f>
        <v>9.1151</v>
      </c>
      <c r="M134" s="17">
        <f>CHOOSE(CONTROL!$C$42, 8.3207, 8.3207) * CHOOSE(CONTROL!$C$21, $C$9, 100%, $E$9)</f>
        <v>8.3207000000000004</v>
      </c>
      <c r="N134" s="17">
        <f>CHOOSE(CONTROL!$C$42, 8.3369, 8.3369) * CHOOSE(CONTROL!$C$21, $C$9, 100%, $E$9)</f>
        <v>8.3369</v>
      </c>
      <c r="O134" s="17">
        <f>CHOOSE(CONTROL!$C$42, 8.4584, 8.4584) * CHOOSE(CONTROL!$C$21, $C$9, 100%, $E$9)</f>
        <v>8.4583999999999993</v>
      </c>
      <c r="P134" s="17">
        <f>CHOOSE(CONTROL!$C$42, 8.3633, 8.3633) * CHOOSE(CONTROL!$C$21, $C$9, 100%, $E$9)</f>
        <v>8.3633000000000006</v>
      </c>
      <c r="Q134" s="17">
        <f>CHOOSE(CONTROL!$C$42, 9.0531, 9.0531) * CHOOSE(CONTROL!$C$21, $C$9, 100%, $E$9)</f>
        <v>9.0531000000000006</v>
      </c>
      <c r="R134" s="17">
        <f>CHOOSE(CONTROL!$C$42, 9.6628, 9.6628) * CHOOSE(CONTROL!$C$21, $C$9, 100%, $E$9)</f>
        <v>9.6628000000000007</v>
      </c>
      <c r="S134" s="17">
        <f>CHOOSE(CONTROL!$C$42, 8.1194, 8.1194) * CHOOSE(CONTROL!$C$21, $C$9, 100%, $E$9)</f>
        <v>8.1194000000000006</v>
      </c>
      <c r="T134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134" s="57">
        <f>(1000*CHOOSE(CONTROL!$C$42, 695, 695)*CHOOSE(CONTROL!$C$42, 0.5599, 0.5599)*CHOOSE(CONTROL!$C$42, 28, 28))/1000000</f>
        <v>10.895653999999999</v>
      </c>
      <c r="V134" s="57">
        <f>(1000*CHOOSE(CONTROL!$C$42, 500, 500)*CHOOSE(CONTROL!$C$42, 0.275, 0.275)*CHOOSE(CONTROL!$C$42, 28, 28))/1000000</f>
        <v>3.85</v>
      </c>
      <c r="W134" s="57">
        <f>(1000*CHOOSE(CONTROL!$C$42, 0.0916, 0.0916)*CHOOSE(CONTROL!$C$42, 121.5, 121.5)*CHOOSE(CONTROL!$C$42, 28, 28))/1000000</f>
        <v>0.31162319999999999</v>
      </c>
      <c r="X134" s="57">
        <f>(28*0.2374*100000/1000000)</f>
        <v>0.66471999999999998</v>
      </c>
      <c r="Y134" s="57"/>
      <c r="Z134" s="17"/>
      <c r="AA134" s="56"/>
      <c r="AB134" s="49">
        <f>(B134*122.58+C134*297.941+D134*89.177+E134*140.302+F134*40+G134*60+H134*0+I134*100+J134*300)/(122.58+297.941+89.177+140.302+0+40+60+100+300)</f>
        <v>8.4207780886086958</v>
      </c>
      <c r="AC134" s="46">
        <f>(M134*'RAP TEMPLATE-GAS AVAILABILITY'!O133+N134*'RAP TEMPLATE-GAS AVAILABILITY'!P133+O134*'RAP TEMPLATE-GAS AVAILABILITY'!Q133+P134*'RAP TEMPLATE-GAS AVAILABILITY'!R133)/('RAP TEMPLATE-GAS AVAILABILITY'!O133+'RAP TEMPLATE-GAS AVAILABILITY'!P133+'RAP TEMPLATE-GAS AVAILABILITY'!Q133+'RAP TEMPLATE-GAS AVAILABILITY'!R133)</f>
        <v>8.390172661870503</v>
      </c>
    </row>
    <row r="135" spans="1:29" ht="15.75" x14ac:dyDescent="0.25">
      <c r="A135" s="16">
        <v>44986</v>
      </c>
      <c r="B135" s="17">
        <f>CHOOSE(CONTROL!$C$42, 8.162, 8.162) * CHOOSE(CONTROL!$C$21, $C$9, 100%, $E$9)</f>
        <v>8.1620000000000008</v>
      </c>
      <c r="C135" s="17">
        <f>CHOOSE(CONTROL!$C$42, 8.1671, 8.1671) * CHOOSE(CONTROL!$C$21, $C$9, 100%, $E$9)</f>
        <v>8.1670999999999996</v>
      </c>
      <c r="D135" s="17">
        <f>CHOOSE(CONTROL!$C$42, 8.2845, 8.2845) * CHOOSE(CONTROL!$C$21, $C$9, 100%, $E$9)</f>
        <v>8.2844999999999995</v>
      </c>
      <c r="E135" s="17">
        <f>CHOOSE(CONTROL!$C$42, 8.3183, 8.3183) * CHOOSE(CONTROL!$C$21, $C$9, 100%, $E$9)</f>
        <v>8.3183000000000007</v>
      </c>
      <c r="F135" s="17">
        <f>CHOOSE(CONTROL!$C$42, 8.175, 8.175)*CHOOSE(CONTROL!$C$21, $C$9, 100%, $E$9)</f>
        <v>8.1750000000000007</v>
      </c>
      <c r="G135" s="17">
        <f>CHOOSE(CONTROL!$C$42, 8.1911, 8.1911)*CHOOSE(CONTROL!$C$21, $C$9, 100%, $E$9)</f>
        <v>8.1911000000000005</v>
      </c>
      <c r="H135" s="17">
        <f>CHOOSE(CONTROL!$C$42, 8.3072, 8.3072) * CHOOSE(CONTROL!$C$21, $C$9, 100%, $E$9)</f>
        <v>8.3071999999999999</v>
      </c>
      <c r="I135" s="17">
        <f>CHOOSE(CONTROL!$C$42, 8.2107, 8.2107)* CHOOSE(CONTROL!$C$21, $C$9, 100%, $E$9)</f>
        <v>8.2106999999999992</v>
      </c>
      <c r="J135" s="17">
        <f>CHOOSE(CONTROL!$C$42, 8.1676, 8.1676)* CHOOSE(CONTROL!$C$21, $C$9, 100%, $E$9)</f>
        <v>8.1676000000000002</v>
      </c>
      <c r="K135" s="53">
        <f>CHOOSE(CONTROL!$C$42, 8.2047, 8.2047) * CHOOSE(CONTROL!$C$21, $C$9, 100%, $E$9)</f>
        <v>8.2047000000000008</v>
      </c>
      <c r="L135" s="17">
        <f>CHOOSE(CONTROL!$C$42, 8.8942, 8.8942) * CHOOSE(CONTROL!$C$21, $C$9, 100%, $E$9)</f>
        <v>8.8941999999999997</v>
      </c>
      <c r="M135" s="17">
        <f>CHOOSE(CONTROL!$C$42, 8.1011, 8.1011) * CHOOSE(CONTROL!$C$21, $C$9, 100%, $E$9)</f>
        <v>8.1011000000000006</v>
      </c>
      <c r="N135" s="17">
        <f>CHOOSE(CONTROL!$C$42, 8.1171, 8.1171) * CHOOSE(CONTROL!$C$21, $C$9, 100%, $E$9)</f>
        <v>8.1171000000000006</v>
      </c>
      <c r="O135" s="17">
        <f>CHOOSE(CONTROL!$C$42, 8.2395, 8.2395) * CHOOSE(CONTROL!$C$21, $C$9, 100%, $E$9)</f>
        <v>8.2394999999999996</v>
      </c>
      <c r="P135" s="17">
        <f>CHOOSE(CONTROL!$C$42, 8.1437, 8.1437) * CHOOSE(CONTROL!$C$21, $C$9, 100%, $E$9)</f>
        <v>8.1437000000000008</v>
      </c>
      <c r="Q135" s="17">
        <f>CHOOSE(CONTROL!$C$42, 8.8342, 8.8342) * CHOOSE(CONTROL!$C$21, $C$9, 100%, $E$9)</f>
        <v>8.8341999999999992</v>
      </c>
      <c r="R135" s="17">
        <f>CHOOSE(CONTROL!$C$42, 9.4433, 9.4433) * CHOOSE(CONTROL!$C$21, $C$9, 100%, $E$9)</f>
        <v>9.4433000000000007</v>
      </c>
      <c r="S135" s="17">
        <f>CHOOSE(CONTROL!$C$42, 7.9052, 7.9052) * CHOOSE(CONTROL!$C$21, $C$9, 100%, $E$9)</f>
        <v>7.9051999999999998</v>
      </c>
      <c r="T135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135" s="57">
        <f>(1000*CHOOSE(CONTROL!$C$42, 695, 695)*CHOOSE(CONTROL!$C$42, 0.5599, 0.5599)*CHOOSE(CONTROL!$C$42, 31, 31))/1000000</f>
        <v>12.063045499999998</v>
      </c>
      <c r="V135" s="57">
        <f>(1000*CHOOSE(CONTROL!$C$42, 500, 500)*CHOOSE(CONTROL!$C$42, 0.275, 0.275)*CHOOSE(CONTROL!$C$42, 31, 31))/1000000</f>
        <v>4.2625000000000002</v>
      </c>
      <c r="W135" s="57">
        <f>(1000*CHOOSE(CONTROL!$C$42, 0.0916, 0.0916)*CHOOSE(CONTROL!$C$42, 121.5, 121.5)*CHOOSE(CONTROL!$C$42, 31, 31))/1000000</f>
        <v>0.34501139999999997</v>
      </c>
      <c r="X135" s="57">
        <f>(31*0.2374*100000/1000000)</f>
        <v>0.73594000000000004</v>
      </c>
      <c r="Y135" s="57"/>
      <c r="Z135" s="17"/>
      <c r="AA135" s="56"/>
      <c r="AB135" s="49">
        <f>(B135*122.58+C135*297.941+D135*89.177+E135*140.302+F135*40+G135*60+H135*0+I135*100+J135*300)/(122.58+297.941+89.177+140.302+0+40+60+100+300)</f>
        <v>8.1995555514782605</v>
      </c>
      <c r="AC135" s="46">
        <f>(M135*'RAP TEMPLATE-GAS AVAILABILITY'!O134+N135*'RAP TEMPLATE-GAS AVAILABILITY'!P134+O135*'RAP TEMPLATE-GAS AVAILABILITY'!Q134+P135*'RAP TEMPLATE-GAS AVAILABILITY'!R134)/('RAP TEMPLATE-GAS AVAILABILITY'!O134+'RAP TEMPLATE-GAS AVAILABILITY'!P134+'RAP TEMPLATE-GAS AVAILABILITY'!Q134+'RAP TEMPLATE-GAS AVAILABILITY'!R134)</f>
        <v>8.1708784172661861</v>
      </c>
    </row>
    <row r="136" spans="1:29" ht="15.75" x14ac:dyDescent="0.25">
      <c r="A136" s="16">
        <v>45017</v>
      </c>
      <c r="B136" s="17">
        <f>CHOOSE(CONTROL!$C$42, 8.1553, 8.1553) * CHOOSE(CONTROL!$C$21, $C$9, 100%, $E$9)</f>
        <v>8.1553000000000004</v>
      </c>
      <c r="C136" s="17">
        <f>CHOOSE(CONTROL!$C$42, 8.1598, 8.1598) * CHOOSE(CONTROL!$C$21, $C$9, 100%, $E$9)</f>
        <v>8.1598000000000006</v>
      </c>
      <c r="D136" s="17">
        <f>CHOOSE(CONTROL!$C$42, 8.4125, 8.4125) * CHOOSE(CONTROL!$C$21, $C$9, 100%, $E$9)</f>
        <v>8.4124999999999996</v>
      </c>
      <c r="E136" s="17">
        <f>CHOOSE(CONTROL!$C$42, 8.4443, 8.4443) * CHOOSE(CONTROL!$C$21, $C$9, 100%, $E$9)</f>
        <v>8.4443000000000001</v>
      </c>
      <c r="F136" s="17">
        <f>CHOOSE(CONTROL!$C$42, 8.1613, 8.1613)*CHOOSE(CONTROL!$C$21, $C$9, 100%, $E$9)</f>
        <v>8.1613000000000007</v>
      </c>
      <c r="G136" s="17">
        <f>CHOOSE(CONTROL!$C$42, 8.1771, 8.1771)*CHOOSE(CONTROL!$C$21, $C$9, 100%, $E$9)</f>
        <v>8.1770999999999994</v>
      </c>
      <c r="H136" s="17">
        <f>CHOOSE(CONTROL!$C$42, 8.4338, 8.4338) * CHOOSE(CONTROL!$C$21, $C$9, 100%, $E$9)</f>
        <v>8.4337999999999997</v>
      </c>
      <c r="I136" s="17">
        <f>CHOOSE(CONTROL!$C$42, 8.2022, 8.2022)* CHOOSE(CONTROL!$C$21, $C$9, 100%, $E$9)</f>
        <v>8.2021999999999995</v>
      </c>
      <c r="J136" s="17">
        <f>CHOOSE(CONTROL!$C$42, 8.1539, 8.1539)* CHOOSE(CONTROL!$C$21, $C$9, 100%, $E$9)</f>
        <v>8.1539000000000001</v>
      </c>
      <c r="K136" s="53">
        <f>CHOOSE(CONTROL!$C$42, 8.1962, 8.1962) * CHOOSE(CONTROL!$C$21, $C$9, 100%, $E$9)</f>
        <v>8.1961999999999993</v>
      </c>
      <c r="L136" s="17">
        <f>CHOOSE(CONTROL!$C$42, 9.0208, 9.0208) * CHOOSE(CONTROL!$C$21, $C$9, 100%, $E$9)</f>
        <v>9.0207999999999995</v>
      </c>
      <c r="M136" s="17">
        <f>CHOOSE(CONTROL!$C$42, 8.0876, 8.0876) * CHOOSE(CONTROL!$C$21, $C$9, 100%, $E$9)</f>
        <v>8.0876000000000001</v>
      </c>
      <c r="N136" s="17">
        <f>CHOOSE(CONTROL!$C$42, 8.1033, 8.1033) * CHOOSE(CONTROL!$C$21, $C$9, 100%, $E$9)</f>
        <v>8.1033000000000008</v>
      </c>
      <c r="O136" s="17">
        <f>CHOOSE(CONTROL!$C$42, 8.365, 8.365) * CHOOSE(CONTROL!$C$21, $C$9, 100%, $E$9)</f>
        <v>8.3650000000000002</v>
      </c>
      <c r="P136" s="17">
        <f>CHOOSE(CONTROL!$C$42, 8.1353, 8.1353) * CHOOSE(CONTROL!$C$21, $C$9, 100%, $E$9)</f>
        <v>8.1353000000000009</v>
      </c>
      <c r="Q136" s="17">
        <f>CHOOSE(CONTROL!$C$42, 8.9597, 8.9597) * CHOOSE(CONTROL!$C$21, $C$9, 100%, $E$9)</f>
        <v>8.9596999999999998</v>
      </c>
      <c r="R136" s="17">
        <f>CHOOSE(CONTROL!$C$42, 9.569, 9.569) * CHOOSE(CONTROL!$C$21, $C$9, 100%, $E$9)</f>
        <v>9.5690000000000008</v>
      </c>
      <c r="S136" s="17">
        <f>CHOOSE(CONTROL!$C$42, 7.898, 7.898) * CHOOSE(CONTROL!$C$21, $C$9, 100%, $E$9)</f>
        <v>7.8979999999999997</v>
      </c>
      <c r="T136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136" s="57">
        <f>(1000*CHOOSE(CONTROL!$C$42, 695, 695)*CHOOSE(CONTROL!$C$42, 0.5599, 0.5599)*CHOOSE(CONTROL!$C$42, 30, 30))/1000000</f>
        <v>11.673914999999997</v>
      </c>
      <c r="V136" s="57">
        <f>(1000*CHOOSE(CONTROL!$C$42, 500, 500)*CHOOSE(CONTROL!$C$42, 0.275, 0.275)*CHOOSE(CONTROL!$C$42, 30, 30))/1000000</f>
        <v>4.125</v>
      </c>
      <c r="W136" s="57">
        <f>(1000*CHOOSE(CONTROL!$C$42, 0.0916, 0.0916)*CHOOSE(CONTROL!$C$42, 121.5, 121.5)*CHOOSE(CONTROL!$C$42, 30, 30))/1000000</f>
        <v>0.33388200000000001</v>
      </c>
      <c r="X136" s="57">
        <f>(30*0.1790888*145000/1000000)+(30*0.2374*100000/1000000)</f>
        <v>1.4912362799999999</v>
      </c>
      <c r="Y136" s="57"/>
      <c r="Z136" s="17"/>
      <c r="AA136" s="56"/>
      <c r="AB136" s="49">
        <f>(B136*141.293+C136*267.993+D136*115.016+E136*189.698+F136*40+G136*85+H136*0+I136*100+J136*300)/(141.293+267.993+115.016+189.698+0+40+85+100+300)</f>
        <v>8.2295322887005664</v>
      </c>
      <c r="AC136" s="46">
        <f>(M136*'RAP TEMPLATE-GAS AVAILABILITY'!O135+N136*'RAP TEMPLATE-GAS AVAILABILITY'!P135+O136*'RAP TEMPLATE-GAS AVAILABILITY'!Q135+P136*'RAP TEMPLATE-GAS AVAILABILITY'!R135)/('RAP TEMPLATE-GAS AVAILABILITY'!O135+'RAP TEMPLATE-GAS AVAILABILITY'!P135+'RAP TEMPLATE-GAS AVAILABILITY'!Q135+'RAP TEMPLATE-GAS AVAILABILITY'!R135)</f>
        <v>8.1759093525179871</v>
      </c>
    </row>
    <row r="137" spans="1:29" ht="15.75" x14ac:dyDescent="0.25">
      <c r="A137" s="16">
        <v>45047</v>
      </c>
      <c r="B137" s="17">
        <f>CHOOSE(CONTROL!$C$42, 8.2455, 8.2455) * CHOOSE(CONTROL!$C$21, $C$9, 100%, $E$9)</f>
        <v>8.2454999999999998</v>
      </c>
      <c r="C137" s="17">
        <f>CHOOSE(CONTROL!$C$42, 8.2535, 8.2535) * CHOOSE(CONTROL!$C$21, $C$9, 100%, $E$9)</f>
        <v>8.2535000000000007</v>
      </c>
      <c r="D137" s="17">
        <f>CHOOSE(CONTROL!$C$42, 8.5031, 8.5031) * CHOOSE(CONTROL!$C$21, $C$9, 100%, $E$9)</f>
        <v>8.5030999999999999</v>
      </c>
      <c r="E137" s="17">
        <f>CHOOSE(CONTROL!$C$42, 8.5343, 8.5343) * CHOOSE(CONTROL!$C$21, $C$9, 100%, $E$9)</f>
        <v>8.5343</v>
      </c>
      <c r="F137" s="17">
        <f>CHOOSE(CONTROL!$C$42, 8.2503, 8.2503)*CHOOSE(CONTROL!$C$21, $C$9, 100%, $E$9)</f>
        <v>8.2502999999999993</v>
      </c>
      <c r="G137" s="17">
        <f>CHOOSE(CONTROL!$C$42, 8.2665, 8.2665)*CHOOSE(CONTROL!$C$21, $C$9, 100%, $E$9)</f>
        <v>8.2665000000000006</v>
      </c>
      <c r="H137" s="17">
        <f>CHOOSE(CONTROL!$C$42, 8.5226, 8.5226) * CHOOSE(CONTROL!$C$21, $C$9, 100%, $E$9)</f>
        <v>8.5226000000000006</v>
      </c>
      <c r="I137" s="17">
        <f>CHOOSE(CONTROL!$C$42, 8.2913, 8.2913)* CHOOSE(CONTROL!$C$21, $C$9, 100%, $E$9)</f>
        <v>8.2912999999999997</v>
      </c>
      <c r="J137" s="17">
        <f>CHOOSE(CONTROL!$C$42, 8.2429, 8.2429)* CHOOSE(CONTROL!$C$21, $C$9, 100%, $E$9)</f>
        <v>8.2429000000000006</v>
      </c>
      <c r="K137" s="53">
        <f>CHOOSE(CONTROL!$C$42, 8.2853, 8.2853) * CHOOSE(CONTROL!$C$21, $C$9, 100%, $E$9)</f>
        <v>8.2852999999999994</v>
      </c>
      <c r="L137" s="17">
        <f>CHOOSE(CONTROL!$C$42, 9.1096, 9.1096) * CHOOSE(CONTROL!$C$21, $C$9, 100%, $E$9)</f>
        <v>9.1096000000000004</v>
      </c>
      <c r="M137" s="17">
        <f>CHOOSE(CONTROL!$C$42, 8.1758, 8.1758) * CHOOSE(CONTROL!$C$21, $C$9, 100%, $E$9)</f>
        <v>8.1758000000000006</v>
      </c>
      <c r="N137" s="17">
        <f>CHOOSE(CONTROL!$C$42, 8.1918, 8.1918) * CHOOSE(CONTROL!$C$21, $C$9, 100%, $E$9)</f>
        <v>8.1918000000000006</v>
      </c>
      <c r="O137" s="17">
        <f>CHOOSE(CONTROL!$C$42, 8.453, 8.453) * CHOOSE(CONTROL!$C$21, $C$9, 100%, $E$9)</f>
        <v>8.4529999999999994</v>
      </c>
      <c r="P137" s="17">
        <f>CHOOSE(CONTROL!$C$42, 8.2236, 8.2236) * CHOOSE(CONTROL!$C$21, $C$9, 100%, $E$9)</f>
        <v>8.2235999999999994</v>
      </c>
      <c r="Q137" s="17">
        <f>CHOOSE(CONTROL!$C$42, 9.0477, 9.0477) * CHOOSE(CONTROL!$C$21, $C$9, 100%, $E$9)</f>
        <v>9.0477000000000007</v>
      </c>
      <c r="R137" s="17">
        <f>CHOOSE(CONTROL!$C$42, 9.6573, 9.6573) * CHOOSE(CONTROL!$C$21, $C$9, 100%, $E$9)</f>
        <v>9.6572999999999993</v>
      </c>
      <c r="S137" s="17">
        <f>CHOOSE(CONTROL!$C$42, 7.9841, 7.9841) * CHOOSE(CONTROL!$C$21, $C$9, 100%, $E$9)</f>
        <v>7.9840999999999998</v>
      </c>
      <c r="T137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137" s="57">
        <f>(1000*CHOOSE(CONTROL!$C$42, 695, 695)*CHOOSE(CONTROL!$C$42, 0.5599, 0.5599)*CHOOSE(CONTROL!$C$42, 31, 31))/1000000</f>
        <v>12.063045499999998</v>
      </c>
      <c r="V137" s="57">
        <f>(1000*CHOOSE(CONTROL!$C$42, 500, 500)*CHOOSE(CONTROL!$C$42, 0.275, 0.275)*CHOOSE(CONTROL!$C$42, 31, 31))/1000000</f>
        <v>4.2625000000000002</v>
      </c>
      <c r="W137" s="57">
        <f>(1000*CHOOSE(CONTROL!$C$42, 0.0916, 0.0916)*CHOOSE(CONTROL!$C$42, 121.5, 121.5)*CHOOSE(CONTROL!$C$42, 31, 31))/1000000</f>
        <v>0.34501139999999997</v>
      </c>
      <c r="X137" s="57">
        <f>(31*0.1790888*145000/1000000)+(31*0.2374*100000/1000000)</f>
        <v>1.5409441560000001</v>
      </c>
      <c r="Y137" s="57"/>
      <c r="Z137" s="17"/>
      <c r="AA137" s="56"/>
      <c r="AB137" s="49">
        <f>(B137*194.205+C137*267.466+D137*133.845+E137*153.484+F137*40+G137*85+H137*0+I137*100+J137*300)/(194.205+267.466+133.845+153.484+0+40+85+100+300)</f>
        <v>8.3135701563579278</v>
      </c>
      <c r="AC137" s="46">
        <f>(M137*'RAP TEMPLATE-GAS AVAILABILITY'!O136+N137*'RAP TEMPLATE-GAS AVAILABILITY'!P136+O137*'RAP TEMPLATE-GAS AVAILABILITY'!Q136+P137*'RAP TEMPLATE-GAS AVAILABILITY'!R136)/('RAP TEMPLATE-GAS AVAILABILITY'!O136+'RAP TEMPLATE-GAS AVAILABILITY'!P136+'RAP TEMPLATE-GAS AVAILABILITY'!Q136+'RAP TEMPLATE-GAS AVAILABILITY'!R136)</f>
        <v>8.2641366906474811</v>
      </c>
    </row>
    <row r="138" spans="1:29" ht="15.75" x14ac:dyDescent="0.25">
      <c r="A138" s="16">
        <v>45078</v>
      </c>
      <c r="B138" s="17">
        <f>CHOOSE(CONTROL!$C$42, 8.4965, 8.4965) * CHOOSE(CONTROL!$C$21, $C$9, 100%, $E$9)</f>
        <v>8.4964999999999993</v>
      </c>
      <c r="C138" s="17">
        <f>CHOOSE(CONTROL!$C$42, 8.5044, 8.5044) * CHOOSE(CONTROL!$C$21, $C$9, 100%, $E$9)</f>
        <v>8.5044000000000004</v>
      </c>
      <c r="D138" s="17">
        <f>CHOOSE(CONTROL!$C$42, 8.7541, 8.7541) * CHOOSE(CONTROL!$C$21, $C$9, 100%, $E$9)</f>
        <v>8.7540999999999993</v>
      </c>
      <c r="E138" s="17">
        <f>CHOOSE(CONTROL!$C$42, 8.7852, 8.7852) * CHOOSE(CONTROL!$C$21, $C$9, 100%, $E$9)</f>
        <v>8.7851999999999997</v>
      </c>
      <c r="F138" s="17">
        <f>CHOOSE(CONTROL!$C$42, 8.5016, 8.5016)*CHOOSE(CONTROL!$C$21, $C$9, 100%, $E$9)</f>
        <v>8.5015999999999998</v>
      </c>
      <c r="G138" s="17">
        <f>CHOOSE(CONTROL!$C$42, 8.5179, 8.5179)*CHOOSE(CONTROL!$C$21, $C$9, 100%, $E$9)</f>
        <v>8.5178999999999991</v>
      </c>
      <c r="H138" s="17">
        <f>CHOOSE(CONTROL!$C$42, 8.7736, 8.7736) * CHOOSE(CONTROL!$C$21, $C$9, 100%, $E$9)</f>
        <v>8.7736000000000001</v>
      </c>
      <c r="I138" s="17">
        <f>CHOOSE(CONTROL!$C$42, 8.543, 8.543)* CHOOSE(CONTROL!$C$21, $C$9, 100%, $E$9)</f>
        <v>8.5429999999999993</v>
      </c>
      <c r="J138" s="17">
        <f>CHOOSE(CONTROL!$C$42, 8.4942, 8.4942)* CHOOSE(CONTROL!$C$21, $C$9, 100%, $E$9)</f>
        <v>8.4941999999999993</v>
      </c>
      <c r="K138" s="53">
        <f>CHOOSE(CONTROL!$C$42, 8.537, 8.537) * CHOOSE(CONTROL!$C$21, $C$9, 100%, $E$9)</f>
        <v>8.5370000000000008</v>
      </c>
      <c r="L138" s="17">
        <f>CHOOSE(CONTROL!$C$42, 9.3606, 9.3606) * CHOOSE(CONTROL!$C$21, $C$9, 100%, $E$9)</f>
        <v>9.3605999999999998</v>
      </c>
      <c r="M138" s="17">
        <f>CHOOSE(CONTROL!$C$42, 8.4249, 8.4249) * CHOOSE(CONTROL!$C$21, $C$9, 100%, $E$9)</f>
        <v>8.4248999999999992</v>
      </c>
      <c r="N138" s="17">
        <f>CHOOSE(CONTROL!$C$42, 8.4409, 8.4409) * CHOOSE(CONTROL!$C$21, $C$9, 100%, $E$9)</f>
        <v>8.4408999999999992</v>
      </c>
      <c r="O138" s="17">
        <f>CHOOSE(CONTROL!$C$42, 8.7017, 8.7017) * CHOOSE(CONTROL!$C$21, $C$9, 100%, $E$9)</f>
        <v>8.7017000000000007</v>
      </c>
      <c r="P138" s="17">
        <f>CHOOSE(CONTROL!$C$42, 8.473, 8.473) * CHOOSE(CONTROL!$C$21, $C$9, 100%, $E$9)</f>
        <v>8.4730000000000008</v>
      </c>
      <c r="Q138" s="17">
        <f>CHOOSE(CONTROL!$C$42, 9.2964, 9.2964) * CHOOSE(CONTROL!$C$21, $C$9, 100%, $E$9)</f>
        <v>9.2964000000000002</v>
      </c>
      <c r="R138" s="17">
        <f>CHOOSE(CONTROL!$C$42, 9.9066, 9.9066) * CHOOSE(CONTROL!$C$21, $C$9, 100%, $E$9)</f>
        <v>9.9065999999999992</v>
      </c>
      <c r="S138" s="17">
        <f>CHOOSE(CONTROL!$C$42, 8.2274, 8.2274) * CHOOSE(CONTROL!$C$21, $C$9, 100%, $E$9)</f>
        <v>8.2273999999999994</v>
      </c>
      <c r="T138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138" s="57">
        <f>(1000*CHOOSE(CONTROL!$C$42, 695, 695)*CHOOSE(CONTROL!$C$42, 0.5599, 0.5599)*CHOOSE(CONTROL!$C$42, 30, 30))/1000000</f>
        <v>11.673914999999997</v>
      </c>
      <c r="V138" s="57">
        <f>(1000*CHOOSE(CONTROL!$C$42, 500, 500)*CHOOSE(CONTROL!$C$42, 0.275, 0.275)*CHOOSE(CONTROL!$C$42, 30, 30))/1000000</f>
        <v>4.125</v>
      </c>
      <c r="W138" s="57">
        <f>(1000*CHOOSE(CONTROL!$C$42, 0.0916, 0.0916)*CHOOSE(CONTROL!$C$42, 121.5, 121.5)*CHOOSE(CONTROL!$C$42, 30, 30))/1000000</f>
        <v>0.33388200000000001</v>
      </c>
      <c r="X138" s="57">
        <f>(30*0.1790888*145000/1000000)+(30*0.2374*100000/1000000)</f>
        <v>1.4912362799999999</v>
      </c>
      <c r="Y138" s="57"/>
      <c r="Z138" s="17"/>
      <c r="AA138" s="56"/>
      <c r="AB138" s="49">
        <f>(B138*194.205+C138*267.466+D138*133.845+E138*153.484+F138*40+G138*85+H138*0+I138*100+J138*300)/(194.205+267.466+133.845+153.484+0+40+85+100+300)</f>
        <v>8.5646988102040815</v>
      </c>
      <c r="AC138" s="46">
        <f>(M138*'RAP TEMPLATE-GAS AVAILABILITY'!O137+N138*'RAP TEMPLATE-GAS AVAILABILITY'!P137+O138*'RAP TEMPLATE-GAS AVAILABILITY'!Q137+P138*'RAP TEMPLATE-GAS AVAILABILITY'!R137)/('RAP TEMPLATE-GAS AVAILABILITY'!O137+'RAP TEMPLATE-GAS AVAILABILITY'!P137+'RAP TEMPLATE-GAS AVAILABILITY'!Q137+'RAP TEMPLATE-GAS AVAILABILITY'!R137)</f>
        <v>8.5131676258992801</v>
      </c>
    </row>
    <row r="139" spans="1:29" ht="15.75" x14ac:dyDescent="0.25">
      <c r="A139" s="16">
        <v>45108</v>
      </c>
      <c r="B139" s="17">
        <f>CHOOSE(CONTROL!$C$42, 8.3508, 8.3508) * CHOOSE(CONTROL!$C$21, $C$9, 100%, $E$9)</f>
        <v>8.3507999999999996</v>
      </c>
      <c r="C139" s="17">
        <f>CHOOSE(CONTROL!$C$42, 8.3588, 8.3588) * CHOOSE(CONTROL!$C$21, $C$9, 100%, $E$9)</f>
        <v>8.3588000000000005</v>
      </c>
      <c r="D139" s="17">
        <f>CHOOSE(CONTROL!$C$42, 8.6084, 8.6084) * CHOOSE(CONTROL!$C$21, $C$9, 100%, $E$9)</f>
        <v>8.6083999999999996</v>
      </c>
      <c r="E139" s="17">
        <f>CHOOSE(CONTROL!$C$42, 8.6396, 8.6396) * CHOOSE(CONTROL!$C$21, $C$9, 100%, $E$9)</f>
        <v>8.6395999999999997</v>
      </c>
      <c r="F139" s="17">
        <f>CHOOSE(CONTROL!$C$42, 8.3565, 8.3565)*CHOOSE(CONTROL!$C$21, $C$9, 100%, $E$9)</f>
        <v>8.3565000000000005</v>
      </c>
      <c r="G139" s="17">
        <f>CHOOSE(CONTROL!$C$42, 8.3729, 8.3729)*CHOOSE(CONTROL!$C$21, $C$9, 100%, $E$9)</f>
        <v>8.3728999999999996</v>
      </c>
      <c r="H139" s="17">
        <f>CHOOSE(CONTROL!$C$42, 8.6279, 8.6279) * CHOOSE(CONTROL!$C$21, $C$9, 100%, $E$9)</f>
        <v>8.6279000000000003</v>
      </c>
      <c r="I139" s="17">
        <f>CHOOSE(CONTROL!$C$42, 8.397, 8.397)* CHOOSE(CONTROL!$C$21, $C$9, 100%, $E$9)</f>
        <v>8.3970000000000002</v>
      </c>
      <c r="J139" s="17">
        <f>CHOOSE(CONTROL!$C$42, 8.3491, 8.3491)* CHOOSE(CONTROL!$C$21, $C$9, 100%, $E$9)</f>
        <v>8.3491</v>
      </c>
      <c r="K139" s="53">
        <f>CHOOSE(CONTROL!$C$42, 8.3909, 8.3909) * CHOOSE(CONTROL!$C$21, $C$9, 100%, $E$9)</f>
        <v>8.3909000000000002</v>
      </c>
      <c r="L139" s="17">
        <f>CHOOSE(CONTROL!$C$42, 9.2149, 9.2149) * CHOOSE(CONTROL!$C$21, $C$9, 100%, $E$9)</f>
        <v>9.2149000000000001</v>
      </c>
      <c r="M139" s="17">
        <f>CHOOSE(CONTROL!$C$42, 8.281, 8.281) * CHOOSE(CONTROL!$C$21, $C$9, 100%, $E$9)</f>
        <v>8.2810000000000006</v>
      </c>
      <c r="N139" s="17">
        <f>CHOOSE(CONTROL!$C$42, 8.2973, 8.2973) * CHOOSE(CONTROL!$C$21, $C$9, 100%, $E$9)</f>
        <v>8.2972999999999999</v>
      </c>
      <c r="O139" s="17">
        <f>CHOOSE(CONTROL!$C$42, 8.5574, 8.5574) * CHOOSE(CONTROL!$C$21, $C$9, 100%, $E$9)</f>
        <v>8.5573999999999995</v>
      </c>
      <c r="P139" s="17">
        <f>CHOOSE(CONTROL!$C$42, 8.3283, 8.3283) * CHOOSE(CONTROL!$C$21, $C$9, 100%, $E$9)</f>
        <v>8.3283000000000005</v>
      </c>
      <c r="Q139" s="17">
        <f>CHOOSE(CONTROL!$C$42, 9.1521, 9.1521) * CHOOSE(CONTROL!$C$21, $C$9, 100%, $E$9)</f>
        <v>9.1521000000000008</v>
      </c>
      <c r="R139" s="17">
        <f>CHOOSE(CONTROL!$C$42, 9.7619, 9.7619) * CHOOSE(CONTROL!$C$21, $C$9, 100%, $E$9)</f>
        <v>9.7619000000000007</v>
      </c>
      <c r="S139" s="17">
        <f>CHOOSE(CONTROL!$C$42, 8.0862, 8.0862) * CHOOSE(CONTROL!$C$21, $C$9, 100%, $E$9)</f>
        <v>8.0861999999999998</v>
      </c>
      <c r="T139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139" s="57">
        <f>(1000*CHOOSE(CONTROL!$C$42, 695, 695)*CHOOSE(CONTROL!$C$42, 0.5599, 0.5599)*CHOOSE(CONTROL!$C$42, 31, 31))/1000000</f>
        <v>12.063045499999998</v>
      </c>
      <c r="V139" s="57">
        <f>(1000*CHOOSE(CONTROL!$C$42, 500, 500)*CHOOSE(CONTROL!$C$42, 0.275, 0.275)*CHOOSE(CONTROL!$C$42, 31, 31))/1000000</f>
        <v>4.2625000000000002</v>
      </c>
      <c r="W139" s="57">
        <f>(1000*CHOOSE(CONTROL!$C$42, 0.0916, 0.0916)*CHOOSE(CONTROL!$C$42, 121.5, 121.5)*CHOOSE(CONTROL!$C$42, 31, 31))/1000000</f>
        <v>0.34501139999999997</v>
      </c>
      <c r="X139" s="57">
        <f>(31*0.1790888*145000/1000000)+(31*0.2374*100000/1000000)</f>
        <v>1.5409441560000001</v>
      </c>
      <c r="Y139" s="57"/>
      <c r="Z139" s="17"/>
      <c r="AA139" s="56"/>
      <c r="AB139" s="49">
        <f>(B139*194.205+C139*267.466+D139*133.845+E139*153.484+F139*40+G139*85+H139*0+I139*100+J139*300)/(194.205+267.466+133.845+153.484+0+40+85+100+300)</f>
        <v>8.4192151328100486</v>
      </c>
      <c r="AC139" s="46">
        <f>(M139*'RAP TEMPLATE-GAS AVAILABILITY'!O138+N139*'RAP TEMPLATE-GAS AVAILABILITY'!P138+O139*'RAP TEMPLATE-GAS AVAILABILITY'!Q138+P139*'RAP TEMPLATE-GAS AVAILABILITY'!R138)/('RAP TEMPLATE-GAS AVAILABILITY'!O138+'RAP TEMPLATE-GAS AVAILABILITY'!P138+'RAP TEMPLATE-GAS AVAILABILITY'!Q138+'RAP TEMPLATE-GAS AVAILABILITY'!R138)</f>
        <v>8.3691093525179863</v>
      </c>
    </row>
    <row r="140" spans="1:29" ht="15.75" x14ac:dyDescent="0.25">
      <c r="A140" s="16">
        <v>45139</v>
      </c>
      <c r="B140" s="17">
        <f>CHOOSE(CONTROL!$C$42, 7.9553, 7.9553) * CHOOSE(CONTROL!$C$21, $C$9, 100%, $E$9)</f>
        <v>7.9553000000000003</v>
      </c>
      <c r="C140" s="17">
        <f>CHOOSE(CONTROL!$C$42, 7.9633, 7.9633) * CHOOSE(CONTROL!$C$21, $C$9, 100%, $E$9)</f>
        <v>7.9633000000000003</v>
      </c>
      <c r="D140" s="17">
        <f>CHOOSE(CONTROL!$C$42, 8.2129, 8.2129) * CHOOSE(CONTROL!$C$21, $C$9, 100%, $E$9)</f>
        <v>8.2128999999999994</v>
      </c>
      <c r="E140" s="17">
        <f>CHOOSE(CONTROL!$C$42, 8.2441, 8.2441) * CHOOSE(CONTROL!$C$21, $C$9, 100%, $E$9)</f>
        <v>8.2440999999999995</v>
      </c>
      <c r="F140" s="17">
        <f>CHOOSE(CONTROL!$C$42, 7.9613, 7.9613)*CHOOSE(CONTROL!$C$21, $C$9, 100%, $E$9)</f>
        <v>7.9612999999999996</v>
      </c>
      <c r="G140" s="17">
        <f>CHOOSE(CONTROL!$C$42, 7.9777, 7.9777)*CHOOSE(CONTROL!$C$21, $C$9, 100%, $E$9)</f>
        <v>7.9776999999999996</v>
      </c>
      <c r="H140" s="17">
        <f>CHOOSE(CONTROL!$C$42, 8.2324, 8.2324) * CHOOSE(CONTROL!$C$21, $C$9, 100%, $E$9)</f>
        <v>8.2324000000000002</v>
      </c>
      <c r="I140" s="17">
        <f>CHOOSE(CONTROL!$C$42, 8.0002, 8.0002)* CHOOSE(CONTROL!$C$21, $C$9, 100%, $E$9)</f>
        <v>8.0001999999999995</v>
      </c>
      <c r="J140" s="17">
        <f>CHOOSE(CONTROL!$C$42, 7.9539, 7.9539)* CHOOSE(CONTROL!$C$21, $C$9, 100%, $E$9)</f>
        <v>7.9539</v>
      </c>
      <c r="K140" s="53">
        <f>CHOOSE(CONTROL!$C$42, 7.9942, 7.9942) * CHOOSE(CONTROL!$C$21, $C$9, 100%, $E$9)</f>
        <v>7.9942000000000002</v>
      </c>
      <c r="L140" s="17">
        <f>CHOOSE(CONTROL!$C$42, 8.8194, 8.8194) * CHOOSE(CONTROL!$C$21, $C$9, 100%, $E$9)</f>
        <v>8.8193999999999999</v>
      </c>
      <c r="M140" s="17">
        <f>CHOOSE(CONTROL!$C$42, 7.8893, 7.8893) * CHOOSE(CONTROL!$C$21, $C$9, 100%, $E$9)</f>
        <v>7.8893000000000004</v>
      </c>
      <c r="N140" s="17">
        <f>CHOOSE(CONTROL!$C$42, 7.9056, 7.9056) * CHOOSE(CONTROL!$C$21, $C$9, 100%, $E$9)</f>
        <v>7.9055999999999997</v>
      </c>
      <c r="O140" s="17">
        <f>CHOOSE(CONTROL!$C$42, 8.1654, 8.1654) * CHOOSE(CONTROL!$C$21, $C$9, 100%, $E$9)</f>
        <v>8.1654</v>
      </c>
      <c r="P140" s="17">
        <f>CHOOSE(CONTROL!$C$42, 7.9351, 7.9351) * CHOOSE(CONTROL!$C$21, $C$9, 100%, $E$9)</f>
        <v>7.9351000000000003</v>
      </c>
      <c r="Q140" s="17">
        <f>CHOOSE(CONTROL!$C$42, 8.7601, 8.7601) * CHOOSE(CONTROL!$C$21, $C$9, 100%, $E$9)</f>
        <v>8.7600999999999996</v>
      </c>
      <c r="R140" s="17">
        <f>CHOOSE(CONTROL!$C$42, 9.369, 9.369) * CHOOSE(CONTROL!$C$21, $C$9, 100%, $E$9)</f>
        <v>9.3689999999999998</v>
      </c>
      <c r="S140" s="17">
        <f>CHOOSE(CONTROL!$C$42, 7.7027, 7.7027) * CHOOSE(CONTROL!$C$21, $C$9, 100%, $E$9)</f>
        <v>7.7027000000000001</v>
      </c>
      <c r="T140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140" s="57">
        <f>(1000*CHOOSE(CONTROL!$C$42, 695, 695)*CHOOSE(CONTROL!$C$42, 0.5599, 0.5599)*CHOOSE(CONTROL!$C$42, 31, 31))/1000000</f>
        <v>12.063045499999998</v>
      </c>
      <c r="V140" s="57">
        <f>(1000*CHOOSE(CONTROL!$C$42, 500, 500)*CHOOSE(CONTROL!$C$42, 0.275, 0.275)*CHOOSE(CONTROL!$C$42, 31, 31))/1000000</f>
        <v>4.2625000000000002</v>
      </c>
      <c r="W140" s="57">
        <f>(1000*CHOOSE(CONTROL!$C$42, 0.0916, 0.0916)*CHOOSE(CONTROL!$C$42, 121.5, 121.5)*CHOOSE(CONTROL!$C$42, 31, 31))/1000000</f>
        <v>0.34501139999999997</v>
      </c>
      <c r="X140" s="57">
        <f>(31*0.1790888*145000/1000000)+(31*0.2374*100000/1000000)</f>
        <v>1.5409441560000001</v>
      </c>
      <c r="Y140" s="57"/>
      <c r="Z140" s="17"/>
      <c r="AA140" s="56"/>
      <c r="AB140" s="49">
        <f>(B140*194.205+C140*267.466+D140*133.845+E140*153.484+F140*40+G140*85+H140*0+I140*100+J140*300)/(194.205+267.466+133.845+153.484+0+40+85+100+300)</f>
        <v>8.0237131704866567</v>
      </c>
      <c r="AC140" s="46">
        <f>(M140*'RAP TEMPLATE-GAS AVAILABILITY'!O139+N140*'RAP TEMPLATE-GAS AVAILABILITY'!P139+O140*'RAP TEMPLATE-GAS AVAILABILITY'!Q139+P140*'RAP TEMPLATE-GAS AVAILABILITY'!R139)/('RAP TEMPLATE-GAS AVAILABILITY'!O139+'RAP TEMPLATE-GAS AVAILABILITY'!P139+'RAP TEMPLATE-GAS AVAILABILITY'!Q139+'RAP TEMPLATE-GAS AVAILABILITY'!R139)</f>
        <v>7.9771093525179859</v>
      </c>
    </row>
    <row r="141" spans="1:29" ht="15.75" x14ac:dyDescent="0.25">
      <c r="A141" s="16">
        <v>45170</v>
      </c>
      <c r="B141" s="17">
        <f>CHOOSE(CONTROL!$C$42, 7.4662, 7.4662) * CHOOSE(CONTROL!$C$21, $C$9, 100%, $E$9)</f>
        <v>7.4661999999999997</v>
      </c>
      <c r="C141" s="17">
        <f>CHOOSE(CONTROL!$C$42, 7.4741, 7.4741) * CHOOSE(CONTROL!$C$21, $C$9, 100%, $E$9)</f>
        <v>7.4741</v>
      </c>
      <c r="D141" s="17">
        <f>CHOOSE(CONTROL!$C$42, 7.7238, 7.7238) * CHOOSE(CONTROL!$C$21, $C$9, 100%, $E$9)</f>
        <v>7.7237999999999998</v>
      </c>
      <c r="E141" s="17">
        <f>CHOOSE(CONTROL!$C$42, 7.7549, 7.7549) * CHOOSE(CONTROL!$C$21, $C$9, 100%, $E$9)</f>
        <v>7.7549000000000001</v>
      </c>
      <c r="F141" s="17">
        <f>CHOOSE(CONTROL!$C$42, 7.4722, 7.4722)*CHOOSE(CONTROL!$C$21, $C$9, 100%, $E$9)</f>
        <v>7.4722</v>
      </c>
      <c r="G141" s="17">
        <f>CHOOSE(CONTROL!$C$42, 7.4886, 7.4886)*CHOOSE(CONTROL!$C$21, $C$9, 100%, $E$9)</f>
        <v>7.4885999999999999</v>
      </c>
      <c r="H141" s="17">
        <f>CHOOSE(CONTROL!$C$42, 7.7433, 7.7433) * CHOOSE(CONTROL!$C$21, $C$9, 100%, $E$9)</f>
        <v>7.7432999999999996</v>
      </c>
      <c r="I141" s="17">
        <f>CHOOSE(CONTROL!$C$42, 7.5096, 7.5096)* CHOOSE(CONTROL!$C$21, $C$9, 100%, $E$9)</f>
        <v>7.5095999999999998</v>
      </c>
      <c r="J141" s="17">
        <f>CHOOSE(CONTROL!$C$42, 7.4648, 7.4648)* CHOOSE(CONTROL!$C$21, $C$9, 100%, $E$9)</f>
        <v>7.4648000000000003</v>
      </c>
      <c r="K141" s="53">
        <f>CHOOSE(CONTROL!$C$42, 7.5035, 7.5035) * CHOOSE(CONTROL!$C$21, $C$9, 100%, $E$9)</f>
        <v>7.5034999999999998</v>
      </c>
      <c r="L141" s="17">
        <f>CHOOSE(CONTROL!$C$42, 8.3303, 8.3303) * CHOOSE(CONTROL!$C$21, $C$9, 100%, $E$9)</f>
        <v>8.3302999999999994</v>
      </c>
      <c r="M141" s="17">
        <f>CHOOSE(CONTROL!$C$42, 7.4046, 7.4046) * CHOOSE(CONTROL!$C$21, $C$9, 100%, $E$9)</f>
        <v>7.4046000000000003</v>
      </c>
      <c r="N141" s="17">
        <f>CHOOSE(CONTROL!$C$42, 7.4209, 7.4209) * CHOOSE(CONTROL!$C$21, $C$9, 100%, $E$9)</f>
        <v>7.4208999999999996</v>
      </c>
      <c r="O141" s="17">
        <f>CHOOSE(CONTROL!$C$42, 7.6806, 7.6806) * CHOOSE(CONTROL!$C$21, $C$9, 100%, $E$9)</f>
        <v>7.6806000000000001</v>
      </c>
      <c r="P141" s="17">
        <f>CHOOSE(CONTROL!$C$42, 7.4489, 7.4489) * CHOOSE(CONTROL!$C$21, $C$9, 100%, $E$9)</f>
        <v>7.4489000000000001</v>
      </c>
      <c r="Q141" s="17">
        <f>CHOOSE(CONTROL!$C$42, 8.2753, 8.2753) * CHOOSE(CONTROL!$C$21, $C$9, 100%, $E$9)</f>
        <v>8.2752999999999997</v>
      </c>
      <c r="R141" s="17">
        <f>CHOOSE(CONTROL!$C$42, 8.883, 8.883) * CHOOSE(CONTROL!$C$21, $C$9, 100%, $E$9)</f>
        <v>8.8829999999999991</v>
      </c>
      <c r="S141" s="17">
        <f>CHOOSE(CONTROL!$C$42, 7.2284, 7.2284) * CHOOSE(CONTROL!$C$21, $C$9, 100%, $E$9)</f>
        <v>7.2283999999999997</v>
      </c>
      <c r="T141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141" s="57">
        <f>(1000*CHOOSE(CONTROL!$C$42, 695, 695)*CHOOSE(CONTROL!$C$42, 0.5599, 0.5599)*CHOOSE(CONTROL!$C$42, 30, 30))/1000000</f>
        <v>11.673914999999997</v>
      </c>
      <c r="V141" s="57">
        <f>(1000*CHOOSE(CONTROL!$C$42, 500, 500)*CHOOSE(CONTROL!$C$42, 0.275, 0.275)*CHOOSE(CONTROL!$C$42, 30, 30))/1000000</f>
        <v>4.125</v>
      </c>
      <c r="W141" s="57">
        <f>(1000*CHOOSE(CONTROL!$C$42, 0.0916, 0.0916)*CHOOSE(CONTROL!$C$42, 121.5, 121.5)*CHOOSE(CONTROL!$C$42, 30, 30))/1000000</f>
        <v>0.33388200000000001</v>
      </c>
      <c r="X141" s="57">
        <f>(30*0.1790888*145000/1000000)+(30*0.2374*100000/1000000)</f>
        <v>1.4912362799999999</v>
      </c>
      <c r="Y141" s="57"/>
      <c r="Z141" s="17"/>
      <c r="AA141" s="56"/>
      <c r="AB141" s="49">
        <f>(B141*194.205+C141*267.466+D141*133.845+E141*153.484+F141*40+G141*85+H141*0+I141*100+J141*300)/(194.205+267.466+133.845+153.484+0+40+85+100+300)</f>
        <v>7.5344623894819467</v>
      </c>
      <c r="AC141" s="46">
        <f>(M141*'RAP TEMPLATE-GAS AVAILABILITY'!O140+N141*'RAP TEMPLATE-GAS AVAILABILITY'!P140+O141*'RAP TEMPLATE-GAS AVAILABILITY'!Q140+P141*'RAP TEMPLATE-GAS AVAILABILITY'!R140)/('RAP TEMPLATE-GAS AVAILABILITY'!O140+'RAP TEMPLATE-GAS AVAILABILITY'!P140+'RAP TEMPLATE-GAS AVAILABILITY'!Q140+'RAP TEMPLATE-GAS AVAILABILITY'!R140)</f>
        <v>7.4921654676259006</v>
      </c>
    </row>
    <row r="142" spans="1:29" ht="15.75" x14ac:dyDescent="0.25">
      <c r="A142" s="16">
        <v>45200</v>
      </c>
      <c r="B142" s="17">
        <f>CHOOSE(CONTROL!$C$42, 7.3281, 7.3281) * CHOOSE(CONTROL!$C$21, $C$9, 100%, $E$9)</f>
        <v>7.3281000000000001</v>
      </c>
      <c r="C142" s="17">
        <f>CHOOSE(CONTROL!$C$42, 7.3335, 7.3335) * CHOOSE(CONTROL!$C$21, $C$9, 100%, $E$9)</f>
        <v>7.3334999999999999</v>
      </c>
      <c r="D142" s="17">
        <f>CHOOSE(CONTROL!$C$42, 7.588, 7.588) * CHOOSE(CONTROL!$C$21, $C$9, 100%, $E$9)</f>
        <v>7.5880000000000001</v>
      </c>
      <c r="E142" s="17">
        <f>CHOOSE(CONTROL!$C$42, 7.6169, 7.6169) * CHOOSE(CONTROL!$C$21, $C$9, 100%, $E$9)</f>
        <v>7.6169000000000002</v>
      </c>
      <c r="F142" s="17">
        <f>CHOOSE(CONTROL!$C$42, 7.3363, 7.3363)*CHOOSE(CONTROL!$C$21, $C$9, 100%, $E$9)</f>
        <v>7.3362999999999996</v>
      </c>
      <c r="G142" s="17">
        <f>CHOOSE(CONTROL!$C$42, 7.3527, 7.3527)*CHOOSE(CONTROL!$C$21, $C$9, 100%, $E$9)</f>
        <v>7.3526999999999996</v>
      </c>
      <c r="H142" s="17">
        <f>CHOOSE(CONTROL!$C$42, 7.607, 7.607) * CHOOSE(CONTROL!$C$21, $C$9, 100%, $E$9)</f>
        <v>7.6070000000000002</v>
      </c>
      <c r="I142" s="17">
        <f>CHOOSE(CONTROL!$C$42, 7.3728, 7.3728)* CHOOSE(CONTROL!$C$21, $C$9, 100%, $E$9)</f>
        <v>7.3727999999999998</v>
      </c>
      <c r="J142" s="17">
        <f>CHOOSE(CONTROL!$C$42, 7.3289, 7.3289)* CHOOSE(CONTROL!$C$21, $C$9, 100%, $E$9)</f>
        <v>7.3289</v>
      </c>
      <c r="K142" s="53">
        <f>CHOOSE(CONTROL!$C$42, 7.3668, 7.3668) * CHOOSE(CONTROL!$C$21, $C$9, 100%, $E$9)</f>
        <v>7.3667999999999996</v>
      </c>
      <c r="L142" s="17">
        <f>CHOOSE(CONTROL!$C$42, 8.194, 8.194) * CHOOSE(CONTROL!$C$21, $C$9, 100%, $E$9)</f>
        <v>8.1940000000000008</v>
      </c>
      <c r="M142" s="17">
        <f>CHOOSE(CONTROL!$C$42, 7.27, 7.27) * CHOOSE(CONTROL!$C$21, $C$9, 100%, $E$9)</f>
        <v>7.27</v>
      </c>
      <c r="N142" s="17">
        <f>CHOOSE(CONTROL!$C$42, 7.2862, 7.2862) * CHOOSE(CONTROL!$C$21, $C$9, 100%, $E$9)</f>
        <v>7.2862</v>
      </c>
      <c r="O142" s="17">
        <f>CHOOSE(CONTROL!$C$42, 7.5456, 7.5456) * CHOOSE(CONTROL!$C$21, $C$9, 100%, $E$9)</f>
        <v>7.5456000000000003</v>
      </c>
      <c r="P142" s="17">
        <f>CHOOSE(CONTROL!$C$42, 7.3134, 7.3134) * CHOOSE(CONTROL!$C$21, $C$9, 100%, $E$9)</f>
        <v>7.3133999999999997</v>
      </c>
      <c r="Q142" s="17">
        <f>CHOOSE(CONTROL!$C$42, 8.1403, 8.1403) * CHOOSE(CONTROL!$C$21, $C$9, 100%, $E$9)</f>
        <v>8.1402999999999999</v>
      </c>
      <c r="R142" s="17">
        <f>CHOOSE(CONTROL!$C$42, 8.7476, 8.7476) * CHOOSE(CONTROL!$C$21, $C$9, 100%, $E$9)</f>
        <v>8.7476000000000003</v>
      </c>
      <c r="S142" s="17">
        <f>CHOOSE(CONTROL!$C$42, 7.0962, 7.0962) * CHOOSE(CONTROL!$C$21, $C$9, 100%, $E$9)</f>
        <v>7.0961999999999996</v>
      </c>
      <c r="T142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142" s="57">
        <f>(1000*CHOOSE(CONTROL!$C$42, 695, 695)*CHOOSE(CONTROL!$C$42, 0.5599, 0.5599)*CHOOSE(CONTROL!$C$42, 31, 31))/1000000</f>
        <v>12.063045499999998</v>
      </c>
      <c r="V142" s="57">
        <f>(1000*CHOOSE(CONTROL!$C$42, 500, 500)*CHOOSE(CONTROL!$C$42, 0.275, 0.275)*CHOOSE(CONTROL!$C$42, 31, 31))/1000000</f>
        <v>4.2625000000000002</v>
      </c>
      <c r="W142" s="57">
        <f>(1000*CHOOSE(CONTROL!$C$42, 0.0916, 0.0916)*CHOOSE(CONTROL!$C$42, 121.5, 121.5)*CHOOSE(CONTROL!$C$42, 31, 31))/1000000</f>
        <v>0.34501139999999997</v>
      </c>
      <c r="X142" s="57">
        <f>(31*0.1790888*145000/1000000)+(31*0.2374*100000/1000000)</f>
        <v>1.5409441560000001</v>
      </c>
      <c r="Y142" s="57"/>
      <c r="Z142" s="17"/>
      <c r="AA142" s="56"/>
      <c r="AB142" s="49">
        <f>(B142*131.881+C142*277.167+D142*79.08+E142*225.872+F142*40+G142*85+H142*0+I142*100+J142*300)/(131.881+277.167+79.08+225.872+0+40+85+100+300)</f>
        <v>7.4042988921711057</v>
      </c>
      <c r="AC142" s="46">
        <f>(M142*'RAP TEMPLATE-GAS AVAILABILITY'!O141+N142*'RAP TEMPLATE-GAS AVAILABILITY'!P141+O142*'RAP TEMPLATE-GAS AVAILABILITY'!Q141+P142*'RAP TEMPLATE-GAS AVAILABILITY'!R141)/('RAP TEMPLATE-GAS AVAILABILITY'!O141+'RAP TEMPLATE-GAS AVAILABILITY'!P141+'RAP TEMPLATE-GAS AVAILABILITY'!Q141+'RAP TEMPLATE-GAS AVAILABILITY'!R141)</f>
        <v>7.35730071942446</v>
      </c>
    </row>
    <row r="143" spans="1:29" ht="15.75" x14ac:dyDescent="0.25">
      <c r="A143" s="16">
        <v>45231</v>
      </c>
      <c r="B143" s="17">
        <f>CHOOSE(CONTROL!$C$42, 7.536, 7.536) * CHOOSE(CONTROL!$C$21, $C$9, 100%, $E$9)</f>
        <v>7.5359999999999996</v>
      </c>
      <c r="C143" s="17">
        <f>CHOOSE(CONTROL!$C$42, 7.5411, 7.5411) * CHOOSE(CONTROL!$C$21, $C$9, 100%, $E$9)</f>
        <v>7.5411000000000001</v>
      </c>
      <c r="D143" s="17">
        <f>CHOOSE(CONTROL!$C$42, 7.6637, 7.6637) * CHOOSE(CONTROL!$C$21, $C$9, 100%, $E$9)</f>
        <v>7.6637000000000004</v>
      </c>
      <c r="E143" s="17">
        <f>CHOOSE(CONTROL!$C$42, 7.6974, 7.6974) * CHOOSE(CONTROL!$C$21, $C$9, 100%, $E$9)</f>
        <v>7.6974</v>
      </c>
      <c r="F143" s="17">
        <f>CHOOSE(CONTROL!$C$42, 7.551, 7.551)*CHOOSE(CONTROL!$C$21, $C$9, 100%, $E$9)</f>
        <v>7.5510000000000002</v>
      </c>
      <c r="G143" s="17">
        <f>CHOOSE(CONTROL!$C$42, 7.5676, 7.5676)*CHOOSE(CONTROL!$C$21, $C$9, 100%, $E$9)</f>
        <v>7.5675999999999997</v>
      </c>
      <c r="H143" s="17">
        <f>CHOOSE(CONTROL!$C$42, 7.6863, 7.6863) * CHOOSE(CONTROL!$C$21, $C$9, 100%, $E$9)</f>
        <v>7.6863000000000001</v>
      </c>
      <c r="I143" s="17">
        <f>CHOOSE(CONTROL!$C$42, 7.5843, 7.5843)* CHOOSE(CONTROL!$C$21, $C$9, 100%, $E$9)</f>
        <v>7.5842999999999998</v>
      </c>
      <c r="J143" s="17">
        <f>CHOOSE(CONTROL!$C$42, 7.5436, 7.5436)* CHOOSE(CONTROL!$C$21, $C$9, 100%, $E$9)</f>
        <v>7.5435999999999996</v>
      </c>
      <c r="K143" s="53">
        <f>CHOOSE(CONTROL!$C$42, 7.5783, 7.5783) * CHOOSE(CONTROL!$C$21, $C$9, 100%, $E$9)</f>
        <v>7.5782999999999996</v>
      </c>
      <c r="L143" s="17">
        <f>CHOOSE(CONTROL!$C$42, 8.2733, 8.2733) * CHOOSE(CONTROL!$C$21, $C$9, 100%, $E$9)</f>
        <v>8.2733000000000008</v>
      </c>
      <c r="M143" s="17">
        <f>CHOOSE(CONTROL!$C$42, 7.4827, 7.4827) * CHOOSE(CONTROL!$C$21, $C$9, 100%, $E$9)</f>
        <v>7.4827000000000004</v>
      </c>
      <c r="N143" s="17">
        <f>CHOOSE(CONTROL!$C$42, 7.4993, 7.4993) * CHOOSE(CONTROL!$C$21, $C$9, 100%, $E$9)</f>
        <v>7.4992999999999999</v>
      </c>
      <c r="O143" s="17">
        <f>CHOOSE(CONTROL!$C$42, 7.6242, 7.6242) * CHOOSE(CONTROL!$C$21, $C$9, 100%, $E$9)</f>
        <v>7.6242000000000001</v>
      </c>
      <c r="P143" s="17">
        <f>CHOOSE(CONTROL!$C$42, 7.5229, 7.5229) * CHOOSE(CONTROL!$C$21, $C$9, 100%, $E$9)</f>
        <v>7.5228999999999999</v>
      </c>
      <c r="Q143" s="17">
        <f>CHOOSE(CONTROL!$C$42, 8.2189, 8.2189) * CHOOSE(CONTROL!$C$21, $C$9, 100%, $E$9)</f>
        <v>8.2188999999999997</v>
      </c>
      <c r="R143" s="17">
        <f>CHOOSE(CONTROL!$C$42, 8.8264, 8.8264) * CHOOSE(CONTROL!$C$21, $C$9, 100%, $E$9)</f>
        <v>8.8263999999999996</v>
      </c>
      <c r="S143" s="17">
        <f>CHOOSE(CONTROL!$C$42, 7.2981, 7.2981) * CHOOSE(CONTROL!$C$21, $C$9, 100%, $E$9)</f>
        <v>7.2980999999999998</v>
      </c>
      <c r="T143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143" s="57">
        <f>(1000*CHOOSE(CONTROL!$C$42, 695, 695)*CHOOSE(CONTROL!$C$42, 0.5599, 0.5599)*CHOOSE(CONTROL!$C$42, 30, 30))/1000000</f>
        <v>11.673914999999997</v>
      </c>
      <c r="V143" s="57">
        <f>(1000*CHOOSE(CONTROL!$C$42, 500, 500)*CHOOSE(CONTROL!$C$42, 0.275, 0.275)*CHOOSE(CONTROL!$C$42, 30, 30))/1000000</f>
        <v>4.125</v>
      </c>
      <c r="W143" s="57">
        <f>(1000*CHOOSE(CONTROL!$C$42, 0.0916, 0.0916)*CHOOSE(CONTROL!$C$42, 121.5, 121.5)*CHOOSE(CONTROL!$C$42, 30, 30))/1000000</f>
        <v>0.33388200000000001</v>
      </c>
      <c r="X143" s="57">
        <f>(30*0.2374*100000/1000000)</f>
        <v>0.71220000000000006</v>
      </c>
      <c r="Y143" s="57"/>
      <c r="Z143" s="17"/>
      <c r="AA143" s="56"/>
      <c r="AB143" s="49">
        <f>(B143*122.58+C143*297.941+D143*89.177+E143*140.302+F143*40+G143*60+H143*0+I143*100+J143*300)/(122.58+297.941+89.177+140.302+0+40+60+100+300)</f>
        <v>7.575267951999999</v>
      </c>
      <c r="AC143" s="46">
        <f>(M143*'RAP TEMPLATE-GAS AVAILABILITY'!O142+N143*'RAP TEMPLATE-GAS AVAILABILITY'!P142+O143*'RAP TEMPLATE-GAS AVAILABILITY'!Q142+P143*'RAP TEMPLATE-GAS AVAILABILITY'!R142)/('RAP TEMPLATE-GAS AVAILABILITY'!O142+'RAP TEMPLATE-GAS AVAILABILITY'!P142+'RAP TEMPLATE-GAS AVAILABILITY'!Q142+'RAP TEMPLATE-GAS AVAILABILITY'!R142)</f>
        <v>7.5535726618705041</v>
      </c>
    </row>
    <row r="144" spans="1:29" ht="15.75" x14ac:dyDescent="0.25">
      <c r="A144" s="16">
        <v>45261</v>
      </c>
      <c r="B144" s="17">
        <f>CHOOSE(CONTROL!$C$42, 8.0656, 8.0656) * CHOOSE(CONTROL!$C$21, $C$9, 100%, $E$9)</f>
        <v>8.0655999999999999</v>
      </c>
      <c r="C144" s="17">
        <f>CHOOSE(CONTROL!$C$42, 8.0707, 8.0707) * CHOOSE(CONTROL!$C$21, $C$9, 100%, $E$9)</f>
        <v>8.0707000000000004</v>
      </c>
      <c r="D144" s="17">
        <f>CHOOSE(CONTROL!$C$42, 8.1933, 8.1933) * CHOOSE(CONTROL!$C$21, $C$9, 100%, $E$9)</f>
        <v>8.1933000000000007</v>
      </c>
      <c r="E144" s="17">
        <f>CHOOSE(CONTROL!$C$42, 8.2271, 8.2271) * CHOOSE(CONTROL!$C$21, $C$9, 100%, $E$9)</f>
        <v>8.2271000000000001</v>
      </c>
      <c r="F144" s="17">
        <f>CHOOSE(CONTROL!$C$42, 8.083, 8.083)*CHOOSE(CONTROL!$C$21, $C$9, 100%, $E$9)</f>
        <v>8.0830000000000002</v>
      </c>
      <c r="G144" s="17">
        <f>CHOOSE(CONTROL!$C$42, 8.1003, 8.1003)*CHOOSE(CONTROL!$C$21, $C$9, 100%, $E$9)</f>
        <v>8.1003000000000007</v>
      </c>
      <c r="H144" s="17">
        <f>CHOOSE(CONTROL!$C$42, 8.2159, 8.2159) * CHOOSE(CONTROL!$C$21, $C$9, 100%, $E$9)</f>
        <v>8.2158999999999995</v>
      </c>
      <c r="I144" s="17">
        <f>CHOOSE(CONTROL!$C$42, 8.1156, 8.1156)* CHOOSE(CONTROL!$C$21, $C$9, 100%, $E$9)</f>
        <v>8.1156000000000006</v>
      </c>
      <c r="J144" s="17">
        <f>CHOOSE(CONTROL!$C$42, 8.0756, 8.0756)* CHOOSE(CONTROL!$C$21, $C$9, 100%, $E$9)</f>
        <v>8.0755999999999997</v>
      </c>
      <c r="K144" s="53">
        <f>CHOOSE(CONTROL!$C$42, 8.1095, 8.1095) * CHOOSE(CONTROL!$C$21, $C$9, 100%, $E$9)</f>
        <v>8.1095000000000006</v>
      </c>
      <c r="L144" s="17">
        <f>CHOOSE(CONTROL!$C$42, 8.8029, 8.8029) * CHOOSE(CONTROL!$C$21, $C$9, 100%, $E$9)</f>
        <v>8.8028999999999993</v>
      </c>
      <c r="M144" s="17">
        <f>CHOOSE(CONTROL!$C$42, 8.01, 8.01) * CHOOSE(CONTROL!$C$21, $C$9, 100%, $E$9)</f>
        <v>8.01</v>
      </c>
      <c r="N144" s="17">
        <f>CHOOSE(CONTROL!$C$42, 8.0272, 8.0272) * CHOOSE(CONTROL!$C$21, $C$9, 100%, $E$9)</f>
        <v>8.0272000000000006</v>
      </c>
      <c r="O144" s="17">
        <f>CHOOSE(CONTROL!$C$42, 8.1491, 8.1491) * CHOOSE(CONTROL!$C$21, $C$9, 100%, $E$9)</f>
        <v>8.1491000000000007</v>
      </c>
      <c r="P144" s="17">
        <f>CHOOSE(CONTROL!$C$42, 8.0494, 8.0494) * CHOOSE(CONTROL!$C$21, $C$9, 100%, $E$9)</f>
        <v>8.0494000000000003</v>
      </c>
      <c r="Q144" s="17">
        <f>CHOOSE(CONTROL!$C$42, 8.7438, 8.7438) * CHOOSE(CONTROL!$C$21, $C$9, 100%, $E$9)</f>
        <v>8.7438000000000002</v>
      </c>
      <c r="R144" s="17">
        <f>CHOOSE(CONTROL!$C$42, 9.3526, 9.3526) * CHOOSE(CONTROL!$C$21, $C$9, 100%, $E$9)</f>
        <v>9.3526000000000007</v>
      </c>
      <c r="S144" s="17">
        <f>CHOOSE(CONTROL!$C$42, 7.8117, 7.8117) * CHOOSE(CONTROL!$C$21, $C$9, 100%, $E$9)</f>
        <v>7.8117000000000001</v>
      </c>
      <c r="T144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144" s="57">
        <f>(1000*CHOOSE(CONTROL!$C$42, 695, 695)*CHOOSE(CONTROL!$C$42, 0.5599, 0.5599)*CHOOSE(CONTROL!$C$42, 31, 31))/1000000</f>
        <v>12.063045499999998</v>
      </c>
      <c r="V144" s="57">
        <f>(1000*CHOOSE(CONTROL!$C$42, 500, 500)*CHOOSE(CONTROL!$C$42, 0.275, 0.275)*CHOOSE(CONTROL!$C$42, 31, 31))/1000000</f>
        <v>4.2625000000000002</v>
      </c>
      <c r="W144" s="57">
        <f>(1000*CHOOSE(CONTROL!$C$42, 0.0916, 0.0916)*CHOOSE(CONTROL!$C$42, 121.5, 121.5)*CHOOSE(CONTROL!$C$42, 31, 31))/1000000</f>
        <v>0.34501139999999997</v>
      </c>
      <c r="X144" s="57">
        <f>(31*0.2374*100000/1000000)</f>
        <v>0.73594000000000004</v>
      </c>
      <c r="Y144" s="57"/>
      <c r="Z144" s="17"/>
      <c r="AA144" s="56"/>
      <c r="AB144" s="49">
        <f>(B144*122.58+C144*297.941+D144*89.177+E144*140.302+F144*40+G144*60+H144*0+I144*100+J144*300)/(122.58+297.941+89.177+140.302+0+40+60+100+300)</f>
        <v>8.1058992826086946</v>
      </c>
      <c r="AC144" s="46">
        <f>(M144*'RAP TEMPLATE-GAS AVAILABILITY'!O143+N144*'RAP TEMPLATE-GAS AVAILABILITY'!P143+O144*'RAP TEMPLATE-GAS AVAILABILITY'!Q143+P144*'RAP TEMPLATE-GAS AVAILABILITY'!R143)/('RAP TEMPLATE-GAS AVAILABILITY'!O143+'RAP TEMPLATE-GAS AVAILABILITY'!P143+'RAP TEMPLATE-GAS AVAILABILITY'!Q143+'RAP TEMPLATE-GAS AVAILABILITY'!R143)</f>
        <v>8.0797043165467635</v>
      </c>
    </row>
    <row r="145" spans="1:29" ht="15.75" x14ac:dyDescent="0.25">
      <c r="A145" s="16">
        <v>45292</v>
      </c>
      <c r="B145" s="17">
        <f>CHOOSE(CONTROL!$C$42, 8.5844, 8.5844) * CHOOSE(CONTROL!$C$21, $C$9, 100%, $E$9)</f>
        <v>8.5844000000000005</v>
      </c>
      <c r="C145" s="17">
        <f>CHOOSE(CONTROL!$C$42, 8.5895, 8.5895) * CHOOSE(CONTROL!$C$21, $C$9, 100%, $E$9)</f>
        <v>8.5894999999999992</v>
      </c>
      <c r="D145" s="17">
        <f>CHOOSE(CONTROL!$C$42, 8.7069, 8.7069) * CHOOSE(CONTROL!$C$21, $C$9, 100%, $E$9)</f>
        <v>8.7068999999999992</v>
      </c>
      <c r="E145" s="17">
        <f>CHOOSE(CONTROL!$C$42, 8.7407, 8.7407) * CHOOSE(CONTROL!$C$21, $C$9, 100%, $E$9)</f>
        <v>8.7407000000000004</v>
      </c>
      <c r="F145" s="17">
        <f>CHOOSE(CONTROL!$C$42, 8.598, 8.598)*CHOOSE(CONTROL!$C$21, $C$9, 100%, $E$9)</f>
        <v>8.5980000000000008</v>
      </c>
      <c r="G145" s="17">
        <f>CHOOSE(CONTROL!$C$42, 8.6143, 8.6143)*CHOOSE(CONTROL!$C$21, $C$9, 100%, $E$9)</f>
        <v>8.6143000000000001</v>
      </c>
      <c r="H145" s="17">
        <f>CHOOSE(CONTROL!$C$42, 8.7296, 8.7296) * CHOOSE(CONTROL!$C$21, $C$9, 100%, $E$9)</f>
        <v>8.7295999999999996</v>
      </c>
      <c r="I145" s="17">
        <f>CHOOSE(CONTROL!$C$42, 8.6344, 8.6344)* CHOOSE(CONTROL!$C$21, $C$9, 100%, $E$9)</f>
        <v>8.6343999999999994</v>
      </c>
      <c r="J145" s="17">
        <f>CHOOSE(CONTROL!$C$42, 8.5906, 8.5906)* CHOOSE(CONTROL!$C$21, $C$9, 100%, $E$9)</f>
        <v>8.5906000000000002</v>
      </c>
      <c r="K145" s="53">
        <f>CHOOSE(CONTROL!$C$42, 8.6284, 8.6284) * CHOOSE(CONTROL!$C$21, $C$9, 100%, $E$9)</f>
        <v>8.6283999999999992</v>
      </c>
      <c r="L145" s="17">
        <f>CHOOSE(CONTROL!$C$42, 9.3166, 9.3166) * CHOOSE(CONTROL!$C$21, $C$9, 100%, $E$9)</f>
        <v>9.3165999999999993</v>
      </c>
      <c r="M145" s="17">
        <f>CHOOSE(CONTROL!$C$42, 8.5204, 8.5204) * CHOOSE(CONTROL!$C$21, $C$9, 100%, $E$9)</f>
        <v>8.5204000000000004</v>
      </c>
      <c r="N145" s="17">
        <f>CHOOSE(CONTROL!$C$42, 8.5365, 8.5365) * CHOOSE(CONTROL!$C$21, $C$9, 100%, $E$9)</f>
        <v>8.5365000000000002</v>
      </c>
      <c r="O145" s="17">
        <f>CHOOSE(CONTROL!$C$42, 8.6581, 8.6581) * CHOOSE(CONTROL!$C$21, $C$9, 100%, $E$9)</f>
        <v>8.6580999999999992</v>
      </c>
      <c r="P145" s="17">
        <f>CHOOSE(CONTROL!$C$42, 8.5636, 8.5636) * CHOOSE(CONTROL!$C$21, $C$9, 100%, $E$9)</f>
        <v>8.5635999999999992</v>
      </c>
      <c r="Q145" s="17">
        <f>CHOOSE(CONTROL!$C$42, 9.2528, 9.2528) * CHOOSE(CONTROL!$C$21, $C$9, 100%, $E$9)</f>
        <v>9.2528000000000006</v>
      </c>
      <c r="R145" s="17">
        <f>CHOOSE(CONTROL!$C$42, 9.8629, 9.8629) * CHOOSE(CONTROL!$C$21, $C$9, 100%, $E$9)</f>
        <v>9.8628999999999998</v>
      </c>
      <c r="S145" s="17">
        <f>CHOOSE(CONTROL!$C$42, 8.3148, 8.3148) * CHOOSE(CONTROL!$C$21, $C$9, 100%, $E$9)</f>
        <v>8.3148</v>
      </c>
      <c r="T145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145" s="57">
        <f>(1000*CHOOSE(CONTROL!$C$42, 695, 695)*CHOOSE(CONTROL!$C$42, 0.5599, 0.5599)*CHOOSE(CONTROL!$C$42, 31, 31))/1000000</f>
        <v>12.063045499999998</v>
      </c>
      <c r="V145" s="57">
        <f>(1000*CHOOSE(CONTROL!$C$42, 500, 500)*CHOOSE(CONTROL!$C$42, 0.275, 0.275)*CHOOSE(CONTROL!$C$42, 31, 31))/1000000</f>
        <v>4.2625000000000002</v>
      </c>
      <c r="W145" s="57">
        <f>(1000*CHOOSE(CONTROL!$C$42, 0.0916, 0.0916)*CHOOSE(CONTROL!$C$42, 121.5, 121.5)*CHOOSE(CONTROL!$C$42, 31, 31))/1000000</f>
        <v>0.34501139999999997</v>
      </c>
      <c r="X145" s="57">
        <f>(31*0.2374*100000/1000000)</f>
        <v>0.73594000000000004</v>
      </c>
      <c r="Y145" s="57"/>
      <c r="Z145" s="17"/>
      <c r="AA145" s="56"/>
      <c r="AB145" s="49">
        <f>(B145*122.58+C145*297.941+D145*89.177+E145*140.302+F145*40+G145*60+H145*0+I145*100+J145*300)/(122.58+297.941+89.177+140.302+0+40+60+100+300)</f>
        <v>8.6222877253913044</v>
      </c>
      <c r="AC145" s="46">
        <f>(M145*'RAP TEMPLATE-GAS AVAILABILITY'!O144+N145*'RAP TEMPLATE-GAS AVAILABILITY'!P144+O145*'RAP TEMPLATE-GAS AVAILABILITY'!Q144+P145*'RAP TEMPLATE-GAS AVAILABILITY'!R144)/('RAP TEMPLATE-GAS AVAILABILITY'!O144+'RAP TEMPLATE-GAS AVAILABILITY'!P144+'RAP TEMPLATE-GAS AVAILABILITY'!Q144+'RAP TEMPLATE-GAS AVAILABILITY'!R144)</f>
        <v>8.5899532374100698</v>
      </c>
    </row>
    <row r="146" spans="1:29" ht="15.75" x14ac:dyDescent="0.25">
      <c r="A146" s="16">
        <v>45323</v>
      </c>
      <c r="B146" s="17">
        <f>CHOOSE(CONTROL!$C$42, 8.755, 8.755) * CHOOSE(CONTROL!$C$21, $C$9, 100%, $E$9)</f>
        <v>8.7550000000000008</v>
      </c>
      <c r="C146" s="17">
        <f>CHOOSE(CONTROL!$C$42, 8.7601, 8.7601) * CHOOSE(CONTROL!$C$21, $C$9, 100%, $E$9)</f>
        <v>8.7600999999999996</v>
      </c>
      <c r="D146" s="17">
        <f>CHOOSE(CONTROL!$C$42, 8.8775, 8.8775) * CHOOSE(CONTROL!$C$21, $C$9, 100%, $E$9)</f>
        <v>8.8774999999999995</v>
      </c>
      <c r="E146" s="17">
        <f>CHOOSE(CONTROL!$C$42, 8.9113, 8.9113) * CHOOSE(CONTROL!$C$21, $C$9, 100%, $E$9)</f>
        <v>8.9113000000000007</v>
      </c>
      <c r="F146" s="17">
        <f>CHOOSE(CONTROL!$C$42, 8.7686, 8.7686)*CHOOSE(CONTROL!$C$21, $C$9, 100%, $E$9)</f>
        <v>8.7685999999999993</v>
      </c>
      <c r="G146" s="17">
        <f>CHOOSE(CONTROL!$C$42, 8.7849, 8.7849)*CHOOSE(CONTROL!$C$21, $C$9, 100%, $E$9)</f>
        <v>8.7849000000000004</v>
      </c>
      <c r="H146" s="17">
        <f>CHOOSE(CONTROL!$C$42, 8.9002, 8.9002) * CHOOSE(CONTROL!$C$21, $C$9, 100%, $E$9)</f>
        <v>8.9001999999999999</v>
      </c>
      <c r="I146" s="17">
        <f>CHOOSE(CONTROL!$C$42, 8.8056, 8.8056)* CHOOSE(CONTROL!$C$21, $C$9, 100%, $E$9)</f>
        <v>8.8056000000000001</v>
      </c>
      <c r="J146" s="17">
        <f>CHOOSE(CONTROL!$C$42, 8.7612, 8.7612)* CHOOSE(CONTROL!$C$21, $C$9, 100%, $E$9)</f>
        <v>8.7612000000000005</v>
      </c>
      <c r="K146" s="53">
        <f>CHOOSE(CONTROL!$C$42, 8.7995, 8.7995) * CHOOSE(CONTROL!$C$21, $C$9, 100%, $E$9)</f>
        <v>8.7995000000000001</v>
      </c>
      <c r="L146" s="17">
        <f>CHOOSE(CONTROL!$C$42, 9.4872, 9.4872) * CHOOSE(CONTROL!$C$21, $C$9, 100%, $E$9)</f>
        <v>9.4871999999999996</v>
      </c>
      <c r="M146" s="17">
        <f>CHOOSE(CONTROL!$C$42, 8.6894, 8.6894) * CHOOSE(CONTROL!$C$21, $C$9, 100%, $E$9)</f>
        <v>8.6893999999999991</v>
      </c>
      <c r="N146" s="17">
        <f>CHOOSE(CONTROL!$C$42, 8.7056, 8.7056) * CHOOSE(CONTROL!$C$21, $C$9, 100%, $E$9)</f>
        <v>8.7056000000000004</v>
      </c>
      <c r="O146" s="17">
        <f>CHOOSE(CONTROL!$C$42, 8.8271, 8.8271) * CHOOSE(CONTROL!$C$21, $C$9, 100%, $E$9)</f>
        <v>8.8270999999999997</v>
      </c>
      <c r="P146" s="17">
        <f>CHOOSE(CONTROL!$C$42, 8.7332, 8.7332) * CHOOSE(CONTROL!$C$21, $C$9, 100%, $E$9)</f>
        <v>8.7332000000000001</v>
      </c>
      <c r="Q146" s="17">
        <f>CHOOSE(CONTROL!$C$42, 9.4218, 9.4218) * CHOOSE(CONTROL!$C$21, $C$9, 100%, $E$9)</f>
        <v>9.4217999999999993</v>
      </c>
      <c r="R146" s="17">
        <f>CHOOSE(CONTROL!$C$42, 10.0324, 10.0324) * CHOOSE(CONTROL!$C$21, $C$9, 100%, $E$9)</f>
        <v>10.032400000000001</v>
      </c>
      <c r="S146" s="17">
        <f>CHOOSE(CONTROL!$C$42, 8.4802, 8.4802) * CHOOSE(CONTROL!$C$21, $C$9, 100%, $E$9)</f>
        <v>8.4802</v>
      </c>
      <c r="T146" s="57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146" s="57">
        <f>(1000*CHOOSE(CONTROL!$C$42, 695, 695)*CHOOSE(CONTROL!$C$42, 0.5599, 0.5599)*CHOOSE(CONTROL!$C$42, 29, 29))/1000000</f>
        <v>11.284784499999999</v>
      </c>
      <c r="V146" s="57">
        <f>(1000*CHOOSE(CONTROL!$C$42, 500, 500)*CHOOSE(CONTROL!$C$42, 0.275, 0.275)*CHOOSE(CONTROL!$C$42, 29, 29))/1000000</f>
        <v>3.9874999999999998</v>
      </c>
      <c r="W146" s="57">
        <f>(1000*CHOOSE(CONTROL!$C$42, 0.0916, 0.0916)*CHOOSE(CONTROL!$C$42, 121.5, 121.5)*CHOOSE(CONTROL!$C$42, 29, 29))/1000000</f>
        <v>0.3227526</v>
      </c>
      <c r="X146" s="57">
        <f>(29*0.2374*100000/1000000)</f>
        <v>0.68845999999999996</v>
      </c>
      <c r="Y146" s="57"/>
      <c r="Z146" s="17"/>
      <c r="AA146" s="56"/>
      <c r="AB146" s="49">
        <f>(B146*122.58+C146*297.941+D146*89.177+E146*140.302+F146*40+G146*60+H146*0+I146*100+J146*300)/(122.58+297.941+89.177+140.302+0+40+60+100+300)</f>
        <v>8.7929398993043471</v>
      </c>
      <c r="AC146" s="46">
        <f>(M146*'RAP TEMPLATE-GAS AVAILABILITY'!O145+N146*'RAP TEMPLATE-GAS AVAILABILITY'!P145+O146*'RAP TEMPLATE-GAS AVAILABILITY'!Q145+P146*'RAP TEMPLATE-GAS AVAILABILITY'!R145)/('RAP TEMPLATE-GAS AVAILABILITY'!O145+'RAP TEMPLATE-GAS AVAILABILITY'!P145+'RAP TEMPLATE-GAS AVAILABILITY'!Q145+'RAP TEMPLATE-GAS AVAILABILITY'!R145)</f>
        <v>8.759045323741006</v>
      </c>
    </row>
    <row r="147" spans="1:29" ht="15.75" x14ac:dyDescent="0.25">
      <c r="A147" s="16">
        <v>45352</v>
      </c>
      <c r="B147" s="17">
        <f>CHOOSE(CONTROL!$C$42, 8.5242, 8.5242) * CHOOSE(CONTROL!$C$21, $C$9, 100%, $E$9)</f>
        <v>8.5242000000000004</v>
      </c>
      <c r="C147" s="17">
        <f>CHOOSE(CONTROL!$C$42, 8.5293, 8.5293) * CHOOSE(CONTROL!$C$21, $C$9, 100%, $E$9)</f>
        <v>8.5292999999999992</v>
      </c>
      <c r="D147" s="17">
        <f>CHOOSE(CONTROL!$C$42, 8.6468, 8.6468) * CHOOSE(CONTROL!$C$21, $C$9, 100%, $E$9)</f>
        <v>8.6468000000000007</v>
      </c>
      <c r="E147" s="17">
        <f>CHOOSE(CONTROL!$C$42, 8.6805, 8.6805) * CHOOSE(CONTROL!$C$21, $C$9, 100%, $E$9)</f>
        <v>8.6805000000000003</v>
      </c>
      <c r="F147" s="17">
        <f>CHOOSE(CONTROL!$C$42, 8.5372, 8.5372)*CHOOSE(CONTROL!$C$21, $C$9, 100%, $E$9)</f>
        <v>8.5372000000000003</v>
      </c>
      <c r="G147" s="17">
        <f>CHOOSE(CONTROL!$C$42, 8.5534, 8.5534)*CHOOSE(CONTROL!$C$21, $C$9, 100%, $E$9)</f>
        <v>8.5533999999999999</v>
      </c>
      <c r="H147" s="17">
        <f>CHOOSE(CONTROL!$C$42, 8.6694, 8.6694) * CHOOSE(CONTROL!$C$21, $C$9, 100%, $E$9)</f>
        <v>8.6693999999999996</v>
      </c>
      <c r="I147" s="17">
        <f>CHOOSE(CONTROL!$C$42, 8.5741, 8.5741)* CHOOSE(CONTROL!$C$21, $C$9, 100%, $E$9)</f>
        <v>8.5740999999999996</v>
      </c>
      <c r="J147" s="17">
        <f>CHOOSE(CONTROL!$C$42, 8.5298, 8.5298)* CHOOSE(CONTROL!$C$21, $C$9, 100%, $E$9)</f>
        <v>8.5297999999999998</v>
      </c>
      <c r="K147" s="53">
        <f>CHOOSE(CONTROL!$C$42, 8.5681, 8.5681) * CHOOSE(CONTROL!$C$21, $C$9, 100%, $E$9)</f>
        <v>8.5680999999999994</v>
      </c>
      <c r="L147" s="17">
        <f>CHOOSE(CONTROL!$C$42, 9.2564, 9.2564) * CHOOSE(CONTROL!$C$21, $C$9, 100%, $E$9)</f>
        <v>9.2563999999999993</v>
      </c>
      <c r="M147" s="17">
        <f>CHOOSE(CONTROL!$C$42, 8.4601, 8.4601) * CHOOSE(CONTROL!$C$21, $C$9, 100%, $E$9)</f>
        <v>8.4601000000000006</v>
      </c>
      <c r="N147" s="17">
        <f>CHOOSE(CONTROL!$C$42, 8.4761, 8.4761) * CHOOSE(CONTROL!$C$21, $C$9, 100%, $E$9)</f>
        <v>8.4761000000000006</v>
      </c>
      <c r="O147" s="17">
        <f>CHOOSE(CONTROL!$C$42, 8.5985, 8.5985) * CHOOSE(CONTROL!$C$21, $C$9, 100%, $E$9)</f>
        <v>8.5984999999999996</v>
      </c>
      <c r="P147" s="17">
        <f>CHOOSE(CONTROL!$C$42, 8.5038, 8.5038) * CHOOSE(CONTROL!$C$21, $C$9, 100%, $E$9)</f>
        <v>8.5038</v>
      </c>
      <c r="Q147" s="17">
        <f>CHOOSE(CONTROL!$C$42, 9.1932, 9.1932) * CHOOSE(CONTROL!$C$21, $C$9, 100%, $E$9)</f>
        <v>9.1931999999999992</v>
      </c>
      <c r="R147" s="17">
        <f>CHOOSE(CONTROL!$C$42, 9.8031, 9.8031) * CHOOSE(CONTROL!$C$21, $C$9, 100%, $E$9)</f>
        <v>9.8031000000000006</v>
      </c>
      <c r="S147" s="17">
        <f>CHOOSE(CONTROL!$C$42, 8.2564, 8.2564) * CHOOSE(CONTROL!$C$21, $C$9, 100%, $E$9)</f>
        <v>8.2563999999999993</v>
      </c>
      <c r="T147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147" s="57">
        <f>(1000*CHOOSE(CONTROL!$C$42, 695, 695)*CHOOSE(CONTROL!$C$42, 0.5599, 0.5599)*CHOOSE(CONTROL!$C$42, 31, 31))/1000000</f>
        <v>12.063045499999998</v>
      </c>
      <c r="V147" s="57">
        <f>(1000*CHOOSE(CONTROL!$C$42, 500, 500)*CHOOSE(CONTROL!$C$42, 0.275, 0.275)*CHOOSE(CONTROL!$C$42, 31, 31))/1000000</f>
        <v>4.2625000000000002</v>
      </c>
      <c r="W147" s="57">
        <f>(1000*CHOOSE(CONTROL!$C$42, 0.0916, 0.0916)*CHOOSE(CONTROL!$C$42, 121.5, 121.5)*CHOOSE(CONTROL!$C$42, 31, 31))/1000000</f>
        <v>0.34501139999999997</v>
      </c>
      <c r="X147" s="57">
        <f>(31*0.2374*100000/1000000)</f>
        <v>0.73594000000000004</v>
      </c>
      <c r="Y147" s="57"/>
      <c r="Z147" s="17"/>
      <c r="AA147" s="56"/>
      <c r="AB147" s="49">
        <f>(B147*122.58+C147*297.941+D147*89.177+E147*140.302+F147*40+G147*60+H147*0+I147*100+J147*300)/(122.58+297.941+89.177+140.302+0+40+60+100+300)</f>
        <v>8.5618728712173908</v>
      </c>
      <c r="AC147" s="46">
        <f>(M147*'RAP TEMPLATE-GAS AVAILABILITY'!O146+N147*'RAP TEMPLATE-GAS AVAILABILITY'!P146+O147*'RAP TEMPLATE-GAS AVAILABILITY'!Q146+P147*'RAP TEMPLATE-GAS AVAILABILITY'!R146)/('RAP TEMPLATE-GAS AVAILABILITY'!O146+'RAP TEMPLATE-GAS AVAILABILITY'!P146+'RAP TEMPLATE-GAS AVAILABILITY'!Q146+'RAP TEMPLATE-GAS AVAILABILITY'!R146)</f>
        <v>8.5300366906474814</v>
      </c>
    </row>
    <row r="148" spans="1:29" ht="15.75" x14ac:dyDescent="0.25">
      <c r="A148" s="16">
        <v>45383</v>
      </c>
      <c r="B148" s="17">
        <f>CHOOSE(CONTROL!$C$42, 8.5172, 8.5172) * CHOOSE(CONTROL!$C$21, $C$9, 100%, $E$9)</f>
        <v>8.5172000000000008</v>
      </c>
      <c r="C148" s="17">
        <f>CHOOSE(CONTROL!$C$42, 8.5217, 8.5217) * CHOOSE(CONTROL!$C$21, $C$9, 100%, $E$9)</f>
        <v>8.5216999999999992</v>
      </c>
      <c r="D148" s="17">
        <f>CHOOSE(CONTROL!$C$42, 8.7744, 8.7744) * CHOOSE(CONTROL!$C$21, $C$9, 100%, $E$9)</f>
        <v>8.7744</v>
      </c>
      <c r="E148" s="17">
        <f>CHOOSE(CONTROL!$C$42, 8.8062, 8.8062) * CHOOSE(CONTROL!$C$21, $C$9, 100%, $E$9)</f>
        <v>8.8062000000000005</v>
      </c>
      <c r="F148" s="17">
        <f>CHOOSE(CONTROL!$C$42, 8.5232, 8.5232)*CHOOSE(CONTROL!$C$21, $C$9, 100%, $E$9)</f>
        <v>8.5231999999999992</v>
      </c>
      <c r="G148" s="17">
        <f>CHOOSE(CONTROL!$C$42, 8.539, 8.539)*CHOOSE(CONTROL!$C$21, $C$9, 100%, $E$9)</f>
        <v>8.5389999999999997</v>
      </c>
      <c r="H148" s="17">
        <f>CHOOSE(CONTROL!$C$42, 8.7957, 8.7957) * CHOOSE(CONTROL!$C$21, $C$9, 100%, $E$9)</f>
        <v>8.7957000000000001</v>
      </c>
      <c r="I148" s="17">
        <f>CHOOSE(CONTROL!$C$42, 8.5653, 8.5653)* CHOOSE(CONTROL!$C$21, $C$9, 100%, $E$9)</f>
        <v>8.5653000000000006</v>
      </c>
      <c r="J148" s="17">
        <f>CHOOSE(CONTROL!$C$42, 8.5158, 8.5158)* CHOOSE(CONTROL!$C$21, $C$9, 100%, $E$9)</f>
        <v>8.5158000000000005</v>
      </c>
      <c r="K148" s="53">
        <f>CHOOSE(CONTROL!$C$42, 8.5592, 8.5592) * CHOOSE(CONTROL!$C$21, $C$9, 100%, $E$9)</f>
        <v>8.5592000000000006</v>
      </c>
      <c r="L148" s="17">
        <f>CHOOSE(CONTROL!$C$42, 9.3827, 9.3827) * CHOOSE(CONTROL!$C$21, $C$9, 100%, $E$9)</f>
        <v>9.3826999999999998</v>
      </c>
      <c r="M148" s="17">
        <f>CHOOSE(CONTROL!$C$42, 8.4462, 8.4462) * CHOOSE(CONTROL!$C$21, $C$9, 100%, $E$9)</f>
        <v>8.4461999999999993</v>
      </c>
      <c r="N148" s="17">
        <f>CHOOSE(CONTROL!$C$42, 8.4619, 8.4619) * CHOOSE(CONTROL!$C$21, $C$9, 100%, $E$9)</f>
        <v>8.4619</v>
      </c>
      <c r="O148" s="17">
        <f>CHOOSE(CONTROL!$C$42, 8.7236, 8.7236) * CHOOSE(CONTROL!$C$21, $C$9, 100%, $E$9)</f>
        <v>8.7235999999999994</v>
      </c>
      <c r="P148" s="17">
        <f>CHOOSE(CONTROL!$C$42, 8.495, 8.495) * CHOOSE(CONTROL!$C$21, $C$9, 100%, $E$9)</f>
        <v>8.4949999999999992</v>
      </c>
      <c r="Q148" s="17">
        <f>CHOOSE(CONTROL!$C$42, 9.3183, 9.3183) * CHOOSE(CONTROL!$C$21, $C$9, 100%, $E$9)</f>
        <v>9.3183000000000007</v>
      </c>
      <c r="R148" s="17">
        <f>CHOOSE(CONTROL!$C$42, 9.9286, 9.9286) * CHOOSE(CONTROL!$C$21, $C$9, 100%, $E$9)</f>
        <v>9.9285999999999994</v>
      </c>
      <c r="S148" s="17">
        <f>CHOOSE(CONTROL!$C$42, 8.2489, 8.2489) * CHOOSE(CONTROL!$C$21, $C$9, 100%, $E$9)</f>
        <v>8.2489000000000008</v>
      </c>
      <c r="T148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148" s="57">
        <f>(1000*CHOOSE(CONTROL!$C$42, 695, 695)*CHOOSE(CONTROL!$C$42, 0.5599, 0.5599)*CHOOSE(CONTROL!$C$42, 30, 30))/1000000</f>
        <v>11.673914999999997</v>
      </c>
      <c r="V148" s="57">
        <f>(1000*CHOOSE(CONTROL!$C$42, 500, 500)*CHOOSE(CONTROL!$C$42, 0.275, 0.275)*CHOOSE(CONTROL!$C$42, 30, 30))/1000000</f>
        <v>4.125</v>
      </c>
      <c r="W148" s="57">
        <f>(1000*CHOOSE(CONTROL!$C$42, 0.0916, 0.0916)*CHOOSE(CONTROL!$C$42, 121.5, 121.5)*CHOOSE(CONTROL!$C$42, 30, 30))/1000000</f>
        <v>0.33388200000000001</v>
      </c>
      <c r="X148" s="57">
        <f>(30*0.1790888*145000/1000000)+(30*0.2374*100000/1000000)</f>
        <v>1.4912362799999999</v>
      </c>
      <c r="Y148" s="57"/>
      <c r="Z148" s="17"/>
      <c r="AA148" s="56"/>
      <c r="AB148" s="49">
        <f>(B148*141.293+C148*267.993+D148*115.016+E148*189.698+F148*40+G148*85+H148*0+I148*100+J148*300)/(141.293+267.993+115.016+189.698+0+40+85+100+300)</f>
        <v>8.591529141000807</v>
      </c>
      <c r="AC148" s="46">
        <f>(M148*'RAP TEMPLATE-GAS AVAILABILITY'!O147+N148*'RAP TEMPLATE-GAS AVAILABILITY'!P147+O148*'RAP TEMPLATE-GAS AVAILABILITY'!Q147+P148*'RAP TEMPLATE-GAS AVAILABILITY'!R147)/('RAP TEMPLATE-GAS AVAILABILITY'!O147+'RAP TEMPLATE-GAS AVAILABILITY'!P147+'RAP TEMPLATE-GAS AVAILABILITY'!Q147+'RAP TEMPLATE-GAS AVAILABILITY'!R147)</f>
        <v>8.5346676258992797</v>
      </c>
    </row>
    <row r="149" spans="1:29" ht="15.75" x14ac:dyDescent="0.25">
      <c r="A149" s="16">
        <v>45413</v>
      </c>
      <c r="B149" s="17">
        <f>CHOOSE(CONTROL!$C$42, 8.6113, 8.6113) * CHOOSE(CONTROL!$C$21, $C$9, 100%, $E$9)</f>
        <v>8.6113</v>
      </c>
      <c r="C149" s="17">
        <f>CHOOSE(CONTROL!$C$42, 8.6193, 8.6193) * CHOOSE(CONTROL!$C$21, $C$9, 100%, $E$9)</f>
        <v>8.6193000000000008</v>
      </c>
      <c r="D149" s="17">
        <f>CHOOSE(CONTROL!$C$42, 8.8689, 8.8689) * CHOOSE(CONTROL!$C$21, $C$9, 100%, $E$9)</f>
        <v>8.8689</v>
      </c>
      <c r="E149" s="17">
        <f>CHOOSE(CONTROL!$C$42, 8.9001, 8.9001) * CHOOSE(CONTROL!$C$21, $C$9, 100%, $E$9)</f>
        <v>8.9001000000000001</v>
      </c>
      <c r="F149" s="17">
        <f>CHOOSE(CONTROL!$C$42, 8.6162, 8.6162)*CHOOSE(CONTROL!$C$21, $C$9, 100%, $E$9)</f>
        <v>8.6161999999999992</v>
      </c>
      <c r="G149" s="17">
        <f>CHOOSE(CONTROL!$C$42, 8.6323, 8.6323)*CHOOSE(CONTROL!$C$21, $C$9, 100%, $E$9)</f>
        <v>8.6323000000000008</v>
      </c>
      <c r="H149" s="17">
        <f>CHOOSE(CONTROL!$C$42, 8.8884, 8.8884) * CHOOSE(CONTROL!$C$21, $C$9, 100%, $E$9)</f>
        <v>8.8884000000000007</v>
      </c>
      <c r="I149" s="17">
        <f>CHOOSE(CONTROL!$C$42, 8.6583, 8.6583)* CHOOSE(CONTROL!$C$21, $C$9, 100%, $E$9)</f>
        <v>8.6583000000000006</v>
      </c>
      <c r="J149" s="17">
        <f>CHOOSE(CONTROL!$C$42, 8.6088, 8.6088)* CHOOSE(CONTROL!$C$21, $C$9, 100%, $E$9)</f>
        <v>8.6088000000000005</v>
      </c>
      <c r="K149" s="53">
        <f>CHOOSE(CONTROL!$C$42, 8.6522, 8.6522) * CHOOSE(CONTROL!$C$21, $C$9, 100%, $E$9)</f>
        <v>8.6522000000000006</v>
      </c>
      <c r="L149" s="17">
        <f>CHOOSE(CONTROL!$C$42, 9.4754, 9.4754) * CHOOSE(CONTROL!$C$21, $C$9, 100%, $E$9)</f>
        <v>9.4754000000000005</v>
      </c>
      <c r="M149" s="17">
        <f>CHOOSE(CONTROL!$C$42, 8.5384, 8.5384) * CHOOSE(CONTROL!$C$21, $C$9, 100%, $E$9)</f>
        <v>8.5383999999999993</v>
      </c>
      <c r="N149" s="17">
        <f>CHOOSE(CONTROL!$C$42, 8.5543, 8.5543) * CHOOSE(CONTROL!$C$21, $C$9, 100%, $E$9)</f>
        <v>8.5542999999999996</v>
      </c>
      <c r="O149" s="17">
        <f>CHOOSE(CONTROL!$C$42, 8.8155, 8.8155) * CHOOSE(CONTROL!$C$21, $C$9, 100%, $E$9)</f>
        <v>8.8155000000000001</v>
      </c>
      <c r="P149" s="17">
        <f>CHOOSE(CONTROL!$C$42, 8.5872, 8.5872) * CHOOSE(CONTROL!$C$21, $C$9, 100%, $E$9)</f>
        <v>8.5871999999999993</v>
      </c>
      <c r="Q149" s="17">
        <f>CHOOSE(CONTROL!$C$42, 9.4102, 9.4102) * CHOOSE(CONTROL!$C$21, $C$9, 100%, $E$9)</f>
        <v>9.4101999999999997</v>
      </c>
      <c r="R149" s="17">
        <f>CHOOSE(CONTROL!$C$42, 10.0207, 10.0207) * CHOOSE(CONTROL!$C$21, $C$9, 100%, $E$9)</f>
        <v>10.0207</v>
      </c>
      <c r="S149" s="17">
        <f>CHOOSE(CONTROL!$C$42, 8.3388, 8.3388) * CHOOSE(CONTROL!$C$21, $C$9, 100%, $E$9)</f>
        <v>8.3388000000000009</v>
      </c>
      <c r="T149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149" s="57">
        <f>(1000*CHOOSE(CONTROL!$C$42, 695, 695)*CHOOSE(CONTROL!$C$42, 0.5599, 0.5599)*CHOOSE(CONTROL!$C$42, 31, 31))/1000000</f>
        <v>12.063045499999998</v>
      </c>
      <c r="V149" s="57">
        <f>(1000*CHOOSE(CONTROL!$C$42, 500, 500)*CHOOSE(CONTROL!$C$42, 0.275, 0.275)*CHOOSE(CONTROL!$C$42, 31, 31))/1000000</f>
        <v>4.2625000000000002</v>
      </c>
      <c r="W149" s="57">
        <f>(1000*CHOOSE(CONTROL!$C$42, 0.0916, 0.0916)*CHOOSE(CONTROL!$C$42, 121.5, 121.5)*CHOOSE(CONTROL!$C$42, 31, 31))/1000000</f>
        <v>0.34501139999999997</v>
      </c>
      <c r="X149" s="57">
        <f>(31*0.1790888*145000/1000000)+(31*0.2374*100000/1000000)</f>
        <v>1.5409441560000001</v>
      </c>
      <c r="Y149" s="57"/>
      <c r="Z149" s="17"/>
      <c r="AA149" s="56"/>
      <c r="AB149" s="49">
        <f>(B149*194.205+C149*267.466+D149*133.845+E149*153.484+F149*40+G149*85+H149*0+I149*100+J149*300)/(194.205+267.466+133.845+153.484+0+40+85+100+300)</f>
        <v>8.6794910354788097</v>
      </c>
      <c r="AC149" s="46">
        <f>(M149*'RAP TEMPLATE-GAS AVAILABILITY'!O148+N149*'RAP TEMPLATE-GAS AVAILABILITY'!P148+O149*'RAP TEMPLATE-GAS AVAILABILITY'!Q148+P149*'RAP TEMPLATE-GAS AVAILABILITY'!R148)/('RAP TEMPLATE-GAS AVAILABILITY'!O148+'RAP TEMPLATE-GAS AVAILABILITY'!P148+'RAP TEMPLATE-GAS AVAILABILITY'!Q148+'RAP TEMPLATE-GAS AVAILABILITY'!R148)</f>
        <v>8.6268294964028769</v>
      </c>
    </row>
    <row r="150" spans="1:29" ht="15.75" x14ac:dyDescent="0.25">
      <c r="A150" s="16">
        <v>45444</v>
      </c>
      <c r="B150" s="17">
        <f>CHOOSE(CONTROL!$C$42, 8.8735, 8.8735) * CHOOSE(CONTROL!$C$21, $C$9, 100%, $E$9)</f>
        <v>8.8734999999999999</v>
      </c>
      <c r="C150" s="17">
        <f>CHOOSE(CONTROL!$C$42, 8.8814, 8.8814) * CHOOSE(CONTROL!$C$21, $C$9, 100%, $E$9)</f>
        <v>8.8813999999999993</v>
      </c>
      <c r="D150" s="17">
        <f>CHOOSE(CONTROL!$C$42, 9.1311, 9.1311) * CHOOSE(CONTROL!$C$21, $C$9, 100%, $E$9)</f>
        <v>9.1311</v>
      </c>
      <c r="E150" s="17">
        <f>CHOOSE(CONTROL!$C$42, 9.1622, 9.1622) * CHOOSE(CONTROL!$C$21, $C$9, 100%, $E$9)</f>
        <v>9.1622000000000003</v>
      </c>
      <c r="F150" s="17">
        <f>CHOOSE(CONTROL!$C$42, 8.8786, 8.8786)*CHOOSE(CONTROL!$C$21, $C$9, 100%, $E$9)</f>
        <v>8.8786000000000005</v>
      </c>
      <c r="G150" s="17">
        <f>CHOOSE(CONTROL!$C$42, 8.8949, 8.8949)*CHOOSE(CONTROL!$C$21, $C$9, 100%, $E$9)</f>
        <v>8.8948999999999998</v>
      </c>
      <c r="H150" s="17">
        <f>CHOOSE(CONTROL!$C$42, 9.1506, 9.1506) * CHOOSE(CONTROL!$C$21, $C$9, 100%, $E$9)</f>
        <v>9.1506000000000007</v>
      </c>
      <c r="I150" s="17">
        <f>CHOOSE(CONTROL!$C$42, 8.9212, 8.9212)* CHOOSE(CONTROL!$C$21, $C$9, 100%, $E$9)</f>
        <v>8.9212000000000007</v>
      </c>
      <c r="J150" s="17">
        <f>CHOOSE(CONTROL!$C$42, 8.8712, 8.8712)* CHOOSE(CONTROL!$C$21, $C$9, 100%, $E$9)</f>
        <v>8.8712</v>
      </c>
      <c r="K150" s="53">
        <f>CHOOSE(CONTROL!$C$42, 8.9152, 8.9152) * CHOOSE(CONTROL!$C$21, $C$9, 100%, $E$9)</f>
        <v>8.9152000000000005</v>
      </c>
      <c r="L150" s="17">
        <f>CHOOSE(CONTROL!$C$42, 9.7376, 9.7376) * CHOOSE(CONTROL!$C$21, $C$9, 100%, $E$9)</f>
        <v>9.7376000000000005</v>
      </c>
      <c r="M150" s="17">
        <f>CHOOSE(CONTROL!$C$42, 8.7985, 8.7985) * CHOOSE(CONTROL!$C$21, $C$9, 100%, $E$9)</f>
        <v>8.7985000000000007</v>
      </c>
      <c r="N150" s="17">
        <f>CHOOSE(CONTROL!$C$42, 8.8145, 8.8145) * CHOOSE(CONTROL!$C$21, $C$9, 100%, $E$9)</f>
        <v>8.8145000000000007</v>
      </c>
      <c r="O150" s="17">
        <f>CHOOSE(CONTROL!$C$42, 9.0753, 9.0753) * CHOOSE(CONTROL!$C$21, $C$9, 100%, $E$9)</f>
        <v>9.0753000000000004</v>
      </c>
      <c r="P150" s="17">
        <f>CHOOSE(CONTROL!$C$42, 8.8478, 8.8478) * CHOOSE(CONTROL!$C$21, $C$9, 100%, $E$9)</f>
        <v>8.8477999999999994</v>
      </c>
      <c r="Q150" s="17">
        <f>CHOOSE(CONTROL!$C$42, 9.67, 9.67) * CHOOSE(CONTROL!$C$21, $C$9, 100%, $E$9)</f>
        <v>9.67</v>
      </c>
      <c r="R150" s="17">
        <f>CHOOSE(CONTROL!$C$42, 10.2812, 10.2812) * CHOOSE(CONTROL!$C$21, $C$9, 100%, $E$9)</f>
        <v>10.2812</v>
      </c>
      <c r="S150" s="17">
        <f>CHOOSE(CONTROL!$C$42, 8.593, 8.593) * CHOOSE(CONTROL!$C$21, $C$9, 100%, $E$9)</f>
        <v>8.593</v>
      </c>
      <c r="T150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150" s="57">
        <f>(1000*CHOOSE(CONTROL!$C$42, 695, 695)*CHOOSE(CONTROL!$C$42, 0.5599, 0.5599)*CHOOSE(CONTROL!$C$42, 30, 30))/1000000</f>
        <v>11.673914999999997</v>
      </c>
      <c r="V150" s="57">
        <f>(1000*CHOOSE(CONTROL!$C$42, 500, 500)*CHOOSE(CONTROL!$C$42, 0.275, 0.275)*CHOOSE(CONTROL!$C$42, 30, 30))/1000000</f>
        <v>4.125</v>
      </c>
      <c r="W150" s="57">
        <f>(1000*CHOOSE(CONTROL!$C$42, 0.0916, 0.0916)*CHOOSE(CONTROL!$C$42, 121.5, 121.5)*CHOOSE(CONTROL!$C$42, 30, 30))/1000000</f>
        <v>0.33388200000000001</v>
      </c>
      <c r="X150" s="57">
        <f>(30*0.1790888*145000/1000000)+(30*0.2374*100000/1000000)</f>
        <v>1.4912362799999999</v>
      </c>
      <c r="Y150" s="57"/>
      <c r="Z150" s="17"/>
      <c r="AA150" s="56"/>
      <c r="AB150" s="49">
        <f>(B150*194.205+C150*267.466+D150*133.845+E150*153.484+F150*40+G150*85+H150*0+I150*100+J150*300)/(194.205+267.466+133.845+153.484+0+40+85+100+300)</f>
        <v>8.941793001726845</v>
      </c>
      <c r="AC150" s="46">
        <f>(M150*'RAP TEMPLATE-GAS AVAILABILITY'!O149+N150*'RAP TEMPLATE-GAS AVAILABILITY'!P149+O150*'RAP TEMPLATE-GAS AVAILABILITY'!Q149+P150*'RAP TEMPLATE-GAS AVAILABILITY'!R149)/('RAP TEMPLATE-GAS AVAILABILITY'!O149+'RAP TEMPLATE-GAS AVAILABILITY'!P149+'RAP TEMPLATE-GAS AVAILABILITY'!Q149+'RAP TEMPLATE-GAS AVAILABILITY'!R149)</f>
        <v>8.8869402877697841</v>
      </c>
    </row>
    <row r="151" spans="1:29" ht="15.75" x14ac:dyDescent="0.25">
      <c r="A151" s="16">
        <v>45474</v>
      </c>
      <c r="B151" s="17">
        <f>CHOOSE(CONTROL!$C$42, 8.7214, 8.7214) * CHOOSE(CONTROL!$C$21, $C$9, 100%, $E$9)</f>
        <v>8.7213999999999992</v>
      </c>
      <c r="C151" s="17">
        <f>CHOOSE(CONTROL!$C$42, 8.7294, 8.7294) * CHOOSE(CONTROL!$C$21, $C$9, 100%, $E$9)</f>
        <v>8.7294</v>
      </c>
      <c r="D151" s="17">
        <f>CHOOSE(CONTROL!$C$42, 8.979, 8.979) * CHOOSE(CONTROL!$C$21, $C$9, 100%, $E$9)</f>
        <v>8.9789999999999992</v>
      </c>
      <c r="E151" s="17">
        <f>CHOOSE(CONTROL!$C$42, 9.0102, 9.0102) * CHOOSE(CONTROL!$C$21, $C$9, 100%, $E$9)</f>
        <v>9.0101999999999993</v>
      </c>
      <c r="F151" s="17">
        <f>CHOOSE(CONTROL!$C$42, 8.7271, 8.7271)*CHOOSE(CONTROL!$C$21, $C$9, 100%, $E$9)</f>
        <v>8.7271000000000001</v>
      </c>
      <c r="G151" s="17">
        <f>CHOOSE(CONTROL!$C$42, 8.7434, 8.7434)*CHOOSE(CONTROL!$C$21, $C$9, 100%, $E$9)</f>
        <v>8.7433999999999994</v>
      </c>
      <c r="H151" s="17">
        <f>CHOOSE(CONTROL!$C$42, 8.9985, 8.9985) * CHOOSE(CONTROL!$C$21, $C$9, 100%, $E$9)</f>
        <v>8.9984999999999999</v>
      </c>
      <c r="I151" s="17">
        <f>CHOOSE(CONTROL!$C$42, 8.7687, 8.7687)* CHOOSE(CONTROL!$C$21, $C$9, 100%, $E$9)</f>
        <v>8.7687000000000008</v>
      </c>
      <c r="J151" s="17">
        <f>CHOOSE(CONTROL!$C$42, 8.7197, 8.7197)* CHOOSE(CONTROL!$C$21, $C$9, 100%, $E$9)</f>
        <v>8.7196999999999996</v>
      </c>
      <c r="K151" s="53">
        <f>CHOOSE(CONTROL!$C$42, 8.7626, 8.7626) * CHOOSE(CONTROL!$C$21, $C$9, 100%, $E$9)</f>
        <v>8.7626000000000008</v>
      </c>
      <c r="L151" s="17">
        <f>CHOOSE(CONTROL!$C$42, 9.5855, 9.5855) * CHOOSE(CONTROL!$C$21, $C$9, 100%, $E$9)</f>
        <v>9.5854999999999997</v>
      </c>
      <c r="M151" s="17">
        <f>CHOOSE(CONTROL!$C$42, 8.6482, 8.6482) * CHOOSE(CONTROL!$C$21, $C$9, 100%, $E$9)</f>
        <v>8.6481999999999992</v>
      </c>
      <c r="N151" s="17">
        <f>CHOOSE(CONTROL!$C$42, 8.6645, 8.6645) * CHOOSE(CONTROL!$C$21, $C$9, 100%, $E$9)</f>
        <v>8.6645000000000003</v>
      </c>
      <c r="O151" s="17">
        <f>CHOOSE(CONTROL!$C$42, 8.9246, 8.9246) * CHOOSE(CONTROL!$C$21, $C$9, 100%, $E$9)</f>
        <v>8.9245999999999999</v>
      </c>
      <c r="P151" s="17">
        <f>CHOOSE(CONTROL!$C$42, 8.6966, 8.6966) * CHOOSE(CONTROL!$C$21, $C$9, 100%, $E$9)</f>
        <v>8.6966000000000001</v>
      </c>
      <c r="Q151" s="17">
        <f>CHOOSE(CONTROL!$C$42, 9.5193, 9.5193) * CHOOSE(CONTROL!$C$21, $C$9, 100%, $E$9)</f>
        <v>9.5192999999999994</v>
      </c>
      <c r="R151" s="17">
        <f>CHOOSE(CONTROL!$C$42, 10.1301, 10.1301) * CHOOSE(CONTROL!$C$21, $C$9, 100%, $E$9)</f>
        <v>10.130100000000001</v>
      </c>
      <c r="S151" s="17">
        <f>CHOOSE(CONTROL!$C$42, 8.4455, 8.4455) * CHOOSE(CONTROL!$C$21, $C$9, 100%, $E$9)</f>
        <v>8.4454999999999991</v>
      </c>
      <c r="T151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151" s="57">
        <f>(1000*CHOOSE(CONTROL!$C$42, 695, 695)*CHOOSE(CONTROL!$C$42, 0.5599, 0.5599)*CHOOSE(CONTROL!$C$42, 31, 31))/1000000</f>
        <v>12.063045499999998</v>
      </c>
      <c r="V151" s="57">
        <f>(1000*CHOOSE(CONTROL!$C$42, 500, 500)*CHOOSE(CONTROL!$C$42, 0.275, 0.275)*CHOOSE(CONTROL!$C$42, 31, 31))/1000000</f>
        <v>4.2625000000000002</v>
      </c>
      <c r="W151" s="57">
        <f>(1000*CHOOSE(CONTROL!$C$42, 0.0916, 0.0916)*CHOOSE(CONTROL!$C$42, 121.5, 121.5)*CHOOSE(CONTROL!$C$42, 31, 31))/1000000</f>
        <v>0.34501139999999997</v>
      </c>
      <c r="X151" s="57">
        <f>(31*0.1790888*145000/1000000)+(31*0.2374*100000/1000000)</f>
        <v>1.5409441560000001</v>
      </c>
      <c r="Y151" s="57"/>
      <c r="Z151" s="17"/>
      <c r="AA151" s="56"/>
      <c r="AB151" s="49">
        <f>(B151*194.205+C151*267.466+D151*133.845+E151*153.484+F151*40+G151*85+H151*0+I151*100+J151*300)/(194.205+267.466+133.845+153.484+0+40+85+100+300)</f>
        <v>8.7898948031397168</v>
      </c>
      <c r="AC151" s="46">
        <f>(M151*'RAP TEMPLATE-GAS AVAILABILITY'!O150+N151*'RAP TEMPLATE-GAS AVAILABILITY'!P150+O151*'RAP TEMPLATE-GAS AVAILABILITY'!Q150+P151*'RAP TEMPLATE-GAS AVAILABILITY'!R150)/('RAP TEMPLATE-GAS AVAILABILITY'!O150+'RAP TEMPLATE-GAS AVAILABILITY'!P150+'RAP TEMPLATE-GAS AVAILABILITY'!Q150+'RAP TEMPLATE-GAS AVAILABILITY'!R150)</f>
        <v>8.7364676258992802</v>
      </c>
    </row>
    <row r="152" spans="1:29" ht="15.75" x14ac:dyDescent="0.25">
      <c r="A152" s="16">
        <v>45505</v>
      </c>
      <c r="B152" s="17">
        <f>CHOOSE(CONTROL!$C$42, 8.3083, 8.3083) * CHOOSE(CONTROL!$C$21, $C$9, 100%, $E$9)</f>
        <v>8.3082999999999991</v>
      </c>
      <c r="C152" s="17">
        <f>CHOOSE(CONTROL!$C$42, 8.3163, 8.3163) * CHOOSE(CONTROL!$C$21, $C$9, 100%, $E$9)</f>
        <v>8.3163</v>
      </c>
      <c r="D152" s="17">
        <f>CHOOSE(CONTROL!$C$42, 8.5659, 8.5659) * CHOOSE(CONTROL!$C$21, $C$9, 100%, $E$9)</f>
        <v>8.5658999999999992</v>
      </c>
      <c r="E152" s="17">
        <f>CHOOSE(CONTROL!$C$42, 8.5971, 8.5971) * CHOOSE(CONTROL!$C$21, $C$9, 100%, $E$9)</f>
        <v>8.5970999999999993</v>
      </c>
      <c r="F152" s="17">
        <f>CHOOSE(CONTROL!$C$42, 8.3142, 8.3142)*CHOOSE(CONTROL!$C$21, $C$9, 100%, $E$9)</f>
        <v>8.3141999999999996</v>
      </c>
      <c r="G152" s="17">
        <f>CHOOSE(CONTROL!$C$42, 8.3306, 8.3306)*CHOOSE(CONTROL!$C$21, $C$9, 100%, $E$9)</f>
        <v>8.3306000000000004</v>
      </c>
      <c r="H152" s="17">
        <f>CHOOSE(CONTROL!$C$42, 8.5854, 8.5854) * CHOOSE(CONTROL!$C$21, $C$9, 100%, $E$9)</f>
        <v>8.5853999999999999</v>
      </c>
      <c r="I152" s="17">
        <f>CHOOSE(CONTROL!$C$42, 8.3543, 8.3543)* CHOOSE(CONTROL!$C$21, $C$9, 100%, $E$9)</f>
        <v>8.3543000000000003</v>
      </c>
      <c r="J152" s="17">
        <f>CHOOSE(CONTROL!$C$42, 8.3068, 8.3068)* CHOOSE(CONTROL!$C$21, $C$9, 100%, $E$9)</f>
        <v>8.3068000000000008</v>
      </c>
      <c r="K152" s="53">
        <f>CHOOSE(CONTROL!$C$42, 8.3482, 8.3482) * CHOOSE(CONTROL!$C$21, $C$9, 100%, $E$9)</f>
        <v>8.3482000000000003</v>
      </c>
      <c r="L152" s="17">
        <f>CHOOSE(CONTROL!$C$42, 9.1724, 9.1724) * CHOOSE(CONTROL!$C$21, $C$9, 100%, $E$9)</f>
        <v>9.1723999999999997</v>
      </c>
      <c r="M152" s="17">
        <f>CHOOSE(CONTROL!$C$42, 8.2391, 8.2391) * CHOOSE(CONTROL!$C$21, $C$9, 100%, $E$9)</f>
        <v>8.2391000000000005</v>
      </c>
      <c r="N152" s="17">
        <f>CHOOSE(CONTROL!$C$42, 8.2554, 8.2554) * CHOOSE(CONTROL!$C$21, $C$9, 100%, $E$9)</f>
        <v>8.2553999999999998</v>
      </c>
      <c r="O152" s="17">
        <f>CHOOSE(CONTROL!$C$42, 8.5152, 8.5152) * CHOOSE(CONTROL!$C$21, $C$9, 100%, $E$9)</f>
        <v>8.5152000000000001</v>
      </c>
      <c r="P152" s="17">
        <f>CHOOSE(CONTROL!$C$42, 8.286, 8.286) * CHOOSE(CONTROL!$C$21, $C$9, 100%, $E$9)</f>
        <v>8.2859999999999996</v>
      </c>
      <c r="Q152" s="17">
        <f>CHOOSE(CONTROL!$C$42, 9.1099, 9.1099) * CHOOSE(CONTROL!$C$21, $C$9, 100%, $E$9)</f>
        <v>9.1098999999999997</v>
      </c>
      <c r="R152" s="17">
        <f>CHOOSE(CONTROL!$C$42, 9.7196, 9.7196) * CHOOSE(CONTROL!$C$21, $C$9, 100%, $E$9)</f>
        <v>9.7195999999999998</v>
      </c>
      <c r="S152" s="17">
        <f>CHOOSE(CONTROL!$C$42, 8.0449, 8.0449) * CHOOSE(CONTROL!$C$21, $C$9, 100%, $E$9)</f>
        <v>8.0449000000000002</v>
      </c>
      <c r="T152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152" s="57">
        <f>(1000*CHOOSE(CONTROL!$C$42, 695, 695)*CHOOSE(CONTROL!$C$42, 0.5599, 0.5599)*CHOOSE(CONTROL!$C$42, 31, 31))/1000000</f>
        <v>12.063045499999998</v>
      </c>
      <c r="V152" s="57">
        <f>(1000*CHOOSE(CONTROL!$C$42, 500, 500)*CHOOSE(CONTROL!$C$42, 0.275, 0.275)*CHOOSE(CONTROL!$C$42, 31, 31))/1000000</f>
        <v>4.2625000000000002</v>
      </c>
      <c r="W152" s="57">
        <f>(1000*CHOOSE(CONTROL!$C$42, 0.0916, 0.0916)*CHOOSE(CONTROL!$C$42, 121.5, 121.5)*CHOOSE(CONTROL!$C$42, 31, 31))/1000000</f>
        <v>0.34501139999999997</v>
      </c>
      <c r="X152" s="57">
        <f>(31*0.1790888*145000/1000000)+(31*0.2374*100000/1000000)</f>
        <v>1.5409441560000001</v>
      </c>
      <c r="Y152" s="57"/>
      <c r="Z152" s="17"/>
      <c r="AA152" s="56"/>
      <c r="AB152" s="49">
        <f>(B152*194.205+C152*267.466+D152*133.845+E152*153.484+F152*40+G152*85+H152*0+I152*100+J152*300)/(194.205+267.466+133.845+153.484+0+40+85+100+300)</f>
        <v>8.3767661532182114</v>
      </c>
      <c r="AC152" s="46">
        <f>(M152*'RAP TEMPLATE-GAS AVAILABILITY'!O151+N152*'RAP TEMPLATE-GAS AVAILABILITY'!P151+O152*'RAP TEMPLATE-GAS AVAILABILITY'!Q151+P152*'RAP TEMPLATE-GAS AVAILABILITY'!R151)/('RAP TEMPLATE-GAS AVAILABILITY'!O151+'RAP TEMPLATE-GAS AVAILABILITY'!P151+'RAP TEMPLATE-GAS AVAILABILITY'!Q151+'RAP TEMPLATE-GAS AVAILABILITY'!R151)</f>
        <v>8.3270676258992804</v>
      </c>
    </row>
    <row r="153" spans="1:29" ht="15.75" x14ac:dyDescent="0.25">
      <c r="A153" s="16">
        <v>45536</v>
      </c>
      <c r="B153" s="17">
        <f>CHOOSE(CONTROL!$C$42, 7.7974, 7.7974) * CHOOSE(CONTROL!$C$21, $C$9, 100%, $E$9)</f>
        <v>7.7973999999999997</v>
      </c>
      <c r="C153" s="17">
        <f>CHOOSE(CONTROL!$C$42, 7.8054, 7.8054) * CHOOSE(CONTROL!$C$21, $C$9, 100%, $E$9)</f>
        <v>7.8053999999999997</v>
      </c>
      <c r="D153" s="17">
        <f>CHOOSE(CONTROL!$C$42, 8.055, 8.055) * CHOOSE(CONTROL!$C$21, $C$9, 100%, $E$9)</f>
        <v>8.0549999999999997</v>
      </c>
      <c r="E153" s="17">
        <f>CHOOSE(CONTROL!$C$42, 8.0862, 8.0862) * CHOOSE(CONTROL!$C$21, $C$9, 100%, $E$9)</f>
        <v>8.0861999999999998</v>
      </c>
      <c r="F153" s="17">
        <f>CHOOSE(CONTROL!$C$42, 7.8034, 7.8034)*CHOOSE(CONTROL!$C$21, $C$9, 100%, $E$9)</f>
        <v>7.8033999999999999</v>
      </c>
      <c r="G153" s="17">
        <f>CHOOSE(CONTROL!$C$42, 7.8198, 7.8198)*CHOOSE(CONTROL!$C$21, $C$9, 100%, $E$9)</f>
        <v>7.8197999999999999</v>
      </c>
      <c r="H153" s="17">
        <f>CHOOSE(CONTROL!$C$42, 8.0745, 8.0745) * CHOOSE(CONTROL!$C$21, $C$9, 100%, $E$9)</f>
        <v>8.0745000000000005</v>
      </c>
      <c r="I153" s="17">
        <f>CHOOSE(CONTROL!$C$42, 7.8418, 7.8418)* CHOOSE(CONTROL!$C$21, $C$9, 100%, $E$9)</f>
        <v>7.8418000000000001</v>
      </c>
      <c r="J153" s="17">
        <f>CHOOSE(CONTROL!$C$42, 7.796, 7.796)* CHOOSE(CONTROL!$C$21, $C$9, 100%, $E$9)</f>
        <v>7.7960000000000003</v>
      </c>
      <c r="K153" s="53">
        <f>CHOOSE(CONTROL!$C$42, 7.8358, 7.8358) * CHOOSE(CONTROL!$C$21, $C$9, 100%, $E$9)</f>
        <v>7.8357999999999999</v>
      </c>
      <c r="L153" s="17">
        <f>CHOOSE(CONTROL!$C$42, 8.6615, 8.6615) * CHOOSE(CONTROL!$C$21, $C$9, 100%, $E$9)</f>
        <v>8.6615000000000002</v>
      </c>
      <c r="M153" s="17">
        <f>CHOOSE(CONTROL!$C$42, 7.7329, 7.7329) * CHOOSE(CONTROL!$C$21, $C$9, 100%, $E$9)</f>
        <v>7.7328999999999999</v>
      </c>
      <c r="N153" s="17">
        <f>CHOOSE(CONTROL!$C$42, 7.7492, 7.7492) * CHOOSE(CONTROL!$C$21, $C$9, 100%, $E$9)</f>
        <v>7.7492000000000001</v>
      </c>
      <c r="O153" s="17">
        <f>CHOOSE(CONTROL!$C$42, 8.0089, 8.0089) * CHOOSE(CONTROL!$C$21, $C$9, 100%, $E$9)</f>
        <v>8.0089000000000006</v>
      </c>
      <c r="P153" s="17">
        <f>CHOOSE(CONTROL!$C$42, 7.7781, 7.7781) * CHOOSE(CONTROL!$C$21, $C$9, 100%, $E$9)</f>
        <v>7.7781000000000002</v>
      </c>
      <c r="Q153" s="17">
        <f>CHOOSE(CONTROL!$C$42, 8.6036, 8.6036) * CHOOSE(CONTROL!$C$21, $C$9, 100%, $E$9)</f>
        <v>8.6036000000000001</v>
      </c>
      <c r="R153" s="17">
        <f>CHOOSE(CONTROL!$C$42, 9.2121, 9.2121) * CHOOSE(CONTROL!$C$21, $C$9, 100%, $E$9)</f>
        <v>9.2120999999999995</v>
      </c>
      <c r="S153" s="17">
        <f>CHOOSE(CONTROL!$C$42, 7.5495, 7.5495) * CHOOSE(CONTROL!$C$21, $C$9, 100%, $E$9)</f>
        <v>7.5495000000000001</v>
      </c>
      <c r="T153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153" s="57">
        <f>(1000*CHOOSE(CONTROL!$C$42, 695, 695)*CHOOSE(CONTROL!$C$42, 0.5599, 0.5599)*CHOOSE(CONTROL!$C$42, 30, 30))/1000000</f>
        <v>11.673914999999997</v>
      </c>
      <c r="V153" s="57">
        <f>(1000*CHOOSE(CONTROL!$C$42, 500, 500)*CHOOSE(CONTROL!$C$42, 0.275, 0.275)*CHOOSE(CONTROL!$C$42, 30, 30))/1000000</f>
        <v>4.125</v>
      </c>
      <c r="W153" s="57">
        <f>(1000*CHOOSE(CONTROL!$C$42, 0.0916, 0.0916)*CHOOSE(CONTROL!$C$42, 121.5, 121.5)*CHOOSE(CONTROL!$C$42, 30, 30))/1000000</f>
        <v>0.33388200000000001</v>
      </c>
      <c r="X153" s="57">
        <f>(30*0.1790888*145000/1000000)+(30*0.2374*100000/1000000)</f>
        <v>1.4912362799999999</v>
      </c>
      <c r="Y153" s="57"/>
      <c r="Z153" s="17"/>
      <c r="AA153" s="56"/>
      <c r="AB153" s="49">
        <f>(B153*194.205+C153*267.466+D153*133.845+E153*153.484+F153*40+G153*85+H153*0+I153*100+J153*300)/(194.205+267.466+133.845+153.484+0+40+85+100+300)</f>
        <v>7.8657739240188391</v>
      </c>
      <c r="AC153" s="46">
        <f>(M153*'RAP TEMPLATE-GAS AVAILABILITY'!O152+N153*'RAP TEMPLATE-GAS AVAILABILITY'!P152+O153*'RAP TEMPLATE-GAS AVAILABILITY'!Q152+P153*'RAP TEMPLATE-GAS AVAILABILITY'!R152)/('RAP TEMPLATE-GAS AVAILABILITY'!O152+'RAP TEMPLATE-GAS AVAILABILITY'!P152+'RAP TEMPLATE-GAS AVAILABILITY'!Q152+'RAP TEMPLATE-GAS AVAILABILITY'!R152)</f>
        <v>7.8205949640287775</v>
      </c>
    </row>
    <row r="154" spans="1:29" ht="15.75" x14ac:dyDescent="0.25">
      <c r="A154" s="16">
        <v>45566</v>
      </c>
      <c r="B154" s="17">
        <f>CHOOSE(CONTROL!$C$42, 7.6533, 7.6533) * CHOOSE(CONTROL!$C$21, $C$9, 100%, $E$9)</f>
        <v>7.6532999999999998</v>
      </c>
      <c r="C154" s="17">
        <f>CHOOSE(CONTROL!$C$42, 7.6587, 7.6587) * CHOOSE(CONTROL!$C$21, $C$9, 100%, $E$9)</f>
        <v>7.6586999999999996</v>
      </c>
      <c r="D154" s="17">
        <f>CHOOSE(CONTROL!$C$42, 7.9131, 7.9131) * CHOOSE(CONTROL!$C$21, $C$9, 100%, $E$9)</f>
        <v>7.9131</v>
      </c>
      <c r="E154" s="17">
        <f>CHOOSE(CONTROL!$C$42, 7.942, 7.942) * CHOOSE(CONTROL!$C$21, $C$9, 100%, $E$9)</f>
        <v>7.9420000000000002</v>
      </c>
      <c r="F154" s="17">
        <f>CHOOSE(CONTROL!$C$42, 7.6615, 7.6615)*CHOOSE(CONTROL!$C$21, $C$9, 100%, $E$9)</f>
        <v>7.6615000000000002</v>
      </c>
      <c r="G154" s="17">
        <f>CHOOSE(CONTROL!$C$42, 7.6778, 7.6778)*CHOOSE(CONTROL!$C$21, $C$9, 100%, $E$9)</f>
        <v>7.6778000000000004</v>
      </c>
      <c r="H154" s="17">
        <f>CHOOSE(CONTROL!$C$42, 7.9321, 7.9321) * CHOOSE(CONTROL!$C$21, $C$9, 100%, $E$9)</f>
        <v>7.9321000000000002</v>
      </c>
      <c r="I154" s="17">
        <f>CHOOSE(CONTROL!$C$42, 7.699, 7.699)* CHOOSE(CONTROL!$C$21, $C$9, 100%, $E$9)</f>
        <v>7.6989999999999998</v>
      </c>
      <c r="J154" s="17">
        <f>CHOOSE(CONTROL!$C$42, 7.6541, 7.6541)* CHOOSE(CONTROL!$C$21, $C$9, 100%, $E$9)</f>
        <v>7.6540999999999997</v>
      </c>
      <c r="K154" s="53">
        <f>CHOOSE(CONTROL!$C$42, 7.693, 7.693) * CHOOSE(CONTROL!$C$21, $C$9, 100%, $E$9)</f>
        <v>7.6929999999999996</v>
      </c>
      <c r="L154" s="17">
        <f>CHOOSE(CONTROL!$C$42, 8.5191, 8.5191) * CHOOSE(CONTROL!$C$21, $C$9, 100%, $E$9)</f>
        <v>8.5190999999999999</v>
      </c>
      <c r="M154" s="17">
        <f>CHOOSE(CONTROL!$C$42, 7.5923, 7.5923) * CHOOSE(CONTROL!$C$21, $C$9, 100%, $E$9)</f>
        <v>7.5922999999999998</v>
      </c>
      <c r="N154" s="17">
        <f>CHOOSE(CONTROL!$C$42, 7.6085, 7.6085) * CHOOSE(CONTROL!$C$21, $C$9, 100%, $E$9)</f>
        <v>7.6085000000000003</v>
      </c>
      <c r="O154" s="17">
        <f>CHOOSE(CONTROL!$C$42, 7.8678, 7.8678) * CHOOSE(CONTROL!$C$21, $C$9, 100%, $E$9)</f>
        <v>7.8677999999999999</v>
      </c>
      <c r="P154" s="17">
        <f>CHOOSE(CONTROL!$C$42, 7.6366, 7.6366) * CHOOSE(CONTROL!$C$21, $C$9, 100%, $E$9)</f>
        <v>7.6365999999999996</v>
      </c>
      <c r="Q154" s="17">
        <f>CHOOSE(CONTROL!$C$42, 8.4625, 8.4625) * CHOOSE(CONTROL!$C$21, $C$9, 100%, $E$9)</f>
        <v>8.4625000000000004</v>
      </c>
      <c r="R154" s="17">
        <f>CHOOSE(CONTROL!$C$42, 9.0707, 9.0707) * CHOOSE(CONTROL!$C$21, $C$9, 100%, $E$9)</f>
        <v>9.0707000000000004</v>
      </c>
      <c r="S154" s="17">
        <f>CHOOSE(CONTROL!$C$42, 7.4115, 7.4115) * CHOOSE(CONTROL!$C$21, $C$9, 100%, $E$9)</f>
        <v>7.4115000000000002</v>
      </c>
      <c r="T154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154" s="57">
        <f>(1000*CHOOSE(CONTROL!$C$42, 695, 695)*CHOOSE(CONTROL!$C$42, 0.5599, 0.5599)*CHOOSE(CONTROL!$C$42, 31, 31))/1000000</f>
        <v>12.063045499999998</v>
      </c>
      <c r="V154" s="57">
        <f>(1000*CHOOSE(CONTROL!$C$42, 500, 500)*CHOOSE(CONTROL!$C$42, 0.275, 0.275)*CHOOSE(CONTROL!$C$42, 31, 31))/1000000</f>
        <v>4.2625000000000002</v>
      </c>
      <c r="W154" s="57">
        <f>(1000*CHOOSE(CONTROL!$C$42, 0.0916, 0.0916)*CHOOSE(CONTROL!$C$42, 121.5, 121.5)*CHOOSE(CONTROL!$C$42, 31, 31))/1000000</f>
        <v>0.34501139999999997</v>
      </c>
      <c r="X154" s="57">
        <f>(31*0.1790888*145000/1000000)+(31*0.2374*100000/1000000)</f>
        <v>1.5409441560000001</v>
      </c>
      <c r="Y154" s="57"/>
      <c r="Z154" s="17"/>
      <c r="AA154" s="56"/>
      <c r="AB154" s="49">
        <f>(B154*131.881+C154*277.167+D154*79.08+E154*225.872+F154*40+G154*85+H154*0+I154*100+J154*300)/(131.881+277.167+79.08+225.872+0+40+85+100+300)</f>
        <v>7.7295481292978199</v>
      </c>
      <c r="AC154" s="46">
        <f>(M154*'RAP TEMPLATE-GAS AVAILABILITY'!O153+N154*'RAP TEMPLATE-GAS AVAILABILITY'!P153+O154*'RAP TEMPLATE-GAS AVAILABILITY'!Q153+P154*'RAP TEMPLATE-GAS AVAILABILITY'!R153)/('RAP TEMPLATE-GAS AVAILABILITY'!O153+'RAP TEMPLATE-GAS AVAILABILITY'!P153+'RAP TEMPLATE-GAS AVAILABILITY'!Q153+'RAP TEMPLATE-GAS AVAILABILITY'!R153)</f>
        <v>7.6797021582733818</v>
      </c>
    </row>
    <row r="155" spans="1:29" ht="15.75" x14ac:dyDescent="0.25">
      <c r="A155" s="16">
        <v>45597</v>
      </c>
      <c r="B155" s="17">
        <f>CHOOSE(CONTROL!$C$42, 7.8704, 7.8704) * CHOOSE(CONTROL!$C$21, $C$9, 100%, $E$9)</f>
        <v>7.8704000000000001</v>
      </c>
      <c r="C155" s="17">
        <f>CHOOSE(CONTROL!$C$42, 7.8755, 7.8755) * CHOOSE(CONTROL!$C$21, $C$9, 100%, $E$9)</f>
        <v>7.8754999999999997</v>
      </c>
      <c r="D155" s="17">
        <f>CHOOSE(CONTROL!$C$42, 7.9981, 7.9981) * CHOOSE(CONTROL!$C$21, $C$9, 100%, $E$9)</f>
        <v>7.9981</v>
      </c>
      <c r="E155" s="17">
        <f>CHOOSE(CONTROL!$C$42, 8.0319, 8.0319) * CHOOSE(CONTROL!$C$21, $C$9, 100%, $E$9)</f>
        <v>8.0319000000000003</v>
      </c>
      <c r="F155" s="17">
        <f>CHOOSE(CONTROL!$C$42, 7.8854, 7.8854)*CHOOSE(CONTROL!$C$21, $C$9, 100%, $E$9)</f>
        <v>7.8853999999999997</v>
      </c>
      <c r="G155" s="17">
        <f>CHOOSE(CONTROL!$C$42, 7.9021, 7.9021)*CHOOSE(CONTROL!$C$21, $C$9, 100%, $E$9)</f>
        <v>7.9020999999999999</v>
      </c>
      <c r="H155" s="17">
        <f>CHOOSE(CONTROL!$C$42, 8.0207, 8.0207) * CHOOSE(CONTROL!$C$21, $C$9, 100%, $E$9)</f>
        <v>8.0206999999999997</v>
      </c>
      <c r="I155" s="17">
        <f>CHOOSE(CONTROL!$C$42, 7.9198, 7.9198)* CHOOSE(CONTROL!$C$21, $C$9, 100%, $E$9)</f>
        <v>7.9198000000000004</v>
      </c>
      <c r="J155" s="17">
        <f>CHOOSE(CONTROL!$C$42, 7.878, 7.878)* CHOOSE(CONTROL!$C$21, $C$9, 100%, $E$9)</f>
        <v>7.8780000000000001</v>
      </c>
      <c r="K155" s="53">
        <f>CHOOSE(CONTROL!$C$42, 7.9137, 7.9137) * CHOOSE(CONTROL!$C$21, $C$9, 100%, $E$9)</f>
        <v>7.9137000000000004</v>
      </c>
      <c r="L155" s="17">
        <f>CHOOSE(CONTROL!$C$42, 8.6077, 8.6077) * CHOOSE(CONTROL!$C$21, $C$9, 100%, $E$9)</f>
        <v>8.6076999999999995</v>
      </c>
      <c r="M155" s="17">
        <f>CHOOSE(CONTROL!$C$42, 7.8142, 7.8142) * CHOOSE(CONTROL!$C$21, $C$9, 100%, $E$9)</f>
        <v>7.8141999999999996</v>
      </c>
      <c r="N155" s="17">
        <f>CHOOSE(CONTROL!$C$42, 7.8307, 7.8307) * CHOOSE(CONTROL!$C$21, $C$9, 100%, $E$9)</f>
        <v>7.8307000000000002</v>
      </c>
      <c r="O155" s="17">
        <f>CHOOSE(CONTROL!$C$42, 7.9556, 7.9556) * CHOOSE(CONTROL!$C$21, $C$9, 100%, $E$9)</f>
        <v>7.9555999999999996</v>
      </c>
      <c r="P155" s="17">
        <f>CHOOSE(CONTROL!$C$42, 7.8554, 7.8554) * CHOOSE(CONTROL!$C$21, $C$9, 100%, $E$9)</f>
        <v>7.8554000000000004</v>
      </c>
      <c r="Q155" s="17">
        <f>CHOOSE(CONTROL!$C$42, 8.5503, 8.5503) * CHOOSE(CONTROL!$C$21, $C$9, 100%, $E$9)</f>
        <v>8.5503</v>
      </c>
      <c r="R155" s="17">
        <f>CHOOSE(CONTROL!$C$42, 9.1587, 9.1587) * CHOOSE(CONTROL!$C$21, $C$9, 100%, $E$9)</f>
        <v>9.1586999999999996</v>
      </c>
      <c r="S155" s="17">
        <f>CHOOSE(CONTROL!$C$42, 7.6224, 7.6224) * CHOOSE(CONTROL!$C$21, $C$9, 100%, $E$9)</f>
        <v>7.6223999999999998</v>
      </c>
      <c r="T155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155" s="57">
        <f>(1000*CHOOSE(CONTROL!$C$42, 695, 695)*CHOOSE(CONTROL!$C$42, 0.5599, 0.5599)*CHOOSE(CONTROL!$C$42, 30, 30))/1000000</f>
        <v>11.673914999999997</v>
      </c>
      <c r="V155" s="57">
        <f>(1000*CHOOSE(CONTROL!$C$42, 500, 500)*CHOOSE(CONTROL!$C$42, 0.275, 0.275)*CHOOSE(CONTROL!$C$42, 30, 30))/1000000</f>
        <v>4.125</v>
      </c>
      <c r="W155" s="57">
        <f>(1000*CHOOSE(CONTROL!$C$42, 0.0916, 0.0916)*CHOOSE(CONTROL!$C$42, 121.5, 121.5)*CHOOSE(CONTROL!$C$42, 30, 30))/1000000</f>
        <v>0.33388200000000001</v>
      </c>
      <c r="X155" s="57">
        <f>(30*0.2374*100000/1000000)</f>
        <v>0.71220000000000006</v>
      </c>
      <c r="Y155" s="57"/>
      <c r="Z155" s="17"/>
      <c r="AA155" s="56"/>
      <c r="AB155" s="49">
        <f>(B155*122.58+C155*297.941+D155*89.177+E155*140.302+F155*40+G155*60+H155*0+I155*100+J155*300)/(122.58+297.941+89.177+140.302+0+40+60+100+300)</f>
        <v>7.9097810217391311</v>
      </c>
      <c r="AC155" s="46">
        <f>(M155*'RAP TEMPLATE-GAS AVAILABILITY'!O154+N155*'RAP TEMPLATE-GAS AVAILABILITY'!P154+O155*'RAP TEMPLATE-GAS AVAILABILITY'!Q154+P155*'RAP TEMPLATE-GAS AVAILABILITY'!R154)/('RAP TEMPLATE-GAS AVAILABILITY'!O154+'RAP TEMPLATE-GAS AVAILABILITY'!P154+'RAP TEMPLATE-GAS AVAILABILITY'!Q154+'RAP TEMPLATE-GAS AVAILABILITY'!R154)</f>
        <v>7.8851654676258986</v>
      </c>
    </row>
    <row r="156" spans="1:29" ht="15.75" x14ac:dyDescent="0.25">
      <c r="A156" s="16">
        <v>45627</v>
      </c>
      <c r="B156" s="17">
        <f>CHOOSE(CONTROL!$C$42, 8.4236, 8.4236) * CHOOSE(CONTROL!$C$21, $C$9, 100%, $E$9)</f>
        <v>8.4236000000000004</v>
      </c>
      <c r="C156" s="17">
        <f>CHOOSE(CONTROL!$C$42, 8.4287, 8.4287) * CHOOSE(CONTROL!$C$21, $C$9, 100%, $E$9)</f>
        <v>8.4286999999999992</v>
      </c>
      <c r="D156" s="17">
        <f>CHOOSE(CONTROL!$C$42, 8.5513, 8.5513) * CHOOSE(CONTROL!$C$21, $C$9, 100%, $E$9)</f>
        <v>8.5512999999999995</v>
      </c>
      <c r="E156" s="17">
        <f>CHOOSE(CONTROL!$C$42, 8.585, 8.585) * CHOOSE(CONTROL!$C$21, $C$9, 100%, $E$9)</f>
        <v>8.5850000000000009</v>
      </c>
      <c r="F156" s="17">
        <f>CHOOSE(CONTROL!$C$42, 8.441, 8.441)*CHOOSE(CONTROL!$C$21, $C$9, 100%, $E$9)</f>
        <v>8.4410000000000007</v>
      </c>
      <c r="G156" s="17">
        <f>CHOOSE(CONTROL!$C$42, 8.4583, 8.4583)*CHOOSE(CONTROL!$C$21, $C$9, 100%, $E$9)</f>
        <v>8.4582999999999995</v>
      </c>
      <c r="H156" s="17">
        <f>CHOOSE(CONTROL!$C$42, 8.5739, 8.5739) * CHOOSE(CONTROL!$C$21, $C$9, 100%, $E$9)</f>
        <v>8.5739000000000001</v>
      </c>
      <c r="I156" s="17">
        <f>CHOOSE(CONTROL!$C$42, 8.4747, 8.4747)* CHOOSE(CONTROL!$C$21, $C$9, 100%, $E$9)</f>
        <v>8.4747000000000003</v>
      </c>
      <c r="J156" s="17">
        <f>CHOOSE(CONTROL!$C$42, 8.4336, 8.4336)* CHOOSE(CONTROL!$C$21, $C$9, 100%, $E$9)</f>
        <v>8.4336000000000002</v>
      </c>
      <c r="K156" s="53">
        <f>CHOOSE(CONTROL!$C$42, 8.4686, 8.4686) * CHOOSE(CONTROL!$C$21, $C$9, 100%, $E$9)</f>
        <v>8.4686000000000003</v>
      </c>
      <c r="L156" s="17">
        <f>CHOOSE(CONTROL!$C$42, 9.1609, 9.1609) * CHOOSE(CONTROL!$C$21, $C$9, 100%, $E$9)</f>
        <v>9.1608999999999998</v>
      </c>
      <c r="M156" s="17">
        <f>CHOOSE(CONTROL!$C$42, 8.3648, 8.3648) * CHOOSE(CONTROL!$C$21, $C$9, 100%, $E$9)</f>
        <v>8.3648000000000007</v>
      </c>
      <c r="N156" s="17">
        <f>CHOOSE(CONTROL!$C$42, 8.3819, 8.3819) * CHOOSE(CONTROL!$C$21, $C$9, 100%, $E$9)</f>
        <v>8.3818999999999999</v>
      </c>
      <c r="O156" s="17">
        <f>CHOOSE(CONTROL!$C$42, 8.5038, 8.5038) * CHOOSE(CONTROL!$C$21, $C$9, 100%, $E$9)</f>
        <v>8.5038</v>
      </c>
      <c r="P156" s="17">
        <f>CHOOSE(CONTROL!$C$42, 8.4053, 8.4053) * CHOOSE(CONTROL!$C$21, $C$9, 100%, $E$9)</f>
        <v>8.4053000000000004</v>
      </c>
      <c r="Q156" s="17">
        <f>CHOOSE(CONTROL!$C$42, 9.0985, 9.0985) * CHOOSE(CONTROL!$C$21, $C$9, 100%, $E$9)</f>
        <v>9.0984999999999996</v>
      </c>
      <c r="R156" s="17">
        <f>CHOOSE(CONTROL!$C$42, 9.7082, 9.7082) * CHOOSE(CONTROL!$C$21, $C$9, 100%, $E$9)</f>
        <v>9.7081999999999997</v>
      </c>
      <c r="S156" s="17">
        <f>CHOOSE(CONTROL!$C$42, 8.1588, 8.1588) * CHOOSE(CONTROL!$C$21, $C$9, 100%, $E$9)</f>
        <v>8.1587999999999994</v>
      </c>
      <c r="T156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156" s="57">
        <f>(1000*CHOOSE(CONTROL!$C$42, 695, 695)*CHOOSE(CONTROL!$C$42, 0.5599, 0.5599)*CHOOSE(CONTROL!$C$42, 31, 31))/1000000</f>
        <v>12.063045499999998</v>
      </c>
      <c r="V156" s="57">
        <f>(1000*CHOOSE(CONTROL!$C$42, 500, 500)*CHOOSE(CONTROL!$C$42, 0.275, 0.275)*CHOOSE(CONTROL!$C$42, 31, 31))/1000000</f>
        <v>4.2625000000000002</v>
      </c>
      <c r="W156" s="57">
        <f>(1000*CHOOSE(CONTROL!$C$42, 0.0916, 0.0916)*CHOOSE(CONTROL!$C$42, 121.5, 121.5)*CHOOSE(CONTROL!$C$42, 31, 31))/1000000</f>
        <v>0.34501139999999997</v>
      </c>
      <c r="X156" s="57">
        <f>(31*0.2374*100000/1000000)</f>
        <v>0.73594000000000004</v>
      </c>
      <c r="Y156" s="57"/>
      <c r="Z156" s="17"/>
      <c r="AA156" s="56"/>
      <c r="AB156" s="49">
        <f>(B156*122.58+C156*297.941+D156*89.177+E156*140.302+F156*40+G156*60+H156*0+I156*100+J156*300)/(122.58+297.941+89.177+140.302+0+40+60+100+300)</f>
        <v>8.4639827346086953</v>
      </c>
      <c r="AC156" s="46">
        <f>(M156*'RAP TEMPLATE-GAS AVAILABILITY'!O155+N156*'RAP TEMPLATE-GAS AVAILABILITY'!P155+O156*'RAP TEMPLATE-GAS AVAILABILITY'!Q155+P156*'RAP TEMPLATE-GAS AVAILABILITY'!R155)/('RAP TEMPLATE-GAS AVAILABILITY'!O155+'RAP TEMPLATE-GAS AVAILABILITY'!P155+'RAP TEMPLATE-GAS AVAILABILITY'!Q155+'RAP TEMPLATE-GAS AVAILABILITY'!R155)</f>
        <v>8.4346115107913668</v>
      </c>
    </row>
    <row r="157" spans="1:29" ht="15.75" x14ac:dyDescent="0.25">
      <c r="A157" s="16">
        <v>45658</v>
      </c>
      <c r="B157" s="17">
        <f>CHOOSE(CONTROL!$C$42, 8.9474, 8.9474) * CHOOSE(CONTROL!$C$21, $C$9, 100%, $E$9)</f>
        <v>8.9474</v>
      </c>
      <c r="C157" s="17">
        <f>CHOOSE(CONTROL!$C$42, 8.9525, 8.9525) * CHOOSE(CONTROL!$C$21, $C$9, 100%, $E$9)</f>
        <v>8.9525000000000006</v>
      </c>
      <c r="D157" s="17">
        <f>CHOOSE(CONTROL!$C$42, 9.07, 9.07) * CHOOSE(CONTROL!$C$21, $C$9, 100%, $E$9)</f>
        <v>9.07</v>
      </c>
      <c r="E157" s="17">
        <f>CHOOSE(CONTROL!$C$42, 9.1037, 9.1037) * CHOOSE(CONTROL!$C$21, $C$9, 100%, $E$9)</f>
        <v>9.1036999999999999</v>
      </c>
      <c r="F157" s="17">
        <f>CHOOSE(CONTROL!$C$42, 8.9611, 8.9611)*CHOOSE(CONTROL!$C$21, $C$9, 100%, $E$9)</f>
        <v>8.9611000000000001</v>
      </c>
      <c r="G157" s="17">
        <f>CHOOSE(CONTROL!$C$42, 8.9774, 8.9774)*CHOOSE(CONTROL!$C$21, $C$9, 100%, $E$9)</f>
        <v>8.9773999999999994</v>
      </c>
      <c r="H157" s="17">
        <f>CHOOSE(CONTROL!$C$42, 9.0926, 9.0926) * CHOOSE(CONTROL!$C$21, $C$9, 100%, $E$9)</f>
        <v>9.0925999999999991</v>
      </c>
      <c r="I157" s="17">
        <f>CHOOSE(CONTROL!$C$42, 8.9986, 8.9986)* CHOOSE(CONTROL!$C$21, $C$9, 100%, $E$9)</f>
        <v>8.9985999999999997</v>
      </c>
      <c r="J157" s="17">
        <f>CHOOSE(CONTROL!$C$42, 8.9537, 8.9537)* CHOOSE(CONTROL!$C$21, $C$9, 100%, $E$9)</f>
        <v>8.9536999999999995</v>
      </c>
      <c r="K157" s="53">
        <f>CHOOSE(CONTROL!$C$42, 8.9926, 8.9926) * CHOOSE(CONTROL!$C$21, $C$9, 100%, $E$9)</f>
        <v>8.9925999999999995</v>
      </c>
      <c r="L157" s="17">
        <f>CHOOSE(CONTROL!$C$42, 9.6796, 9.6796) * CHOOSE(CONTROL!$C$21, $C$9, 100%, $E$9)</f>
        <v>9.6796000000000006</v>
      </c>
      <c r="M157" s="17">
        <f>CHOOSE(CONTROL!$C$42, 8.8801, 8.8801) * CHOOSE(CONTROL!$C$21, $C$9, 100%, $E$9)</f>
        <v>8.8801000000000005</v>
      </c>
      <c r="N157" s="17">
        <f>CHOOSE(CONTROL!$C$42, 8.8963, 8.8963) * CHOOSE(CONTROL!$C$21, $C$9, 100%, $E$9)</f>
        <v>8.8963000000000001</v>
      </c>
      <c r="O157" s="17">
        <f>CHOOSE(CONTROL!$C$42, 9.0179, 9.0179) * CHOOSE(CONTROL!$C$21, $C$9, 100%, $E$9)</f>
        <v>9.0178999999999991</v>
      </c>
      <c r="P157" s="17">
        <f>CHOOSE(CONTROL!$C$42, 8.9245, 8.9245) * CHOOSE(CONTROL!$C$21, $C$9, 100%, $E$9)</f>
        <v>8.9245000000000001</v>
      </c>
      <c r="Q157" s="17">
        <f>CHOOSE(CONTROL!$C$42, 9.6126, 9.6126) * CHOOSE(CONTROL!$C$21, $C$9, 100%, $E$9)</f>
        <v>9.6126000000000005</v>
      </c>
      <c r="R157" s="17">
        <f>CHOOSE(CONTROL!$C$42, 10.2236, 10.2236) * CHOOSE(CONTROL!$C$21, $C$9, 100%, $E$9)</f>
        <v>10.223599999999999</v>
      </c>
      <c r="S157" s="17">
        <f>CHOOSE(CONTROL!$C$42, 8.6668, 8.6668) * CHOOSE(CONTROL!$C$21, $C$9, 100%, $E$9)</f>
        <v>8.6668000000000003</v>
      </c>
      <c r="T157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157" s="57">
        <f>(1000*CHOOSE(CONTROL!$C$42, 695, 695)*CHOOSE(CONTROL!$C$42, 0.5599, 0.5599)*CHOOSE(CONTROL!$C$42, 31, 31))/1000000</f>
        <v>12.063045499999998</v>
      </c>
      <c r="V157" s="57">
        <f>(1000*CHOOSE(CONTROL!$C$42, 500, 500)*CHOOSE(CONTROL!$C$42, 0.275, 0.275)*CHOOSE(CONTROL!$C$42, 31, 31))/1000000</f>
        <v>4.2625000000000002</v>
      </c>
      <c r="W157" s="57">
        <f>(1000*CHOOSE(CONTROL!$C$42, 0.0916, 0.0916)*CHOOSE(CONTROL!$C$42, 121.5, 121.5)*CHOOSE(CONTROL!$C$42, 31, 31))/1000000</f>
        <v>0.34501139999999997</v>
      </c>
      <c r="X157" s="57">
        <f>(31*0.2374*100000/1000000)</f>
        <v>0.73594000000000004</v>
      </c>
      <c r="Y157" s="57"/>
      <c r="Z157" s="17"/>
      <c r="AA157" s="56"/>
      <c r="AB157" s="49">
        <f>(B157*122.58+C157*297.941+D157*89.177+E157*140.302+F157*40+G157*60+H157*0+I157*100+J157*300)/(122.58+297.941+89.177+140.302+0+40+60+100+300)</f>
        <v>8.9854346103478271</v>
      </c>
      <c r="AC157" s="46">
        <f>(M157*'RAP TEMPLATE-GAS AVAILABILITY'!O156+N157*'RAP TEMPLATE-GAS AVAILABILITY'!P156+O157*'RAP TEMPLATE-GAS AVAILABILITY'!Q156+P157*'RAP TEMPLATE-GAS AVAILABILITY'!R156)/('RAP TEMPLATE-GAS AVAILABILITY'!O156+'RAP TEMPLATE-GAS AVAILABILITY'!P156+'RAP TEMPLATE-GAS AVAILABILITY'!Q156+'RAP TEMPLATE-GAS AVAILABILITY'!R156)</f>
        <v>8.9498769784172651</v>
      </c>
    </row>
    <row r="158" spans="1:29" ht="15.75" x14ac:dyDescent="0.25">
      <c r="A158" s="16">
        <v>45689</v>
      </c>
      <c r="B158" s="17">
        <f>CHOOSE(CONTROL!$C$42, 9.1253, 9.1253) * CHOOSE(CONTROL!$C$21, $C$9, 100%, $E$9)</f>
        <v>9.1252999999999993</v>
      </c>
      <c r="C158" s="17">
        <f>CHOOSE(CONTROL!$C$42, 9.1304, 9.1304) * CHOOSE(CONTROL!$C$21, $C$9, 100%, $E$9)</f>
        <v>9.1303999999999998</v>
      </c>
      <c r="D158" s="17">
        <f>CHOOSE(CONTROL!$C$42, 9.2478, 9.2478) * CHOOSE(CONTROL!$C$21, $C$9, 100%, $E$9)</f>
        <v>9.2477999999999998</v>
      </c>
      <c r="E158" s="17">
        <f>CHOOSE(CONTROL!$C$42, 9.2816, 9.2816) * CHOOSE(CONTROL!$C$21, $C$9, 100%, $E$9)</f>
        <v>9.2815999999999992</v>
      </c>
      <c r="F158" s="17">
        <f>CHOOSE(CONTROL!$C$42, 9.1389, 9.1389)*CHOOSE(CONTROL!$C$21, $C$9, 100%, $E$9)</f>
        <v>9.1388999999999996</v>
      </c>
      <c r="G158" s="17">
        <f>CHOOSE(CONTROL!$C$42, 9.1552, 9.1552)*CHOOSE(CONTROL!$C$21, $C$9, 100%, $E$9)</f>
        <v>9.1552000000000007</v>
      </c>
      <c r="H158" s="17">
        <f>CHOOSE(CONTROL!$C$42, 9.2704, 9.2704) * CHOOSE(CONTROL!$C$21, $C$9, 100%, $E$9)</f>
        <v>9.2704000000000004</v>
      </c>
      <c r="I158" s="17">
        <f>CHOOSE(CONTROL!$C$42, 9.177, 9.177)* CHOOSE(CONTROL!$C$21, $C$9, 100%, $E$9)</f>
        <v>9.1769999999999996</v>
      </c>
      <c r="J158" s="17">
        <f>CHOOSE(CONTROL!$C$42, 9.1315, 9.1315)* CHOOSE(CONTROL!$C$21, $C$9, 100%, $E$9)</f>
        <v>9.1315000000000008</v>
      </c>
      <c r="K158" s="53">
        <f>CHOOSE(CONTROL!$C$42, 9.1709, 9.1709) * CHOOSE(CONTROL!$C$21, $C$9, 100%, $E$9)</f>
        <v>9.1708999999999996</v>
      </c>
      <c r="L158" s="17">
        <f>CHOOSE(CONTROL!$C$42, 9.8574, 9.8574) * CHOOSE(CONTROL!$C$21, $C$9, 100%, $E$9)</f>
        <v>9.8574000000000002</v>
      </c>
      <c r="M158" s="17">
        <f>CHOOSE(CONTROL!$C$42, 9.0564, 9.0564) * CHOOSE(CONTROL!$C$21, $C$9, 100%, $E$9)</f>
        <v>9.0564</v>
      </c>
      <c r="N158" s="17">
        <f>CHOOSE(CONTROL!$C$42, 9.0725, 9.0725) * CHOOSE(CONTROL!$C$21, $C$9, 100%, $E$9)</f>
        <v>9.0724999999999998</v>
      </c>
      <c r="O158" s="17">
        <f>CHOOSE(CONTROL!$C$42, 9.1941, 9.1941) * CHOOSE(CONTROL!$C$21, $C$9, 100%, $E$9)</f>
        <v>9.1941000000000006</v>
      </c>
      <c r="P158" s="17">
        <f>CHOOSE(CONTROL!$C$42, 9.1013, 9.1013) * CHOOSE(CONTROL!$C$21, $C$9, 100%, $E$9)</f>
        <v>9.1013000000000002</v>
      </c>
      <c r="Q158" s="17">
        <f>CHOOSE(CONTROL!$C$42, 9.7888, 9.7888) * CHOOSE(CONTROL!$C$21, $C$9, 100%, $E$9)</f>
        <v>9.7888000000000002</v>
      </c>
      <c r="R158" s="17">
        <f>CHOOSE(CONTROL!$C$42, 10.4002, 10.4002) * CHOOSE(CONTROL!$C$21, $C$9, 100%, $E$9)</f>
        <v>10.4002</v>
      </c>
      <c r="S158" s="17">
        <f>CHOOSE(CONTROL!$C$42, 8.8393, 8.8393) * CHOOSE(CONTROL!$C$21, $C$9, 100%, $E$9)</f>
        <v>8.8392999999999997</v>
      </c>
      <c r="T158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158" s="57">
        <f>(1000*CHOOSE(CONTROL!$C$42, 695, 695)*CHOOSE(CONTROL!$C$42, 0.5599, 0.5599)*CHOOSE(CONTROL!$C$42, 28, 28))/1000000</f>
        <v>10.895653999999999</v>
      </c>
      <c r="V158" s="57">
        <f>(1000*CHOOSE(CONTROL!$C$42, 500, 500)*CHOOSE(CONTROL!$C$42, 0.275, 0.275)*CHOOSE(CONTROL!$C$42, 28, 28))/1000000</f>
        <v>3.85</v>
      </c>
      <c r="W158" s="57">
        <f>(1000*CHOOSE(CONTROL!$C$42, 0.0916, 0.0916)*CHOOSE(CONTROL!$C$42, 121.5, 121.5)*CHOOSE(CONTROL!$C$42, 28, 28))/1000000</f>
        <v>0.31162319999999999</v>
      </c>
      <c r="X158" s="57">
        <f>(28*0.2374*100000/1000000)</f>
        <v>0.66471999999999998</v>
      </c>
      <c r="Y158" s="57"/>
      <c r="Z158" s="17"/>
      <c r="AA158" s="56"/>
      <c r="AB158" s="49">
        <f>(B158*122.58+C158*297.941+D158*89.177+E158*140.302+F158*40+G158*60+H158*0+I158*100+J158*300)/(122.58+297.941+89.177+140.302+0+40+60+100+300)</f>
        <v>9.1633355514782604</v>
      </c>
      <c r="AC158" s="46">
        <f>(M158*'RAP TEMPLATE-GAS AVAILABILITY'!O157+N158*'RAP TEMPLATE-GAS AVAILABILITY'!P157+O158*'RAP TEMPLATE-GAS AVAILABILITY'!Q157+P158*'RAP TEMPLATE-GAS AVAILABILITY'!R157)/('RAP TEMPLATE-GAS AVAILABILITY'!O157+'RAP TEMPLATE-GAS AVAILABILITY'!P157+'RAP TEMPLATE-GAS AVAILABILITY'!Q157+'RAP TEMPLATE-GAS AVAILABILITY'!R157)</f>
        <v>9.1261978417266185</v>
      </c>
    </row>
    <row r="159" spans="1:29" ht="15.75" x14ac:dyDescent="0.25">
      <c r="A159" s="16">
        <v>45717</v>
      </c>
      <c r="B159" s="17">
        <f>CHOOSE(CONTROL!$C$42, 8.8847, 8.8847) * CHOOSE(CONTROL!$C$21, $C$9, 100%, $E$9)</f>
        <v>8.8847000000000005</v>
      </c>
      <c r="C159" s="17">
        <f>CHOOSE(CONTROL!$C$42, 8.8898, 8.8898) * CHOOSE(CONTROL!$C$21, $C$9, 100%, $E$9)</f>
        <v>8.8897999999999993</v>
      </c>
      <c r="D159" s="17">
        <f>CHOOSE(CONTROL!$C$42, 9.0073, 9.0073) * CHOOSE(CONTROL!$C$21, $C$9, 100%, $E$9)</f>
        <v>9.0073000000000008</v>
      </c>
      <c r="E159" s="17">
        <f>CHOOSE(CONTROL!$C$42, 9.041, 9.041) * CHOOSE(CONTROL!$C$21, $C$9, 100%, $E$9)</f>
        <v>9.0410000000000004</v>
      </c>
      <c r="F159" s="17">
        <f>CHOOSE(CONTROL!$C$42, 8.8977, 8.8977)*CHOOSE(CONTROL!$C$21, $C$9, 100%, $E$9)</f>
        <v>8.8977000000000004</v>
      </c>
      <c r="G159" s="17">
        <f>CHOOSE(CONTROL!$C$42, 8.9139, 8.9139)*CHOOSE(CONTROL!$C$21, $C$9, 100%, $E$9)</f>
        <v>8.9138999999999999</v>
      </c>
      <c r="H159" s="17">
        <f>CHOOSE(CONTROL!$C$42, 9.0299, 9.0299) * CHOOSE(CONTROL!$C$21, $C$9, 100%, $E$9)</f>
        <v>9.0298999999999996</v>
      </c>
      <c r="I159" s="17">
        <f>CHOOSE(CONTROL!$C$42, 8.9357, 8.9357)* CHOOSE(CONTROL!$C$21, $C$9, 100%, $E$9)</f>
        <v>8.9357000000000006</v>
      </c>
      <c r="J159" s="17">
        <f>CHOOSE(CONTROL!$C$42, 8.8903, 8.8903)* CHOOSE(CONTROL!$C$21, $C$9, 100%, $E$9)</f>
        <v>8.8902999999999999</v>
      </c>
      <c r="K159" s="53">
        <f>CHOOSE(CONTROL!$C$42, 8.9297, 8.9297) * CHOOSE(CONTROL!$C$21, $C$9, 100%, $E$9)</f>
        <v>8.9297000000000004</v>
      </c>
      <c r="L159" s="17">
        <f>CHOOSE(CONTROL!$C$42, 9.6169, 9.6169) * CHOOSE(CONTROL!$C$21, $C$9, 100%, $E$9)</f>
        <v>9.6168999999999993</v>
      </c>
      <c r="M159" s="17">
        <f>CHOOSE(CONTROL!$C$42, 8.8174, 8.8174) * CHOOSE(CONTROL!$C$21, $C$9, 100%, $E$9)</f>
        <v>8.8173999999999992</v>
      </c>
      <c r="N159" s="17">
        <f>CHOOSE(CONTROL!$C$42, 8.8334, 8.8334) * CHOOSE(CONTROL!$C$21, $C$9, 100%, $E$9)</f>
        <v>8.8333999999999993</v>
      </c>
      <c r="O159" s="17">
        <f>CHOOSE(CONTROL!$C$42, 8.9557, 8.9557) * CHOOSE(CONTROL!$C$21, $C$9, 100%, $E$9)</f>
        <v>8.9557000000000002</v>
      </c>
      <c r="P159" s="17">
        <f>CHOOSE(CONTROL!$C$42, 8.8622, 8.8622) * CHOOSE(CONTROL!$C$21, $C$9, 100%, $E$9)</f>
        <v>8.8621999999999996</v>
      </c>
      <c r="Q159" s="17">
        <f>CHOOSE(CONTROL!$C$42, 9.5504, 9.5504) * CHOOSE(CONTROL!$C$21, $C$9, 100%, $E$9)</f>
        <v>9.5503999999999998</v>
      </c>
      <c r="R159" s="17">
        <f>CHOOSE(CONTROL!$C$42, 10.1613, 10.1613) * CHOOSE(CONTROL!$C$21, $C$9, 100%, $E$9)</f>
        <v>10.161300000000001</v>
      </c>
      <c r="S159" s="17">
        <f>CHOOSE(CONTROL!$C$42, 8.606, 8.606) * CHOOSE(CONTROL!$C$21, $C$9, 100%, $E$9)</f>
        <v>8.6059999999999999</v>
      </c>
      <c r="T159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159" s="57">
        <f>(1000*CHOOSE(CONTROL!$C$42, 695, 695)*CHOOSE(CONTROL!$C$42, 0.5599, 0.5599)*CHOOSE(CONTROL!$C$42, 31, 31))/1000000</f>
        <v>12.063045499999998</v>
      </c>
      <c r="V159" s="57">
        <f>(1000*CHOOSE(CONTROL!$C$42, 500, 500)*CHOOSE(CONTROL!$C$42, 0.275, 0.275)*CHOOSE(CONTROL!$C$42, 31, 31))/1000000</f>
        <v>4.2625000000000002</v>
      </c>
      <c r="W159" s="57">
        <f>(1000*CHOOSE(CONTROL!$C$42, 0.0916, 0.0916)*CHOOSE(CONTROL!$C$42, 121.5, 121.5)*CHOOSE(CONTROL!$C$42, 31, 31))/1000000</f>
        <v>0.34501139999999997</v>
      </c>
      <c r="X159" s="57">
        <f>(31*0.2374*100000/1000000)</f>
        <v>0.73594000000000004</v>
      </c>
      <c r="Y159" s="57"/>
      <c r="Z159" s="17"/>
      <c r="AA159" s="56"/>
      <c r="AB159" s="49">
        <f>(B159*122.58+C159*297.941+D159*89.177+E159*140.302+F159*40+G159*60+H159*0+I159*100+J159*300)/(122.58+297.941+89.177+140.302+0+40+60+100+300)</f>
        <v>8.9224685233913039</v>
      </c>
      <c r="AC159" s="46">
        <f>(M159*'RAP TEMPLATE-GAS AVAILABILITY'!O158+N159*'RAP TEMPLATE-GAS AVAILABILITY'!P158+O159*'RAP TEMPLATE-GAS AVAILABILITY'!Q158+P159*'RAP TEMPLATE-GAS AVAILABILITY'!R158)/('RAP TEMPLATE-GAS AVAILABILITY'!O158+'RAP TEMPLATE-GAS AVAILABILITY'!P158+'RAP TEMPLATE-GAS AVAILABILITY'!Q158+'RAP TEMPLATE-GAS AVAILABILITY'!R158)</f>
        <v>8.8874496402877696</v>
      </c>
    </row>
    <row r="160" spans="1:29" ht="15.75" x14ac:dyDescent="0.25">
      <c r="A160" s="16">
        <v>45748</v>
      </c>
      <c r="B160" s="17">
        <f>CHOOSE(CONTROL!$C$42, 8.8774, 8.8774) * CHOOSE(CONTROL!$C$21, $C$9, 100%, $E$9)</f>
        <v>8.8773999999999997</v>
      </c>
      <c r="C160" s="17">
        <f>CHOOSE(CONTROL!$C$42, 8.8819, 8.8819) * CHOOSE(CONTROL!$C$21, $C$9, 100%, $E$9)</f>
        <v>8.8818999999999999</v>
      </c>
      <c r="D160" s="17">
        <f>CHOOSE(CONTROL!$C$42, 9.1346, 9.1346) * CHOOSE(CONTROL!$C$21, $C$9, 100%, $E$9)</f>
        <v>9.1346000000000007</v>
      </c>
      <c r="E160" s="17">
        <f>CHOOSE(CONTROL!$C$42, 9.1664, 9.1664) * CHOOSE(CONTROL!$C$21, $C$9, 100%, $E$9)</f>
        <v>9.1663999999999994</v>
      </c>
      <c r="F160" s="17">
        <f>CHOOSE(CONTROL!$C$42, 8.8834, 8.8834)*CHOOSE(CONTROL!$C$21, $C$9, 100%, $E$9)</f>
        <v>8.8834</v>
      </c>
      <c r="G160" s="17">
        <f>CHOOSE(CONTROL!$C$42, 8.8992, 8.8992)*CHOOSE(CONTROL!$C$21, $C$9, 100%, $E$9)</f>
        <v>8.8992000000000004</v>
      </c>
      <c r="H160" s="17">
        <f>CHOOSE(CONTROL!$C$42, 9.1559, 9.1559) * CHOOSE(CONTROL!$C$21, $C$9, 100%, $E$9)</f>
        <v>9.1559000000000008</v>
      </c>
      <c r="I160" s="17">
        <f>CHOOSE(CONTROL!$C$42, 8.9265, 8.9265)* CHOOSE(CONTROL!$C$21, $C$9, 100%, $E$9)</f>
        <v>8.9265000000000008</v>
      </c>
      <c r="J160" s="17">
        <f>CHOOSE(CONTROL!$C$42, 8.876, 8.876)* CHOOSE(CONTROL!$C$21, $C$9, 100%, $E$9)</f>
        <v>8.8759999999999994</v>
      </c>
      <c r="K160" s="53">
        <f>CHOOSE(CONTROL!$C$42, 8.9205, 8.9205) * CHOOSE(CONTROL!$C$21, $C$9, 100%, $E$9)</f>
        <v>8.9205000000000005</v>
      </c>
      <c r="L160" s="17">
        <f>CHOOSE(CONTROL!$C$42, 9.7429, 9.7429) * CHOOSE(CONTROL!$C$21, $C$9, 100%, $E$9)</f>
        <v>9.7429000000000006</v>
      </c>
      <c r="M160" s="17">
        <f>CHOOSE(CONTROL!$C$42, 8.8031, 8.8031) * CHOOSE(CONTROL!$C$21, $C$9, 100%, $E$9)</f>
        <v>8.8031000000000006</v>
      </c>
      <c r="N160" s="17">
        <f>CHOOSE(CONTROL!$C$42, 8.8188, 8.8188) * CHOOSE(CONTROL!$C$21, $C$9, 100%, $E$9)</f>
        <v>8.8187999999999995</v>
      </c>
      <c r="O160" s="17">
        <f>CHOOSE(CONTROL!$C$42, 9.0805, 9.0805) * CHOOSE(CONTROL!$C$21, $C$9, 100%, $E$9)</f>
        <v>9.0805000000000007</v>
      </c>
      <c r="P160" s="17">
        <f>CHOOSE(CONTROL!$C$42, 8.8531, 8.8531) * CHOOSE(CONTROL!$C$21, $C$9, 100%, $E$9)</f>
        <v>8.8530999999999995</v>
      </c>
      <c r="Q160" s="17">
        <f>CHOOSE(CONTROL!$C$42, 9.6752, 9.6752) * CHOOSE(CONTROL!$C$21, $C$9, 100%, $E$9)</f>
        <v>9.6752000000000002</v>
      </c>
      <c r="R160" s="17">
        <f>CHOOSE(CONTROL!$C$42, 10.2864, 10.2864) * CHOOSE(CONTROL!$C$21, $C$9, 100%, $E$9)</f>
        <v>10.2864</v>
      </c>
      <c r="S160" s="17">
        <f>CHOOSE(CONTROL!$C$42, 8.5981, 8.5981) * CHOOSE(CONTROL!$C$21, $C$9, 100%, $E$9)</f>
        <v>8.5981000000000005</v>
      </c>
      <c r="T160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160" s="57">
        <f>(1000*CHOOSE(CONTROL!$C$42, 695, 695)*CHOOSE(CONTROL!$C$42, 0.5599, 0.5599)*CHOOSE(CONTROL!$C$42, 30, 30))/1000000</f>
        <v>11.673914999999997</v>
      </c>
      <c r="V160" s="57">
        <f>(1000*CHOOSE(CONTROL!$C$42, 500, 500)*CHOOSE(CONTROL!$C$42, 0.275, 0.275)*CHOOSE(CONTROL!$C$42, 30, 30))/1000000</f>
        <v>4.125</v>
      </c>
      <c r="W160" s="57">
        <f>(1000*CHOOSE(CONTROL!$C$42, 0.0916, 0.0916)*CHOOSE(CONTROL!$C$42, 121.5, 121.5)*CHOOSE(CONTROL!$C$42, 30, 30))/1000000</f>
        <v>0.33388200000000001</v>
      </c>
      <c r="X160" s="57">
        <f>(30*0.1790888*145000/1000000)+(30*0.2374*100000/1000000)</f>
        <v>1.4912362799999999</v>
      </c>
      <c r="Y160" s="57"/>
      <c r="Z160" s="17"/>
      <c r="AA160" s="56"/>
      <c r="AB160" s="49">
        <f>(B160*141.293+C160*267.993+D160*115.016+E160*189.698+F160*40+G160*85+H160*0+I160*100+J160*300)/(141.293+267.993+115.016+189.698+0+40+85+100+300)</f>
        <v>8.9518098512510083</v>
      </c>
      <c r="AC160" s="46">
        <f>(M160*'RAP TEMPLATE-GAS AVAILABILITY'!O159+N160*'RAP TEMPLATE-GAS AVAILABILITY'!P159+O160*'RAP TEMPLATE-GAS AVAILABILITY'!Q159+P160*'RAP TEMPLATE-GAS AVAILABILITY'!R159)/('RAP TEMPLATE-GAS AVAILABILITY'!O159+'RAP TEMPLATE-GAS AVAILABILITY'!P159+'RAP TEMPLATE-GAS AVAILABILITY'!Q159+'RAP TEMPLATE-GAS AVAILABILITY'!R159)</f>
        <v>8.8917402877697835</v>
      </c>
    </row>
    <row r="161" spans="1:29" ht="15.75" x14ac:dyDescent="0.25">
      <c r="A161" s="16">
        <v>45778</v>
      </c>
      <c r="B161" s="17">
        <f>CHOOSE(CONTROL!$C$42, 8.9754, 8.9754) * CHOOSE(CONTROL!$C$21, $C$9, 100%, $E$9)</f>
        <v>8.9754000000000005</v>
      </c>
      <c r="C161" s="17">
        <f>CHOOSE(CONTROL!$C$42, 8.9834, 8.9834) * CHOOSE(CONTROL!$C$21, $C$9, 100%, $E$9)</f>
        <v>8.9833999999999996</v>
      </c>
      <c r="D161" s="17">
        <f>CHOOSE(CONTROL!$C$42, 9.233, 9.233) * CHOOSE(CONTROL!$C$21, $C$9, 100%, $E$9)</f>
        <v>9.2330000000000005</v>
      </c>
      <c r="E161" s="17">
        <f>CHOOSE(CONTROL!$C$42, 9.2642, 9.2642) * CHOOSE(CONTROL!$C$21, $C$9, 100%, $E$9)</f>
        <v>9.2642000000000007</v>
      </c>
      <c r="F161" s="17">
        <f>CHOOSE(CONTROL!$C$42, 8.9803, 8.9803)*CHOOSE(CONTROL!$C$21, $C$9, 100%, $E$9)</f>
        <v>8.9802999999999997</v>
      </c>
      <c r="G161" s="17">
        <f>CHOOSE(CONTROL!$C$42, 8.9964, 8.9964)*CHOOSE(CONTROL!$C$21, $C$9, 100%, $E$9)</f>
        <v>8.9963999999999995</v>
      </c>
      <c r="H161" s="17">
        <f>CHOOSE(CONTROL!$C$42, 9.2525, 9.2525) * CHOOSE(CONTROL!$C$21, $C$9, 100%, $E$9)</f>
        <v>9.2524999999999995</v>
      </c>
      <c r="I161" s="17">
        <f>CHOOSE(CONTROL!$C$42, 9.0235, 9.0235)* CHOOSE(CONTROL!$C$21, $C$9, 100%, $E$9)</f>
        <v>9.0235000000000003</v>
      </c>
      <c r="J161" s="17">
        <f>CHOOSE(CONTROL!$C$42, 8.9729, 8.9729)* CHOOSE(CONTROL!$C$21, $C$9, 100%, $E$9)</f>
        <v>8.9728999999999992</v>
      </c>
      <c r="K161" s="53">
        <f>CHOOSE(CONTROL!$C$42, 9.0175, 9.0175) * CHOOSE(CONTROL!$C$21, $C$9, 100%, $E$9)</f>
        <v>9.0175000000000001</v>
      </c>
      <c r="L161" s="17">
        <f>CHOOSE(CONTROL!$C$42, 9.8395, 9.8395) * CHOOSE(CONTROL!$C$21, $C$9, 100%, $E$9)</f>
        <v>9.8394999999999992</v>
      </c>
      <c r="M161" s="17">
        <f>CHOOSE(CONTROL!$C$42, 8.8992, 8.8992) * CHOOSE(CONTROL!$C$21, $C$9, 100%, $E$9)</f>
        <v>8.8992000000000004</v>
      </c>
      <c r="N161" s="17">
        <f>CHOOSE(CONTROL!$C$42, 8.9152, 8.9152) * CHOOSE(CONTROL!$C$21, $C$9, 100%, $E$9)</f>
        <v>8.9152000000000005</v>
      </c>
      <c r="O161" s="17">
        <f>CHOOSE(CONTROL!$C$42, 9.1763, 9.1763) * CHOOSE(CONTROL!$C$21, $C$9, 100%, $E$9)</f>
        <v>9.1762999999999995</v>
      </c>
      <c r="P161" s="17">
        <f>CHOOSE(CONTROL!$C$42, 8.9492, 8.9492) * CHOOSE(CONTROL!$C$21, $C$9, 100%, $E$9)</f>
        <v>8.9491999999999994</v>
      </c>
      <c r="Q161" s="17">
        <f>CHOOSE(CONTROL!$C$42, 9.771, 9.771) * CHOOSE(CONTROL!$C$21, $C$9, 100%, $E$9)</f>
        <v>9.7710000000000008</v>
      </c>
      <c r="R161" s="17">
        <f>CHOOSE(CONTROL!$C$42, 10.3825, 10.3825) * CHOOSE(CONTROL!$C$21, $C$9, 100%, $E$9)</f>
        <v>10.3825</v>
      </c>
      <c r="S161" s="17">
        <f>CHOOSE(CONTROL!$C$42, 8.6919, 8.6919) * CHOOSE(CONTROL!$C$21, $C$9, 100%, $E$9)</f>
        <v>8.6919000000000004</v>
      </c>
      <c r="T161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161" s="57">
        <f>(1000*CHOOSE(CONTROL!$C$42, 695, 695)*CHOOSE(CONTROL!$C$42, 0.5599, 0.5599)*CHOOSE(CONTROL!$C$42, 31, 31))/1000000</f>
        <v>12.063045499999998</v>
      </c>
      <c r="V161" s="57">
        <f>(1000*CHOOSE(CONTROL!$C$42, 500, 500)*CHOOSE(CONTROL!$C$42, 0.275, 0.275)*CHOOSE(CONTROL!$C$42, 31, 31))/1000000</f>
        <v>4.2625000000000002</v>
      </c>
      <c r="W161" s="57">
        <f>(1000*CHOOSE(CONTROL!$C$42, 0.0916, 0.0916)*CHOOSE(CONTROL!$C$42, 121.5, 121.5)*CHOOSE(CONTROL!$C$42, 31, 31))/1000000</f>
        <v>0.34501139999999997</v>
      </c>
      <c r="X161" s="57">
        <f>(31*0.1790888*145000/1000000)+(31*0.2374*100000/1000000)</f>
        <v>1.5409441560000001</v>
      </c>
      <c r="Y161" s="57"/>
      <c r="Z161" s="17"/>
      <c r="AA161" s="56"/>
      <c r="AB161" s="49">
        <f>(B161*194.205+C161*267.466+D161*133.845+E161*153.484+F161*40+G161*85+H161*0+I161*100+J161*300)/(194.205+267.466+133.845+153.484+0+40+85+100+300)</f>
        <v>9.0436773777080077</v>
      </c>
      <c r="AC161" s="46">
        <f>(M161*'RAP TEMPLATE-GAS AVAILABILITY'!O160+N161*'RAP TEMPLATE-GAS AVAILABILITY'!P160+O161*'RAP TEMPLATE-GAS AVAILABILITY'!Q160+P161*'RAP TEMPLATE-GAS AVAILABILITY'!R160)/('RAP TEMPLATE-GAS AVAILABILITY'!O160+'RAP TEMPLATE-GAS AVAILABILITY'!P160+'RAP TEMPLATE-GAS AVAILABILITY'!Q160+'RAP TEMPLATE-GAS AVAILABILITY'!R160)</f>
        <v>8.9878251798561148</v>
      </c>
    </row>
    <row r="162" spans="1:29" ht="15.75" x14ac:dyDescent="0.25">
      <c r="A162" s="16">
        <v>45809</v>
      </c>
      <c r="B162" s="17">
        <f>CHOOSE(CONTROL!$C$42, 9.2486, 9.2486) * CHOOSE(CONTROL!$C$21, $C$9, 100%, $E$9)</f>
        <v>9.2485999999999997</v>
      </c>
      <c r="C162" s="17">
        <f>CHOOSE(CONTROL!$C$42, 9.2566, 9.2566) * CHOOSE(CONTROL!$C$21, $C$9, 100%, $E$9)</f>
        <v>9.2566000000000006</v>
      </c>
      <c r="D162" s="17">
        <f>CHOOSE(CONTROL!$C$42, 9.5063, 9.5063) * CHOOSE(CONTROL!$C$21, $C$9, 100%, $E$9)</f>
        <v>9.5062999999999995</v>
      </c>
      <c r="E162" s="17">
        <f>CHOOSE(CONTROL!$C$42, 9.5374, 9.5374) * CHOOSE(CONTROL!$C$21, $C$9, 100%, $E$9)</f>
        <v>9.5373999999999999</v>
      </c>
      <c r="F162" s="17">
        <f>CHOOSE(CONTROL!$C$42, 9.2538, 9.2538)*CHOOSE(CONTROL!$C$21, $C$9, 100%, $E$9)</f>
        <v>9.2538</v>
      </c>
      <c r="G162" s="17">
        <f>CHOOSE(CONTROL!$C$42, 9.2701, 9.2701)*CHOOSE(CONTROL!$C$21, $C$9, 100%, $E$9)</f>
        <v>9.2700999999999993</v>
      </c>
      <c r="H162" s="17">
        <f>CHOOSE(CONTROL!$C$42, 9.5258, 9.5258) * CHOOSE(CONTROL!$C$21, $C$9, 100%, $E$9)</f>
        <v>9.5258000000000003</v>
      </c>
      <c r="I162" s="17">
        <f>CHOOSE(CONTROL!$C$42, 9.2976, 9.2976)* CHOOSE(CONTROL!$C$21, $C$9, 100%, $E$9)</f>
        <v>9.2975999999999992</v>
      </c>
      <c r="J162" s="17">
        <f>CHOOSE(CONTROL!$C$42, 9.2464, 9.2464)* CHOOSE(CONTROL!$C$21, $C$9, 100%, $E$9)</f>
        <v>9.2463999999999995</v>
      </c>
      <c r="K162" s="53">
        <f>CHOOSE(CONTROL!$C$42, 9.2915, 9.2915) * CHOOSE(CONTROL!$C$21, $C$9, 100%, $E$9)</f>
        <v>9.2914999999999992</v>
      </c>
      <c r="L162" s="17">
        <f>CHOOSE(CONTROL!$C$42, 10.1128, 10.1128) * CHOOSE(CONTROL!$C$21, $C$9, 100%, $E$9)</f>
        <v>10.1128</v>
      </c>
      <c r="M162" s="17">
        <f>CHOOSE(CONTROL!$C$42, 9.1703, 9.1703) * CHOOSE(CONTROL!$C$21, $C$9, 100%, $E$9)</f>
        <v>9.1702999999999992</v>
      </c>
      <c r="N162" s="17">
        <f>CHOOSE(CONTROL!$C$42, 9.1864, 9.1864) * CHOOSE(CONTROL!$C$21, $C$9, 100%, $E$9)</f>
        <v>9.1864000000000008</v>
      </c>
      <c r="O162" s="17">
        <f>CHOOSE(CONTROL!$C$42, 9.4471, 9.4471) * CHOOSE(CONTROL!$C$21, $C$9, 100%, $E$9)</f>
        <v>9.4471000000000007</v>
      </c>
      <c r="P162" s="17">
        <f>CHOOSE(CONTROL!$C$42, 9.2208, 9.2208) * CHOOSE(CONTROL!$C$21, $C$9, 100%, $E$9)</f>
        <v>9.2208000000000006</v>
      </c>
      <c r="Q162" s="17">
        <f>CHOOSE(CONTROL!$C$42, 10.0418, 10.0418) * CHOOSE(CONTROL!$C$21, $C$9, 100%, $E$9)</f>
        <v>10.0418</v>
      </c>
      <c r="R162" s="17">
        <f>CHOOSE(CONTROL!$C$42, 10.6539, 10.6539) * CHOOSE(CONTROL!$C$21, $C$9, 100%, $E$9)</f>
        <v>10.6539</v>
      </c>
      <c r="S162" s="17">
        <f>CHOOSE(CONTROL!$C$42, 8.9568, 8.9568) * CHOOSE(CONTROL!$C$21, $C$9, 100%, $E$9)</f>
        <v>8.9567999999999994</v>
      </c>
      <c r="T162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162" s="57">
        <f>(1000*CHOOSE(CONTROL!$C$42, 695, 695)*CHOOSE(CONTROL!$C$42, 0.5599, 0.5599)*CHOOSE(CONTROL!$C$42, 30, 30))/1000000</f>
        <v>11.673914999999997</v>
      </c>
      <c r="V162" s="57">
        <f>(1000*CHOOSE(CONTROL!$C$42, 500, 500)*CHOOSE(CONTROL!$C$42, 0.275, 0.275)*CHOOSE(CONTROL!$C$42, 30, 30))/1000000</f>
        <v>4.125</v>
      </c>
      <c r="W162" s="57">
        <f>(1000*CHOOSE(CONTROL!$C$42, 0.0916, 0.0916)*CHOOSE(CONTROL!$C$42, 121.5, 121.5)*CHOOSE(CONTROL!$C$42, 30, 30))/1000000</f>
        <v>0.33388200000000001</v>
      </c>
      <c r="X162" s="57">
        <f>(30*0.1790888*145000/1000000)+(30*0.2374*100000/1000000)</f>
        <v>1.4912362799999999</v>
      </c>
      <c r="Y162" s="57"/>
      <c r="Z162" s="17"/>
      <c r="AA162" s="56"/>
      <c r="AB162" s="49">
        <f>(B162*194.205+C162*267.466+D162*133.845+E162*153.484+F162*40+G162*85+H162*0+I162*100+J162*300)/(194.205+267.466+133.845+153.484+0+40+85+100+300)</f>
        <v>9.3170719495290424</v>
      </c>
      <c r="AC162" s="46">
        <f>(M162*'RAP TEMPLATE-GAS AVAILABILITY'!O161+N162*'RAP TEMPLATE-GAS AVAILABILITY'!P161+O162*'RAP TEMPLATE-GAS AVAILABILITY'!Q161+P162*'RAP TEMPLATE-GAS AVAILABILITY'!R161)/('RAP TEMPLATE-GAS AVAILABILITY'!O161+'RAP TEMPLATE-GAS AVAILABILITY'!P161+'RAP TEMPLATE-GAS AVAILABILITY'!Q161+'RAP TEMPLATE-GAS AVAILABILITY'!R161)</f>
        <v>9.2589359712230213</v>
      </c>
    </row>
    <row r="163" spans="1:29" ht="15.75" x14ac:dyDescent="0.25">
      <c r="A163" s="16">
        <v>45839</v>
      </c>
      <c r="B163" s="17">
        <f>CHOOSE(CONTROL!$C$42, 9.0901, 9.0901) * CHOOSE(CONTROL!$C$21, $C$9, 100%, $E$9)</f>
        <v>9.0900999999999996</v>
      </c>
      <c r="C163" s="17">
        <f>CHOOSE(CONTROL!$C$42, 9.0981, 9.0981) * CHOOSE(CONTROL!$C$21, $C$9, 100%, $E$9)</f>
        <v>9.0981000000000005</v>
      </c>
      <c r="D163" s="17">
        <f>CHOOSE(CONTROL!$C$42, 9.3477, 9.3477) * CHOOSE(CONTROL!$C$21, $C$9, 100%, $E$9)</f>
        <v>9.3476999999999997</v>
      </c>
      <c r="E163" s="17">
        <f>CHOOSE(CONTROL!$C$42, 9.3789, 9.3789) * CHOOSE(CONTROL!$C$21, $C$9, 100%, $E$9)</f>
        <v>9.3788999999999998</v>
      </c>
      <c r="F163" s="17">
        <f>CHOOSE(CONTROL!$C$42, 9.0958, 9.0958)*CHOOSE(CONTROL!$C$21, $C$9, 100%, $E$9)</f>
        <v>9.0958000000000006</v>
      </c>
      <c r="G163" s="17">
        <f>CHOOSE(CONTROL!$C$42, 9.1122, 9.1122)*CHOOSE(CONTROL!$C$21, $C$9, 100%, $E$9)</f>
        <v>9.1121999999999996</v>
      </c>
      <c r="H163" s="17">
        <f>CHOOSE(CONTROL!$C$42, 9.3672, 9.3672) * CHOOSE(CONTROL!$C$21, $C$9, 100%, $E$9)</f>
        <v>9.3672000000000004</v>
      </c>
      <c r="I163" s="17">
        <f>CHOOSE(CONTROL!$C$42, 9.1386, 9.1386)* CHOOSE(CONTROL!$C$21, $C$9, 100%, $E$9)</f>
        <v>9.1386000000000003</v>
      </c>
      <c r="J163" s="17">
        <f>CHOOSE(CONTROL!$C$42, 9.0884, 9.0884)* CHOOSE(CONTROL!$C$21, $C$9, 100%, $E$9)</f>
        <v>9.0884</v>
      </c>
      <c r="K163" s="53">
        <f>CHOOSE(CONTROL!$C$42, 9.1325, 9.1325) * CHOOSE(CONTROL!$C$21, $C$9, 100%, $E$9)</f>
        <v>9.1325000000000003</v>
      </c>
      <c r="L163" s="17">
        <f>CHOOSE(CONTROL!$C$42, 9.9542, 9.9542) * CHOOSE(CONTROL!$C$21, $C$9, 100%, $E$9)</f>
        <v>9.9542000000000002</v>
      </c>
      <c r="M163" s="17">
        <f>CHOOSE(CONTROL!$C$42, 9.0137, 9.0137) * CHOOSE(CONTROL!$C$21, $C$9, 100%, $E$9)</f>
        <v>9.0137</v>
      </c>
      <c r="N163" s="17">
        <f>CHOOSE(CONTROL!$C$42, 9.0299, 9.0299) * CHOOSE(CONTROL!$C$21, $C$9, 100%, $E$9)</f>
        <v>9.0298999999999996</v>
      </c>
      <c r="O163" s="17">
        <f>CHOOSE(CONTROL!$C$42, 9.29, 9.29) * CHOOSE(CONTROL!$C$21, $C$9, 100%, $E$9)</f>
        <v>9.2899999999999991</v>
      </c>
      <c r="P163" s="17">
        <f>CHOOSE(CONTROL!$C$42, 9.0632, 9.0632) * CHOOSE(CONTROL!$C$21, $C$9, 100%, $E$9)</f>
        <v>9.0632000000000001</v>
      </c>
      <c r="Q163" s="17">
        <f>CHOOSE(CONTROL!$C$42, 9.8847, 9.8847) * CHOOSE(CONTROL!$C$21, $C$9, 100%, $E$9)</f>
        <v>9.8847000000000005</v>
      </c>
      <c r="R163" s="17">
        <f>CHOOSE(CONTROL!$C$42, 10.4964, 10.4964) * CHOOSE(CONTROL!$C$21, $C$9, 100%, $E$9)</f>
        <v>10.4964</v>
      </c>
      <c r="S163" s="17">
        <f>CHOOSE(CONTROL!$C$42, 8.8031, 8.8031) * CHOOSE(CONTROL!$C$21, $C$9, 100%, $E$9)</f>
        <v>8.8031000000000006</v>
      </c>
      <c r="T163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163" s="57">
        <f>(1000*CHOOSE(CONTROL!$C$42, 695, 695)*CHOOSE(CONTROL!$C$42, 0.5599, 0.5599)*CHOOSE(CONTROL!$C$42, 31, 31))/1000000</f>
        <v>12.063045499999998</v>
      </c>
      <c r="V163" s="57">
        <f>(1000*CHOOSE(CONTROL!$C$42, 500, 500)*CHOOSE(CONTROL!$C$42, 0.275, 0.275)*CHOOSE(CONTROL!$C$42, 31, 31))/1000000</f>
        <v>4.2625000000000002</v>
      </c>
      <c r="W163" s="57">
        <f>(1000*CHOOSE(CONTROL!$C$42, 0.0916, 0.0916)*CHOOSE(CONTROL!$C$42, 121.5, 121.5)*CHOOSE(CONTROL!$C$42, 31, 31))/1000000</f>
        <v>0.34501139999999997</v>
      </c>
      <c r="X163" s="57">
        <f>(31*0.1790888*145000/1000000)+(31*0.2374*100000/1000000)</f>
        <v>1.5409441560000001</v>
      </c>
      <c r="Y163" s="57"/>
      <c r="Z163" s="17"/>
      <c r="AA163" s="56"/>
      <c r="AB163" s="49">
        <f>(B163*194.205+C163*267.466+D163*133.845+E163*153.484+F163*40+G163*85+H163*0+I163*100+J163*300)/(194.205+267.466+133.845+153.484+0+40+85+100+300)</f>
        <v>9.1586956665620107</v>
      </c>
      <c r="AC163" s="46">
        <f>(M163*'RAP TEMPLATE-GAS AVAILABILITY'!O162+N163*'RAP TEMPLATE-GAS AVAILABILITY'!P162+O163*'RAP TEMPLATE-GAS AVAILABILITY'!Q162+P163*'RAP TEMPLATE-GAS AVAILABILITY'!R162)/('RAP TEMPLATE-GAS AVAILABILITY'!O162+'RAP TEMPLATE-GAS AVAILABILITY'!P162+'RAP TEMPLATE-GAS AVAILABILITY'!Q162+'RAP TEMPLATE-GAS AVAILABILITY'!R162)</f>
        <v>9.1020748201438835</v>
      </c>
    </row>
    <row r="164" spans="1:29" ht="15.75" x14ac:dyDescent="0.25">
      <c r="A164" s="16">
        <v>45870</v>
      </c>
      <c r="B164" s="17">
        <f>CHOOSE(CONTROL!$C$42, 8.6595, 8.6595) * CHOOSE(CONTROL!$C$21, $C$9, 100%, $E$9)</f>
        <v>8.6594999999999995</v>
      </c>
      <c r="C164" s="17">
        <f>CHOOSE(CONTROL!$C$42, 8.6675, 8.6675) * CHOOSE(CONTROL!$C$21, $C$9, 100%, $E$9)</f>
        <v>8.6675000000000004</v>
      </c>
      <c r="D164" s="17">
        <f>CHOOSE(CONTROL!$C$42, 8.9171, 8.9171) * CHOOSE(CONTROL!$C$21, $C$9, 100%, $E$9)</f>
        <v>8.9170999999999996</v>
      </c>
      <c r="E164" s="17">
        <f>CHOOSE(CONTROL!$C$42, 8.9483, 8.9483) * CHOOSE(CONTROL!$C$21, $C$9, 100%, $E$9)</f>
        <v>8.9482999999999997</v>
      </c>
      <c r="F164" s="17">
        <f>CHOOSE(CONTROL!$C$42, 8.6655, 8.6655)*CHOOSE(CONTROL!$C$21, $C$9, 100%, $E$9)</f>
        <v>8.6654999999999998</v>
      </c>
      <c r="G164" s="17">
        <f>CHOOSE(CONTROL!$C$42, 8.6819, 8.6819)*CHOOSE(CONTROL!$C$21, $C$9, 100%, $E$9)</f>
        <v>8.6819000000000006</v>
      </c>
      <c r="H164" s="17">
        <f>CHOOSE(CONTROL!$C$42, 8.9366, 8.9366) * CHOOSE(CONTROL!$C$21, $C$9, 100%, $E$9)</f>
        <v>8.9366000000000003</v>
      </c>
      <c r="I164" s="17">
        <f>CHOOSE(CONTROL!$C$42, 8.7066, 8.7066)* CHOOSE(CONTROL!$C$21, $C$9, 100%, $E$9)</f>
        <v>8.7065999999999999</v>
      </c>
      <c r="J164" s="17">
        <f>CHOOSE(CONTROL!$C$42, 8.6581, 8.6581)* CHOOSE(CONTROL!$C$21, $C$9, 100%, $E$9)</f>
        <v>8.6580999999999992</v>
      </c>
      <c r="K164" s="53">
        <f>CHOOSE(CONTROL!$C$42, 8.7006, 8.7006) * CHOOSE(CONTROL!$C$21, $C$9, 100%, $E$9)</f>
        <v>8.7005999999999997</v>
      </c>
      <c r="L164" s="17">
        <f>CHOOSE(CONTROL!$C$42, 9.5236, 9.5236) * CHOOSE(CONTROL!$C$21, $C$9, 100%, $E$9)</f>
        <v>9.5236000000000001</v>
      </c>
      <c r="M164" s="17">
        <f>CHOOSE(CONTROL!$C$42, 8.5872, 8.5872) * CHOOSE(CONTROL!$C$21, $C$9, 100%, $E$9)</f>
        <v>8.5871999999999993</v>
      </c>
      <c r="N164" s="17">
        <f>CHOOSE(CONTROL!$C$42, 8.6035, 8.6035) * CHOOSE(CONTROL!$C$21, $C$9, 100%, $E$9)</f>
        <v>8.6035000000000004</v>
      </c>
      <c r="O164" s="17">
        <f>CHOOSE(CONTROL!$C$42, 8.8633, 8.8633) * CHOOSE(CONTROL!$C$21, $C$9, 100%, $E$9)</f>
        <v>8.8633000000000006</v>
      </c>
      <c r="P164" s="17">
        <f>CHOOSE(CONTROL!$C$42, 8.6351, 8.6351) * CHOOSE(CONTROL!$C$21, $C$9, 100%, $E$9)</f>
        <v>8.6350999999999996</v>
      </c>
      <c r="Q164" s="17">
        <f>CHOOSE(CONTROL!$C$42, 9.458, 9.458) * CHOOSE(CONTROL!$C$21, $C$9, 100%, $E$9)</f>
        <v>9.4580000000000002</v>
      </c>
      <c r="R164" s="17">
        <f>CHOOSE(CONTROL!$C$42, 10.0686, 10.0686) * CHOOSE(CONTROL!$C$21, $C$9, 100%, $E$9)</f>
        <v>10.0686</v>
      </c>
      <c r="S164" s="17">
        <f>CHOOSE(CONTROL!$C$42, 8.3856, 8.3856) * CHOOSE(CONTROL!$C$21, $C$9, 100%, $E$9)</f>
        <v>8.3856000000000002</v>
      </c>
      <c r="T164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164" s="57">
        <f>(1000*CHOOSE(CONTROL!$C$42, 695, 695)*CHOOSE(CONTROL!$C$42, 0.5599, 0.5599)*CHOOSE(CONTROL!$C$42, 31, 31))/1000000</f>
        <v>12.063045499999998</v>
      </c>
      <c r="V164" s="57">
        <f>(1000*CHOOSE(CONTROL!$C$42, 500, 500)*CHOOSE(CONTROL!$C$42, 0.275, 0.275)*CHOOSE(CONTROL!$C$42, 31, 31))/1000000</f>
        <v>4.2625000000000002</v>
      </c>
      <c r="W164" s="57">
        <f>(1000*CHOOSE(CONTROL!$C$42, 0.0916, 0.0916)*CHOOSE(CONTROL!$C$42, 121.5, 121.5)*CHOOSE(CONTROL!$C$42, 31, 31))/1000000</f>
        <v>0.34501139999999997</v>
      </c>
      <c r="X164" s="57">
        <f>(31*0.1790888*145000/1000000)+(31*0.2374*100000/1000000)</f>
        <v>1.5409441560000001</v>
      </c>
      <c r="Y164" s="57"/>
      <c r="Z164" s="17"/>
      <c r="AA164" s="56"/>
      <c r="AB164" s="49">
        <f>(B164*194.205+C164*267.466+D164*133.845+E164*153.484+F164*40+G164*85+H164*0+I164*100+J164*300)/(194.205+267.466+133.845+153.484+0+40+85+100+300)</f>
        <v>8.7280858549450553</v>
      </c>
      <c r="AC164" s="46">
        <f>(M164*'RAP TEMPLATE-GAS AVAILABILITY'!O163+N164*'RAP TEMPLATE-GAS AVAILABILITY'!P163+O164*'RAP TEMPLATE-GAS AVAILABILITY'!Q163+P164*'RAP TEMPLATE-GAS AVAILABILITY'!R163)/('RAP TEMPLATE-GAS AVAILABILITY'!O163+'RAP TEMPLATE-GAS AVAILABILITY'!P163+'RAP TEMPLATE-GAS AVAILABILITY'!Q163+'RAP TEMPLATE-GAS AVAILABILITY'!R163)</f>
        <v>8.6753115107913672</v>
      </c>
    </row>
    <row r="165" spans="1:29" ht="15.75" x14ac:dyDescent="0.25">
      <c r="A165" s="16">
        <v>45901</v>
      </c>
      <c r="B165" s="17">
        <f>CHOOSE(CONTROL!$C$42, 8.127, 8.127) * CHOOSE(CONTROL!$C$21, $C$9, 100%, $E$9)</f>
        <v>8.1270000000000007</v>
      </c>
      <c r="C165" s="17">
        <f>CHOOSE(CONTROL!$C$42, 8.135, 8.135) * CHOOSE(CONTROL!$C$21, $C$9, 100%, $E$9)</f>
        <v>8.1349999999999998</v>
      </c>
      <c r="D165" s="17">
        <f>CHOOSE(CONTROL!$C$42, 8.3846, 8.3846) * CHOOSE(CONTROL!$C$21, $C$9, 100%, $E$9)</f>
        <v>8.3846000000000007</v>
      </c>
      <c r="E165" s="17">
        <f>CHOOSE(CONTROL!$C$42, 8.4158, 8.4158) * CHOOSE(CONTROL!$C$21, $C$9, 100%, $E$9)</f>
        <v>8.4158000000000008</v>
      </c>
      <c r="F165" s="17">
        <f>CHOOSE(CONTROL!$C$42, 8.133, 8.133)*CHOOSE(CONTROL!$C$21, $C$9, 100%, $E$9)</f>
        <v>8.1329999999999991</v>
      </c>
      <c r="G165" s="17">
        <f>CHOOSE(CONTROL!$C$42, 8.1495, 8.1495)*CHOOSE(CONTROL!$C$21, $C$9, 100%, $E$9)</f>
        <v>8.1494999999999997</v>
      </c>
      <c r="H165" s="17">
        <f>CHOOSE(CONTROL!$C$42, 8.4041, 8.4041) * CHOOSE(CONTROL!$C$21, $C$9, 100%, $E$9)</f>
        <v>8.4040999999999997</v>
      </c>
      <c r="I165" s="17">
        <f>CHOOSE(CONTROL!$C$42, 8.1725, 8.1725)* CHOOSE(CONTROL!$C$21, $C$9, 100%, $E$9)</f>
        <v>8.1724999999999994</v>
      </c>
      <c r="J165" s="17">
        <f>CHOOSE(CONTROL!$C$42, 8.1256, 8.1256)* CHOOSE(CONTROL!$C$21, $C$9, 100%, $E$9)</f>
        <v>8.1256000000000004</v>
      </c>
      <c r="K165" s="53">
        <f>CHOOSE(CONTROL!$C$42, 8.1664, 8.1664) * CHOOSE(CONTROL!$C$21, $C$9, 100%, $E$9)</f>
        <v>8.1663999999999994</v>
      </c>
      <c r="L165" s="17">
        <f>CHOOSE(CONTROL!$C$42, 8.9911, 8.9911) * CHOOSE(CONTROL!$C$21, $C$9, 100%, $E$9)</f>
        <v>8.9910999999999994</v>
      </c>
      <c r="M165" s="17">
        <f>CHOOSE(CONTROL!$C$42, 8.0595, 8.0595) * CHOOSE(CONTROL!$C$21, $C$9, 100%, $E$9)</f>
        <v>8.0594999999999999</v>
      </c>
      <c r="N165" s="17">
        <f>CHOOSE(CONTROL!$C$42, 8.0758, 8.0758) * CHOOSE(CONTROL!$C$21, $C$9, 100%, $E$9)</f>
        <v>8.0757999999999992</v>
      </c>
      <c r="O165" s="17">
        <f>CHOOSE(CONTROL!$C$42, 8.3355, 8.3355) * CHOOSE(CONTROL!$C$21, $C$9, 100%, $E$9)</f>
        <v>8.3354999999999997</v>
      </c>
      <c r="P165" s="17">
        <f>CHOOSE(CONTROL!$C$42, 8.1058, 8.1058) * CHOOSE(CONTROL!$C$21, $C$9, 100%, $E$9)</f>
        <v>8.1058000000000003</v>
      </c>
      <c r="Q165" s="17">
        <f>CHOOSE(CONTROL!$C$42, 8.9302, 8.9302) * CHOOSE(CONTROL!$C$21, $C$9, 100%, $E$9)</f>
        <v>8.9301999999999992</v>
      </c>
      <c r="R165" s="17">
        <f>CHOOSE(CONTROL!$C$42, 9.5396, 9.5396) * CHOOSE(CONTROL!$C$21, $C$9, 100%, $E$9)</f>
        <v>9.5396000000000001</v>
      </c>
      <c r="S165" s="17">
        <f>CHOOSE(CONTROL!$C$42, 7.8692, 7.8692) * CHOOSE(CONTROL!$C$21, $C$9, 100%, $E$9)</f>
        <v>7.8692000000000002</v>
      </c>
      <c r="T165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165" s="57">
        <f>(1000*CHOOSE(CONTROL!$C$42, 695, 695)*CHOOSE(CONTROL!$C$42, 0.5599, 0.5599)*CHOOSE(CONTROL!$C$42, 30, 30))/1000000</f>
        <v>11.673914999999997</v>
      </c>
      <c r="V165" s="57">
        <f>(1000*CHOOSE(CONTROL!$C$42, 500, 500)*CHOOSE(CONTROL!$C$42, 0.275, 0.275)*CHOOSE(CONTROL!$C$42, 30, 30))/1000000</f>
        <v>4.125</v>
      </c>
      <c r="W165" s="57">
        <f>(1000*CHOOSE(CONTROL!$C$42, 0.0916, 0.0916)*CHOOSE(CONTROL!$C$42, 121.5, 121.5)*CHOOSE(CONTROL!$C$42, 30, 30))/1000000</f>
        <v>0.33388200000000001</v>
      </c>
      <c r="X165" s="57">
        <f>(30*0.1790888*145000/1000000)+(30*0.2374*100000/1000000)</f>
        <v>1.4912362799999999</v>
      </c>
      <c r="Y165" s="57"/>
      <c r="Z165" s="17"/>
      <c r="AA165" s="56"/>
      <c r="AB165" s="49">
        <f>(B165*194.205+C165*267.466+D165*133.845+E165*153.484+F165*40+G165*85+H165*0+I165*100+J165*300)/(194.205+267.466+133.845+153.484+0+40+85+100+300)</f>
        <v>8.1954669381475664</v>
      </c>
      <c r="AC165" s="46">
        <f>(M165*'RAP TEMPLATE-GAS AVAILABILITY'!O164+N165*'RAP TEMPLATE-GAS AVAILABILITY'!P164+O165*'RAP TEMPLATE-GAS AVAILABILITY'!Q164+P165*'RAP TEMPLATE-GAS AVAILABILITY'!R164)/('RAP TEMPLATE-GAS AVAILABILITY'!O164+'RAP TEMPLATE-GAS AVAILABILITY'!P164+'RAP TEMPLATE-GAS AVAILABILITY'!Q164+'RAP TEMPLATE-GAS AVAILABILITY'!R164)</f>
        <v>8.147353237410071</v>
      </c>
    </row>
    <row r="166" spans="1:29" ht="15.75" x14ac:dyDescent="0.25">
      <c r="A166" s="16">
        <v>45931</v>
      </c>
      <c r="B166" s="17">
        <f>CHOOSE(CONTROL!$C$42, 7.9769, 7.9769) * CHOOSE(CONTROL!$C$21, $C$9, 100%, $E$9)</f>
        <v>7.9768999999999997</v>
      </c>
      <c r="C166" s="17">
        <f>CHOOSE(CONTROL!$C$42, 7.9823, 7.9823) * CHOOSE(CONTROL!$C$21, $C$9, 100%, $E$9)</f>
        <v>7.9823000000000004</v>
      </c>
      <c r="D166" s="17">
        <f>CHOOSE(CONTROL!$C$42, 8.2367, 8.2367) * CHOOSE(CONTROL!$C$21, $C$9, 100%, $E$9)</f>
        <v>8.2367000000000008</v>
      </c>
      <c r="E166" s="17">
        <f>CHOOSE(CONTROL!$C$42, 8.2656, 8.2656) * CHOOSE(CONTROL!$C$21, $C$9, 100%, $E$9)</f>
        <v>8.2655999999999992</v>
      </c>
      <c r="F166" s="17">
        <f>CHOOSE(CONTROL!$C$42, 7.9851, 7.9851)*CHOOSE(CONTROL!$C$21, $C$9, 100%, $E$9)</f>
        <v>7.9851000000000001</v>
      </c>
      <c r="G166" s="17">
        <f>CHOOSE(CONTROL!$C$42, 8.0014, 8.0014)*CHOOSE(CONTROL!$C$21, $C$9, 100%, $E$9)</f>
        <v>8.0014000000000003</v>
      </c>
      <c r="H166" s="17">
        <f>CHOOSE(CONTROL!$C$42, 8.2557, 8.2557) * CHOOSE(CONTROL!$C$21, $C$9, 100%, $E$9)</f>
        <v>8.2556999999999992</v>
      </c>
      <c r="I166" s="17">
        <f>CHOOSE(CONTROL!$C$42, 8.0236, 8.0236)* CHOOSE(CONTROL!$C$21, $C$9, 100%, $E$9)</f>
        <v>8.0236000000000001</v>
      </c>
      <c r="J166" s="17">
        <f>CHOOSE(CONTROL!$C$42, 7.9777, 7.9777)* CHOOSE(CONTROL!$C$21, $C$9, 100%, $E$9)</f>
        <v>7.9776999999999996</v>
      </c>
      <c r="K166" s="53">
        <f>CHOOSE(CONTROL!$C$42, 8.0176, 8.0176) * CHOOSE(CONTROL!$C$21, $C$9, 100%, $E$9)</f>
        <v>8.0175999999999998</v>
      </c>
      <c r="L166" s="17">
        <f>CHOOSE(CONTROL!$C$42, 8.8427, 8.8427) * CHOOSE(CONTROL!$C$21, $C$9, 100%, $E$9)</f>
        <v>8.8427000000000007</v>
      </c>
      <c r="M166" s="17">
        <f>CHOOSE(CONTROL!$C$42, 7.913, 7.913) * CHOOSE(CONTROL!$C$21, $C$9, 100%, $E$9)</f>
        <v>7.9130000000000003</v>
      </c>
      <c r="N166" s="17">
        <f>CHOOSE(CONTROL!$C$42, 7.9292, 7.9292) * CHOOSE(CONTROL!$C$21, $C$9, 100%, $E$9)</f>
        <v>7.9291999999999998</v>
      </c>
      <c r="O166" s="17">
        <f>CHOOSE(CONTROL!$C$42, 8.1885, 8.1885) * CHOOSE(CONTROL!$C$21, $C$9, 100%, $E$9)</f>
        <v>8.1884999999999994</v>
      </c>
      <c r="P166" s="17">
        <f>CHOOSE(CONTROL!$C$42, 7.9583, 7.9583) * CHOOSE(CONTROL!$C$21, $C$9, 100%, $E$9)</f>
        <v>7.9583000000000004</v>
      </c>
      <c r="Q166" s="17">
        <f>CHOOSE(CONTROL!$C$42, 8.7832, 8.7832) * CHOOSE(CONTROL!$C$21, $C$9, 100%, $E$9)</f>
        <v>8.7832000000000008</v>
      </c>
      <c r="R166" s="17">
        <f>CHOOSE(CONTROL!$C$42, 9.3922, 9.3922) * CHOOSE(CONTROL!$C$21, $C$9, 100%, $E$9)</f>
        <v>9.3922000000000008</v>
      </c>
      <c r="S166" s="17">
        <f>CHOOSE(CONTROL!$C$42, 7.7253, 7.7253) * CHOOSE(CONTROL!$C$21, $C$9, 100%, $E$9)</f>
        <v>7.7252999999999998</v>
      </c>
      <c r="T166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166" s="57">
        <f>(1000*CHOOSE(CONTROL!$C$42, 695, 695)*CHOOSE(CONTROL!$C$42, 0.5599, 0.5599)*CHOOSE(CONTROL!$C$42, 31, 31))/1000000</f>
        <v>12.063045499999998</v>
      </c>
      <c r="V166" s="57">
        <f>(1000*CHOOSE(CONTROL!$C$42, 500, 500)*CHOOSE(CONTROL!$C$42, 0.275, 0.275)*CHOOSE(CONTROL!$C$42, 31, 31))/1000000</f>
        <v>4.2625000000000002</v>
      </c>
      <c r="W166" s="57">
        <f>(1000*CHOOSE(CONTROL!$C$42, 0.0916, 0.0916)*CHOOSE(CONTROL!$C$42, 121.5, 121.5)*CHOOSE(CONTROL!$C$42, 31, 31))/1000000</f>
        <v>0.34501139999999997</v>
      </c>
      <c r="X166" s="57">
        <f>(31*0.1790888*145000/1000000)+(31*0.2374*100000/1000000)</f>
        <v>1.5409441560000001</v>
      </c>
      <c r="Y166" s="57"/>
      <c r="Z166" s="17"/>
      <c r="AA166" s="56"/>
      <c r="AB166" s="49">
        <f>(B166*131.881+C166*277.167+D166*79.08+E166*225.872+F166*40+G166*85+H166*0+I166*100+J166*300)/(131.881+277.167+79.08+225.872+0+40+85+100+300)</f>
        <v>8.0532288395480212</v>
      </c>
      <c r="AC166" s="46">
        <f>(M166*'RAP TEMPLATE-GAS AVAILABILITY'!O165+N166*'RAP TEMPLATE-GAS AVAILABILITY'!P165+O166*'RAP TEMPLATE-GAS AVAILABILITY'!Q165+P166*'RAP TEMPLATE-GAS AVAILABILITY'!R165)/('RAP TEMPLATE-GAS AVAILABILITY'!O165+'RAP TEMPLATE-GAS AVAILABILITY'!P165+'RAP TEMPLATE-GAS AVAILABILITY'!Q165+'RAP TEMPLATE-GAS AVAILABILITY'!R165)</f>
        <v>8.0005460431654676</v>
      </c>
    </row>
    <row r="167" spans="1:29" ht="15.75" x14ac:dyDescent="0.25">
      <c r="A167" s="16">
        <v>45962</v>
      </c>
      <c r="B167" s="17">
        <f>CHOOSE(CONTROL!$C$42, 8.2032, 8.2032) * CHOOSE(CONTROL!$C$21, $C$9, 100%, $E$9)</f>
        <v>8.2032000000000007</v>
      </c>
      <c r="C167" s="17">
        <f>CHOOSE(CONTROL!$C$42, 8.2083, 8.2083) * CHOOSE(CONTROL!$C$21, $C$9, 100%, $E$9)</f>
        <v>8.2082999999999995</v>
      </c>
      <c r="D167" s="17">
        <f>CHOOSE(CONTROL!$C$42, 8.3309, 8.3309) * CHOOSE(CONTROL!$C$21, $C$9, 100%, $E$9)</f>
        <v>8.3308999999999997</v>
      </c>
      <c r="E167" s="17">
        <f>CHOOSE(CONTROL!$C$42, 8.3647, 8.3647) * CHOOSE(CONTROL!$C$21, $C$9, 100%, $E$9)</f>
        <v>8.3646999999999991</v>
      </c>
      <c r="F167" s="17">
        <f>CHOOSE(CONTROL!$C$42, 8.2182, 8.2182)*CHOOSE(CONTROL!$C$21, $C$9, 100%, $E$9)</f>
        <v>8.2181999999999995</v>
      </c>
      <c r="G167" s="17">
        <f>CHOOSE(CONTROL!$C$42, 8.2349, 8.2349)*CHOOSE(CONTROL!$C$21, $C$9, 100%, $E$9)</f>
        <v>8.2348999999999997</v>
      </c>
      <c r="H167" s="17">
        <f>CHOOSE(CONTROL!$C$42, 8.3535, 8.3535) * CHOOSE(CONTROL!$C$21, $C$9, 100%, $E$9)</f>
        <v>8.3535000000000004</v>
      </c>
      <c r="I167" s="17">
        <f>CHOOSE(CONTROL!$C$42, 8.2536, 8.2536)* CHOOSE(CONTROL!$C$21, $C$9, 100%, $E$9)</f>
        <v>8.2536000000000005</v>
      </c>
      <c r="J167" s="17">
        <f>CHOOSE(CONTROL!$C$42, 8.2108, 8.2108)* CHOOSE(CONTROL!$C$21, $C$9, 100%, $E$9)</f>
        <v>8.2108000000000008</v>
      </c>
      <c r="K167" s="53">
        <f>CHOOSE(CONTROL!$C$42, 8.2476, 8.2476) * CHOOSE(CONTROL!$C$21, $C$9, 100%, $E$9)</f>
        <v>8.2476000000000003</v>
      </c>
      <c r="L167" s="17">
        <f>CHOOSE(CONTROL!$C$42, 8.9405, 8.9405) * CHOOSE(CONTROL!$C$21, $C$9, 100%, $E$9)</f>
        <v>8.9405000000000001</v>
      </c>
      <c r="M167" s="17">
        <f>CHOOSE(CONTROL!$C$42, 8.144, 8.144) * CHOOSE(CONTROL!$C$21, $C$9, 100%, $E$9)</f>
        <v>8.1440000000000001</v>
      </c>
      <c r="N167" s="17">
        <f>CHOOSE(CONTROL!$C$42, 8.1605, 8.1605) * CHOOSE(CONTROL!$C$21, $C$9, 100%, $E$9)</f>
        <v>8.1605000000000008</v>
      </c>
      <c r="O167" s="17">
        <f>CHOOSE(CONTROL!$C$42, 8.2854, 8.2854) * CHOOSE(CONTROL!$C$21, $C$9, 100%, $E$9)</f>
        <v>8.2853999999999992</v>
      </c>
      <c r="P167" s="17">
        <f>CHOOSE(CONTROL!$C$42, 8.1862, 8.1862) * CHOOSE(CONTROL!$C$21, $C$9, 100%, $E$9)</f>
        <v>8.1861999999999995</v>
      </c>
      <c r="Q167" s="17">
        <f>CHOOSE(CONTROL!$C$42, 8.8801, 8.8801) * CHOOSE(CONTROL!$C$21, $C$9, 100%, $E$9)</f>
        <v>8.8801000000000005</v>
      </c>
      <c r="R167" s="17">
        <f>CHOOSE(CONTROL!$C$42, 9.4893, 9.4893) * CHOOSE(CONTROL!$C$21, $C$9, 100%, $E$9)</f>
        <v>9.4893000000000001</v>
      </c>
      <c r="S167" s="17">
        <f>CHOOSE(CONTROL!$C$42, 7.9451, 7.9451) * CHOOSE(CONTROL!$C$21, $C$9, 100%, $E$9)</f>
        <v>7.9451000000000001</v>
      </c>
      <c r="T167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167" s="57">
        <f>(1000*CHOOSE(CONTROL!$C$42, 695, 695)*CHOOSE(CONTROL!$C$42, 0.5599, 0.5599)*CHOOSE(CONTROL!$C$42, 30, 30))/1000000</f>
        <v>11.673914999999997</v>
      </c>
      <c r="V167" s="57">
        <f>(1000*CHOOSE(CONTROL!$C$42, 500, 500)*CHOOSE(CONTROL!$C$42, 0.275, 0.275)*CHOOSE(CONTROL!$C$42, 30, 30))/1000000</f>
        <v>4.125</v>
      </c>
      <c r="W167" s="57">
        <f>(1000*CHOOSE(CONTROL!$C$42, 0.0916, 0.0916)*CHOOSE(CONTROL!$C$42, 121.5, 121.5)*CHOOSE(CONTROL!$C$42, 30, 30))/1000000</f>
        <v>0.33388200000000001</v>
      </c>
      <c r="X167" s="57">
        <f>(30*0.2374*100000/1000000)</f>
        <v>0.71220000000000006</v>
      </c>
      <c r="Y167" s="57"/>
      <c r="Z167" s="17"/>
      <c r="AA167" s="56"/>
      <c r="AB167" s="49">
        <f>(B167*122.58+C167*297.941+D167*89.177+E167*140.302+F167*40+G167*60+H167*0+I167*100+J167*300)/(122.58+297.941+89.177+140.302+0+40+60+100+300)</f>
        <v>8.2426679782608705</v>
      </c>
      <c r="AC167" s="46">
        <f>(M167*'RAP TEMPLATE-GAS AVAILABILITY'!O166+N167*'RAP TEMPLATE-GAS AVAILABILITY'!P166+O167*'RAP TEMPLATE-GAS AVAILABILITY'!Q166+P167*'RAP TEMPLATE-GAS AVAILABILITY'!R166)/('RAP TEMPLATE-GAS AVAILABILITY'!O166+'RAP TEMPLATE-GAS AVAILABILITY'!P166+'RAP TEMPLATE-GAS AVAILABILITY'!Q166+'RAP TEMPLATE-GAS AVAILABILITY'!R166)</f>
        <v>8.2151093525179846</v>
      </c>
    </row>
    <row r="168" spans="1:29" ht="15.75" x14ac:dyDescent="0.25">
      <c r="A168" s="16">
        <v>45992</v>
      </c>
      <c r="B168" s="17">
        <f>CHOOSE(CONTROL!$C$42, 8.7798, 8.7798) * CHOOSE(CONTROL!$C$21, $C$9, 100%, $E$9)</f>
        <v>8.7797999999999998</v>
      </c>
      <c r="C168" s="17">
        <f>CHOOSE(CONTROL!$C$42, 8.7849, 8.7849) * CHOOSE(CONTROL!$C$21, $C$9, 100%, $E$9)</f>
        <v>8.7849000000000004</v>
      </c>
      <c r="D168" s="17">
        <f>CHOOSE(CONTROL!$C$42, 8.9075, 8.9075) * CHOOSE(CONTROL!$C$21, $C$9, 100%, $E$9)</f>
        <v>8.9075000000000006</v>
      </c>
      <c r="E168" s="17">
        <f>CHOOSE(CONTROL!$C$42, 8.9413, 8.9413) * CHOOSE(CONTROL!$C$21, $C$9, 100%, $E$9)</f>
        <v>8.9413</v>
      </c>
      <c r="F168" s="17">
        <f>CHOOSE(CONTROL!$C$42, 8.7972, 8.7972)*CHOOSE(CONTROL!$C$21, $C$9, 100%, $E$9)</f>
        <v>8.7972000000000001</v>
      </c>
      <c r="G168" s="17">
        <f>CHOOSE(CONTROL!$C$42, 8.8145, 8.8145)*CHOOSE(CONTROL!$C$21, $C$9, 100%, $E$9)</f>
        <v>8.8145000000000007</v>
      </c>
      <c r="H168" s="17">
        <f>CHOOSE(CONTROL!$C$42, 8.9301, 8.9301) * CHOOSE(CONTROL!$C$21, $C$9, 100%, $E$9)</f>
        <v>8.9300999999999995</v>
      </c>
      <c r="I168" s="17">
        <f>CHOOSE(CONTROL!$C$42, 8.832, 8.832)* CHOOSE(CONTROL!$C$21, $C$9, 100%, $E$9)</f>
        <v>8.8320000000000007</v>
      </c>
      <c r="J168" s="17">
        <f>CHOOSE(CONTROL!$C$42, 8.7898, 8.7898)* CHOOSE(CONTROL!$C$21, $C$9, 100%, $E$9)</f>
        <v>8.7897999999999996</v>
      </c>
      <c r="K168" s="53">
        <f>CHOOSE(CONTROL!$C$42, 8.826, 8.826) * CHOOSE(CONTROL!$C$21, $C$9, 100%, $E$9)</f>
        <v>8.8260000000000005</v>
      </c>
      <c r="L168" s="17">
        <f>CHOOSE(CONTROL!$C$42, 9.5171, 9.5171) * CHOOSE(CONTROL!$C$21, $C$9, 100%, $E$9)</f>
        <v>9.5170999999999992</v>
      </c>
      <c r="M168" s="17">
        <f>CHOOSE(CONTROL!$C$42, 8.7178, 8.7178) * CHOOSE(CONTROL!$C$21, $C$9, 100%, $E$9)</f>
        <v>8.7178000000000004</v>
      </c>
      <c r="N168" s="17">
        <f>CHOOSE(CONTROL!$C$42, 8.7349, 8.7349) * CHOOSE(CONTROL!$C$21, $C$9, 100%, $E$9)</f>
        <v>8.7348999999999997</v>
      </c>
      <c r="O168" s="17">
        <f>CHOOSE(CONTROL!$C$42, 8.8568, 8.8568) * CHOOSE(CONTROL!$C$21, $C$9, 100%, $E$9)</f>
        <v>8.8567999999999998</v>
      </c>
      <c r="P168" s="17">
        <f>CHOOSE(CONTROL!$C$42, 8.7594, 8.7594) * CHOOSE(CONTROL!$C$21, $C$9, 100%, $E$9)</f>
        <v>8.7593999999999994</v>
      </c>
      <c r="Q168" s="17">
        <f>CHOOSE(CONTROL!$C$42, 9.4515, 9.4515) * CHOOSE(CONTROL!$C$21, $C$9, 100%, $E$9)</f>
        <v>9.4514999999999993</v>
      </c>
      <c r="R168" s="17">
        <f>CHOOSE(CONTROL!$C$42, 10.0622, 10.0622) * CHOOSE(CONTROL!$C$21, $C$9, 100%, $E$9)</f>
        <v>10.062200000000001</v>
      </c>
      <c r="S168" s="17">
        <f>CHOOSE(CONTROL!$C$42, 8.5043, 8.5043) * CHOOSE(CONTROL!$C$21, $C$9, 100%, $E$9)</f>
        <v>8.5043000000000006</v>
      </c>
      <c r="T168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168" s="57">
        <f>(1000*CHOOSE(CONTROL!$C$42, 695, 695)*CHOOSE(CONTROL!$C$42, 0.5599, 0.5599)*CHOOSE(CONTROL!$C$42, 31, 31))/1000000</f>
        <v>12.063045499999998</v>
      </c>
      <c r="V168" s="57">
        <f>(1000*CHOOSE(CONTROL!$C$42, 500, 500)*CHOOSE(CONTROL!$C$42, 0.275, 0.275)*CHOOSE(CONTROL!$C$42, 31, 31))/1000000</f>
        <v>4.2625000000000002</v>
      </c>
      <c r="W168" s="57">
        <f>(1000*CHOOSE(CONTROL!$C$42, 0.0916, 0.0916)*CHOOSE(CONTROL!$C$42, 121.5, 121.5)*CHOOSE(CONTROL!$C$42, 31, 31))/1000000</f>
        <v>0.34501139999999997</v>
      </c>
      <c r="X168" s="57">
        <f>(31*0.2374*100000/1000000)</f>
        <v>0.73594000000000004</v>
      </c>
      <c r="Y168" s="57"/>
      <c r="Z168" s="17"/>
      <c r="AA168" s="56"/>
      <c r="AB168" s="49">
        <f>(B168*122.58+C168*297.941+D168*89.177+E168*140.302+F168*40+G168*60+H168*0+I168*100+J168*300)/(122.58+297.941+89.177+140.302+0+40+60+100+300)</f>
        <v>8.8202905869565225</v>
      </c>
      <c r="AC168" s="46">
        <f>(M168*'RAP TEMPLATE-GAS AVAILABILITY'!O167+N168*'RAP TEMPLATE-GAS AVAILABILITY'!P167+O168*'RAP TEMPLATE-GAS AVAILABILITY'!Q167+P168*'RAP TEMPLATE-GAS AVAILABILITY'!R167)/('RAP TEMPLATE-GAS AVAILABILITY'!O167+'RAP TEMPLATE-GAS AVAILABILITY'!P167+'RAP TEMPLATE-GAS AVAILABILITY'!Q167+'RAP TEMPLATE-GAS AVAILABILITY'!R167)</f>
        <v>8.7877697841726601</v>
      </c>
    </row>
    <row r="169" spans="1:29" ht="15.75" x14ac:dyDescent="0.25">
      <c r="A169" s="16">
        <v>46023</v>
      </c>
      <c r="B169" s="17">
        <f>CHOOSE(CONTROL!$C$42, 9.2699, 9.2699) * CHOOSE(CONTROL!$C$21, $C$9, 100%, $E$9)</f>
        <v>9.2698999999999998</v>
      </c>
      <c r="C169" s="17">
        <f>CHOOSE(CONTROL!$C$42, 9.275, 9.275) * CHOOSE(CONTROL!$C$21, $C$9, 100%, $E$9)</f>
        <v>9.2750000000000004</v>
      </c>
      <c r="D169" s="17">
        <f>CHOOSE(CONTROL!$C$42, 9.3925, 9.3925) * CHOOSE(CONTROL!$C$21, $C$9, 100%, $E$9)</f>
        <v>9.3925000000000001</v>
      </c>
      <c r="E169" s="17">
        <f>CHOOSE(CONTROL!$C$42, 9.4262, 9.4262) * CHOOSE(CONTROL!$C$21, $C$9, 100%, $E$9)</f>
        <v>9.4261999999999997</v>
      </c>
      <c r="F169" s="17">
        <f>CHOOSE(CONTROL!$C$42, 9.2836, 9.2836)*CHOOSE(CONTROL!$C$21, $C$9, 100%, $E$9)</f>
        <v>9.2835999999999999</v>
      </c>
      <c r="G169" s="17">
        <f>CHOOSE(CONTROL!$C$42, 9.2999, 9.2999)*CHOOSE(CONTROL!$C$21, $C$9, 100%, $E$9)</f>
        <v>9.2998999999999992</v>
      </c>
      <c r="H169" s="17">
        <f>CHOOSE(CONTROL!$C$42, 9.4151, 9.4151) * CHOOSE(CONTROL!$C$21, $C$9, 100%, $E$9)</f>
        <v>9.4151000000000007</v>
      </c>
      <c r="I169" s="17">
        <f>CHOOSE(CONTROL!$C$42, 9.3221, 9.3221)* CHOOSE(CONTROL!$C$21, $C$9, 100%, $E$9)</f>
        <v>9.3221000000000007</v>
      </c>
      <c r="J169" s="17">
        <f>CHOOSE(CONTROL!$C$42, 9.2762, 9.2762)* CHOOSE(CONTROL!$C$21, $C$9, 100%, $E$9)</f>
        <v>9.2761999999999993</v>
      </c>
      <c r="K169" s="53">
        <f>CHOOSE(CONTROL!$C$42, 9.3161, 9.3161) * CHOOSE(CONTROL!$C$21, $C$9, 100%, $E$9)</f>
        <v>9.3161000000000005</v>
      </c>
      <c r="L169" s="17">
        <f>CHOOSE(CONTROL!$C$42, 10.0021, 10.0021) * CHOOSE(CONTROL!$C$21, $C$9, 100%, $E$9)</f>
        <v>10.0021</v>
      </c>
      <c r="M169" s="17">
        <f>CHOOSE(CONTROL!$C$42, 9.1997, 9.1997) * CHOOSE(CONTROL!$C$21, $C$9, 100%, $E$9)</f>
        <v>9.1997</v>
      </c>
      <c r="N169" s="17">
        <f>CHOOSE(CONTROL!$C$42, 9.2159, 9.2159) * CHOOSE(CONTROL!$C$21, $C$9, 100%, $E$9)</f>
        <v>9.2158999999999995</v>
      </c>
      <c r="O169" s="17">
        <f>CHOOSE(CONTROL!$C$42, 9.3374, 9.3374) * CHOOSE(CONTROL!$C$21, $C$9, 100%, $E$9)</f>
        <v>9.3374000000000006</v>
      </c>
      <c r="P169" s="17">
        <f>CHOOSE(CONTROL!$C$42, 9.2451, 9.2451) * CHOOSE(CONTROL!$C$21, $C$9, 100%, $E$9)</f>
        <v>9.2451000000000008</v>
      </c>
      <c r="Q169" s="17">
        <f>CHOOSE(CONTROL!$C$42, 9.9321, 9.9321) * CHOOSE(CONTROL!$C$21, $C$9, 100%, $E$9)</f>
        <v>9.9321000000000002</v>
      </c>
      <c r="R169" s="17">
        <f>CHOOSE(CONTROL!$C$42, 10.544, 10.544) * CHOOSE(CONTROL!$C$21, $C$9, 100%, $E$9)</f>
        <v>10.544</v>
      </c>
      <c r="S169" s="17">
        <f>CHOOSE(CONTROL!$C$42, 8.9795, 8.9795) * CHOOSE(CONTROL!$C$21, $C$9, 100%, $E$9)</f>
        <v>8.9794999999999998</v>
      </c>
      <c r="T169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169" s="57">
        <f>(1000*CHOOSE(CONTROL!$C$42, 695, 695)*CHOOSE(CONTROL!$C$42, 0.5599, 0.5599)*CHOOSE(CONTROL!$C$42, 31, 31))/1000000</f>
        <v>12.063045499999998</v>
      </c>
      <c r="V169" s="57">
        <f>(1000*CHOOSE(CONTROL!$C$42, 500, 500)*CHOOSE(CONTROL!$C$42, 0.275, 0.275)*CHOOSE(CONTROL!$C$42, 31, 31))/1000000</f>
        <v>4.2625000000000002</v>
      </c>
      <c r="W169" s="57">
        <f>(1000*CHOOSE(CONTROL!$C$42, 0.0916, 0.0916)*CHOOSE(CONTROL!$C$42, 121.5, 121.5)*CHOOSE(CONTROL!$C$42, 31, 31))/1000000</f>
        <v>0.34501139999999997</v>
      </c>
      <c r="X169" s="57">
        <f>(31*0.2374*100000/1000000)</f>
        <v>0.73594000000000004</v>
      </c>
      <c r="Y169" s="57"/>
      <c r="Z169" s="17"/>
      <c r="AA169" s="56"/>
      <c r="AB169" s="49">
        <f>(B169*122.58+C169*297.941+D169*89.177+E169*140.302+F169*40+G169*60+H169*0+I169*100+J169*300)/(122.58+297.941+89.177+140.302+0+40+60+100+300)</f>
        <v>9.3080215668695647</v>
      </c>
      <c r="AC169" s="46">
        <f>(M169*'RAP TEMPLATE-GAS AVAILABILITY'!O168+N169*'RAP TEMPLATE-GAS AVAILABILITY'!P168+O169*'RAP TEMPLATE-GAS AVAILABILITY'!Q168+P169*'RAP TEMPLATE-GAS AVAILABILITY'!R168)/('RAP TEMPLATE-GAS AVAILABILITY'!O168+'RAP TEMPLATE-GAS AVAILABILITY'!P168+'RAP TEMPLATE-GAS AVAILABILITY'!Q168+'RAP TEMPLATE-GAS AVAILABILITY'!R168)</f>
        <v>9.2695755395683452</v>
      </c>
    </row>
    <row r="170" spans="1:29" ht="15.75" x14ac:dyDescent="0.25">
      <c r="A170" s="16">
        <v>46054</v>
      </c>
      <c r="B170" s="17">
        <f>CHOOSE(CONTROL!$C$42, 9.4542, 9.4542) * CHOOSE(CONTROL!$C$21, $C$9, 100%, $E$9)</f>
        <v>9.4542000000000002</v>
      </c>
      <c r="C170" s="17">
        <f>CHOOSE(CONTROL!$C$42, 9.4593, 9.4593) * CHOOSE(CONTROL!$C$21, $C$9, 100%, $E$9)</f>
        <v>9.4593000000000007</v>
      </c>
      <c r="D170" s="17">
        <f>CHOOSE(CONTROL!$C$42, 9.5767, 9.5767) * CHOOSE(CONTROL!$C$21, $C$9, 100%, $E$9)</f>
        <v>9.5767000000000007</v>
      </c>
      <c r="E170" s="17">
        <f>CHOOSE(CONTROL!$C$42, 9.6105, 9.6105) * CHOOSE(CONTROL!$C$21, $C$9, 100%, $E$9)</f>
        <v>9.6105</v>
      </c>
      <c r="F170" s="17">
        <f>CHOOSE(CONTROL!$C$42, 9.4678, 9.4678)*CHOOSE(CONTROL!$C$21, $C$9, 100%, $E$9)</f>
        <v>9.4678000000000004</v>
      </c>
      <c r="G170" s="17">
        <f>CHOOSE(CONTROL!$C$42, 9.4841, 9.4841)*CHOOSE(CONTROL!$C$21, $C$9, 100%, $E$9)</f>
        <v>9.4840999999999998</v>
      </c>
      <c r="H170" s="17">
        <f>CHOOSE(CONTROL!$C$42, 9.5994, 9.5994) * CHOOSE(CONTROL!$C$21, $C$9, 100%, $E$9)</f>
        <v>9.5993999999999993</v>
      </c>
      <c r="I170" s="17">
        <f>CHOOSE(CONTROL!$C$42, 9.5069, 9.5069)* CHOOSE(CONTROL!$C$21, $C$9, 100%, $E$9)</f>
        <v>9.5068999999999999</v>
      </c>
      <c r="J170" s="17">
        <f>CHOOSE(CONTROL!$C$42, 9.4604, 9.4604)* CHOOSE(CONTROL!$C$21, $C$9, 100%, $E$9)</f>
        <v>9.4603999999999999</v>
      </c>
      <c r="K170" s="53">
        <f>CHOOSE(CONTROL!$C$42, 9.5009, 9.5009) * CHOOSE(CONTROL!$C$21, $C$9, 100%, $E$9)</f>
        <v>9.5008999999999997</v>
      </c>
      <c r="L170" s="17">
        <f>CHOOSE(CONTROL!$C$42, 10.1864, 10.1864) * CHOOSE(CONTROL!$C$21, $C$9, 100%, $E$9)</f>
        <v>10.186400000000001</v>
      </c>
      <c r="M170" s="17">
        <f>CHOOSE(CONTROL!$C$42, 9.3823, 9.3823) * CHOOSE(CONTROL!$C$21, $C$9, 100%, $E$9)</f>
        <v>9.3823000000000008</v>
      </c>
      <c r="N170" s="17">
        <f>CHOOSE(CONTROL!$C$42, 9.3985, 9.3985) * CHOOSE(CONTROL!$C$21, $C$9, 100%, $E$9)</f>
        <v>9.3985000000000003</v>
      </c>
      <c r="O170" s="17">
        <f>CHOOSE(CONTROL!$C$42, 9.52, 9.52) * CHOOSE(CONTROL!$C$21, $C$9, 100%, $E$9)</f>
        <v>9.52</v>
      </c>
      <c r="P170" s="17">
        <f>CHOOSE(CONTROL!$C$42, 9.4282, 9.4282) * CHOOSE(CONTROL!$C$21, $C$9, 100%, $E$9)</f>
        <v>9.4282000000000004</v>
      </c>
      <c r="Q170" s="17">
        <f>CHOOSE(CONTROL!$C$42, 10.1147, 10.1147) * CHOOSE(CONTROL!$C$21, $C$9, 100%, $E$9)</f>
        <v>10.114699999999999</v>
      </c>
      <c r="R170" s="17">
        <f>CHOOSE(CONTROL!$C$42, 10.727, 10.727) * CHOOSE(CONTROL!$C$21, $C$9, 100%, $E$9)</f>
        <v>10.727</v>
      </c>
      <c r="S170" s="17">
        <f>CHOOSE(CONTROL!$C$42, 9.1582, 9.1582) * CHOOSE(CONTROL!$C$21, $C$9, 100%, $E$9)</f>
        <v>9.1582000000000008</v>
      </c>
      <c r="T170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170" s="57">
        <f>(1000*CHOOSE(CONTROL!$C$42, 695, 695)*CHOOSE(CONTROL!$C$42, 0.5599, 0.5599)*CHOOSE(CONTROL!$C$42, 28, 28))/1000000</f>
        <v>10.895653999999999</v>
      </c>
      <c r="V170" s="57">
        <f>(1000*CHOOSE(CONTROL!$C$42, 500, 500)*CHOOSE(CONTROL!$C$42, 0.275, 0.275)*CHOOSE(CONTROL!$C$42, 28, 28))/1000000</f>
        <v>3.85</v>
      </c>
      <c r="W170" s="57">
        <f>(1000*CHOOSE(CONTROL!$C$42, 0.0916, 0.0916)*CHOOSE(CONTROL!$C$42, 121.5, 121.5)*CHOOSE(CONTROL!$C$42, 28, 28))/1000000</f>
        <v>0.31162319999999999</v>
      </c>
      <c r="X170" s="57">
        <f>(28*0.2374*100000/1000000)</f>
        <v>0.66471999999999998</v>
      </c>
      <c r="Y170" s="57"/>
      <c r="Z170" s="17"/>
      <c r="AA170" s="56"/>
      <c r="AB170" s="49">
        <f>(B170*122.58+C170*297.941+D170*89.177+E170*140.302+F170*40+G170*60+H170*0+I170*100+J170*300)/(122.58+297.941+89.177+140.302+0+40+60+100+300)</f>
        <v>9.4923225079999991</v>
      </c>
      <c r="AC170" s="46">
        <f>(M170*'RAP TEMPLATE-GAS AVAILABILITY'!O169+N170*'RAP TEMPLATE-GAS AVAILABILITY'!P169+O170*'RAP TEMPLATE-GAS AVAILABILITY'!Q169+P170*'RAP TEMPLATE-GAS AVAILABILITY'!R169)/('RAP TEMPLATE-GAS AVAILABILITY'!O169+'RAP TEMPLATE-GAS AVAILABILITY'!P169+'RAP TEMPLATE-GAS AVAILABILITY'!Q169+'RAP TEMPLATE-GAS AVAILABILITY'!R169)</f>
        <v>9.4522474820143891</v>
      </c>
    </row>
    <row r="171" spans="1:29" ht="15.75" x14ac:dyDescent="0.25">
      <c r="A171" s="16">
        <v>46082</v>
      </c>
      <c r="B171" s="17">
        <f>CHOOSE(CONTROL!$C$42, 9.205, 9.205) * CHOOSE(CONTROL!$C$21, $C$9, 100%, $E$9)</f>
        <v>9.2050000000000001</v>
      </c>
      <c r="C171" s="17">
        <f>CHOOSE(CONTROL!$C$42, 9.2101, 9.2101) * CHOOSE(CONTROL!$C$21, $C$9, 100%, $E$9)</f>
        <v>9.2101000000000006</v>
      </c>
      <c r="D171" s="17">
        <f>CHOOSE(CONTROL!$C$42, 9.3275, 9.3275) * CHOOSE(CONTROL!$C$21, $C$9, 100%, $E$9)</f>
        <v>9.3275000000000006</v>
      </c>
      <c r="E171" s="17">
        <f>CHOOSE(CONTROL!$C$42, 9.3613, 9.3613) * CHOOSE(CONTROL!$C$21, $C$9, 100%, $E$9)</f>
        <v>9.3613</v>
      </c>
      <c r="F171" s="17">
        <f>CHOOSE(CONTROL!$C$42, 9.218, 9.218)*CHOOSE(CONTROL!$C$21, $C$9, 100%, $E$9)</f>
        <v>9.218</v>
      </c>
      <c r="G171" s="17">
        <f>CHOOSE(CONTROL!$C$42, 9.2341, 9.2341)*CHOOSE(CONTROL!$C$21, $C$9, 100%, $E$9)</f>
        <v>9.2340999999999998</v>
      </c>
      <c r="H171" s="17">
        <f>CHOOSE(CONTROL!$C$42, 9.3501, 9.3501) * CHOOSE(CONTROL!$C$21, $C$9, 100%, $E$9)</f>
        <v>9.3500999999999994</v>
      </c>
      <c r="I171" s="17">
        <f>CHOOSE(CONTROL!$C$42, 9.2569, 9.2569)* CHOOSE(CONTROL!$C$21, $C$9, 100%, $E$9)</f>
        <v>9.2568999999999999</v>
      </c>
      <c r="J171" s="17">
        <f>CHOOSE(CONTROL!$C$42, 9.2106, 9.2106)* CHOOSE(CONTROL!$C$21, $C$9, 100%, $E$9)</f>
        <v>9.2105999999999995</v>
      </c>
      <c r="K171" s="53">
        <f>CHOOSE(CONTROL!$C$42, 9.2509, 9.2509) * CHOOSE(CONTROL!$C$21, $C$9, 100%, $E$9)</f>
        <v>9.2508999999999997</v>
      </c>
      <c r="L171" s="17">
        <f>CHOOSE(CONTROL!$C$42, 9.9371, 9.9371) * CHOOSE(CONTROL!$C$21, $C$9, 100%, $E$9)</f>
        <v>9.9370999999999992</v>
      </c>
      <c r="M171" s="17">
        <f>CHOOSE(CONTROL!$C$42, 9.1347, 9.1347) * CHOOSE(CONTROL!$C$21, $C$9, 100%, $E$9)</f>
        <v>9.1347000000000005</v>
      </c>
      <c r="N171" s="17">
        <f>CHOOSE(CONTROL!$C$42, 9.1507, 9.1507) * CHOOSE(CONTROL!$C$21, $C$9, 100%, $E$9)</f>
        <v>9.1507000000000005</v>
      </c>
      <c r="O171" s="17">
        <f>CHOOSE(CONTROL!$C$42, 9.2731, 9.2731) * CHOOSE(CONTROL!$C$21, $C$9, 100%, $E$9)</f>
        <v>9.2730999999999995</v>
      </c>
      <c r="P171" s="17">
        <f>CHOOSE(CONTROL!$C$42, 9.1805, 9.1805) * CHOOSE(CONTROL!$C$21, $C$9, 100%, $E$9)</f>
        <v>9.1805000000000003</v>
      </c>
      <c r="Q171" s="17">
        <f>CHOOSE(CONTROL!$C$42, 9.8678, 9.8678) * CHOOSE(CONTROL!$C$21, $C$9, 100%, $E$9)</f>
        <v>9.8678000000000008</v>
      </c>
      <c r="R171" s="17">
        <f>CHOOSE(CONTROL!$C$42, 10.4794, 10.4794) * CHOOSE(CONTROL!$C$21, $C$9, 100%, $E$9)</f>
        <v>10.4794</v>
      </c>
      <c r="S171" s="17">
        <f>CHOOSE(CONTROL!$C$42, 8.9165, 8.9165) * CHOOSE(CONTROL!$C$21, $C$9, 100%, $E$9)</f>
        <v>8.9164999999999992</v>
      </c>
      <c r="T171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171" s="57">
        <f>(1000*CHOOSE(CONTROL!$C$42, 695, 695)*CHOOSE(CONTROL!$C$42, 0.5599, 0.5599)*CHOOSE(CONTROL!$C$42, 31, 31))/1000000</f>
        <v>12.063045499999998</v>
      </c>
      <c r="V171" s="57">
        <f>(1000*CHOOSE(CONTROL!$C$42, 500, 500)*CHOOSE(CONTROL!$C$42, 0.275, 0.275)*CHOOSE(CONTROL!$C$42, 31, 31))/1000000</f>
        <v>4.2625000000000002</v>
      </c>
      <c r="W171" s="57">
        <f>(1000*CHOOSE(CONTROL!$C$42, 0.0916, 0.0916)*CHOOSE(CONTROL!$C$42, 121.5, 121.5)*CHOOSE(CONTROL!$C$42, 31, 31))/1000000</f>
        <v>0.34501139999999997</v>
      </c>
      <c r="X171" s="57">
        <f>(31*0.2374*100000/1000000)</f>
        <v>0.73594000000000004</v>
      </c>
      <c r="Y171" s="57"/>
      <c r="Z171" s="17"/>
      <c r="AA171" s="56"/>
      <c r="AB171" s="49">
        <f>(B171*122.58+C171*297.941+D171*89.177+E171*140.302+F171*40+G171*60+H171*0+I171*100+J171*300)/(122.58+297.941+89.177+140.302+0+40+60+100+300)</f>
        <v>9.2428338123478273</v>
      </c>
      <c r="AC171" s="46">
        <f>(M171*'RAP TEMPLATE-GAS AVAILABILITY'!O170+N171*'RAP TEMPLATE-GAS AVAILABILITY'!P170+O171*'RAP TEMPLATE-GAS AVAILABILITY'!Q170+P171*'RAP TEMPLATE-GAS AVAILABILITY'!R170)/('RAP TEMPLATE-GAS AVAILABILITY'!O170+'RAP TEMPLATE-GAS AVAILABILITY'!P170+'RAP TEMPLATE-GAS AVAILABILITY'!Q170+'RAP TEMPLATE-GAS AVAILABILITY'!R170)</f>
        <v>9.2049388489208628</v>
      </c>
    </row>
    <row r="172" spans="1:29" ht="15.75" x14ac:dyDescent="0.25">
      <c r="A172" s="16">
        <v>46113</v>
      </c>
      <c r="B172" s="17">
        <f>CHOOSE(CONTROL!$C$42, 9.1973, 9.1973) * CHOOSE(CONTROL!$C$21, $C$9, 100%, $E$9)</f>
        <v>9.1973000000000003</v>
      </c>
      <c r="C172" s="17">
        <f>CHOOSE(CONTROL!$C$42, 9.2018, 9.2018) * CHOOSE(CONTROL!$C$21, $C$9, 100%, $E$9)</f>
        <v>9.2018000000000004</v>
      </c>
      <c r="D172" s="17">
        <f>CHOOSE(CONTROL!$C$42, 9.4545, 9.4545) * CHOOSE(CONTROL!$C$21, $C$9, 100%, $E$9)</f>
        <v>9.4544999999999995</v>
      </c>
      <c r="E172" s="17">
        <f>CHOOSE(CONTROL!$C$42, 9.4863, 9.4863) * CHOOSE(CONTROL!$C$21, $C$9, 100%, $E$9)</f>
        <v>9.4863</v>
      </c>
      <c r="F172" s="17">
        <f>CHOOSE(CONTROL!$C$42, 9.2033, 9.2033)*CHOOSE(CONTROL!$C$21, $C$9, 100%, $E$9)</f>
        <v>9.2033000000000005</v>
      </c>
      <c r="G172" s="17">
        <f>CHOOSE(CONTROL!$C$42, 9.2191, 9.2191)*CHOOSE(CONTROL!$C$21, $C$9, 100%, $E$9)</f>
        <v>9.2190999999999992</v>
      </c>
      <c r="H172" s="17">
        <f>CHOOSE(CONTROL!$C$42, 9.4758, 9.4758) * CHOOSE(CONTROL!$C$21, $C$9, 100%, $E$9)</f>
        <v>9.4757999999999996</v>
      </c>
      <c r="I172" s="17">
        <f>CHOOSE(CONTROL!$C$42, 9.2475, 9.2475)* CHOOSE(CONTROL!$C$21, $C$9, 100%, $E$9)</f>
        <v>9.2475000000000005</v>
      </c>
      <c r="J172" s="17">
        <f>CHOOSE(CONTROL!$C$42, 9.1959, 9.1959)* CHOOSE(CONTROL!$C$21, $C$9, 100%, $E$9)</f>
        <v>9.1959</v>
      </c>
      <c r="K172" s="53">
        <f>CHOOSE(CONTROL!$C$42, 9.2414, 9.2414) * CHOOSE(CONTROL!$C$21, $C$9, 100%, $E$9)</f>
        <v>9.2414000000000005</v>
      </c>
      <c r="L172" s="17">
        <f>CHOOSE(CONTROL!$C$42, 10.0628, 10.0628) * CHOOSE(CONTROL!$C$21, $C$9, 100%, $E$9)</f>
        <v>10.062799999999999</v>
      </c>
      <c r="M172" s="17">
        <f>CHOOSE(CONTROL!$C$42, 9.1202, 9.1202) * CHOOSE(CONTROL!$C$21, $C$9, 100%, $E$9)</f>
        <v>9.1202000000000005</v>
      </c>
      <c r="N172" s="17">
        <f>CHOOSE(CONTROL!$C$42, 9.1359, 9.1359) * CHOOSE(CONTROL!$C$21, $C$9, 100%, $E$9)</f>
        <v>9.1358999999999995</v>
      </c>
      <c r="O172" s="17">
        <f>CHOOSE(CONTROL!$C$42, 9.3976, 9.3976) * CHOOSE(CONTROL!$C$21, $C$9, 100%, $E$9)</f>
        <v>9.3976000000000006</v>
      </c>
      <c r="P172" s="17">
        <f>CHOOSE(CONTROL!$C$42, 9.1711, 9.1711) * CHOOSE(CONTROL!$C$21, $C$9, 100%, $E$9)</f>
        <v>9.1710999999999991</v>
      </c>
      <c r="Q172" s="17">
        <f>CHOOSE(CONTROL!$C$42, 9.9923, 9.9923) * CHOOSE(CONTROL!$C$21, $C$9, 100%, $E$9)</f>
        <v>9.9923000000000002</v>
      </c>
      <c r="R172" s="17">
        <f>CHOOSE(CONTROL!$C$42, 10.6043, 10.6043) * CHOOSE(CONTROL!$C$21, $C$9, 100%, $E$9)</f>
        <v>10.6043</v>
      </c>
      <c r="S172" s="17">
        <f>CHOOSE(CONTROL!$C$42, 8.9084, 8.9084) * CHOOSE(CONTROL!$C$21, $C$9, 100%, $E$9)</f>
        <v>8.9084000000000003</v>
      </c>
      <c r="T172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172" s="57">
        <f>(1000*CHOOSE(CONTROL!$C$42, 695, 695)*CHOOSE(CONTROL!$C$42, 0.5599, 0.5599)*CHOOSE(CONTROL!$C$42, 30, 30))/1000000</f>
        <v>11.673914999999997</v>
      </c>
      <c r="V172" s="57">
        <f>(1000*CHOOSE(CONTROL!$C$42, 500, 500)*CHOOSE(CONTROL!$C$42, 0.275, 0.275)*CHOOSE(CONTROL!$C$42, 30, 30))/1000000</f>
        <v>4.125</v>
      </c>
      <c r="W172" s="57">
        <f>(1000*CHOOSE(CONTROL!$C$42, 0.0916, 0.0916)*CHOOSE(CONTROL!$C$42, 121.5, 121.5)*CHOOSE(CONTROL!$C$42, 30, 30))/1000000</f>
        <v>0.33388200000000001</v>
      </c>
      <c r="X172" s="57">
        <f>(30*0.1790888*145000/1000000)+(30*0.2374*100000/1000000)</f>
        <v>1.4912362799999999</v>
      </c>
      <c r="Y172" s="57"/>
      <c r="Z172" s="17"/>
      <c r="AA172" s="56"/>
      <c r="AB172" s="49">
        <f>(B172*141.293+C172*267.993+D172*115.016+E172*189.698+F172*40+G172*85+H172*0+I172*100+J172*300)/(141.293+267.993+115.016+189.698+0+40+85+100+300)</f>
        <v>9.2717986325262309</v>
      </c>
      <c r="AC172" s="46">
        <f>(M172*'RAP TEMPLATE-GAS AVAILABILITY'!O171+N172*'RAP TEMPLATE-GAS AVAILABILITY'!P171+O172*'RAP TEMPLATE-GAS AVAILABILITY'!Q171+P172*'RAP TEMPLATE-GAS AVAILABILITY'!R171)/('RAP TEMPLATE-GAS AVAILABILITY'!O171+'RAP TEMPLATE-GAS AVAILABILITY'!P171+'RAP TEMPLATE-GAS AVAILABILITY'!Q171+'RAP TEMPLATE-GAS AVAILABILITY'!R171)</f>
        <v>9.2089697841726608</v>
      </c>
    </row>
    <row r="173" spans="1:29" ht="15.75" x14ac:dyDescent="0.25">
      <c r="A173" s="16">
        <v>46143</v>
      </c>
      <c r="B173" s="17">
        <f>CHOOSE(CONTROL!$C$42, 9.2988, 9.2988) * CHOOSE(CONTROL!$C$21, $C$9, 100%, $E$9)</f>
        <v>9.2988</v>
      </c>
      <c r="C173" s="17">
        <f>CHOOSE(CONTROL!$C$42, 9.3068, 9.3068) * CHOOSE(CONTROL!$C$21, $C$9, 100%, $E$9)</f>
        <v>9.3068000000000008</v>
      </c>
      <c r="D173" s="17">
        <f>CHOOSE(CONTROL!$C$42, 9.5564, 9.5564) * CHOOSE(CONTROL!$C$21, $C$9, 100%, $E$9)</f>
        <v>9.5564</v>
      </c>
      <c r="E173" s="17">
        <f>CHOOSE(CONTROL!$C$42, 9.5876, 9.5876) * CHOOSE(CONTROL!$C$21, $C$9, 100%, $E$9)</f>
        <v>9.5876000000000001</v>
      </c>
      <c r="F173" s="17">
        <f>CHOOSE(CONTROL!$C$42, 9.3037, 9.3037)*CHOOSE(CONTROL!$C$21, $C$9, 100%, $E$9)</f>
        <v>9.3036999999999992</v>
      </c>
      <c r="G173" s="17">
        <f>CHOOSE(CONTROL!$C$42, 9.3198, 9.3198)*CHOOSE(CONTROL!$C$21, $C$9, 100%, $E$9)</f>
        <v>9.3198000000000008</v>
      </c>
      <c r="H173" s="17">
        <f>CHOOSE(CONTROL!$C$42, 9.576, 9.576) * CHOOSE(CONTROL!$C$21, $C$9, 100%, $E$9)</f>
        <v>9.5760000000000005</v>
      </c>
      <c r="I173" s="17">
        <f>CHOOSE(CONTROL!$C$42, 9.3479, 9.3479)* CHOOSE(CONTROL!$C$21, $C$9, 100%, $E$9)</f>
        <v>9.3478999999999992</v>
      </c>
      <c r="J173" s="17">
        <f>CHOOSE(CONTROL!$C$42, 9.2963, 9.2963)* CHOOSE(CONTROL!$C$21, $C$9, 100%, $E$9)</f>
        <v>9.2963000000000005</v>
      </c>
      <c r="K173" s="53">
        <f>CHOOSE(CONTROL!$C$42, 9.3419, 9.3419) * CHOOSE(CONTROL!$C$21, $C$9, 100%, $E$9)</f>
        <v>9.3419000000000008</v>
      </c>
      <c r="L173" s="17">
        <f>CHOOSE(CONTROL!$C$42, 10.163, 10.163) * CHOOSE(CONTROL!$C$21, $C$9, 100%, $E$9)</f>
        <v>10.163</v>
      </c>
      <c r="M173" s="17">
        <f>CHOOSE(CONTROL!$C$42, 9.2197, 9.2197) * CHOOSE(CONTROL!$C$21, $C$9, 100%, $E$9)</f>
        <v>9.2196999999999996</v>
      </c>
      <c r="N173" s="17">
        <f>CHOOSE(CONTROL!$C$42, 9.2357, 9.2357) * CHOOSE(CONTROL!$C$21, $C$9, 100%, $E$9)</f>
        <v>9.2356999999999996</v>
      </c>
      <c r="O173" s="17">
        <f>CHOOSE(CONTROL!$C$42, 9.4968, 9.4968) * CHOOSE(CONTROL!$C$21, $C$9, 100%, $E$9)</f>
        <v>9.4968000000000004</v>
      </c>
      <c r="P173" s="17">
        <f>CHOOSE(CONTROL!$C$42, 9.2707, 9.2707) * CHOOSE(CONTROL!$C$21, $C$9, 100%, $E$9)</f>
        <v>9.2706999999999997</v>
      </c>
      <c r="Q173" s="17">
        <f>CHOOSE(CONTROL!$C$42, 10.0915, 10.0915) * CHOOSE(CONTROL!$C$21, $C$9, 100%, $E$9)</f>
        <v>10.0915</v>
      </c>
      <c r="R173" s="17">
        <f>CHOOSE(CONTROL!$C$42, 10.7038, 10.7038) * CHOOSE(CONTROL!$C$21, $C$9, 100%, $E$9)</f>
        <v>10.703799999999999</v>
      </c>
      <c r="S173" s="17">
        <f>CHOOSE(CONTROL!$C$42, 9.0055, 9.0055) * CHOOSE(CONTROL!$C$21, $C$9, 100%, $E$9)</f>
        <v>9.0054999999999996</v>
      </c>
      <c r="T173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173" s="57">
        <f>(1000*CHOOSE(CONTROL!$C$42, 695, 695)*CHOOSE(CONTROL!$C$42, 0.5599, 0.5599)*CHOOSE(CONTROL!$C$42, 31, 31))/1000000</f>
        <v>12.063045499999998</v>
      </c>
      <c r="V173" s="57">
        <f>(1000*CHOOSE(CONTROL!$C$42, 500, 500)*CHOOSE(CONTROL!$C$42, 0.275, 0.275)*CHOOSE(CONTROL!$C$42, 31, 31))/1000000</f>
        <v>4.2625000000000002</v>
      </c>
      <c r="W173" s="57">
        <f>(1000*CHOOSE(CONTROL!$C$42, 0.0916, 0.0916)*CHOOSE(CONTROL!$C$42, 121.5, 121.5)*CHOOSE(CONTROL!$C$42, 31, 31))/1000000</f>
        <v>0.34501139999999997</v>
      </c>
      <c r="X173" s="57">
        <f>(31*0.1790888*145000/1000000)+(31*0.2374*100000/1000000)</f>
        <v>1.5409441560000001</v>
      </c>
      <c r="Y173" s="57"/>
      <c r="Z173" s="17"/>
      <c r="AA173" s="56"/>
      <c r="AB173" s="49">
        <f>(B173*194.205+C173*267.466+D173*133.845+E173*153.484+F173*40+G173*85+H173*0+I173*100+J173*300)/(194.205+267.466+133.845+153.484+0+40+85+100+300)</f>
        <v>9.3671558706436446</v>
      </c>
      <c r="AC173" s="46">
        <f>(M173*'RAP TEMPLATE-GAS AVAILABILITY'!O172+N173*'RAP TEMPLATE-GAS AVAILABILITY'!P172+O173*'RAP TEMPLATE-GAS AVAILABILITY'!Q172+P173*'RAP TEMPLATE-GAS AVAILABILITY'!R172)/('RAP TEMPLATE-GAS AVAILABILITY'!O172+'RAP TEMPLATE-GAS AVAILABILITY'!P172+'RAP TEMPLATE-GAS AVAILABILITY'!Q172+'RAP TEMPLATE-GAS AVAILABILITY'!R172)</f>
        <v>9.3084690647482002</v>
      </c>
    </row>
    <row r="174" spans="1:29" ht="15.75" x14ac:dyDescent="0.25">
      <c r="A174" s="16">
        <v>46174</v>
      </c>
      <c r="B174" s="17">
        <f>CHOOSE(CONTROL!$C$42, 9.5819, 9.5819) * CHOOSE(CONTROL!$C$21, $C$9, 100%, $E$9)</f>
        <v>9.5818999999999992</v>
      </c>
      <c r="C174" s="17">
        <f>CHOOSE(CONTROL!$C$42, 9.5899, 9.5899) * CHOOSE(CONTROL!$C$21, $C$9, 100%, $E$9)</f>
        <v>9.5899000000000001</v>
      </c>
      <c r="D174" s="17">
        <f>CHOOSE(CONTROL!$C$42, 9.8395, 9.8395) * CHOOSE(CONTROL!$C$21, $C$9, 100%, $E$9)</f>
        <v>9.8394999999999992</v>
      </c>
      <c r="E174" s="17">
        <f>CHOOSE(CONTROL!$C$42, 9.8707, 9.8707) * CHOOSE(CONTROL!$C$21, $C$9, 100%, $E$9)</f>
        <v>9.8706999999999994</v>
      </c>
      <c r="F174" s="17">
        <f>CHOOSE(CONTROL!$C$42, 9.5871, 9.5871)*CHOOSE(CONTROL!$C$21, $C$9, 100%, $E$9)</f>
        <v>9.5870999999999995</v>
      </c>
      <c r="G174" s="17">
        <f>CHOOSE(CONTROL!$C$42, 9.6033, 9.6033)*CHOOSE(CONTROL!$C$21, $C$9, 100%, $E$9)</f>
        <v>9.6033000000000008</v>
      </c>
      <c r="H174" s="17">
        <f>CHOOSE(CONTROL!$C$42, 9.859, 9.859) * CHOOSE(CONTROL!$C$21, $C$9, 100%, $E$9)</f>
        <v>9.859</v>
      </c>
      <c r="I174" s="17">
        <f>CHOOSE(CONTROL!$C$42, 9.6319, 9.6319)* CHOOSE(CONTROL!$C$21, $C$9, 100%, $E$9)</f>
        <v>9.6318999999999999</v>
      </c>
      <c r="J174" s="17">
        <f>CHOOSE(CONTROL!$C$42, 9.5797, 9.5797)* CHOOSE(CONTROL!$C$21, $C$9, 100%, $E$9)</f>
        <v>9.5797000000000008</v>
      </c>
      <c r="K174" s="53">
        <f>CHOOSE(CONTROL!$C$42, 9.6258, 9.6258) * CHOOSE(CONTROL!$C$21, $C$9, 100%, $E$9)</f>
        <v>9.6257999999999999</v>
      </c>
      <c r="L174" s="17">
        <f>CHOOSE(CONTROL!$C$42, 10.446, 10.446) * CHOOSE(CONTROL!$C$21, $C$9, 100%, $E$9)</f>
        <v>10.446</v>
      </c>
      <c r="M174" s="17">
        <f>CHOOSE(CONTROL!$C$42, 9.5006, 9.5006) * CHOOSE(CONTROL!$C$21, $C$9, 100%, $E$9)</f>
        <v>9.5006000000000004</v>
      </c>
      <c r="N174" s="17">
        <f>CHOOSE(CONTROL!$C$42, 9.5166, 9.5166) * CHOOSE(CONTROL!$C$21, $C$9, 100%, $E$9)</f>
        <v>9.5166000000000004</v>
      </c>
      <c r="O174" s="17">
        <f>CHOOSE(CONTROL!$C$42, 9.7774, 9.7774) * CHOOSE(CONTROL!$C$21, $C$9, 100%, $E$9)</f>
        <v>9.7774000000000001</v>
      </c>
      <c r="P174" s="17">
        <f>CHOOSE(CONTROL!$C$42, 9.552, 9.552) * CHOOSE(CONTROL!$C$21, $C$9, 100%, $E$9)</f>
        <v>9.5519999999999996</v>
      </c>
      <c r="Q174" s="17">
        <f>CHOOSE(CONTROL!$C$42, 10.3721, 10.3721) * CHOOSE(CONTROL!$C$21, $C$9, 100%, $E$9)</f>
        <v>10.3721</v>
      </c>
      <c r="R174" s="17">
        <f>CHOOSE(CONTROL!$C$42, 10.985, 10.985) * CHOOSE(CONTROL!$C$21, $C$9, 100%, $E$9)</f>
        <v>10.984999999999999</v>
      </c>
      <c r="S174" s="17">
        <f>CHOOSE(CONTROL!$C$42, 9.28, 9.28) * CHOOSE(CONTROL!$C$21, $C$9, 100%, $E$9)</f>
        <v>9.2799999999999994</v>
      </c>
      <c r="T174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174" s="57">
        <f>(1000*CHOOSE(CONTROL!$C$42, 695, 695)*CHOOSE(CONTROL!$C$42, 0.5599, 0.5599)*CHOOSE(CONTROL!$C$42, 30, 30))/1000000</f>
        <v>11.673914999999997</v>
      </c>
      <c r="V174" s="57">
        <f>(1000*CHOOSE(CONTROL!$C$42, 500, 500)*CHOOSE(CONTROL!$C$42, 0.275, 0.275)*CHOOSE(CONTROL!$C$42, 30, 30))/1000000</f>
        <v>4.125</v>
      </c>
      <c r="W174" s="57">
        <f>(1000*CHOOSE(CONTROL!$C$42, 0.0916, 0.0916)*CHOOSE(CONTROL!$C$42, 121.5, 121.5)*CHOOSE(CONTROL!$C$42, 30, 30))/1000000</f>
        <v>0.33388200000000001</v>
      </c>
      <c r="X174" s="57">
        <f>(30*0.1790888*145000/1000000)+(30*0.2374*100000/1000000)</f>
        <v>1.4912362799999999</v>
      </c>
      <c r="Y174" s="57"/>
      <c r="Z174" s="17"/>
      <c r="AA174" s="56"/>
      <c r="AB174" s="49">
        <f>(B174*194.205+C174*267.466+D174*133.845+E174*153.484+F174*40+G174*85+H174*0+I174*100+J174*300)/(194.205+267.466+133.845+153.484+0+40+85+100+300)</f>
        <v>9.6504332646781812</v>
      </c>
      <c r="AC174" s="46">
        <f>(M174*'RAP TEMPLATE-GAS AVAILABILITY'!O173+N174*'RAP TEMPLATE-GAS AVAILABILITY'!P173+O174*'RAP TEMPLATE-GAS AVAILABILITY'!Q173+P174*'RAP TEMPLATE-GAS AVAILABILITY'!R173)/('RAP TEMPLATE-GAS AVAILABILITY'!O173+'RAP TEMPLATE-GAS AVAILABILITY'!P173+'RAP TEMPLATE-GAS AVAILABILITY'!Q173+'RAP TEMPLATE-GAS AVAILABILITY'!R173)</f>
        <v>9.5893424460431653</v>
      </c>
    </row>
    <row r="175" spans="1:29" ht="15.75" x14ac:dyDescent="0.25">
      <c r="A175" s="16">
        <v>46204</v>
      </c>
      <c r="B175" s="17">
        <f>CHOOSE(CONTROL!$C$42, 9.4177, 9.4177) * CHOOSE(CONTROL!$C$21, $C$9, 100%, $E$9)</f>
        <v>9.4177</v>
      </c>
      <c r="C175" s="17">
        <f>CHOOSE(CONTROL!$C$42, 9.4257, 9.4257) * CHOOSE(CONTROL!$C$21, $C$9, 100%, $E$9)</f>
        <v>9.4257000000000009</v>
      </c>
      <c r="D175" s="17">
        <f>CHOOSE(CONTROL!$C$42, 9.6753, 9.6753) * CHOOSE(CONTROL!$C$21, $C$9, 100%, $E$9)</f>
        <v>9.6753</v>
      </c>
      <c r="E175" s="17">
        <f>CHOOSE(CONTROL!$C$42, 9.7065, 9.7065) * CHOOSE(CONTROL!$C$21, $C$9, 100%, $E$9)</f>
        <v>9.7065000000000001</v>
      </c>
      <c r="F175" s="17">
        <f>CHOOSE(CONTROL!$C$42, 9.4234, 9.4234)*CHOOSE(CONTROL!$C$21, $C$9, 100%, $E$9)</f>
        <v>9.4234000000000009</v>
      </c>
      <c r="G175" s="17">
        <f>CHOOSE(CONTROL!$C$42, 9.4397, 9.4397)*CHOOSE(CONTROL!$C$21, $C$9, 100%, $E$9)</f>
        <v>9.4397000000000002</v>
      </c>
      <c r="H175" s="17">
        <f>CHOOSE(CONTROL!$C$42, 9.6948, 9.6948) * CHOOSE(CONTROL!$C$21, $C$9, 100%, $E$9)</f>
        <v>9.6948000000000008</v>
      </c>
      <c r="I175" s="17">
        <f>CHOOSE(CONTROL!$C$42, 9.4671, 9.4671)* CHOOSE(CONTROL!$C$21, $C$9, 100%, $E$9)</f>
        <v>9.4671000000000003</v>
      </c>
      <c r="J175" s="17">
        <f>CHOOSE(CONTROL!$C$42, 9.416, 9.416)* CHOOSE(CONTROL!$C$21, $C$9, 100%, $E$9)</f>
        <v>9.4160000000000004</v>
      </c>
      <c r="K175" s="53">
        <f>CHOOSE(CONTROL!$C$42, 9.4611, 9.4611) * CHOOSE(CONTROL!$C$21, $C$9, 100%, $E$9)</f>
        <v>9.4611000000000001</v>
      </c>
      <c r="L175" s="17">
        <f>CHOOSE(CONTROL!$C$42, 10.2818, 10.2818) * CHOOSE(CONTROL!$C$21, $C$9, 100%, $E$9)</f>
        <v>10.2818</v>
      </c>
      <c r="M175" s="17">
        <f>CHOOSE(CONTROL!$C$42, 9.3383, 9.3383) * CHOOSE(CONTROL!$C$21, $C$9, 100%, $E$9)</f>
        <v>9.3383000000000003</v>
      </c>
      <c r="N175" s="17">
        <f>CHOOSE(CONTROL!$C$42, 9.3545, 9.3545) * CHOOSE(CONTROL!$C$21, $C$9, 100%, $E$9)</f>
        <v>9.3544999999999998</v>
      </c>
      <c r="O175" s="17">
        <f>CHOOSE(CONTROL!$C$42, 9.6146, 9.6146) * CHOOSE(CONTROL!$C$21, $C$9, 100%, $E$9)</f>
        <v>9.6145999999999994</v>
      </c>
      <c r="P175" s="17">
        <f>CHOOSE(CONTROL!$C$42, 9.3888, 9.3888) * CHOOSE(CONTROL!$C$21, $C$9, 100%, $E$9)</f>
        <v>9.3887999999999998</v>
      </c>
      <c r="Q175" s="17">
        <f>CHOOSE(CONTROL!$C$42, 10.2093, 10.2093) * CHOOSE(CONTROL!$C$21, $C$9, 100%, $E$9)</f>
        <v>10.209300000000001</v>
      </c>
      <c r="R175" s="17">
        <f>CHOOSE(CONTROL!$C$42, 10.8218, 10.8218) * CHOOSE(CONTROL!$C$21, $C$9, 100%, $E$9)</f>
        <v>10.8218</v>
      </c>
      <c r="S175" s="17">
        <f>CHOOSE(CONTROL!$C$42, 9.1207, 9.1207) * CHOOSE(CONTROL!$C$21, $C$9, 100%, $E$9)</f>
        <v>9.1206999999999994</v>
      </c>
      <c r="T175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175" s="57">
        <f>(1000*CHOOSE(CONTROL!$C$42, 695, 695)*CHOOSE(CONTROL!$C$42, 0.5599, 0.5599)*CHOOSE(CONTROL!$C$42, 31, 31))/1000000</f>
        <v>12.063045499999998</v>
      </c>
      <c r="V175" s="57">
        <f>(1000*CHOOSE(CONTROL!$C$42, 500, 500)*CHOOSE(CONTROL!$C$42, 0.275, 0.275)*CHOOSE(CONTROL!$C$42, 31, 31))/1000000</f>
        <v>4.2625000000000002</v>
      </c>
      <c r="W175" s="57">
        <f>(1000*CHOOSE(CONTROL!$C$42, 0.0916, 0.0916)*CHOOSE(CONTROL!$C$42, 121.5, 121.5)*CHOOSE(CONTROL!$C$42, 31, 31))/1000000</f>
        <v>0.34501139999999997</v>
      </c>
      <c r="X175" s="57">
        <f>(31*0.1790888*145000/1000000)+(31*0.2374*100000/1000000)</f>
        <v>1.5409441560000001</v>
      </c>
      <c r="Y175" s="57"/>
      <c r="Z175" s="17"/>
      <c r="AA175" s="56"/>
      <c r="AB175" s="49">
        <f>(B175*194.205+C175*267.466+D175*133.845+E175*153.484+F175*40+G175*85+H175*0+I175*100+J175*300)/(194.205+267.466+133.845+153.484+0+40+85+100+300)</f>
        <v>9.4863596383045525</v>
      </c>
      <c r="AC175" s="46">
        <f>(M175*'RAP TEMPLATE-GAS AVAILABILITY'!O174+N175*'RAP TEMPLATE-GAS AVAILABILITY'!P174+O175*'RAP TEMPLATE-GAS AVAILABILITY'!Q174+P175*'RAP TEMPLATE-GAS AVAILABILITY'!R174)/('RAP TEMPLATE-GAS AVAILABILITY'!O174+'RAP TEMPLATE-GAS AVAILABILITY'!P174+'RAP TEMPLATE-GAS AVAILABILITY'!Q174+'RAP TEMPLATE-GAS AVAILABILITY'!R174)</f>
        <v>9.4268187050359717</v>
      </c>
    </row>
    <row r="176" spans="1:29" ht="15.75" x14ac:dyDescent="0.25">
      <c r="A176" s="16">
        <v>46235</v>
      </c>
      <c r="B176" s="17">
        <f>CHOOSE(CONTROL!$C$42, 8.9715, 8.9715) * CHOOSE(CONTROL!$C$21, $C$9, 100%, $E$9)</f>
        <v>8.9715000000000007</v>
      </c>
      <c r="C176" s="17">
        <f>CHOOSE(CONTROL!$C$42, 8.9795, 8.9795) * CHOOSE(CONTROL!$C$21, $C$9, 100%, $E$9)</f>
        <v>8.9794999999999998</v>
      </c>
      <c r="D176" s="17">
        <f>CHOOSE(CONTROL!$C$42, 9.2291, 9.2291) * CHOOSE(CONTROL!$C$21, $C$9, 100%, $E$9)</f>
        <v>9.2291000000000007</v>
      </c>
      <c r="E176" s="17">
        <f>CHOOSE(CONTROL!$C$42, 9.2603, 9.2603) * CHOOSE(CONTROL!$C$21, $C$9, 100%, $E$9)</f>
        <v>9.2603000000000009</v>
      </c>
      <c r="F176" s="17">
        <f>CHOOSE(CONTROL!$C$42, 8.9775, 8.9775)*CHOOSE(CONTROL!$C$21, $C$9, 100%, $E$9)</f>
        <v>8.9774999999999991</v>
      </c>
      <c r="G176" s="17">
        <f>CHOOSE(CONTROL!$C$42, 8.9939, 8.9939)*CHOOSE(CONTROL!$C$21, $C$9, 100%, $E$9)</f>
        <v>8.9939</v>
      </c>
      <c r="H176" s="17">
        <f>CHOOSE(CONTROL!$C$42, 9.2486, 9.2486) * CHOOSE(CONTROL!$C$21, $C$9, 100%, $E$9)</f>
        <v>9.2485999999999997</v>
      </c>
      <c r="I176" s="17">
        <f>CHOOSE(CONTROL!$C$42, 9.0196, 9.0196)* CHOOSE(CONTROL!$C$21, $C$9, 100%, $E$9)</f>
        <v>9.0196000000000005</v>
      </c>
      <c r="J176" s="17">
        <f>CHOOSE(CONTROL!$C$42, 8.9701, 8.9701)* CHOOSE(CONTROL!$C$21, $C$9, 100%, $E$9)</f>
        <v>8.9701000000000004</v>
      </c>
      <c r="K176" s="53">
        <f>CHOOSE(CONTROL!$C$42, 9.0136, 9.0136) * CHOOSE(CONTROL!$C$21, $C$9, 100%, $E$9)</f>
        <v>9.0136000000000003</v>
      </c>
      <c r="L176" s="17">
        <f>CHOOSE(CONTROL!$C$42, 9.8356, 9.8356) * CHOOSE(CONTROL!$C$21, $C$9, 100%, $E$9)</f>
        <v>9.8355999999999995</v>
      </c>
      <c r="M176" s="17">
        <f>CHOOSE(CONTROL!$C$42, 8.8964, 8.8964) * CHOOSE(CONTROL!$C$21, $C$9, 100%, $E$9)</f>
        <v>8.8963999999999999</v>
      </c>
      <c r="N176" s="17">
        <f>CHOOSE(CONTROL!$C$42, 8.9127, 8.9127) * CHOOSE(CONTROL!$C$21, $C$9, 100%, $E$9)</f>
        <v>8.9126999999999992</v>
      </c>
      <c r="O176" s="17">
        <f>CHOOSE(CONTROL!$C$42, 9.1725, 9.1725) * CHOOSE(CONTROL!$C$21, $C$9, 100%, $E$9)</f>
        <v>9.1724999999999994</v>
      </c>
      <c r="P176" s="17">
        <f>CHOOSE(CONTROL!$C$42, 8.9453, 8.9453) * CHOOSE(CONTROL!$C$21, $C$9, 100%, $E$9)</f>
        <v>8.9452999999999996</v>
      </c>
      <c r="Q176" s="17">
        <f>CHOOSE(CONTROL!$C$42, 9.7672, 9.7672) * CHOOSE(CONTROL!$C$21, $C$9, 100%, $E$9)</f>
        <v>9.7672000000000008</v>
      </c>
      <c r="R176" s="17">
        <f>CHOOSE(CONTROL!$C$42, 10.3786, 10.3786) * CHOOSE(CONTROL!$C$21, $C$9, 100%, $E$9)</f>
        <v>10.3786</v>
      </c>
      <c r="S176" s="17">
        <f>CHOOSE(CONTROL!$C$42, 8.6881, 8.6881) * CHOOSE(CONTROL!$C$21, $C$9, 100%, $E$9)</f>
        <v>8.6881000000000004</v>
      </c>
      <c r="T176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176" s="57">
        <f>(1000*CHOOSE(CONTROL!$C$42, 695, 695)*CHOOSE(CONTROL!$C$42, 0.5599, 0.5599)*CHOOSE(CONTROL!$C$42, 31, 31))/1000000</f>
        <v>12.063045499999998</v>
      </c>
      <c r="V176" s="57">
        <f>(1000*CHOOSE(CONTROL!$C$42, 500, 500)*CHOOSE(CONTROL!$C$42, 0.275, 0.275)*CHOOSE(CONTROL!$C$42, 31, 31))/1000000</f>
        <v>4.2625000000000002</v>
      </c>
      <c r="W176" s="57">
        <f>(1000*CHOOSE(CONTROL!$C$42, 0.0916, 0.0916)*CHOOSE(CONTROL!$C$42, 121.5, 121.5)*CHOOSE(CONTROL!$C$42, 31, 31))/1000000</f>
        <v>0.34501139999999997</v>
      </c>
      <c r="X176" s="57">
        <f>(31*0.1790888*145000/1000000)+(31*0.2374*100000/1000000)</f>
        <v>1.5409441560000001</v>
      </c>
      <c r="Y176" s="57"/>
      <c r="Z176" s="17"/>
      <c r="AA176" s="56"/>
      <c r="AB176" s="49">
        <f>(B176*194.205+C176*267.466+D176*133.845+E176*153.484+F176*40+G176*85+H176*0+I176*100+J176*300)/(194.205+267.466+133.845+153.484+0+40+85+100+300)</f>
        <v>9.0401643478806921</v>
      </c>
      <c r="AC176" s="46">
        <f>(M176*'RAP TEMPLATE-GAS AVAILABILITY'!O175+N176*'RAP TEMPLATE-GAS AVAILABILITY'!P175+O176*'RAP TEMPLATE-GAS AVAILABILITY'!Q175+P176*'RAP TEMPLATE-GAS AVAILABILITY'!R175)/('RAP TEMPLATE-GAS AVAILABILITY'!O175+'RAP TEMPLATE-GAS AVAILABILITY'!P175+'RAP TEMPLATE-GAS AVAILABILITY'!Q175+'RAP TEMPLATE-GAS AVAILABILITY'!R175)</f>
        <v>8.9846553956834523</v>
      </c>
    </row>
    <row r="177" spans="1:29" ht="15.75" x14ac:dyDescent="0.25">
      <c r="A177" s="16">
        <v>46266</v>
      </c>
      <c r="B177" s="17">
        <f>CHOOSE(CONTROL!$C$42, 8.4198, 8.4198) * CHOOSE(CONTROL!$C$21, $C$9, 100%, $E$9)</f>
        <v>8.4198000000000004</v>
      </c>
      <c r="C177" s="17">
        <f>CHOOSE(CONTROL!$C$42, 8.4278, 8.4278) * CHOOSE(CONTROL!$C$21, $C$9, 100%, $E$9)</f>
        <v>8.4277999999999995</v>
      </c>
      <c r="D177" s="17">
        <f>CHOOSE(CONTROL!$C$42, 8.6774, 8.6774) * CHOOSE(CONTROL!$C$21, $C$9, 100%, $E$9)</f>
        <v>8.6774000000000004</v>
      </c>
      <c r="E177" s="17">
        <f>CHOOSE(CONTROL!$C$42, 8.7086, 8.7086) * CHOOSE(CONTROL!$C$21, $C$9, 100%, $E$9)</f>
        <v>8.7086000000000006</v>
      </c>
      <c r="F177" s="17">
        <f>CHOOSE(CONTROL!$C$42, 8.4258, 8.4258)*CHOOSE(CONTROL!$C$21, $C$9, 100%, $E$9)</f>
        <v>8.4258000000000006</v>
      </c>
      <c r="G177" s="17">
        <f>CHOOSE(CONTROL!$C$42, 8.4423, 8.4423)*CHOOSE(CONTROL!$C$21, $C$9, 100%, $E$9)</f>
        <v>8.4422999999999995</v>
      </c>
      <c r="H177" s="17">
        <f>CHOOSE(CONTROL!$C$42, 8.6969, 8.6969) * CHOOSE(CONTROL!$C$21, $C$9, 100%, $E$9)</f>
        <v>8.6968999999999994</v>
      </c>
      <c r="I177" s="17">
        <f>CHOOSE(CONTROL!$C$42, 8.4662, 8.4662)* CHOOSE(CONTROL!$C$21, $C$9, 100%, $E$9)</f>
        <v>8.4662000000000006</v>
      </c>
      <c r="J177" s="17">
        <f>CHOOSE(CONTROL!$C$42, 8.4184, 8.4184)* CHOOSE(CONTROL!$C$21, $C$9, 100%, $E$9)</f>
        <v>8.4184000000000001</v>
      </c>
      <c r="K177" s="53">
        <f>CHOOSE(CONTROL!$C$42, 8.4601, 8.4601) * CHOOSE(CONTROL!$C$21, $C$9, 100%, $E$9)</f>
        <v>8.4601000000000006</v>
      </c>
      <c r="L177" s="17">
        <f>CHOOSE(CONTROL!$C$42, 9.2839, 9.2839) * CHOOSE(CONTROL!$C$21, $C$9, 100%, $E$9)</f>
        <v>9.2838999999999992</v>
      </c>
      <c r="M177" s="17">
        <f>CHOOSE(CONTROL!$C$42, 8.3497, 8.3497) * CHOOSE(CONTROL!$C$21, $C$9, 100%, $E$9)</f>
        <v>8.3497000000000003</v>
      </c>
      <c r="N177" s="17">
        <f>CHOOSE(CONTROL!$C$42, 8.366, 8.366) * CHOOSE(CONTROL!$C$21, $C$9, 100%, $E$9)</f>
        <v>8.3659999999999997</v>
      </c>
      <c r="O177" s="17">
        <f>CHOOSE(CONTROL!$C$42, 8.6257, 8.6257) * CHOOSE(CONTROL!$C$21, $C$9, 100%, $E$9)</f>
        <v>8.6257000000000001</v>
      </c>
      <c r="P177" s="17">
        <f>CHOOSE(CONTROL!$C$42, 8.3969, 8.3969) * CHOOSE(CONTROL!$C$21, $C$9, 100%, $E$9)</f>
        <v>8.3969000000000005</v>
      </c>
      <c r="Q177" s="17">
        <f>CHOOSE(CONTROL!$C$42, 9.2204, 9.2204) * CHOOSE(CONTROL!$C$21, $C$9, 100%, $E$9)</f>
        <v>9.2203999999999997</v>
      </c>
      <c r="R177" s="17">
        <f>CHOOSE(CONTROL!$C$42, 9.8305, 9.8305) * CHOOSE(CONTROL!$C$21, $C$9, 100%, $E$9)</f>
        <v>9.8305000000000007</v>
      </c>
      <c r="S177" s="17">
        <f>CHOOSE(CONTROL!$C$42, 8.1531, 8.1531) * CHOOSE(CONTROL!$C$21, $C$9, 100%, $E$9)</f>
        <v>8.1531000000000002</v>
      </c>
      <c r="T177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177" s="57">
        <f>(1000*CHOOSE(CONTROL!$C$42, 695, 695)*CHOOSE(CONTROL!$C$42, 0.5599, 0.5599)*CHOOSE(CONTROL!$C$42, 30, 30))/1000000</f>
        <v>11.673914999999997</v>
      </c>
      <c r="V177" s="57">
        <f>(1000*CHOOSE(CONTROL!$C$42, 500, 500)*CHOOSE(CONTROL!$C$42, 0.275, 0.275)*CHOOSE(CONTROL!$C$42, 30, 30))/1000000</f>
        <v>4.125</v>
      </c>
      <c r="W177" s="57">
        <f>(1000*CHOOSE(CONTROL!$C$42, 0.0916, 0.0916)*CHOOSE(CONTROL!$C$42, 121.5, 121.5)*CHOOSE(CONTROL!$C$42, 30, 30))/1000000</f>
        <v>0.33388200000000001</v>
      </c>
      <c r="X177" s="57">
        <f>(30*0.1790888*145000/1000000)+(30*0.2374*100000/1000000)</f>
        <v>1.4912362799999999</v>
      </c>
      <c r="Y177" s="57"/>
      <c r="Z177" s="17"/>
      <c r="AA177" s="56"/>
      <c r="AB177" s="49">
        <f>(B177*194.205+C177*267.466+D177*133.845+E177*153.484+F177*40+G177*85+H177*0+I177*100+J177*300)/(194.205+267.466+133.845+153.484+0+40+85+100+300)</f>
        <v>8.4883375817896418</v>
      </c>
      <c r="AC177" s="46">
        <f>(M177*'RAP TEMPLATE-GAS AVAILABILITY'!O176+N177*'RAP TEMPLATE-GAS AVAILABILITY'!P176+O177*'RAP TEMPLATE-GAS AVAILABILITY'!Q176+P177*'RAP TEMPLATE-GAS AVAILABILITY'!R176)/('RAP TEMPLATE-GAS AVAILABILITY'!O176+'RAP TEMPLATE-GAS AVAILABILITY'!P176+'RAP TEMPLATE-GAS AVAILABILITY'!Q176+'RAP TEMPLATE-GAS AVAILABILITY'!R176)</f>
        <v>8.4376827338129505</v>
      </c>
    </row>
    <row r="178" spans="1:29" ht="15.75" x14ac:dyDescent="0.25">
      <c r="A178" s="16">
        <v>46296</v>
      </c>
      <c r="B178" s="17">
        <f>CHOOSE(CONTROL!$C$42, 8.2644, 8.2644) * CHOOSE(CONTROL!$C$21, $C$9, 100%, $E$9)</f>
        <v>8.2644000000000002</v>
      </c>
      <c r="C178" s="17">
        <f>CHOOSE(CONTROL!$C$42, 8.2697, 8.2697) * CHOOSE(CONTROL!$C$21, $C$9, 100%, $E$9)</f>
        <v>8.2697000000000003</v>
      </c>
      <c r="D178" s="17">
        <f>CHOOSE(CONTROL!$C$42, 8.5242, 8.5242) * CHOOSE(CONTROL!$C$21, $C$9, 100%, $E$9)</f>
        <v>8.5242000000000004</v>
      </c>
      <c r="E178" s="17">
        <f>CHOOSE(CONTROL!$C$42, 8.5531, 8.5531) * CHOOSE(CONTROL!$C$21, $C$9, 100%, $E$9)</f>
        <v>8.5531000000000006</v>
      </c>
      <c r="F178" s="17">
        <f>CHOOSE(CONTROL!$C$42, 8.2726, 8.2726)*CHOOSE(CONTROL!$C$21, $C$9, 100%, $E$9)</f>
        <v>8.2726000000000006</v>
      </c>
      <c r="G178" s="17">
        <f>CHOOSE(CONTROL!$C$42, 8.2889, 8.2889)*CHOOSE(CONTROL!$C$21, $C$9, 100%, $E$9)</f>
        <v>8.2888999999999999</v>
      </c>
      <c r="H178" s="17">
        <f>CHOOSE(CONTROL!$C$42, 8.5432, 8.5432) * CHOOSE(CONTROL!$C$21, $C$9, 100%, $E$9)</f>
        <v>8.5432000000000006</v>
      </c>
      <c r="I178" s="17">
        <f>CHOOSE(CONTROL!$C$42, 8.312, 8.312)* CHOOSE(CONTROL!$C$21, $C$9, 100%, $E$9)</f>
        <v>8.3119999999999994</v>
      </c>
      <c r="J178" s="17">
        <f>CHOOSE(CONTROL!$C$42, 8.2652, 8.2652)* CHOOSE(CONTROL!$C$21, $C$9, 100%, $E$9)</f>
        <v>8.2652000000000001</v>
      </c>
      <c r="K178" s="53">
        <f>CHOOSE(CONTROL!$C$42, 8.3059, 8.3059) * CHOOSE(CONTROL!$C$21, $C$9, 100%, $E$9)</f>
        <v>8.3058999999999994</v>
      </c>
      <c r="L178" s="17">
        <f>CHOOSE(CONTROL!$C$42, 9.1302, 9.1302) * CHOOSE(CONTROL!$C$21, $C$9, 100%, $E$9)</f>
        <v>9.1302000000000003</v>
      </c>
      <c r="M178" s="17">
        <f>CHOOSE(CONTROL!$C$42, 8.1978, 8.1978) * CHOOSE(CONTROL!$C$21, $C$9, 100%, $E$9)</f>
        <v>8.1978000000000009</v>
      </c>
      <c r="N178" s="17">
        <f>CHOOSE(CONTROL!$C$42, 8.214, 8.214) * CHOOSE(CONTROL!$C$21, $C$9, 100%, $E$9)</f>
        <v>8.2140000000000004</v>
      </c>
      <c r="O178" s="17">
        <f>CHOOSE(CONTROL!$C$42, 8.4734, 8.4734) * CHOOSE(CONTROL!$C$21, $C$9, 100%, $E$9)</f>
        <v>8.4733999999999998</v>
      </c>
      <c r="P178" s="17">
        <f>CHOOSE(CONTROL!$C$42, 8.244, 8.244) * CHOOSE(CONTROL!$C$21, $C$9, 100%, $E$9)</f>
        <v>8.2439999999999998</v>
      </c>
      <c r="Q178" s="17">
        <f>CHOOSE(CONTROL!$C$42, 9.0681, 9.0681) * CHOOSE(CONTROL!$C$21, $C$9, 100%, $E$9)</f>
        <v>9.0680999999999994</v>
      </c>
      <c r="R178" s="17">
        <f>CHOOSE(CONTROL!$C$42, 9.6777, 9.6777) * CHOOSE(CONTROL!$C$21, $C$9, 100%, $E$9)</f>
        <v>9.6776999999999997</v>
      </c>
      <c r="S178" s="17">
        <f>CHOOSE(CONTROL!$C$42, 8.0041, 8.0041) * CHOOSE(CONTROL!$C$21, $C$9, 100%, $E$9)</f>
        <v>8.0040999999999993</v>
      </c>
      <c r="T178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178" s="57">
        <f>(1000*CHOOSE(CONTROL!$C$42, 695, 695)*CHOOSE(CONTROL!$C$42, 0.5599, 0.5599)*CHOOSE(CONTROL!$C$42, 31, 31))/1000000</f>
        <v>12.063045499999998</v>
      </c>
      <c r="V178" s="57">
        <f>(1000*CHOOSE(CONTROL!$C$42, 500, 500)*CHOOSE(CONTROL!$C$42, 0.275, 0.275)*CHOOSE(CONTROL!$C$42, 31, 31))/1000000</f>
        <v>4.2625000000000002</v>
      </c>
      <c r="W178" s="57">
        <f>(1000*CHOOSE(CONTROL!$C$42, 0.0916, 0.0916)*CHOOSE(CONTROL!$C$42, 121.5, 121.5)*CHOOSE(CONTROL!$C$42, 31, 31))/1000000</f>
        <v>0.34501139999999997</v>
      </c>
      <c r="X178" s="57">
        <f>(31*0.1790888*145000/1000000)+(31*0.2374*100000/1000000)</f>
        <v>1.5409441560000001</v>
      </c>
      <c r="Y178" s="57"/>
      <c r="Z178" s="17"/>
      <c r="AA178" s="56"/>
      <c r="AB178" s="49">
        <f>(B178*131.881+C178*277.167+D178*79.08+E178*225.872+F178*40+G178*85+H178*0+I178*100+J178*300)/(131.881+277.167+79.08+225.872+0+40+85+100+300)</f>
        <v>8.3407791085552869</v>
      </c>
      <c r="AC178" s="46">
        <f>(M178*'RAP TEMPLATE-GAS AVAILABILITY'!O177+N178*'RAP TEMPLATE-GAS AVAILABILITY'!P177+O178*'RAP TEMPLATE-GAS AVAILABILITY'!Q177+P178*'RAP TEMPLATE-GAS AVAILABILITY'!R177)/('RAP TEMPLATE-GAS AVAILABILITY'!O177+'RAP TEMPLATE-GAS AVAILABILITY'!P177+'RAP TEMPLATE-GAS AVAILABILITY'!Q177+'RAP TEMPLATE-GAS AVAILABILITY'!R177)</f>
        <v>8.2855035971223021</v>
      </c>
    </row>
    <row r="179" spans="1:29" ht="15.75" x14ac:dyDescent="0.25">
      <c r="A179" s="16">
        <v>46327</v>
      </c>
      <c r="B179" s="17">
        <f>CHOOSE(CONTROL!$C$42, 8.4988, 8.4988) * CHOOSE(CONTROL!$C$21, $C$9, 100%, $E$9)</f>
        <v>8.4987999999999992</v>
      </c>
      <c r="C179" s="17">
        <f>CHOOSE(CONTROL!$C$42, 8.5039, 8.5039) * CHOOSE(CONTROL!$C$21, $C$9, 100%, $E$9)</f>
        <v>8.5038999999999998</v>
      </c>
      <c r="D179" s="17">
        <f>CHOOSE(CONTROL!$C$42, 8.6265, 8.6265) * CHOOSE(CONTROL!$C$21, $C$9, 100%, $E$9)</f>
        <v>8.6265000000000001</v>
      </c>
      <c r="E179" s="17">
        <f>CHOOSE(CONTROL!$C$42, 8.6603, 8.6603) * CHOOSE(CONTROL!$C$21, $C$9, 100%, $E$9)</f>
        <v>8.6602999999999994</v>
      </c>
      <c r="F179" s="17">
        <f>CHOOSE(CONTROL!$C$42, 8.5139, 8.5139)*CHOOSE(CONTROL!$C$21, $C$9, 100%, $E$9)</f>
        <v>8.5138999999999996</v>
      </c>
      <c r="G179" s="17">
        <f>CHOOSE(CONTROL!$C$42, 8.5305, 8.5305)*CHOOSE(CONTROL!$C$21, $C$9, 100%, $E$9)</f>
        <v>8.5305</v>
      </c>
      <c r="H179" s="17">
        <f>CHOOSE(CONTROL!$C$42, 8.6492, 8.6492) * CHOOSE(CONTROL!$C$21, $C$9, 100%, $E$9)</f>
        <v>8.6492000000000004</v>
      </c>
      <c r="I179" s="17">
        <f>CHOOSE(CONTROL!$C$42, 8.5502, 8.5502)* CHOOSE(CONTROL!$C$21, $C$9, 100%, $E$9)</f>
        <v>8.5502000000000002</v>
      </c>
      <c r="J179" s="17">
        <f>CHOOSE(CONTROL!$C$42, 8.5065, 8.5065)* CHOOSE(CONTROL!$C$21, $C$9, 100%, $E$9)</f>
        <v>8.5065000000000008</v>
      </c>
      <c r="K179" s="53">
        <f>CHOOSE(CONTROL!$C$42, 8.5441, 8.5441) * CHOOSE(CONTROL!$C$21, $C$9, 100%, $E$9)</f>
        <v>8.5441000000000003</v>
      </c>
      <c r="L179" s="17">
        <f>CHOOSE(CONTROL!$C$42, 9.2362, 9.2362) * CHOOSE(CONTROL!$C$21, $C$9, 100%, $E$9)</f>
        <v>9.2362000000000002</v>
      </c>
      <c r="M179" s="17">
        <f>CHOOSE(CONTROL!$C$42, 8.437, 8.437) * CHOOSE(CONTROL!$C$21, $C$9, 100%, $E$9)</f>
        <v>8.4369999999999994</v>
      </c>
      <c r="N179" s="17">
        <f>CHOOSE(CONTROL!$C$42, 8.4535, 8.4535) * CHOOSE(CONTROL!$C$21, $C$9, 100%, $E$9)</f>
        <v>8.4535</v>
      </c>
      <c r="O179" s="17">
        <f>CHOOSE(CONTROL!$C$42, 8.5784, 8.5784) * CHOOSE(CONTROL!$C$21, $C$9, 100%, $E$9)</f>
        <v>8.5784000000000002</v>
      </c>
      <c r="P179" s="17">
        <f>CHOOSE(CONTROL!$C$42, 8.4801, 8.4801) * CHOOSE(CONTROL!$C$21, $C$9, 100%, $E$9)</f>
        <v>8.4801000000000002</v>
      </c>
      <c r="Q179" s="17">
        <f>CHOOSE(CONTROL!$C$42, 9.1731, 9.1731) * CHOOSE(CONTROL!$C$21, $C$9, 100%, $E$9)</f>
        <v>9.1730999999999998</v>
      </c>
      <c r="R179" s="17">
        <f>CHOOSE(CONTROL!$C$42, 9.783, 9.783) * CHOOSE(CONTROL!$C$21, $C$9, 100%, $E$9)</f>
        <v>9.7829999999999995</v>
      </c>
      <c r="S179" s="17">
        <f>CHOOSE(CONTROL!$C$42, 8.2318, 8.2318) * CHOOSE(CONTROL!$C$21, $C$9, 100%, $E$9)</f>
        <v>8.2317999999999998</v>
      </c>
      <c r="T179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179" s="57">
        <f>(1000*CHOOSE(CONTROL!$C$42, 695, 695)*CHOOSE(CONTROL!$C$42, 0.5599, 0.5599)*CHOOSE(CONTROL!$C$42, 30, 30))/1000000</f>
        <v>11.673914999999997</v>
      </c>
      <c r="V179" s="57">
        <f>(1000*CHOOSE(CONTROL!$C$42, 500, 500)*CHOOSE(CONTROL!$C$42, 0.275, 0.275)*CHOOSE(CONTROL!$C$42, 30, 30))/1000000</f>
        <v>4.125</v>
      </c>
      <c r="W179" s="57">
        <f>(1000*CHOOSE(CONTROL!$C$42, 0.0916, 0.0916)*CHOOSE(CONTROL!$C$42, 121.5, 121.5)*CHOOSE(CONTROL!$C$42, 30, 30))/1000000</f>
        <v>0.33388200000000001</v>
      </c>
      <c r="X179" s="57">
        <f>(30*0.2374*100000/1000000)</f>
        <v>0.71220000000000006</v>
      </c>
      <c r="Y179" s="57"/>
      <c r="Z179" s="17"/>
      <c r="AA179" s="56"/>
      <c r="AB179" s="49">
        <f>(B179*122.58+C179*297.941+D179*89.177+E179*140.302+F179*40+G179*60+H179*0+I179*100+J179*300)/(122.58+297.941+89.177+140.302+0+40+60+100+300)</f>
        <v>8.5383844999999994</v>
      </c>
      <c r="AC179" s="46">
        <f>(M179*'RAP TEMPLATE-GAS AVAILABILITY'!O178+N179*'RAP TEMPLATE-GAS AVAILABILITY'!P178+O179*'RAP TEMPLATE-GAS AVAILABILITY'!Q178+P179*'RAP TEMPLATE-GAS AVAILABILITY'!R178)/('RAP TEMPLATE-GAS AVAILABILITY'!O178+'RAP TEMPLATE-GAS AVAILABILITY'!P178+'RAP TEMPLATE-GAS AVAILABILITY'!Q178+'RAP TEMPLATE-GAS AVAILABILITY'!R178)</f>
        <v>8.5082388489208647</v>
      </c>
    </row>
    <row r="180" spans="1:29" ht="15.75" x14ac:dyDescent="0.25">
      <c r="A180" s="16">
        <v>46357</v>
      </c>
      <c r="B180" s="17">
        <f>CHOOSE(CONTROL!$C$42, 9.0963, 9.0963) * CHOOSE(CONTROL!$C$21, $C$9, 100%, $E$9)</f>
        <v>9.0962999999999994</v>
      </c>
      <c r="C180" s="17">
        <f>CHOOSE(CONTROL!$C$42, 9.1013, 9.1013) * CHOOSE(CONTROL!$C$21, $C$9, 100%, $E$9)</f>
        <v>9.1013000000000002</v>
      </c>
      <c r="D180" s="17">
        <f>CHOOSE(CONTROL!$C$42, 9.2239, 9.2239) * CHOOSE(CONTROL!$C$21, $C$9, 100%, $E$9)</f>
        <v>9.2239000000000004</v>
      </c>
      <c r="E180" s="17">
        <f>CHOOSE(CONTROL!$C$42, 9.2577, 9.2577) * CHOOSE(CONTROL!$C$21, $C$9, 100%, $E$9)</f>
        <v>9.2576999999999998</v>
      </c>
      <c r="F180" s="17">
        <f>CHOOSE(CONTROL!$C$42, 9.1137, 9.1137)*CHOOSE(CONTROL!$C$21, $C$9, 100%, $E$9)</f>
        <v>9.1136999999999997</v>
      </c>
      <c r="G180" s="17">
        <f>CHOOSE(CONTROL!$C$42, 9.131, 9.131)*CHOOSE(CONTROL!$C$21, $C$9, 100%, $E$9)</f>
        <v>9.1310000000000002</v>
      </c>
      <c r="H180" s="17">
        <f>CHOOSE(CONTROL!$C$42, 9.2466, 9.2466) * CHOOSE(CONTROL!$C$21, $C$9, 100%, $E$9)</f>
        <v>9.2466000000000008</v>
      </c>
      <c r="I180" s="17">
        <f>CHOOSE(CONTROL!$C$42, 9.1494, 9.1494)* CHOOSE(CONTROL!$C$21, $C$9, 100%, $E$9)</f>
        <v>9.1494</v>
      </c>
      <c r="J180" s="17">
        <f>CHOOSE(CONTROL!$C$42, 9.1063, 9.1063)* CHOOSE(CONTROL!$C$21, $C$9, 100%, $E$9)</f>
        <v>9.1062999999999992</v>
      </c>
      <c r="K180" s="53">
        <f>CHOOSE(CONTROL!$C$42, 9.1434, 9.1434) * CHOOSE(CONTROL!$C$21, $C$9, 100%, $E$9)</f>
        <v>9.1433999999999997</v>
      </c>
      <c r="L180" s="17">
        <f>CHOOSE(CONTROL!$C$42, 9.8336, 9.8336) * CHOOSE(CONTROL!$C$21, $C$9, 100%, $E$9)</f>
        <v>9.8336000000000006</v>
      </c>
      <c r="M180" s="17">
        <f>CHOOSE(CONTROL!$C$42, 9.0314, 9.0314) * CHOOSE(CONTROL!$C$21, $C$9, 100%, $E$9)</f>
        <v>9.0313999999999997</v>
      </c>
      <c r="N180" s="17">
        <f>CHOOSE(CONTROL!$C$42, 9.0485, 9.0485) * CHOOSE(CONTROL!$C$21, $C$9, 100%, $E$9)</f>
        <v>9.0485000000000007</v>
      </c>
      <c r="O180" s="17">
        <f>CHOOSE(CONTROL!$C$42, 9.1704, 9.1704) * CHOOSE(CONTROL!$C$21, $C$9, 100%, $E$9)</f>
        <v>9.1704000000000008</v>
      </c>
      <c r="P180" s="17">
        <f>CHOOSE(CONTROL!$C$42, 9.0739, 9.0739) * CHOOSE(CONTROL!$C$21, $C$9, 100%, $E$9)</f>
        <v>9.0739000000000001</v>
      </c>
      <c r="Q180" s="17">
        <f>CHOOSE(CONTROL!$C$42, 9.7651, 9.7651) * CHOOSE(CONTROL!$C$21, $C$9, 100%, $E$9)</f>
        <v>9.7651000000000003</v>
      </c>
      <c r="R180" s="17">
        <f>CHOOSE(CONTROL!$C$42, 10.3765, 10.3765) * CHOOSE(CONTROL!$C$21, $C$9, 100%, $E$9)</f>
        <v>10.3765</v>
      </c>
      <c r="S180" s="17">
        <f>CHOOSE(CONTROL!$C$42, 8.8111, 8.8111) * CHOOSE(CONTROL!$C$21, $C$9, 100%, $E$9)</f>
        <v>8.8110999999999997</v>
      </c>
      <c r="T180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180" s="57">
        <f>(1000*CHOOSE(CONTROL!$C$42, 695, 695)*CHOOSE(CONTROL!$C$42, 0.5599, 0.5599)*CHOOSE(CONTROL!$C$42, 31, 31))/1000000</f>
        <v>12.063045499999998</v>
      </c>
      <c r="V180" s="57">
        <f>(1000*CHOOSE(CONTROL!$C$42, 500, 500)*CHOOSE(CONTROL!$C$42, 0.275, 0.275)*CHOOSE(CONTROL!$C$42, 31, 31))/1000000</f>
        <v>4.2625000000000002</v>
      </c>
      <c r="W180" s="57">
        <f>(1000*CHOOSE(CONTROL!$C$42, 0.0916, 0.0916)*CHOOSE(CONTROL!$C$42, 121.5, 121.5)*CHOOSE(CONTROL!$C$42, 31, 31))/1000000</f>
        <v>0.34501139999999997</v>
      </c>
      <c r="X180" s="57">
        <f>(31*0.2374*100000/1000000)</f>
        <v>0.73594000000000004</v>
      </c>
      <c r="Y180" s="57"/>
      <c r="Z180" s="17"/>
      <c r="AA180" s="56"/>
      <c r="AB180" s="49">
        <f>(B180*122.58+C180*297.941+D180*89.177+E180*140.302+F180*40+G180*60+H180*0+I180*100+J180*300)/(122.58+297.941+89.177+140.302+0+40+60+100+300)</f>
        <v>9.1368229852173908</v>
      </c>
      <c r="AC180" s="46">
        <f>(M180*'RAP TEMPLATE-GAS AVAILABILITY'!O179+N180*'RAP TEMPLATE-GAS AVAILABILITY'!P179+O180*'RAP TEMPLATE-GAS AVAILABILITY'!Q179+P180*'RAP TEMPLATE-GAS AVAILABILITY'!R179)/('RAP TEMPLATE-GAS AVAILABILITY'!O179+'RAP TEMPLATE-GAS AVAILABILITY'!P179+'RAP TEMPLATE-GAS AVAILABILITY'!Q179+'RAP TEMPLATE-GAS AVAILABILITY'!R179)</f>
        <v>9.1014992805755401</v>
      </c>
    </row>
    <row r="181" spans="1:29" ht="15.75" x14ac:dyDescent="0.25">
      <c r="A181" s="16">
        <v>46388</v>
      </c>
      <c r="B181" s="17">
        <f>CHOOSE(CONTROL!$C$42, 9.5873, 9.5873) * CHOOSE(CONTROL!$C$21, $C$9, 100%, $E$9)</f>
        <v>9.5873000000000008</v>
      </c>
      <c r="C181" s="17">
        <f>CHOOSE(CONTROL!$C$42, 9.5924, 9.5924) * CHOOSE(CONTROL!$C$21, $C$9, 100%, $E$9)</f>
        <v>9.5923999999999996</v>
      </c>
      <c r="D181" s="17">
        <f>CHOOSE(CONTROL!$C$42, 9.7099, 9.7099) * CHOOSE(CONTROL!$C$21, $C$9, 100%, $E$9)</f>
        <v>9.7098999999999993</v>
      </c>
      <c r="E181" s="17">
        <f>CHOOSE(CONTROL!$C$42, 9.7436, 9.7436) * CHOOSE(CONTROL!$C$21, $C$9, 100%, $E$9)</f>
        <v>9.7436000000000007</v>
      </c>
      <c r="F181" s="17">
        <f>CHOOSE(CONTROL!$C$42, 9.601, 9.601)*CHOOSE(CONTROL!$C$21, $C$9, 100%, $E$9)</f>
        <v>9.6010000000000009</v>
      </c>
      <c r="G181" s="17">
        <f>CHOOSE(CONTROL!$C$42, 9.6173, 9.6173)*CHOOSE(CONTROL!$C$21, $C$9, 100%, $E$9)</f>
        <v>9.6173000000000002</v>
      </c>
      <c r="H181" s="17">
        <f>CHOOSE(CONTROL!$C$42, 9.7325, 9.7325) * CHOOSE(CONTROL!$C$21, $C$9, 100%, $E$9)</f>
        <v>9.7324999999999999</v>
      </c>
      <c r="I181" s="17">
        <f>CHOOSE(CONTROL!$C$42, 9.6405, 9.6405)* CHOOSE(CONTROL!$C$21, $C$9, 100%, $E$9)</f>
        <v>9.6404999999999994</v>
      </c>
      <c r="J181" s="17">
        <f>CHOOSE(CONTROL!$C$42, 9.5936, 9.5936)* CHOOSE(CONTROL!$C$21, $C$9, 100%, $E$9)</f>
        <v>9.5936000000000003</v>
      </c>
      <c r="K181" s="53">
        <f>CHOOSE(CONTROL!$C$42, 9.6345, 9.6345) * CHOOSE(CONTROL!$C$21, $C$9, 100%, $E$9)</f>
        <v>9.6344999999999992</v>
      </c>
      <c r="L181" s="17">
        <f>CHOOSE(CONTROL!$C$42, 10.3195, 10.3195) * CHOOSE(CONTROL!$C$21, $C$9, 100%, $E$9)</f>
        <v>10.3195</v>
      </c>
      <c r="M181" s="17">
        <f>CHOOSE(CONTROL!$C$42, 9.5143, 9.5143) * CHOOSE(CONTROL!$C$21, $C$9, 100%, $E$9)</f>
        <v>9.5143000000000004</v>
      </c>
      <c r="N181" s="17">
        <f>CHOOSE(CONTROL!$C$42, 9.5305, 9.5305) * CHOOSE(CONTROL!$C$21, $C$9, 100%, $E$9)</f>
        <v>9.5305</v>
      </c>
      <c r="O181" s="17">
        <f>CHOOSE(CONTROL!$C$42, 9.652, 9.652) * CHOOSE(CONTROL!$C$21, $C$9, 100%, $E$9)</f>
        <v>9.6519999999999992</v>
      </c>
      <c r="P181" s="17">
        <f>CHOOSE(CONTROL!$C$42, 9.5606, 9.5606) * CHOOSE(CONTROL!$C$21, $C$9, 100%, $E$9)</f>
        <v>9.5606000000000009</v>
      </c>
      <c r="Q181" s="17">
        <f>CHOOSE(CONTROL!$C$42, 10.2467, 10.2467) * CHOOSE(CONTROL!$C$21, $C$9, 100%, $E$9)</f>
        <v>10.246700000000001</v>
      </c>
      <c r="R181" s="17">
        <f>CHOOSE(CONTROL!$C$42, 10.8593, 10.8593) * CHOOSE(CONTROL!$C$21, $C$9, 100%, $E$9)</f>
        <v>10.859299999999999</v>
      </c>
      <c r="S181" s="17">
        <f>CHOOSE(CONTROL!$C$42, 9.2873, 9.2873) * CHOOSE(CONTROL!$C$21, $C$9, 100%, $E$9)</f>
        <v>9.2873000000000001</v>
      </c>
      <c r="T181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181" s="57">
        <f>(1000*CHOOSE(CONTROL!$C$42, 695, 695)*CHOOSE(CONTROL!$C$42, 0.5599, 0.5599)*CHOOSE(CONTROL!$C$42, 31, 31))/1000000</f>
        <v>12.063045499999998</v>
      </c>
      <c r="V181" s="57">
        <f>(1000*CHOOSE(CONTROL!$C$42, 500, 500)*CHOOSE(CONTROL!$C$42, 0.275, 0.275)*CHOOSE(CONTROL!$C$42, 31, 31))/1000000</f>
        <v>4.2625000000000002</v>
      </c>
      <c r="W181" s="57">
        <f>(1000*CHOOSE(CONTROL!$C$42, 0.0916, 0.0916)*CHOOSE(CONTROL!$C$42, 121.5, 121.5)*CHOOSE(CONTROL!$C$42, 31, 31))/1000000</f>
        <v>0.34501139999999997</v>
      </c>
      <c r="X181" s="57">
        <f>(31*0.2374*100000/1000000)</f>
        <v>0.73594000000000004</v>
      </c>
      <c r="Y181" s="57"/>
      <c r="Z181" s="17"/>
      <c r="AA181" s="56"/>
      <c r="AB181" s="49">
        <f>(B181*122.58+C181*297.941+D181*89.177+E181*140.302+F181*40+G181*60+H181*0+I181*100+J181*300)/(122.58+297.941+89.177+140.302+0+40+60+100+300)</f>
        <v>9.6255085233913054</v>
      </c>
      <c r="AC181" s="46">
        <f>(M181*'RAP TEMPLATE-GAS AVAILABILITY'!O180+N181*'RAP TEMPLATE-GAS AVAILABILITY'!P180+O181*'RAP TEMPLATE-GAS AVAILABILITY'!Q180+P181*'RAP TEMPLATE-GAS AVAILABILITY'!R180)/('RAP TEMPLATE-GAS AVAILABILITY'!O180+'RAP TEMPLATE-GAS AVAILABILITY'!P180+'RAP TEMPLATE-GAS AVAILABILITY'!Q180+'RAP TEMPLATE-GAS AVAILABILITY'!R180)</f>
        <v>9.584305035971223</v>
      </c>
    </row>
    <row r="182" spans="1:29" ht="15.75" x14ac:dyDescent="0.25">
      <c r="A182" s="16">
        <v>46419</v>
      </c>
      <c r="B182" s="17">
        <f>CHOOSE(CONTROL!$C$42, 9.7779, 9.7779) * CHOOSE(CONTROL!$C$21, $C$9, 100%, $E$9)</f>
        <v>9.7779000000000007</v>
      </c>
      <c r="C182" s="17">
        <f>CHOOSE(CONTROL!$C$42, 9.783, 9.783) * CHOOSE(CONTROL!$C$21, $C$9, 100%, $E$9)</f>
        <v>9.7829999999999995</v>
      </c>
      <c r="D182" s="17">
        <f>CHOOSE(CONTROL!$C$42, 9.9004, 9.9004) * CHOOSE(CONTROL!$C$21, $C$9, 100%, $E$9)</f>
        <v>9.9003999999999994</v>
      </c>
      <c r="E182" s="17">
        <f>CHOOSE(CONTROL!$C$42, 9.9342, 9.9342) * CHOOSE(CONTROL!$C$21, $C$9, 100%, $E$9)</f>
        <v>9.9342000000000006</v>
      </c>
      <c r="F182" s="17">
        <f>CHOOSE(CONTROL!$C$42, 9.7915, 9.7915)*CHOOSE(CONTROL!$C$21, $C$9, 100%, $E$9)</f>
        <v>9.7914999999999992</v>
      </c>
      <c r="G182" s="17">
        <f>CHOOSE(CONTROL!$C$42, 9.8078, 9.8078)*CHOOSE(CONTROL!$C$21, $C$9, 100%, $E$9)</f>
        <v>9.8078000000000003</v>
      </c>
      <c r="H182" s="17">
        <f>CHOOSE(CONTROL!$C$42, 9.9231, 9.9231) * CHOOSE(CONTROL!$C$21, $C$9, 100%, $E$9)</f>
        <v>9.9230999999999998</v>
      </c>
      <c r="I182" s="17">
        <f>CHOOSE(CONTROL!$C$42, 9.8316, 9.8316)* CHOOSE(CONTROL!$C$21, $C$9, 100%, $E$9)</f>
        <v>9.8315999999999999</v>
      </c>
      <c r="J182" s="17">
        <f>CHOOSE(CONTROL!$C$42, 9.7841, 9.7841)* CHOOSE(CONTROL!$C$21, $C$9, 100%, $E$9)</f>
        <v>9.7841000000000005</v>
      </c>
      <c r="K182" s="53">
        <f>CHOOSE(CONTROL!$C$42, 9.8256, 9.8256) * CHOOSE(CONTROL!$C$21, $C$9, 100%, $E$9)</f>
        <v>9.8255999999999997</v>
      </c>
      <c r="L182" s="17">
        <f>CHOOSE(CONTROL!$C$42, 10.5101, 10.5101) * CHOOSE(CONTROL!$C$21, $C$9, 100%, $E$9)</f>
        <v>10.5101</v>
      </c>
      <c r="M182" s="17">
        <f>CHOOSE(CONTROL!$C$42, 9.7032, 9.7032) * CHOOSE(CONTROL!$C$21, $C$9, 100%, $E$9)</f>
        <v>9.7032000000000007</v>
      </c>
      <c r="N182" s="17">
        <f>CHOOSE(CONTROL!$C$42, 9.7193, 9.7193) * CHOOSE(CONTROL!$C$21, $C$9, 100%, $E$9)</f>
        <v>9.7193000000000005</v>
      </c>
      <c r="O182" s="17">
        <f>CHOOSE(CONTROL!$C$42, 9.8408, 9.8408) * CHOOSE(CONTROL!$C$21, $C$9, 100%, $E$9)</f>
        <v>9.8407999999999998</v>
      </c>
      <c r="P182" s="17">
        <f>CHOOSE(CONTROL!$C$42, 9.75, 9.75) * CHOOSE(CONTROL!$C$21, $C$9, 100%, $E$9)</f>
        <v>9.75</v>
      </c>
      <c r="Q182" s="17">
        <f>CHOOSE(CONTROL!$C$42, 10.4355, 10.4355) * CHOOSE(CONTROL!$C$21, $C$9, 100%, $E$9)</f>
        <v>10.435499999999999</v>
      </c>
      <c r="R182" s="17">
        <f>CHOOSE(CONTROL!$C$42, 11.0486, 11.0486) * CHOOSE(CONTROL!$C$21, $C$9, 100%, $E$9)</f>
        <v>11.0486</v>
      </c>
      <c r="S182" s="17">
        <f>CHOOSE(CONTROL!$C$42, 9.4721, 9.4721) * CHOOSE(CONTROL!$C$21, $C$9, 100%, $E$9)</f>
        <v>9.4720999999999993</v>
      </c>
      <c r="T182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182" s="57">
        <f>(1000*CHOOSE(CONTROL!$C$42, 695, 695)*CHOOSE(CONTROL!$C$42, 0.5599, 0.5599)*CHOOSE(CONTROL!$C$42, 28, 28))/1000000</f>
        <v>10.895653999999999</v>
      </c>
      <c r="V182" s="57">
        <f>(1000*CHOOSE(CONTROL!$C$42, 500, 500)*CHOOSE(CONTROL!$C$42, 0.275, 0.275)*CHOOSE(CONTROL!$C$42, 28, 28))/1000000</f>
        <v>3.85</v>
      </c>
      <c r="W182" s="57">
        <f>(1000*CHOOSE(CONTROL!$C$42, 0.0916, 0.0916)*CHOOSE(CONTROL!$C$42, 121.5, 121.5)*CHOOSE(CONTROL!$C$42, 28, 28))/1000000</f>
        <v>0.31162319999999999</v>
      </c>
      <c r="X182" s="57">
        <f>(28*0.2374*100000/1000000)</f>
        <v>0.66471999999999998</v>
      </c>
      <c r="Y182" s="57"/>
      <c r="Z182" s="17"/>
      <c r="AA182" s="56"/>
      <c r="AB182" s="49">
        <f>(B182*122.58+C182*297.941+D182*89.177+E182*140.302+F182*40+G182*60+H182*0+I182*100+J182*300)/(122.58+297.941+89.177+140.302+0+40+60+100+300)</f>
        <v>9.8161094645217393</v>
      </c>
      <c r="AC182" s="46">
        <f>(M182*'RAP TEMPLATE-GAS AVAILABILITY'!O181+N182*'RAP TEMPLATE-GAS AVAILABILITY'!P181+O182*'RAP TEMPLATE-GAS AVAILABILITY'!Q181+P182*'RAP TEMPLATE-GAS AVAILABILITY'!R181)/('RAP TEMPLATE-GAS AVAILABILITY'!O181+'RAP TEMPLATE-GAS AVAILABILITY'!P181+'RAP TEMPLATE-GAS AVAILABILITY'!Q181+'RAP TEMPLATE-GAS AVAILABILITY'!R181)</f>
        <v>9.7732258992805754</v>
      </c>
    </row>
    <row r="183" spans="1:29" ht="15.75" x14ac:dyDescent="0.25">
      <c r="A183" s="16">
        <v>46447</v>
      </c>
      <c r="B183" s="17">
        <f>CHOOSE(CONTROL!$C$42, 9.5202, 9.5202) * CHOOSE(CONTROL!$C$21, $C$9, 100%, $E$9)</f>
        <v>9.5202000000000009</v>
      </c>
      <c r="C183" s="17">
        <f>CHOOSE(CONTROL!$C$42, 9.5252, 9.5252) * CHOOSE(CONTROL!$C$21, $C$9, 100%, $E$9)</f>
        <v>9.5251999999999999</v>
      </c>
      <c r="D183" s="17">
        <f>CHOOSE(CONTROL!$C$42, 9.6427, 9.6427) * CHOOSE(CONTROL!$C$21, $C$9, 100%, $E$9)</f>
        <v>9.6426999999999996</v>
      </c>
      <c r="E183" s="17">
        <f>CHOOSE(CONTROL!$C$42, 9.6765, 9.6765) * CHOOSE(CONTROL!$C$21, $C$9, 100%, $E$9)</f>
        <v>9.6765000000000008</v>
      </c>
      <c r="F183" s="17">
        <f>CHOOSE(CONTROL!$C$42, 9.5332, 9.5332)*CHOOSE(CONTROL!$C$21, $C$9, 100%, $E$9)</f>
        <v>9.5332000000000008</v>
      </c>
      <c r="G183" s="17">
        <f>CHOOSE(CONTROL!$C$42, 9.5493, 9.5493)*CHOOSE(CONTROL!$C$21, $C$9, 100%, $E$9)</f>
        <v>9.5493000000000006</v>
      </c>
      <c r="H183" s="17">
        <f>CHOOSE(CONTROL!$C$42, 9.6653, 9.6653) * CHOOSE(CONTROL!$C$21, $C$9, 100%, $E$9)</f>
        <v>9.6653000000000002</v>
      </c>
      <c r="I183" s="17">
        <f>CHOOSE(CONTROL!$C$42, 9.5731, 9.5731)* CHOOSE(CONTROL!$C$21, $C$9, 100%, $E$9)</f>
        <v>9.5731000000000002</v>
      </c>
      <c r="J183" s="17">
        <f>CHOOSE(CONTROL!$C$42, 9.5258, 9.5258)* CHOOSE(CONTROL!$C$21, $C$9, 100%, $E$9)</f>
        <v>9.5258000000000003</v>
      </c>
      <c r="K183" s="53">
        <f>CHOOSE(CONTROL!$C$42, 9.5671, 9.5671) * CHOOSE(CONTROL!$C$21, $C$9, 100%, $E$9)</f>
        <v>9.5670999999999999</v>
      </c>
      <c r="L183" s="17">
        <f>CHOOSE(CONTROL!$C$42, 10.2523, 10.2523) * CHOOSE(CONTROL!$C$21, $C$9, 100%, $E$9)</f>
        <v>10.2523</v>
      </c>
      <c r="M183" s="17">
        <f>CHOOSE(CONTROL!$C$42, 9.4471, 9.4471) * CHOOSE(CONTROL!$C$21, $C$9, 100%, $E$9)</f>
        <v>9.4471000000000007</v>
      </c>
      <c r="N183" s="17">
        <f>CHOOSE(CONTROL!$C$42, 9.4631, 9.4631) * CHOOSE(CONTROL!$C$21, $C$9, 100%, $E$9)</f>
        <v>9.4631000000000007</v>
      </c>
      <c r="O183" s="17">
        <f>CHOOSE(CONTROL!$C$42, 9.5854, 9.5854) * CHOOSE(CONTROL!$C$21, $C$9, 100%, $E$9)</f>
        <v>9.5853999999999999</v>
      </c>
      <c r="P183" s="17">
        <f>CHOOSE(CONTROL!$C$42, 9.4938, 9.4938) * CHOOSE(CONTROL!$C$21, $C$9, 100%, $E$9)</f>
        <v>9.4938000000000002</v>
      </c>
      <c r="Q183" s="17">
        <f>CHOOSE(CONTROL!$C$42, 10.1801, 10.1801) * CHOOSE(CONTROL!$C$21, $C$9, 100%, $E$9)</f>
        <v>10.180099999999999</v>
      </c>
      <c r="R183" s="17">
        <f>CHOOSE(CONTROL!$C$42, 10.7926, 10.7926) * CHOOSE(CONTROL!$C$21, $C$9, 100%, $E$9)</f>
        <v>10.7926</v>
      </c>
      <c r="S183" s="17">
        <f>CHOOSE(CONTROL!$C$42, 9.2222, 9.2222) * CHOOSE(CONTROL!$C$21, $C$9, 100%, $E$9)</f>
        <v>9.2222000000000008</v>
      </c>
      <c r="T183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183" s="57">
        <f>(1000*CHOOSE(CONTROL!$C$42, 695, 695)*CHOOSE(CONTROL!$C$42, 0.5599, 0.5599)*CHOOSE(CONTROL!$C$42, 31, 31))/1000000</f>
        <v>12.063045499999998</v>
      </c>
      <c r="V183" s="57">
        <f>(1000*CHOOSE(CONTROL!$C$42, 500, 500)*CHOOSE(CONTROL!$C$42, 0.275, 0.275)*CHOOSE(CONTROL!$C$42, 31, 31))/1000000</f>
        <v>4.2625000000000002</v>
      </c>
      <c r="W183" s="57">
        <f>(1000*CHOOSE(CONTROL!$C$42, 0.0916, 0.0916)*CHOOSE(CONTROL!$C$42, 121.5, 121.5)*CHOOSE(CONTROL!$C$42, 31, 31))/1000000</f>
        <v>0.34501139999999997</v>
      </c>
      <c r="X183" s="57">
        <f>(31*0.2374*100000/1000000)</f>
        <v>0.73594000000000004</v>
      </c>
      <c r="Y183" s="57"/>
      <c r="Z183" s="17"/>
      <c r="AA183" s="56"/>
      <c r="AB183" s="49">
        <f>(B183*122.58+C183*297.941+D183*89.177+E183*140.302+F183*40+G183*60+H183*0+I183*100+J183*300)/(122.58+297.941+89.177+140.302+0+40+60+100+300)</f>
        <v>9.5580948609565226</v>
      </c>
      <c r="AC183" s="46">
        <f>(M183*'RAP TEMPLATE-GAS AVAILABILITY'!O182+N183*'RAP TEMPLATE-GAS AVAILABILITY'!P182+O183*'RAP TEMPLATE-GAS AVAILABILITY'!Q182+P183*'RAP TEMPLATE-GAS AVAILABILITY'!R182)/('RAP TEMPLATE-GAS AVAILABILITY'!O182+'RAP TEMPLATE-GAS AVAILABILITY'!P182+'RAP TEMPLATE-GAS AVAILABILITY'!Q182+'RAP TEMPLATE-GAS AVAILABILITY'!R182)</f>
        <v>9.5174230215827329</v>
      </c>
    </row>
    <row r="184" spans="1:29" ht="15.75" x14ac:dyDescent="0.25">
      <c r="A184" s="16">
        <v>46478</v>
      </c>
      <c r="B184" s="17">
        <f>CHOOSE(CONTROL!$C$42, 9.5122, 9.5122) * CHOOSE(CONTROL!$C$21, $C$9, 100%, $E$9)</f>
        <v>9.5122</v>
      </c>
      <c r="C184" s="17">
        <f>CHOOSE(CONTROL!$C$42, 9.5167, 9.5167) * CHOOSE(CONTROL!$C$21, $C$9, 100%, $E$9)</f>
        <v>9.5167000000000002</v>
      </c>
      <c r="D184" s="17">
        <f>CHOOSE(CONTROL!$C$42, 9.7694, 9.7694) * CHOOSE(CONTROL!$C$21, $C$9, 100%, $E$9)</f>
        <v>9.7693999999999992</v>
      </c>
      <c r="E184" s="17">
        <f>CHOOSE(CONTROL!$C$42, 9.8012, 9.8012) * CHOOSE(CONTROL!$C$21, $C$9, 100%, $E$9)</f>
        <v>9.8011999999999997</v>
      </c>
      <c r="F184" s="17">
        <f>CHOOSE(CONTROL!$C$42, 9.5182, 9.5182)*CHOOSE(CONTROL!$C$21, $C$9, 100%, $E$9)</f>
        <v>9.5182000000000002</v>
      </c>
      <c r="G184" s="17">
        <f>CHOOSE(CONTROL!$C$42, 9.534, 9.534)*CHOOSE(CONTROL!$C$21, $C$9, 100%, $E$9)</f>
        <v>9.5340000000000007</v>
      </c>
      <c r="H184" s="17">
        <f>CHOOSE(CONTROL!$C$42, 9.7907, 9.7907) * CHOOSE(CONTROL!$C$21, $C$9, 100%, $E$9)</f>
        <v>9.7906999999999993</v>
      </c>
      <c r="I184" s="17">
        <f>CHOOSE(CONTROL!$C$42, 9.5633, 9.5633)* CHOOSE(CONTROL!$C$21, $C$9, 100%, $E$9)</f>
        <v>9.5632999999999999</v>
      </c>
      <c r="J184" s="17">
        <f>CHOOSE(CONTROL!$C$42, 9.5108, 9.5108)* CHOOSE(CONTROL!$C$21, $C$9, 100%, $E$9)</f>
        <v>9.5107999999999997</v>
      </c>
      <c r="K184" s="53">
        <f>CHOOSE(CONTROL!$C$42, 9.5573, 9.5573) * CHOOSE(CONTROL!$C$21, $C$9, 100%, $E$9)</f>
        <v>9.5572999999999997</v>
      </c>
      <c r="L184" s="17">
        <f>CHOOSE(CONTROL!$C$42, 10.3777, 10.3777) * CHOOSE(CONTROL!$C$21, $C$9, 100%, $E$9)</f>
        <v>10.377700000000001</v>
      </c>
      <c r="M184" s="17">
        <f>CHOOSE(CONTROL!$C$42, 9.4322, 9.4322) * CHOOSE(CONTROL!$C$21, $C$9, 100%, $E$9)</f>
        <v>9.4321999999999999</v>
      </c>
      <c r="N184" s="17">
        <f>CHOOSE(CONTROL!$C$42, 9.4479, 9.4479) * CHOOSE(CONTROL!$C$21, $C$9, 100%, $E$9)</f>
        <v>9.4479000000000006</v>
      </c>
      <c r="O184" s="17">
        <f>CHOOSE(CONTROL!$C$42, 9.7096, 9.7096) * CHOOSE(CONTROL!$C$21, $C$9, 100%, $E$9)</f>
        <v>9.7096</v>
      </c>
      <c r="P184" s="17">
        <f>CHOOSE(CONTROL!$C$42, 9.4841, 9.4841) * CHOOSE(CONTROL!$C$21, $C$9, 100%, $E$9)</f>
        <v>9.4840999999999998</v>
      </c>
      <c r="Q184" s="17">
        <f>CHOOSE(CONTROL!$C$42, 10.3043, 10.3043) * CHOOSE(CONTROL!$C$21, $C$9, 100%, $E$9)</f>
        <v>10.3043</v>
      </c>
      <c r="R184" s="17">
        <f>CHOOSE(CONTROL!$C$42, 10.9171, 10.9171) * CHOOSE(CONTROL!$C$21, $C$9, 100%, $E$9)</f>
        <v>10.9171</v>
      </c>
      <c r="S184" s="17">
        <f>CHOOSE(CONTROL!$C$42, 9.2137, 9.2137) * CHOOSE(CONTROL!$C$21, $C$9, 100%, $E$9)</f>
        <v>9.2136999999999993</v>
      </c>
      <c r="T184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184" s="57">
        <f>(1000*CHOOSE(CONTROL!$C$42, 695, 695)*CHOOSE(CONTROL!$C$42, 0.5599, 0.5599)*CHOOSE(CONTROL!$C$42, 30, 30))/1000000</f>
        <v>11.673914999999997</v>
      </c>
      <c r="V184" s="57">
        <f>(1000*CHOOSE(CONTROL!$C$42, 500, 500)*CHOOSE(CONTROL!$C$42, 0.275, 0.275)*CHOOSE(CONTROL!$C$42, 30, 30))/1000000</f>
        <v>4.125</v>
      </c>
      <c r="W184" s="57">
        <f>(1000*CHOOSE(CONTROL!$C$42, 0.0916, 0.0916)*CHOOSE(CONTROL!$C$42, 121.5, 121.5)*CHOOSE(CONTROL!$C$42, 30, 30))/1000000</f>
        <v>0.33388200000000001</v>
      </c>
      <c r="X184" s="57">
        <f>(30*0.1790888*145000/1000000)+(30*0.2374*100000/1000000)</f>
        <v>1.4912362799999999</v>
      </c>
      <c r="Y184" s="57"/>
      <c r="Z184" s="17"/>
      <c r="AA184" s="56"/>
      <c r="AB184" s="49">
        <f>(B184*141.293+C184*267.993+D184*115.016+E184*189.698+F184*40+G184*85+H184*0+I184*100+J184*300)/(141.293+267.993+115.016+189.698+0+40+85+100+300)</f>
        <v>9.5867712717514131</v>
      </c>
      <c r="AC184" s="46">
        <f>(M184*'RAP TEMPLATE-GAS AVAILABILITY'!O183+N184*'RAP TEMPLATE-GAS AVAILABILITY'!P183+O184*'RAP TEMPLATE-GAS AVAILABILITY'!Q183+P184*'RAP TEMPLATE-GAS AVAILABILITY'!R183)/('RAP TEMPLATE-GAS AVAILABILITY'!O183+'RAP TEMPLATE-GAS AVAILABILITY'!P183+'RAP TEMPLATE-GAS AVAILABILITY'!Q183+'RAP TEMPLATE-GAS AVAILABILITY'!R183)</f>
        <v>9.5211136690647482</v>
      </c>
    </row>
    <row r="185" spans="1:29" ht="15.75" x14ac:dyDescent="0.25">
      <c r="A185" s="16">
        <v>46508</v>
      </c>
      <c r="B185" s="17">
        <f>CHOOSE(CONTROL!$C$42, 9.6172, 9.6172) * CHOOSE(CONTROL!$C$21, $C$9, 100%, $E$9)</f>
        <v>9.6172000000000004</v>
      </c>
      <c r="C185" s="17">
        <f>CHOOSE(CONTROL!$C$42, 9.6251, 9.6251) * CHOOSE(CONTROL!$C$21, $C$9, 100%, $E$9)</f>
        <v>9.6250999999999998</v>
      </c>
      <c r="D185" s="17">
        <f>CHOOSE(CONTROL!$C$42, 9.8748, 9.8748) * CHOOSE(CONTROL!$C$21, $C$9, 100%, $E$9)</f>
        <v>9.8748000000000005</v>
      </c>
      <c r="E185" s="17">
        <f>CHOOSE(CONTROL!$C$42, 9.9059, 9.9059) * CHOOSE(CONTROL!$C$21, $C$9, 100%, $E$9)</f>
        <v>9.9059000000000008</v>
      </c>
      <c r="F185" s="17">
        <f>CHOOSE(CONTROL!$C$42, 9.622, 9.622)*CHOOSE(CONTROL!$C$21, $C$9, 100%, $E$9)</f>
        <v>9.6219999999999999</v>
      </c>
      <c r="G185" s="17">
        <f>CHOOSE(CONTROL!$C$42, 9.6381, 9.6381)*CHOOSE(CONTROL!$C$21, $C$9, 100%, $E$9)</f>
        <v>9.6380999999999997</v>
      </c>
      <c r="H185" s="17">
        <f>CHOOSE(CONTROL!$C$42, 9.8943, 9.8943) * CHOOSE(CONTROL!$C$21, $C$9, 100%, $E$9)</f>
        <v>9.8942999999999994</v>
      </c>
      <c r="I185" s="17">
        <f>CHOOSE(CONTROL!$C$42, 9.6672, 9.6672)* CHOOSE(CONTROL!$C$21, $C$9, 100%, $E$9)</f>
        <v>9.6671999999999993</v>
      </c>
      <c r="J185" s="17">
        <f>CHOOSE(CONTROL!$C$42, 9.6146, 9.6146)* CHOOSE(CONTROL!$C$21, $C$9, 100%, $E$9)</f>
        <v>9.6145999999999994</v>
      </c>
      <c r="K185" s="53">
        <f>CHOOSE(CONTROL!$C$42, 9.6612, 9.6612) * CHOOSE(CONTROL!$C$21, $C$9, 100%, $E$9)</f>
        <v>9.6611999999999991</v>
      </c>
      <c r="L185" s="17">
        <f>CHOOSE(CONTROL!$C$42, 10.4813, 10.4813) * CHOOSE(CONTROL!$C$21, $C$9, 100%, $E$9)</f>
        <v>10.481299999999999</v>
      </c>
      <c r="M185" s="17">
        <f>CHOOSE(CONTROL!$C$42, 9.5351, 9.5351) * CHOOSE(CONTROL!$C$21, $C$9, 100%, $E$9)</f>
        <v>9.5350999999999999</v>
      </c>
      <c r="N185" s="17">
        <f>CHOOSE(CONTROL!$C$42, 9.5511, 9.5511) * CHOOSE(CONTROL!$C$21, $C$9, 100%, $E$9)</f>
        <v>9.5510999999999999</v>
      </c>
      <c r="O185" s="17">
        <f>CHOOSE(CONTROL!$C$42, 9.8123, 9.8123) * CHOOSE(CONTROL!$C$21, $C$9, 100%, $E$9)</f>
        <v>9.8123000000000005</v>
      </c>
      <c r="P185" s="17">
        <f>CHOOSE(CONTROL!$C$42, 9.5871, 9.5871) * CHOOSE(CONTROL!$C$21, $C$9, 100%, $E$9)</f>
        <v>9.5870999999999995</v>
      </c>
      <c r="Q185" s="17">
        <f>CHOOSE(CONTROL!$C$42, 10.407, 10.407) * CHOOSE(CONTROL!$C$21, $C$9, 100%, $E$9)</f>
        <v>10.407</v>
      </c>
      <c r="R185" s="17">
        <f>CHOOSE(CONTROL!$C$42, 11.02, 11.02) * CHOOSE(CONTROL!$C$21, $C$9, 100%, $E$9)</f>
        <v>11.02</v>
      </c>
      <c r="S185" s="17">
        <f>CHOOSE(CONTROL!$C$42, 9.3142, 9.3142) * CHOOSE(CONTROL!$C$21, $C$9, 100%, $E$9)</f>
        <v>9.3141999999999996</v>
      </c>
      <c r="T185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185" s="57">
        <f>(1000*CHOOSE(CONTROL!$C$42, 695, 695)*CHOOSE(CONTROL!$C$42, 0.5599, 0.5599)*CHOOSE(CONTROL!$C$42, 31, 31))/1000000</f>
        <v>12.063045499999998</v>
      </c>
      <c r="V185" s="57">
        <f>(1000*CHOOSE(CONTROL!$C$42, 500, 500)*CHOOSE(CONTROL!$C$42, 0.275, 0.275)*CHOOSE(CONTROL!$C$42, 31, 31))/1000000</f>
        <v>4.2625000000000002</v>
      </c>
      <c r="W185" s="57">
        <f>(1000*CHOOSE(CONTROL!$C$42, 0.0916, 0.0916)*CHOOSE(CONTROL!$C$42, 121.5, 121.5)*CHOOSE(CONTROL!$C$42, 31, 31))/1000000</f>
        <v>0.34501139999999997</v>
      </c>
      <c r="X185" s="57">
        <f>(31*0.1790888*145000/1000000)+(31*0.2374*100000/1000000)</f>
        <v>1.5409441560000001</v>
      </c>
      <c r="Y185" s="57"/>
      <c r="Z185" s="17"/>
      <c r="AA185" s="56"/>
      <c r="AB185" s="49">
        <f>(B185*194.205+C185*267.466+D185*133.845+E185*153.484+F185*40+G185*85+H185*0+I185*100+J185*300)/(194.205+267.466+133.845+153.484+0+40+85+100+300)</f>
        <v>9.6855601131868134</v>
      </c>
      <c r="AC185" s="46">
        <f>(M185*'RAP TEMPLATE-GAS AVAILABILITY'!O184+N185*'RAP TEMPLATE-GAS AVAILABILITY'!P184+O185*'RAP TEMPLATE-GAS AVAILABILITY'!Q184+P185*'RAP TEMPLATE-GAS AVAILABILITY'!R184)/('RAP TEMPLATE-GAS AVAILABILITY'!O184+'RAP TEMPLATE-GAS AVAILABILITY'!P184+'RAP TEMPLATE-GAS AVAILABILITY'!Q184+'RAP TEMPLATE-GAS AVAILABILITY'!R184)</f>
        <v>9.6240410071942435</v>
      </c>
    </row>
    <row r="186" spans="1:29" ht="15.75" x14ac:dyDescent="0.25">
      <c r="A186" s="16">
        <v>46539</v>
      </c>
      <c r="B186" s="17">
        <f>CHOOSE(CONTROL!$C$42, 9.9099, 9.9099) * CHOOSE(CONTROL!$C$21, $C$9, 100%, $E$9)</f>
        <v>9.9099000000000004</v>
      </c>
      <c r="C186" s="17">
        <f>CHOOSE(CONTROL!$C$42, 9.9179, 9.9179) * CHOOSE(CONTROL!$C$21, $C$9, 100%, $E$9)</f>
        <v>9.9178999999999995</v>
      </c>
      <c r="D186" s="17">
        <f>CHOOSE(CONTROL!$C$42, 10.1676, 10.1676) * CHOOSE(CONTROL!$C$21, $C$9, 100%, $E$9)</f>
        <v>10.1676</v>
      </c>
      <c r="E186" s="17">
        <f>CHOOSE(CONTROL!$C$42, 10.1987, 10.1987) * CHOOSE(CONTROL!$C$21, $C$9, 100%, $E$9)</f>
        <v>10.198700000000001</v>
      </c>
      <c r="F186" s="17">
        <f>CHOOSE(CONTROL!$C$42, 9.9151, 9.9151)*CHOOSE(CONTROL!$C$21, $C$9, 100%, $E$9)</f>
        <v>9.9151000000000007</v>
      </c>
      <c r="G186" s="17">
        <f>CHOOSE(CONTROL!$C$42, 9.9314, 9.9314)*CHOOSE(CONTROL!$C$21, $C$9, 100%, $E$9)</f>
        <v>9.9314</v>
      </c>
      <c r="H186" s="17">
        <f>CHOOSE(CONTROL!$C$42, 10.1871, 10.1871) * CHOOSE(CONTROL!$C$21, $C$9, 100%, $E$9)</f>
        <v>10.187099999999999</v>
      </c>
      <c r="I186" s="17">
        <f>CHOOSE(CONTROL!$C$42, 9.9609, 9.9609)* CHOOSE(CONTROL!$C$21, $C$9, 100%, $E$9)</f>
        <v>9.9609000000000005</v>
      </c>
      <c r="J186" s="17">
        <f>CHOOSE(CONTROL!$C$42, 9.9077, 9.9077)* CHOOSE(CONTROL!$C$21, $C$9, 100%, $E$9)</f>
        <v>9.9077000000000002</v>
      </c>
      <c r="K186" s="53">
        <f>CHOOSE(CONTROL!$C$42, 9.9549, 9.9549) * CHOOSE(CONTROL!$C$21, $C$9, 100%, $E$9)</f>
        <v>9.9549000000000003</v>
      </c>
      <c r="L186" s="17">
        <f>CHOOSE(CONTROL!$C$42, 10.7741, 10.7741) * CHOOSE(CONTROL!$C$21, $C$9, 100%, $E$9)</f>
        <v>10.774100000000001</v>
      </c>
      <c r="M186" s="17">
        <f>CHOOSE(CONTROL!$C$42, 9.8256, 9.8256) * CHOOSE(CONTROL!$C$21, $C$9, 100%, $E$9)</f>
        <v>9.8255999999999997</v>
      </c>
      <c r="N186" s="17">
        <f>CHOOSE(CONTROL!$C$42, 9.8417, 9.8417) * CHOOSE(CONTROL!$C$21, $C$9, 100%, $E$9)</f>
        <v>9.8416999999999994</v>
      </c>
      <c r="O186" s="17">
        <f>CHOOSE(CONTROL!$C$42, 10.1024, 10.1024) * CHOOSE(CONTROL!$C$21, $C$9, 100%, $E$9)</f>
        <v>10.102399999999999</v>
      </c>
      <c r="P186" s="17">
        <f>CHOOSE(CONTROL!$C$42, 9.8781, 9.8781) * CHOOSE(CONTROL!$C$21, $C$9, 100%, $E$9)</f>
        <v>9.8780999999999999</v>
      </c>
      <c r="Q186" s="17">
        <f>CHOOSE(CONTROL!$C$42, 10.6971, 10.6971) * CHOOSE(CONTROL!$C$21, $C$9, 100%, $E$9)</f>
        <v>10.697100000000001</v>
      </c>
      <c r="R186" s="17">
        <f>CHOOSE(CONTROL!$C$42, 11.3109, 11.3109) * CHOOSE(CONTROL!$C$21, $C$9, 100%, $E$9)</f>
        <v>11.3109</v>
      </c>
      <c r="S186" s="17">
        <f>CHOOSE(CONTROL!$C$42, 9.5981, 9.5981) * CHOOSE(CONTROL!$C$21, $C$9, 100%, $E$9)</f>
        <v>9.5981000000000005</v>
      </c>
      <c r="T186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186" s="57">
        <f>(1000*CHOOSE(CONTROL!$C$42, 695, 695)*CHOOSE(CONTROL!$C$42, 0.5599, 0.5599)*CHOOSE(CONTROL!$C$42, 30, 30))/1000000</f>
        <v>11.673914999999997</v>
      </c>
      <c r="V186" s="57">
        <f>(1000*CHOOSE(CONTROL!$C$42, 500, 500)*CHOOSE(CONTROL!$C$42, 0.275, 0.275)*CHOOSE(CONTROL!$C$42, 30, 30))/1000000</f>
        <v>4.125</v>
      </c>
      <c r="W186" s="57">
        <f>(1000*CHOOSE(CONTROL!$C$42, 0.0916, 0.0916)*CHOOSE(CONTROL!$C$42, 121.5, 121.5)*CHOOSE(CONTROL!$C$42, 30, 30))/1000000</f>
        <v>0.33388200000000001</v>
      </c>
      <c r="X186" s="57">
        <f>(30*0.1790888*145000/1000000)+(30*0.2374*100000/1000000)</f>
        <v>1.4912362799999999</v>
      </c>
      <c r="Y186" s="57"/>
      <c r="Z186" s="17"/>
      <c r="AA186" s="56"/>
      <c r="AB186" s="49">
        <f>(B186*194.205+C186*267.466+D186*133.845+E186*153.484+F186*40+G186*85+H186*0+I186*100+J186*300)/(194.205+267.466+133.845+153.484+0+40+85+100+300)</f>
        <v>9.9785289354003144</v>
      </c>
      <c r="AC186" s="46">
        <f>(M186*'RAP TEMPLATE-GAS AVAILABILITY'!O185+N186*'RAP TEMPLATE-GAS AVAILABILITY'!P185+O186*'RAP TEMPLATE-GAS AVAILABILITY'!Q185+P186*'RAP TEMPLATE-GAS AVAILABILITY'!R185)/('RAP TEMPLATE-GAS AVAILABILITY'!O185+'RAP TEMPLATE-GAS AVAILABILITY'!P185+'RAP TEMPLATE-GAS AVAILABILITY'!Q185+'RAP TEMPLATE-GAS AVAILABILITY'!R185)</f>
        <v>9.9145237410071925</v>
      </c>
    </row>
    <row r="187" spans="1:29" ht="15.75" x14ac:dyDescent="0.25">
      <c r="A187" s="16">
        <v>46569</v>
      </c>
      <c r="B187" s="17">
        <f>CHOOSE(CONTROL!$C$42, 9.7401, 9.7401) * CHOOSE(CONTROL!$C$21, $C$9, 100%, $E$9)</f>
        <v>9.7401</v>
      </c>
      <c r="C187" s="17">
        <f>CHOOSE(CONTROL!$C$42, 9.748, 9.748) * CHOOSE(CONTROL!$C$21, $C$9, 100%, $E$9)</f>
        <v>9.7479999999999993</v>
      </c>
      <c r="D187" s="17">
        <f>CHOOSE(CONTROL!$C$42, 9.9977, 9.9977) * CHOOSE(CONTROL!$C$21, $C$9, 100%, $E$9)</f>
        <v>9.9977</v>
      </c>
      <c r="E187" s="17">
        <f>CHOOSE(CONTROL!$C$42, 10.0288, 10.0288) * CHOOSE(CONTROL!$C$21, $C$9, 100%, $E$9)</f>
        <v>10.0288</v>
      </c>
      <c r="F187" s="17">
        <f>CHOOSE(CONTROL!$C$42, 9.7458, 9.7458)*CHOOSE(CONTROL!$C$21, $C$9, 100%, $E$9)</f>
        <v>9.7457999999999991</v>
      </c>
      <c r="G187" s="17">
        <f>CHOOSE(CONTROL!$C$42, 9.7621, 9.7621)*CHOOSE(CONTROL!$C$21, $C$9, 100%, $E$9)</f>
        <v>9.7621000000000002</v>
      </c>
      <c r="H187" s="17">
        <f>CHOOSE(CONTROL!$C$42, 10.0172, 10.0172) * CHOOSE(CONTROL!$C$21, $C$9, 100%, $E$9)</f>
        <v>10.017200000000001</v>
      </c>
      <c r="I187" s="17">
        <f>CHOOSE(CONTROL!$C$42, 9.7905, 9.7905)* CHOOSE(CONTROL!$C$21, $C$9, 100%, $E$9)</f>
        <v>9.7904999999999998</v>
      </c>
      <c r="J187" s="17">
        <f>CHOOSE(CONTROL!$C$42, 9.7384, 9.7384)* CHOOSE(CONTROL!$C$21, $C$9, 100%, $E$9)</f>
        <v>9.7384000000000004</v>
      </c>
      <c r="K187" s="53">
        <f>CHOOSE(CONTROL!$C$42, 9.7845, 9.7845) * CHOOSE(CONTROL!$C$21, $C$9, 100%, $E$9)</f>
        <v>9.7844999999999995</v>
      </c>
      <c r="L187" s="17">
        <f>CHOOSE(CONTROL!$C$42, 10.6042, 10.6042) * CHOOSE(CONTROL!$C$21, $C$9, 100%, $E$9)</f>
        <v>10.604200000000001</v>
      </c>
      <c r="M187" s="17">
        <f>CHOOSE(CONTROL!$C$42, 9.6578, 9.6578) * CHOOSE(CONTROL!$C$21, $C$9, 100%, $E$9)</f>
        <v>9.6577999999999999</v>
      </c>
      <c r="N187" s="17">
        <f>CHOOSE(CONTROL!$C$42, 9.674, 9.674) * CHOOSE(CONTROL!$C$21, $C$9, 100%, $E$9)</f>
        <v>9.6739999999999995</v>
      </c>
      <c r="O187" s="17">
        <f>CHOOSE(CONTROL!$C$42, 9.9341, 9.9341) * CHOOSE(CONTROL!$C$21, $C$9, 100%, $E$9)</f>
        <v>9.9341000000000008</v>
      </c>
      <c r="P187" s="17">
        <f>CHOOSE(CONTROL!$C$42, 9.7093, 9.7093) * CHOOSE(CONTROL!$C$21, $C$9, 100%, $E$9)</f>
        <v>9.7093000000000007</v>
      </c>
      <c r="Q187" s="17">
        <f>CHOOSE(CONTROL!$C$42, 10.5288, 10.5288) * CHOOSE(CONTROL!$C$21, $C$9, 100%, $E$9)</f>
        <v>10.5288</v>
      </c>
      <c r="R187" s="17">
        <f>CHOOSE(CONTROL!$C$42, 11.1421, 11.1421) * CHOOSE(CONTROL!$C$21, $C$9, 100%, $E$9)</f>
        <v>11.142099999999999</v>
      </c>
      <c r="S187" s="17">
        <f>CHOOSE(CONTROL!$C$42, 9.4334, 9.4334) * CHOOSE(CONTROL!$C$21, $C$9, 100%, $E$9)</f>
        <v>9.4334000000000007</v>
      </c>
      <c r="T187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187" s="57">
        <f>(1000*CHOOSE(CONTROL!$C$42, 695, 695)*CHOOSE(CONTROL!$C$42, 0.5599, 0.5599)*CHOOSE(CONTROL!$C$42, 31, 31))/1000000</f>
        <v>12.063045499999998</v>
      </c>
      <c r="V187" s="57">
        <f>(1000*CHOOSE(CONTROL!$C$42, 500, 500)*CHOOSE(CONTROL!$C$42, 0.275, 0.275)*CHOOSE(CONTROL!$C$42, 31, 31))/1000000</f>
        <v>4.2625000000000002</v>
      </c>
      <c r="W187" s="57">
        <f>(1000*CHOOSE(CONTROL!$C$42, 0.0916, 0.0916)*CHOOSE(CONTROL!$C$42, 121.5, 121.5)*CHOOSE(CONTROL!$C$42, 31, 31))/1000000</f>
        <v>0.34501139999999997</v>
      </c>
      <c r="X187" s="57">
        <f>(31*0.1790888*145000/1000000)+(31*0.2374*100000/1000000)</f>
        <v>1.5409441560000001</v>
      </c>
      <c r="Y187" s="57"/>
      <c r="Z187" s="17"/>
      <c r="AA187" s="56"/>
      <c r="AB187" s="49">
        <f>(B187*194.205+C187*267.466+D187*133.845+E187*153.484+F187*40+G187*85+H187*0+I187*100+J187*300)/(194.205+267.466+133.845+153.484+0+40+85+100+300)</f>
        <v>9.8088050896389323</v>
      </c>
      <c r="AC187" s="46">
        <f>(M187*'RAP TEMPLATE-GAS AVAILABILITY'!O186+N187*'RAP TEMPLATE-GAS AVAILABILITY'!P186+O187*'RAP TEMPLATE-GAS AVAILABILITY'!Q186+P187*'RAP TEMPLATE-GAS AVAILABILITY'!R186)/('RAP TEMPLATE-GAS AVAILABILITY'!O186+'RAP TEMPLATE-GAS AVAILABILITY'!P186+'RAP TEMPLATE-GAS AVAILABILITY'!Q186+'RAP TEMPLATE-GAS AVAILABILITY'!R186)</f>
        <v>9.7464625899280577</v>
      </c>
    </row>
    <row r="188" spans="1:29" ht="15.75" x14ac:dyDescent="0.25">
      <c r="A188" s="16">
        <v>46600</v>
      </c>
      <c r="B188" s="17">
        <f>CHOOSE(CONTROL!$C$42, 9.2786, 9.2786) * CHOOSE(CONTROL!$C$21, $C$9, 100%, $E$9)</f>
        <v>9.2786000000000008</v>
      </c>
      <c r="C188" s="17">
        <f>CHOOSE(CONTROL!$C$42, 9.2866, 9.2866) * CHOOSE(CONTROL!$C$21, $C$9, 100%, $E$9)</f>
        <v>9.2866</v>
      </c>
      <c r="D188" s="17">
        <f>CHOOSE(CONTROL!$C$42, 9.5362, 9.5362) * CHOOSE(CONTROL!$C$21, $C$9, 100%, $E$9)</f>
        <v>9.5361999999999991</v>
      </c>
      <c r="E188" s="17">
        <f>CHOOSE(CONTROL!$C$42, 9.5674, 9.5674) * CHOOSE(CONTROL!$C$21, $C$9, 100%, $E$9)</f>
        <v>9.5673999999999992</v>
      </c>
      <c r="F188" s="17">
        <f>CHOOSE(CONTROL!$C$42, 9.2846, 9.2846)*CHOOSE(CONTROL!$C$21, $C$9, 100%, $E$9)</f>
        <v>9.2845999999999993</v>
      </c>
      <c r="G188" s="17">
        <f>CHOOSE(CONTROL!$C$42, 9.301, 9.301)*CHOOSE(CONTROL!$C$21, $C$9, 100%, $E$9)</f>
        <v>9.3010000000000002</v>
      </c>
      <c r="H188" s="17">
        <f>CHOOSE(CONTROL!$C$42, 9.5557, 9.5557) * CHOOSE(CONTROL!$C$21, $C$9, 100%, $E$9)</f>
        <v>9.5556999999999999</v>
      </c>
      <c r="I188" s="17">
        <f>CHOOSE(CONTROL!$C$42, 9.3277, 9.3277)* CHOOSE(CONTROL!$C$21, $C$9, 100%, $E$9)</f>
        <v>9.3277000000000001</v>
      </c>
      <c r="J188" s="17">
        <f>CHOOSE(CONTROL!$C$42, 9.2772, 9.2772)* CHOOSE(CONTROL!$C$21, $C$9, 100%, $E$9)</f>
        <v>9.2772000000000006</v>
      </c>
      <c r="K188" s="53">
        <f>CHOOSE(CONTROL!$C$42, 9.3216, 9.3216) * CHOOSE(CONTROL!$C$21, $C$9, 100%, $E$9)</f>
        <v>9.3216000000000001</v>
      </c>
      <c r="L188" s="17">
        <f>CHOOSE(CONTROL!$C$42, 10.1427, 10.1427) * CHOOSE(CONTROL!$C$21, $C$9, 100%, $E$9)</f>
        <v>10.1427</v>
      </c>
      <c r="M188" s="17">
        <f>CHOOSE(CONTROL!$C$42, 9.2008, 9.2008) * CHOOSE(CONTROL!$C$21, $C$9, 100%, $E$9)</f>
        <v>9.2007999999999992</v>
      </c>
      <c r="N188" s="17">
        <f>CHOOSE(CONTROL!$C$42, 9.217, 9.217) * CHOOSE(CONTROL!$C$21, $C$9, 100%, $E$9)</f>
        <v>9.2170000000000005</v>
      </c>
      <c r="O188" s="17">
        <f>CHOOSE(CONTROL!$C$42, 9.4768, 9.4768) * CHOOSE(CONTROL!$C$21, $C$9, 100%, $E$9)</f>
        <v>9.4768000000000008</v>
      </c>
      <c r="P188" s="17">
        <f>CHOOSE(CONTROL!$C$42, 9.2506, 9.2506) * CHOOSE(CONTROL!$C$21, $C$9, 100%, $E$9)</f>
        <v>9.2506000000000004</v>
      </c>
      <c r="Q188" s="17">
        <f>CHOOSE(CONTROL!$C$42, 10.0715, 10.0715) * CHOOSE(CONTROL!$C$21, $C$9, 100%, $E$9)</f>
        <v>10.0715</v>
      </c>
      <c r="R188" s="17">
        <f>CHOOSE(CONTROL!$C$42, 10.6837, 10.6837) * CHOOSE(CONTROL!$C$21, $C$9, 100%, $E$9)</f>
        <v>10.6837</v>
      </c>
      <c r="S188" s="17">
        <f>CHOOSE(CONTROL!$C$42, 8.9859, 8.9859) * CHOOSE(CONTROL!$C$21, $C$9, 100%, $E$9)</f>
        <v>8.9859000000000009</v>
      </c>
      <c r="T188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188" s="57">
        <f>(1000*CHOOSE(CONTROL!$C$42, 695, 695)*CHOOSE(CONTROL!$C$42, 0.5599, 0.5599)*CHOOSE(CONTROL!$C$42, 31, 31))/1000000</f>
        <v>12.063045499999998</v>
      </c>
      <c r="V188" s="57">
        <f>(1000*CHOOSE(CONTROL!$C$42, 500, 500)*CHOOSE(CONTROL!$C$42, 0.275, 0.275)*CHOOSE(CONTROL!$C$42, 31, 31))/1000000</f>
        <v>4.2625000000000002</v>
      </c>
      <c r="W188" s="57">
        <f>(1000*CHOOSE(CONTROL!$C$42, 0.0916, 0.0916)*CHOOSE(CONTROL!$C$42, 121.5, 121.5)*CHOOSE(CONTROL!$C$42, 31, 31))/1000000</f>
        <v>0.34501139999999997</v>
      </c>
      <c r="X188" s="57">
        <f>(31*0.1790888*145000/1000000)+(31*0.2374*100000/1000000)</f>
        <v>1.5409441560000001</v>
      </c>
      <c r="Y188" s="57"/>
      <c r="Z188" s="17"/>
      <c r="AA188" s="56"/>
      <c r="AB188" s="49">
        <f>(B188*194.205+C188*267.466+D188*133.845+E188*153.484+F188*40+G188*85+H188*0+I188*100+J188*300)/(194.205+267.466+133.845+153.484+0+40+85+100+300)</f>
        <v>9.3473428408163262</v>
      </c>
      <c r="AC188" s="46">
        <f>(M188*'RAP TEMPLATE-GAS AVAILABILITY'!O187+N188*'RAP TEMPLATE-GAS AVAILABILITY'!P187+O188*'RAP TEMPLATE-GAS AVAILABILITY'!Q187+P188*'RAP TEMPLATE-GAS AVAILABILITY'!R187)/('RAP TEMPLATE-GAS AVAILABILITY'!O187+'RAP TEMPLATE-GAS AVAILABILITY'!P187+'RAP TEMPLATE-GAS AVAILABILITY'!Q187+'RAP TEMPLATE-GAS AVAILABILITY'!R187)</f>
        <v>9.2891338129496415</v>
      </c>
    </row>
    <row r="189" spans="1:29" ht="15.75" x14ac:dyDescent="0.25">
      <c r="A189" s="16">
        <v>46631</v>
      </c>
      <c r="B189" s="17">
        <f>CHOOSE(CONTROL!$C$42, 8.708, 8.708) * CHOOSE(CONTROL!$C$21, $C$9, 100%, $E$9)</f>
        <v>8.7080000000000002</v>
      </c>
      <c r="C189" s="17">
        <f>CHOOSE(CONTROL!$C$42, 8.716, 8.716) * CHOOSE(CONTROL!$C$21, $C$9, 100%, $E$9)</f>
        <v>8.7159999999999993</v>
      </c>
      <c r="D189" s="17">
        <f>CHOOSE(CONTROL!$C$42, 8.9656, 8.9656) * CHOOSE(CONTROL!$C$21, $C$9, 100%, $E$9)</f>
        <v>8.9656000000000002</v>
      </c>
      <c r="E189" s="17">
        <f>CHOOSE(CONTROL!$C$42, 8.9968, 8.9968) * CHOOSE(CONTROL!$C$21, $C$9, 100%, $E$9)</f>
        <v>8.9968000000000004</v>
      </c>
      <c r="F189" s="17">
        <f>CHOOSE(CONTROL!$C$42, 8.714, 8.714)*CHOOSE(CONTROL!$C$21, $C$9, 100%, $E$9)</f>
        <v>8.7140000000000004</v>
      </c>
      <c r="G189" s="17">
        <f>CHOOSE(CONTROL!$C$42, 8.7305, 8.7305)*CHOOSE(CONTROL!$C$21, $C$9, 100%, $E$9)</f>
        <v>8.7304999999999993</v>
      </c>
      <c r="H189" s="17">
        <f>CHOOSE(CONTROL!$C$42, 8.9851, 8.9851) * CHOOSE(CONTROL!$C$21, $C$9, 100%, $E$9)</f>
        <v>8.9850999999999992</v>
      </c>
      <c r="I189" s="17">
        <f>CHOOSE(CONTROL!$C$42, 8.7553, 8.7553)* CHOOSE(CONTROL!$C$21, $C$9, 100%, $E$9)</f>
        <v>8.7553000000000001</v>
      </c>
      <c r="J189" s="17">
        <f>CHOOSE(CONTROL!$C$42, 8.7066, 8.7066)* CHOOSE(CONTROL!$C$21, $C$9, 100%, $E$9)</f>
        <v>8.7065999999999999</v>
      </c>
      <c r="K189" s="53">
        <f>CHOOSE(CONTROL!$C$42, 8.7492, 8.7492) * CHOOSE(CONTROL!$C$21, $C$9, 100%, $E$9)</f>
        <v>8.7492000000000001</v>
      </c>
      <c r="L189" s="17">
        <f>CHOOSE(CONTROL!$C$42, 9.5721, 9.5721) * CHOOSE(CONTROL!$C$21, $C$9, 100%, $E$9)</f>
        <v>9.5721000000000007</v>
      </c>
      <c r="M189" s="17">
        <f>CHOOSE(CONTROL!$C$42, 8.6353, 8.6353) * CHOOSE(CONTROL!$C$21, $C$9, 100%, $E$9)</f>
        <v>8.6353000000000009</v>
      </c>
      <c r="N189" s="17">
        <f>CHOOSE(CONTROL!$C$42, 8.6516, 8.6516) * CHOOSE(CONTROL!$C$21, $C$9, 100%, $E$9)</f>
        <v>8.6516000000000002</v>
      </c>
      <c r="O189" s="17">
        <f>CHOOSE(CONTROL!$C$42, 8.9113, 8.9113) * CHOOSE(CONTROL!$C$21, $C$9, 100%, $E$9)</f>
        <v>8.9113000000000007</v>
      </c>
      <c r="P189" s="17">
        <f>CHOOSE(CONTROL!$C$42, 8.6833, 8.6833) * CHOOSE(CONTROL!$C$21, $C$9, 100%, $E$9)</f>
        <v>8.6832999999999991</v>
      </c>
      <c r="Q189" s="17">
        <f>CHOOSE(CONTROL!$C$42, 9.506, 9.506) * CHOOSE(CONTROL!$C$21, $C$9, 100%, $E$9)</f>
        <v>9.5060000000000002</v>
      </c>
      <c r="R189" s="17">
        <f>CHOOSE(CONTROL!$C$42, 10.1168, 10.1168) * CHOOSE(CONTROL!$C$21, $C$9, 100%, $E$9)</f>
        <v>10.1168</v>
      </c>
      <c r="S189" s="17">
        <f>CHOOSE(CONTROL!$C$42, 8.4326, 8.4326) * CHOOSE(CONTROL!$C$21, $C$9, 100%, $E$9)</f>
        <v>8.4326000000000008</v>
      </c>
      <c r="T189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189" s="57">
        <f>(1000*CHOOSE(CONTROL!$C$42, 695, 695)*CHOOSE(CONTROL!$C$42, 0.5599, 0.5599)*CHOOSE(CONTROL!$C$42, 30, 30))/1000000</f>
        <v>11.673914999999997</v>
      </c>
      <c r="V189" s="57">
        <f>(1000*CHOOSE(CONTROL!$C$42, 500, 500)*CHOOSE(CONTROL!$C$42, 0.275, 0.275)*CHOOSE(CONTROL!$C$42, 30, 30))/1000000</f>
        <v>4.125</v>
      </c>
      <c r="W189" s="57">
        <f>(1000*CHOOSE(CONTROL!$C$42, 0.0916, 0.0916)*CHOOSE(CONTROL!$C$42, 121.5, 121.5)*CHOOSE(CONTROL!$C$42, 30, 30))/1000000</f>
        <v>0.33388200000000001</v>
      </c>
      <c r="X189" s="57">
        <f>(30*0.1790888*145000/1000000)+(30*0.2374*100000/1000000)</f>
        <v>1.4912362799999999</v>
      </c>
      <c r="Y189" s="57"/>
      <c r="Z189" s="17"/>
      <c r="AA189" s="56"/>
      <c r="AB189" s="49">
        <f>(B189*194.205+C189*267.466+D189*133.845+E189*153.484+F189*40+G189*85+H189*0+I189*100+J189*300)/(194.205+267.466+133.845+153.484+0+40+85+100+300)</f>
        <v>8.7766082254317119</v>
      </c>
      <c r="AC189" s="46">
        <f>(M189*'RAP TEMPLATE-GAS AVAILABILITY'!O188+N189*'RAP TEMPLATE-GAS AVAILABILITY'!P188+O189*'RAP TEMPLATE-GAS AVAILABILITY'!Q188+P189*'RAP TEMPLATE-GAS AVAILABILITY'!R188)/('RAP TEMPLATE-GAS AVAILABILITY'!O188+'RAP TEMPLATE-GAS AVAILABILITY'!P188+'RAP TEMPLATE-GAS AVAILABILITY'!Q188+'RAP TEMPLATE-GAS AVAILABILITY'!R188)</f>
        <v>8.7233978417266194</v>
      </c>
    </row>
    <row r="190" spans="1:29" ht="15.75" x14ac:dyDescent="0.25">
      <c r="A190" s="16">
        <v>46661</v>
      </c>
      <c r="B190" s="17">
        <f>CHOOSE(CONTROL!$C$42, 8.5473, 8.5473) * CHOOSE(CONTROL!$C$21, $C$9, 100%, $E$9)</f>
        <v>8.5472999999999999</v>
      </c>
      <c r="C190" s="17">
        <f>CHOOSE(CONTROL!$C$42, 8.5526, 8.5526) * CHOOSE(CONTROL!$C$21, $C$9, 100%, $E$9)</f>
        <v>8.5526</v>
      </c>
      <c r="D190" s="17">
        <f>CHOOSE(CONTROL!$C$42, 8.8071, 8.8071) * CHOOSE(CONTROL!$C$21, $C$9, 100%, $E$9)</f>
        <v>8.8071000000000002</v>
      </c>
      <c r="E190" s="17">
        <f>CHOOSE(CONTROL!$C$42, 8.836, 8.836) * CHOOSE(CONTROL!$C$21, $C$9, 100%, $E$9)</f>
        <v>8.8360000000000003</v>
      </c>
      <c r="F190" s="17">
        <f>CHOOSE(CONTROL!$C$42, 8.5555, 8.5555)*CHOOSE(CONTROL!$C$21, $C$9, 100%, $E$9)</f>
        <v>8.5555000000000003</v>
      </c>
      <c r="G190" s="17">
        <f>CHOOSE(CONTROL!$C$42, 8.5718, 8.5718)*CHOOSE(CONTROL!$C$21, $C$9, 100%, $E$9)</f>
        <v>8.5717999999999996</v>
      </c>
      <c r="H190" s="17">
        <f>CHOOSE(CONTROL!$C$42, 8.8261, 8.8261) * CHOOSE(CONTROL!$C$21, $C$9, 100%, $E$9)</f>
        <v>8.8261000000000003</v>
      </c>
      <c r="I190" s="17">
        <f>CHOOSE(CONTROL!$C$42, 8.5958, 8.5958)* CHOOSE(CONTROL!$C$21, $C$9, 100%, $E$9)</f>
        <v>8.5958000000000006</v>
      </c>
      <c r="J190" s="17">
        <f>CHOOSE(CONTROL!$C$42, 8.5481, 8.5481)* CHOOSE(CONTROL!$C$21, $C$9, 100%, $E$9)</f>
        <v>8.5480999999999998</v>
      </c>
      <c r="K190" s="53">
        <f>CHOOSE(CONTROL!$C$42, 8.5897, 8.5897) * CHOOSE(CONTROL!$C$21, $C$9, 100%, $E$9)</f>
        <v>8.5897000000000006</v>
      </c>
      <c r="L190" s="17">
        <f>CHOOSE(CONTROL!$C$42, 9.4131, 9.4131) * CHOOSE(CONTROL!$C$21, $C$9, 100%, $E$9)</f>
        <v>9.4131</v>
      </c>
      <c r="M190" s="17">
        <f>CHOOSE(CONTROL!$C$42, 8.4782, 8.4782) * CHOOSE(CONTROL!$C$21, $C$9, 100%, $E$9)</f>
        <v>8.4781999999999993</v>
      </c>
      <c r="N190" s="17">
        <f>CHOOSE(CONTROL!$C$42, 8.4944, 8.4944) * CHOOSE(CONTROL!$C$21, $C$9, 100%, $E$9)</f>
        <v>8.4944000000000006</v>
      </c>
      <c r="O190" s="17">
        <f>CHOOSE(CONTROL!$C$42, 8.7538, 8.7538) * CHOOSE(CONTROL!$C$21, $C$9, 100%, $E$9)</f>
        <v>8.7538</v>
      </c>
      <c r="P190" s="17">
        <f>CHOOSE(CONTROL!$C$42, 8.5253, 8.5253) * CHOOSE(CONTROL!$C$21, $C$9, 100%, $E$9)</f>
        <v>8.5252999999999997</v>
      </c>
      <c r="Q190" s="17">
        <f>CHOOSE(CONTROL!$C$42, 9.3485, 9.3485) * CHOOSE(CONTROL!$C$21, $C$9, 100%, $E$9)</f>
        <v>9.3484999999999996</v>
      </c>
      <c r="R190" s="17">
        <f>CHOOSE(CONTROL!$C$42, 9.9588, 9.9588) * CHOOSE(CONTROL!$C$21, $C$9, 100%, $E$9)</f>
        <v>9.9588000000000001</v>
      </c>
      <c r="S190" s="17">
        <f>CHOOSE(CONTROL!$C$42, 8.2784, 8.2784) * CHOOSE(CONTROL!$C$21, $C$9, 100%, $E$9)</f>
        <v>8.2783999999999995</v>
      </c>
      <c r="T190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190" s="57">
        <f>(1000*CHOOSE(CONTROL!$C$42, 695, 695)*CHOOSE(CONTROL!$C$42, 0.5599, 0.5599)*CHOOSE(CONTROL!$C$42, 31, 31))/1000000</f>
        <v>12.063045499999998</v>
      </c>
      <c r="V190" s="57">
        <f>(1000*CHOOSE(CONTROL!$C$42, 500, 500)*CHOOSE(CONTROL!$C$42, 0.275, 0.275)*CHOOSE(CONTROL!$C$42, 31, 31))/1000000</f>
        <v>4.2625000000000002</v>
      </c>
      <c r="W190" s="57">
        <f>(1000*CHOOSE(CONTROL!$C$42, 0.0916, 0.0916)*CHOOSE(CONTROL!$C$42, 121.5, 121.5)*CHOOSE(CONTROL!$C$42, 31, 31))/1000000</f>
        <v>0.34501139999999997</v>
      </c>
      <c r="X190" s="57">
        <f>(31*0.1790888*145000/1000000)+(31*0.2374*100000/1000000)</f>
        <v>1.5409441560000001</v>
      </c>
      <c r="Y190" s="57"/>
      <c r="Z190" s="17"/>
      <c r="AA190" s="56"/>
      <c r="AB190" s="49">
        <f>(B190*131.881+C190*277.167+D190*79.08+E190*225.872+F190*40+G190*85+H190*0+I190*100+J190*300)/(131.881+277.167+79.08+225.872+0+40+85+100+300)</f>
        <v>8.623751747780469</v>
      </c>
      <c r="AC190" s="46">
        <f>(M190*'RAP TEMPLATE-GAS AVAILABILITY'!O189+N190*'RAP TEMPLATE-GAS AVAILABILITY'!P189+O190*'RAP TEMPLATE-GAS AVAILABILITY'!Q189+P190*'RAP TEMPLATE-GAS AVAILABILITY'!R189)/('RAP TEMPLATE-GAS AVAILABILITY'!O189+'RAP TEMPLATE-GAS AVAILABILITY'!P189+'RAP TEMPLATE-GAS AVAILABILITY'!Q189+'RAP TEMPLATE-GAS AVAILABILITY'!R189)</f>
        <v>8.5660330935251778</v>
      </c>
    </row>
    <row r="191" spans="1:29" ht="15.75" x14ac:dyDescent="0.25">
      <c r="A191" s="16">
        <v>46692</v>
      </c>
      <c r="B191" s="17">
        <f>CHOOSE(CONTROL!$C$42, 8.7898, 8.7898) * CHOOSE(CONTROL!$C$21, $C$9, 100%, $E$9)</f>
        <v>8.7897999999999996</v>
      </c>
      <c r="C191" s="17">
        <f>CHOOSE(CONTROL!$C$42, 8.7949, 8.7949) * CHOOSE(CONTROL!$C$21, $C$9, 100%, $E$9)</f>
        <v>8.7949000000000002</v>
      </c>
      <c r="D191" s="17">
        <f>CHOOSE(CONTROL!$C$42, 8.9175, 8.9175) * CHOOSE(CONTROL!$C$21, $C$9, 100%, $E$9)</f>
        <v>8.9175000000000004</v>
      </c>
      <c r="E191" s="17">
        <f>CHOOSE(CONTROL!$C$42, 8.9513, 8.9513) * CHOOSE(CONTROL!$C$21, $C$9, 100%, $E$9)</f>
        <v>8.9512999999999998</v>
      </c>
      <c r="F191" s="17">
        <f>CHOOSE(CONTROL!$C$42, 8.8048, 8.8048)*CHOOSE(CONTROL!$C$21, $C$9, 100%, $E$9)</f>
        <v>8.8048000000000002</v>
      </c>
      <c r="G191" s="17">
        <f>CHOOSE(CONTROL!$C$42, 8.8215, 8.8215)*CHOOSE(CONTROL!$C$21, $C$9, 100%, $E$9)</f>
        <v>8.8215000000000003</v>
      </c>
      <c r="H191" s="17">
        <f>CHOOSE(CONTROL!$C$42, 8.9402, 8.9402) * CHOOSE(CONTROL!$C$21, $C$9, 100%, $E$9)</f>
        <v>8.9402000000000008</v>
      </c>
      <c r="I191" s="17">
        <f>CHOOSE(CONTROL!$C$42, 8.842, 8.842)* CHOOSE(CONTROL!$C$21, $C$9, 100%, $E$9)</f>
        <v>8.8420000000000005</v>
      </c>
      <c r="J191" s="17">
        <f>CHOOSE(CONTROL!$C$42, 8.7974, 8.7974)* CHOOSE(CONTROL!$C$21, $C$9, 100%, $E$9)</f>
        <v>8.7973999999999997</v>
      </c>
      <c r="K191" s="53">
        <f>CHOOSE(CONTROL!$C$42, 8.836, 8.836) * CHOOSE(CONTROL!$C$21, $C$9, 100%, $E$9)</f>
        <v>8.8360000000000003</v>
      </c>
      <c r="L191" s="17">
        <f>CHOOSE(CONTROL!$C$42, 9.5272, 9.5272) * CHOOSE(CONTROL!$C$21, $C$9, 100%, $E$9)</f>
        <v>9.5272000000000006</v>
      </c>
      <c r="M191" s="17">
        <f>CHOOSE(CONTROL!$C$42, 8.7253, 8.7253) * CHOOSE(CONTROL!$C$21, $C$9, 100%, $E$9)</f>
        <v>8.7253000000000007</v>
      </c>
      <c r="N191" s="17">
        <f>CHOOSE(CONTROL!$C$42, 8.7418, 8.7418) * CHOOSE(CONTROL!$C$21, $C$9, 100%, $E$9)</f>
        <v>8.7417999999999996</v>
      </c>
      <c r="O191" s="17">
        <f>CHOOSE(CONTROL!$C$42, 8.8668, 8.8668) * CHOOSE(CONTROL!$C$21, $C$9, 100%, $E$9)</f>
        <v>8.8667999999999996</v>
      </c>
      <c r="P191" s="17">
        <f>CHOOSE(CONTROL!$C$42, 8.7693, 8.7693) * CHOOSE(CONTROL!$C$21, $C$9, 100%, $E$9)</f>
        <v>8.7692999999999994</v>
      </c>
      <c r="Q191" s="17">
        <f>CHOOSE(CONTROL!$C$42, 9.4615, 9.4615) * CHOOSE(CONTROL!$C$21, $C$9, 100%, $E$9)</f>
        <v>9.4614999999999991</v>
      </c>
      <c r="R191" s="17">
        <f>CHOOSE(CONTROL!$C$42, 10.0721, 10.0721) * CHOOSE(CONTROL!$C$21, $C$9, 100%, $E$9)</f>
        <v>10.072100000000001</v>
      </c>
      <c r="S191" s="17">
        <f>CHOOSE(CONTROL!$C$42, 8.514, 8.514) * CHOOSE(CONTROL!$C$21, $C$9, 100%, $E$9)</f>
        <v>8.5139999999999993</v>
      </c>
      <c r="T191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191" s="57">
        <f>(1000*CHOOSE(CONTROL!$C$42, 695, 695)*CHOOSE(CONTROL!$C$42, 0.5599, 0.5599)*CHOOSE(CONTROL!$C$42, 30, 30))/1000000</f>
        <v>11.673914999999997</v>
      </c>
      <c r="V191" s="57">
        <f>(1000*CHOOSE(CONTROL!$C$42, 500, 500)*CHOOSE(CONTROL!$C$42, 0.275, 0.275)*CHOOSE(CONTROL!$C$42, 30, 30))/1000000</f>
        <v>4.125</v>
      </c>
      <c r="W191" s="57">
        <f>(1000*CHOOSE(CONTROL!$C$42, 0.0916, 0.0916)*CHOOSE(CONTROL!$C$42, 121.5, 121.5)*CHOOSE(CONTROL!$C$42, 30, 30))/1000000</f>
        <v>0.33388200000000001</v>
      </c>
      <c r="X191" s="57">
        <f>(30*0.2374*100000/1000000)</f>
        <v>0.71220000000000006</v>
      </c>
      <c r="Y191" s="57"/>
      <c r="Z191" s="17"/>
      <c r="AA191" s="56"/>
      <c r="AB191" s="49">
        <f>(B191*122.58+C191*297.941+D191*89.177+E191*140.302+F191*40+G191*60+H191*0+I191*100+J191*300)/(122.58+297.941+89.177+140.302+0+40+60+100+300)</f>
        <v>8.8294244999999982</v>
      </c>
      <c r="AC191" s="46">
        <f>(M191*'RAP TEMPLATE-GAS AVAILABILITY'!O190+N191*'RAP TEMPLATE-GAS AVAILABILITY'!P190+O191*'RAP TEMPLATE-GAS AVAILABILITY'!Q190+P191*'RAP TEMPLATE-GAS AVAILABILITY'!R190)/('RAP TEMPLATE-GAS AVAILABILITY'!O190+'RAP TEMPLATE-GAS AVAILABILITY'!P190+'RAP TEMPLATE-GAS AVAILABILITY'!Q190+'RAP TEMPLATE-GAS AVAILABILITY'!R190)</f>
        <v>8.7967136690647489</v>
      </c>
    </row>
    <row r="192" spans="1:29" ht="15.75" x14ac:dyDescent="0.25">
      <c r="A192" s="16">
        <v>46722</v>
      </c>
      <c r="B192" s="17">
        <f>CHOOSE(CONTROL!$C$42, 9.4077, 9.4077) * CHOOSE(CONTROL!$C$21, $C$9, 100%, $E$9)</f>
        <v>9.4077000000000002</v>
      </c>
      <c r="C192" s="17">
        <f>CHOOSE(CONTROL!$C$42, 9.4128, 9.4128) * CHOOSE(CONTROL!$C$21, $C$9, 100%, $E$9)</f>
        <v>9.4128000000000007</v>
      </c>
      <c r="D192" s="17">
        <f>CHOOSE(CONTROL!$C$42, 9.5354, 9.5354) * CHOOSE(CONTROL!$C$21, $C$9, 100%, $E$9)</f>
        <v>9.5353999999999992</v>
      </c>
      <c r="E192" s="17">
        <f>CHOOSE(CONTROL!$C$42, 9.5692, 9.5692) * CHOOSE(CONTROL!$C$21, $C$9, 100%, $E$9)</f>
        <v>9.5692000000000004</v>
      </c>
      <c r="F192" s="17">
        <f>CHOOSE(CONTROL!$C$42, 9.4251, 9.4251)*CHOOSE(CONTROL!$C$21, $C$9, 100%, $E$9)</f>
        <v>9.4251000000000005</v>
      </c>
      <c r="G192" s="17">
        <f>CHOOSE(CONTROL!$C$42, 9.4424, 9.4424)*CHOOSE(CONTROL!$C$21, $C$9, 100%, $E$9)</f>
        <v>9.4423999999999992</v>
      </c>
      <c r="H192" s="17">
        <f>CHOOSE(CONTROL!$C$42, 9.558, 9.558) * CHOOSE(CONTROL!$C$21, $C$9, 100%, $E$9)</f>
        <v>9.5579999999999998</v>
      </c>
      <c r="I192" s="17">
        <f>CHOOSE(CONTROL!$C$42, 9.4618, 9.4618)* CHOOSE(CONTROL!$C$21, $C$9, 100%, $E$9)</f>
        <v>9.4618000000000002</v>
      </c>
      <c r="J192" s="17">
        <f>CHOOSE(CONTROL!$C$42, 9.4177, 9.4177)* CHOOSE(CONTROL!$C$21, $C$9, 100%, $E$9)</f>
        <v>9.4177</v>
      </c>
      <c r="K192" s="53">
        <f>CHOOSE(CONTROL!$C$42, 9.4558, 9.4558) * CHOOSE(CONTROL!$C$21, $C$9, 100%, $E$9)</f>
        <v>9.4558</v>
      </c>
      <c r="L192" s="17">
        <f>CHOOSE(CONTROL!$C$42, 10.145, 10.145) * CHOOSE(CONTROL!$C$21, $C$9, 100%, $E$9)</f>
        <v>10.145</v>
      </c>
      <c r="M192" s="17">
        <f>CHOOSE(CONTROL!$C$42, 9.34, 9.34) * CHOOSE(CONTROL!$C$21, $C$9, 100%, $E$9)</f>
        <v>9.34</v>
      </c>
      <c r="N192" s="17">
        <f>CHOOSE(CONTROL!$C$42, 9.3572, 9.3572) * CHOOSE(CONTROL!$C$21, $C$9, 100%, $E$9)</f>
        <v>9.3572000000000006</v>
      </c>
      <c r="O192" s="17">
        <f>CHOOSE(CONTROL!$C$42, 9.4791, 9.4791) * CHOOSE(CONTROL!$C$21, $C$9, 100%, $E$9)</f>
        <v>9.4791000000000007</v>
      </c>
      <c r="P192" s="17">
        <f>CHOOSE(CONTROL!$C$42, 9.3836, 9.3836) * CHOOSE(CONTROL!$C$21, $C$9, 100%, $E$9)</f>
        <v>9.3835999999999995</v>
      </c>
      <c r="Q192" s="17">
        <f>CHOOSE(CONTROL!$C$42, 10.0738, 10.0738) * CHOOSE(CONTROL!$C$21, $C$9, 100%, $E$9)</f>
        <v>10.0738</v>
      </c>
      <c r="R192" s="17">
        <f>CHOOSE(CONTROL!$C$42, 10.686, 10.686) * CHOOSE(CONTROL!$C$21, $C$9, 100%, $E$9)</f>
        <v>10.686</v>
      </c>
      <c r="S192" s="17">
        <f>CHOOSE(CONTROL!$C$42, 9.1131, 9.1131) * CHOOSE(CONTROL!$C$21, $C$9, 100%, $E$9)</f>
        <v>9.1130999999999993</v>
      </c>
      <c r="T192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192" s="57">
        <f>(1000*CHOOSE(CONTROL!$C$42, 695, 695)*CHOOSE(CONTROL!$C$42, 0.5599, 0.5599)*CHOOSE(CONTROL!$C$42, 31, 31))/1000000</f>
        <v>12.063045499999998</v>
      </c>
      <c r="V192" s="57">
        <f>(1000*CHOOSE(CONTROL!$C$42, 500, 500)*CHOOSE(CONTROL!$C$42, 0.275, 0.275)*CHOOSE(CONTROL!$C$42, 31, 31))/1000000</f>
        <v>4.2625000000000002</v>
      </c>
      <c r="W192" s="57">
        <f>(1000*CHOOSE(CONTROL!$C$42, 0.0916, 0.0916)*CHOOSE(CONTROL!$C$42, 121.5, 121.5)*CHOOSE(CONTROL!$C$42, 31, 31))/1000000</f>
        <v>0.34501139999999997</v>
      </c>
      <c r="X192" s="57">
        <f>(31*0.2374*100000/1000000)</f>
        <v>0.73594000000000004</v>
      </c>
      <c r="Y192" s="57"/>
      <c r="Z192" s="17"/>
      <c r="AA192" s="56"/>
      <c r="AB192" s="49">
        <f>(B192*122.58+C192*297.941+D192*89.177+E192*140.302+F192*40+G192*60+H192*0+I192*100+J192*300)/(122.58+297.941+89.177+140.302+0+40+60+100+300)</f>
        <v>9.4483558043478251</v>
      </c>
      <c r="AC192" s="46">
        <f>(M192*'RAP TEMPLATE-GAS AVAILABILITY'!O191+N192*'RAP TEMPLATE-GAS AVAILABILITY'!P191+O192*'RAP TEMPLATE-GAS AVAILABILITY'!Q191+P192*'RAP TEMPLATE-GAS AVAILABILITY'!R191)/('RAP TEMPLATE-GAS AVAILABILITY'!O191+'RAP TEMPLATE-GAS AVAILABILITY'!P191+'RAP TEMPLATE-GAS AVAILABILITY'!Q191+'RAP TEMPLATE-GAS AVAILABILITY'!R191)</f>
        <v>9.4103086330935248</v>
      </c>
    </row>
    <row r="193" spans="1:29" ht="15.75" x14ac:dyDescent="0.25">
      <c r="A193" s="16">
        <v>46753</v>
      </c>
      <c r="B193" s="17">
        <f>CHOOSE(CONTROL!$C$42, 9.9068, 9.9068) * CHOOSE(CONTROL!$C$21, $C$9, 100%, $E$9)</f>
        <v>9.9068000000000005</v>
      </c>
      <c r="C193" s="17">
        <f>CHOOSE(CONTROL!$C$42, 9.9119, 9.9119) * CHOOSE(CONTROL!$C$21, $C$9, 100%, $E$9)</f>
        <v>9.9118999999999993</v>
      </c>
      <c r="D193" s="17">
        <f>CHOOSE(CONTROL!$C$42, 10.0294, 10.0294) * CHOOSE(CONTROL!$C$21, $C$9, 100%, $E$9)</f>
        <v>10.029400000000001</v>
      </c>
      <c r="E193" s="17">
        <f>CHOOSE(CONTROL!$C$42, 10.0631, 10.0631) * CHOOSE(CONTROL!$C$21, $C$9, 100%, $E$9)</f>
        <v>10.0631</v>
      </c>
      <c r="F193" s="17">
        <f>CHOOSE(CONTROL!$C$42, 9.9205, 9.9205)*CHOOSE(CONTROL!$C$21, $C$9, 100%, $E$9)</f>
        <v>9.9205000000000005</v>
      </c>
      <c r="G193" s="17">
        <f>CHOOSE(CONTROL!$C$42, 9.9368, 9.9368)*CHOOSE(CONTROL!$C$21, $C$9, 100%, $E$9)</f>
        <v>9.9367999999999999</v>
      </c>
      <c r="H193" s="17">
        <f>CHOOSE(CONTROL!$C$42, 10.052, 10.052) * CHOOSE(CONTROL!$C$21, $C$9, 100%, $E$9)</f>
        <v>10.052</v>
      </c>
      <c r="I193" s="17">
        <f>CHOOSE(CONTROL!$C$42, 9.961, 9.961)* CHOOSE(CONTROL!$C$21, $C$9, 100%, $E$9)</f>
        <v>9.9610000000000003</v>
      </c>
      <c r="J193" s="17">
        <f>CHOOSE(CONTROL!$C$42, 9.9131, 9.9131)* CHOOSE(CONTROL!$C$21, $C$9, 100%, $E$9)</f>
        <v>9.9131</v>
      </c>
      <c r="K193" s="53">
        <f>CHOOSE(CONTROL!$C$42, 9.9549, 9.9549) * CHOOSE(CONTROL!$C$21, $C$9, 100%, $E$9)</f>
        <v>9.9549000000000003</v>
      </c>
      <c r="L193" s="17">
        <f>CHOOSE(CONTROL!$C$42, 10.639, 10.639) * CHOOSE(CONTROL!$C$21, $C$9, 100%, $E$9)</f>
        <v>10.638999999999999</v>
      </c>
      <c r="M193" s="17">
        <f>CHOOSE(CONTROL!$C$42, 9.8309, 9.8309) * CHOOSE(CONTROL!$C$21, $C$9, 100%, $E$9)</f>
        <v>9.8308999999999997</v>
      </c>
      <c r="N193" s="17">
        <f>CHOOSE(CONTROL!$C$42, 9.8471, 9.8471) * CHOOSE(CONTROL!$C$21, $C$9, 100%, $E$9)</f>
        <v>9.8470999999999993</v>
      </c>
      <c r="O193" s="17">
        <f>CHOOSE(CONTROL!$C$42, 9.9686, 9.9686) * CHOOSE(CONTROL!$C$21, $C$9, 100%, $E$9)</f>
        <v>9.9686000000000003</v>
      </c>
      <c r="P193" s="17">
        <f>CHOOSE(CONTROL!$C$42, 9.8782, 9.8782) * CHOOSE(CONTROL!$C$21, $C$9, 100%, $E$9)</f>
        <v>9.8781999999999996</v>
      </c>
      <c r="Q193" s="17">
        <f>CHOOSE(CONTROL!$C$42, 10.5633, 10.5633) * CHOOSE(CONTROL!$C$21, $C$9, 100%, $E$9)</f>
        <v>10.5633</v>
      </c>
      <c r="R193" s="17">
        <f>CHOOSE(CONTROL!$C$42, 11.1767, 11.1767) * CHOOSE(CONTROL!$C$21, $C$9, 100%, $E$9)</f>
        <v>11.1767</v>
      </c>
      <c r="S193" s="17">
        <f>CHOOSE(CONTROL!$C$42, 9.5971, 9.5971) * CHOOSE(CONTROL!$C$21, $C$9, 100%, $E$9)</f>
        <v>9.5970999999999993</v>
      </c>
      <c r="T193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193" s="57">
        <f>(1000*CHOOSE(CONTROL!$C$42, 695, 695)*CHOOSE(CONTROL!$C$42, 0.5599, 0.5599)*CHOOSE(CONTROL!$C$42, 31, 31))/1000000</f>
        <v>12.063045499999998</v>
      </c>
      <c r="V193" s="57">
        <f>(1000*CHOOSE(CONTROL!$C$42, 500, 500)*CHOOSE(CONTROL!$C$42, 0.275, 0.275)*CHOOSE(CONTROL!$C$42, 31, 31))/1000000</f>
        <v>4.2625000000000002</v>
      </c>
      <c r="W193" s="57">
        <f>(1000*CHOOSE(CONTROL!$C$42, 0.0916, 0.0916)*CHOOSE(CONTROL!$C$42, 121.5, 121.5)*CHOOSE(CONTROL!$C$42, 31, 31))/1000000</f>
        <v>0.34501139999999997</v>
      </c>
      <c r="X193" s="57">
        <f>(31*0.2374*100000/1000000)</f>
        <v>0.73594000000000004</v>
      </c>
      <c r="Y193" s="57"/>
      <c r="Z193" s="17"/>
      <c r="AA193" s="56"/>
      <c r="AB193" s="49">
        <f>(B193*122.58+C193*297.941+D193*89.177+E193*140.302+F193*40+G193*60+H193*0+I193*100+J193*300)/(122.58+297.941+89.177+140.302+0+40+60+100+300)</f>
        <v>9.9450954799130429</v>
      </c>
      <c r="AC193" s="46">
        <f>(M193*'RAP TEMPLATE-GAS AVAILABILITY'!O192+N193*'RAP TEMPLATE-GAS AVAILABILITY'!P192+O193*'RAP TEMPLATE-GAS AVAILABILITY'!Q192+P193*'RAP TEMPLATE-GAS AVAILABILITY'!R192)/('RAP TEMPLATE-GAS AVAILABILITY'!O192+'RAP TEMPLATE-GAS AVAILABILITY'!P192+'RAP TEMPLATE-GAS AVAILABILITY'!Q192+'RAP TEMPLATE-GAS AVAILABILITY'!R192)</f>
        <v>9.9010489208633086</v>
      </c>
    </row>
    <row r="194" spans="1:29" ht="15.75" x14ac:dyDescent="0.25">
      <c r="A194" s="16">
        <v>46784</v>
      </c>
      <c r="B194" s="17">
        <f>CHOOSE(CONTROL!$C$42, 10.1037, 10.1037) * CHOOSE(CONTROL!$C$21, $C$9, 100%, $E$9)</f>
        <v>10.1037</v>
      </c>
      <c r="C194" s="17">
        <f>CHOOSE(CONTROL!$C$42, 10.1088, 10.1088) * CHOOSE(CONTROL!$C$21, $C$9, 100%, $E$9)</f>
        <v>10.1088</v>
      </c>
      <c r="D194" s="17">
        <f>CHOOSE(CONTROL!$C$42, 10.2263, 10.2263) * CHOOSE(CONTROL!$C$21, $C$9, 100%, $E$9)</f>
        <v>10.2263</v>
      </c>
      <c r="E194" s="17">
        <f>CHOOSE(CONTROL!$C$42, 10.26, 10.26) * CHOOSE(CONTROL!$C$21, $C$9, 100%, $E$9)</f>
        <v>10.26</v>
      </c>
      <c r="F194" s="17">
        <f>CHOOSE(CONTROL!$C$42, 10.1174, 10.1174)*CHOOSE(CONTROL!$C$21, $C$9, 100%, $E$9)</f>
        <v>10.1174</v>
      </c>
      <c r="G194" s="17">
        <f>CHOOSE(CONTROL!$C$42, 10.1337, 10.1337)*CHOOSE(CONTROL!$C$21, $C$9, 100%, $E$9)</f>
        <v>10.133699999999999</v>
      </c>
      <c r="H194" s="17">
        <f>CHOOSE(CONTROL!$C$42, 10.2489, 10.2489) * CHOOSE(CONTROL!$C$21, $C$9, 100%, $E$9)</f>
        <v>10.248900000000001</v>
      </c>
      <c r="I194" s="17">
        <f>CHOOSE(CONTROL!$C$42, 10.1585, 10.1585)* CHOOSE(CONTROL!$C$21, $C$9, 100%, $E$9)</f>
        <v>10.1585</v>
      </c>
      <c r="J194" s="17">
        <f>CHOOSE(CONTROL!$C$42, 10.11, 10.11)* CHOOSE(CONTROL!$C$21, $C$9, 100%, $E$9)</f>
        <v>10.11</v>
      </c>
      <c r="K194" s="53">
        <f>CHOOSE(CONTROL!$C$42, 10.1525, 10.1525) * CHOOSE(CONTROL!$C$21, $C$9, 100%, $E$9)</f>
        <v>10.1525</v>
      </c>
      <c r="L194" s="17">
        <f>CHOOSE(CONTROL!$C$42, 10.8359, 10.8359) * CHOOSE(CONTROL!$C$21, $C$9, 100%, $E$9)</f>
        <v>10.835900000000001</v>
      </c>
      <c r="M194" s="17">
        <f>CHOOSE(CONTROL!$C$42, 10.0261, 10.0261) * CHOOSE(CONTROL!$C$21, $C$9, 100%, $E$9)</f>
        <v>10.0261</v>
      </c>
      <c r="N194" s="17">
        <f>CHOOSE(CONTROL!$C$42, 10.0422, 10.0422) * CHOOSE(CONTROL!$C$21, $C$9, 100%, $E$9)</f>
        <v>10.042199999999999</v>
      </c>
      <c r="O194" s="17">
        <f>CHOOSE(CONTROL!$C$42, 10.1638, 10.1638) * CHOOSE(CONTROL!$C$21, $C$9, 100%, $E$9)</f>
        <v>10.1638</v>
      </c>
      <c r="P194" s="17">
        <f>CHOOSE(CONTROL!$C$42, 10.0739, 10.0739) * CHOOSE(CONTROL!$C$21, $C$9, 100%, $E$9)</f>
        <v>10.0739</v>
      </c>
      <c r="Q194" s="17">
        <f>CHOOSE(CONTROL!$C$42, 10.7585, 10.7585) * CHOOSE(CONTROL!$C$21, $C$9, 100%, $E$9)</f>
        <v>10.7585</v>
      </c>
      <c r="R194" s="17">
        <f>CHOOSE(CONTROL!$C$42, 11.3724, 11.3724) * CHOOSE(CONTROL!$C$21, $C$9, 100%, $E$9)</f>
        <v>11.372400000000001</v>
      </c>
      <c r="S194" s="17">
        <f>CHOOSE(CONTROL!$C$42, 9.7881, 9.7881) * CHOOSE(CONTROL!$C$21, $C$9, 100%, $E$9)</f>
        <v>9.7881</v>
      </c>
      <c r="T194" s="57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194" s="57">
        <f>(1000*CHOOSE(CONTROL!$C$42, 695, 695)*CHOOSE(CONTROL!$C$42, 0.5599, 0.5599)*CHOOSE(CONTROL!$C$42, 29, 29))/1000000</f>
        <v>11.284784499999999</v>
      </c>
      <c r="V194" s="57">
        <f>(1000*CHOOSE(CONTROL!$C$42, 500, 500)*CHOOSE(CONTROL!$C$42, 0.275, 0.275)*CHOOSE(CONTROL!$C$42, 29, 29))/1000000</f>
        <v>3.9874999999999998</v>
      </c>
      <c r="W194" s="57">
        <f>(1000*CHOOSE(CONTROL!$C$42, 0.0916, 0.0916)*CHOOSE(CONTROL!$C$42, 121.5, 121.5)*CHOOSE(CONTROL!$C$42, 29, 29))/1000000</f>
        <v>0.3227526</v>
      </c>
      <c r="X194" s="57">
        <f>(29*0.2374*100000/1000000)</f>
        <v>0.68845999999999996</v>
      </c>
      <c r="Y194" s="57"/>
      <c r="Z194" s="17"/>
      <c r="AA194" s="56"/>
      <c r="AB194" s="49">
        <f>(B194*122.58+C194*297.941+D194*89.177+E194*140.302+F194*40+G194*60+H194*0+I194*100+J194*300)/(122.58+297.941+89.177+140.302+0+40+60+100+300)</f>
        <v>10.142047653826086</v>
      </c>
      <c r="AC194" s="46">
        <f>(M194*'RAP TEMPLATE-GAS AVAILABILITY'!O193+N194*'RAP TEMPLATE-GAS AVAILABILITY'!P193+O194*'RAP TEMPLATE-GAS AVAILABILITY'!Q193+P194*'RAP TEMPLATE-GAS AVAILABILITY'!R193)/('RAP TEMPLATE-GAS AVAILABILITY'!O193+'RAP TEMPLATE-GAS AVAILABILITY'!P193+'RAP TEMPLATE-GAS AVAILABILITY'!Q193+'RAP TEMPLATE-GAS AVAILABILITY'!R193)</f>
        <v>10.096315107913671</v>
      </c>
    </row>
    <row r="195" spans="1:29" ht="15.75" x14ac:dyDescent="0.25">
      <c r="A195" s="16">
        <v>46813</v>
      </c>
      <c r="B195" s="17">
        <f>CHOOSE(CONTROL!$C$42, 9.8374, 9.8374) * CHOOSE(CONTROL!$C$21, $C$9, 100%, $E$9)</f>
        <v>9.8374000000000006</v>
      </c>
      <c r="C195" s="17">
        <f>CHOOSE(CONTROL!$C$42, 9.8425, 9.8425) * CHOOSE(CONTROL!$C$21, $C$9, 100%, $E$9)</f>
        <v>9.8424999999999994</v>
      </c>
      <c r="D195" s="17">
        <f>CHOOSE(CONTROL!$C$42, 9.9599, 9.9599) * CHOOSE(CONTROL!$C$21, $C$9, 100%, $E$9)</f>
        <v>9.9598999999999993</v>
      </c>
      <c r="E195" s="17">
        <f>CHOOSE(CONTROL!$C$42, 9.9937, 9.9937) * CHOOSE(CONTROL!$C$21, $C$9, 100%, $E$9)</f>
        <v>9.9937000000000005</v>
      </c>
      <c r="F195" s="17">
        <f>CHOOSE(CONTROL!$C$42, 9.8504, 9.8504)*CHOOSE(CONTROL!$C$21, $C$9, 100%, $E$9)</f>
        <v>9.8504000000000005</v>
      </c>
      <c r="G195" s="17">
        <f>CHOOSE(CONTROL!$C$42, 9.8665, 9.8665)*CHOOSE(CONTROL!$C$21, $C$9, 100%, $E$9)</f>
        <v>9.8665000000000003</v>
      </c>
      <c r="H195" s="17">
        <f>CHOOSE(CONTROL!$C$42, 9.9826, 9.9826) * CHOOSE(CONTROL!$C$21, $C$9, 100%, $E$9)</f>
        <v>9.9825999999999997</v>
      </c>
      <c r="I195" s="17">
        <f>CHOOSE(CONTROL!$C$42, 9.8913, 9.8913)* CHOOSE(CONTROL!$C$21, $C$9, 100%, $E$9)</f>
        <v>9.8912999999999993</v>
      </c>
      <c r="J195" s="17">
        <f>CHOOSE(CONTROL!$C$42, 9.843, 9.843)* CHOOSE(CONTROL!$C$21, $C$9, 100%, $E$9)</f>
        <v>9.843</v>
      </c>
      <c r="K195" s="53">
        <f>CHOOSE(CONTROL!$C$42, 9.8853, 9.8853) * CHOOSE(CONTROL!$C$21, $C$9, 100%, $E$9)</f>
        <v>9.8853000000000009</v>
      </c>
      <c r="L195" s="17">
        <f>CHOOSE(CONTROL!$C$42, 10.5696, 10.5696) * CHOOSE(CONTROL!$C$21, $C$9, 100%, $E$9)</f>
        <v>10.569599999999999</v>
      </c>
      <c r="M195" s="17">
        <f>CHOOSE(CONTROL!$C$42, 9.7615, 9.7615) * CHOOSE(CONTROL!$C$21, $C$9, 100%, $E$9)</f>
        <v>9.7614999999999998</v>
      </c>
      <c r="N195" s="17">
        <f>CHOOSE(CONTROL!$C$42, 9.7775, 9.7775) * CHOOSE(CONTROL!$C$21, $C$9, 100%, $E$9)</f>
        <v>9.7774999999999999</v>
      </c>
      <c r="O195" s="17">
        <f>CHOOSE(CONTROL!$C$42, 9.8998, 9.8998) * CHOOSE(CONTROL!$C$21, $C$9, 100%, $E$9)</f>
        <v>9.8998000000000008</v>
      </c>
      <c r="P195" s="17">
        <f>CHOOSE(CONTROL!$C$42, 9.8091, 9.8091) * CHOOSE(CONTROL!$C$21, $C$9, 100%, $E$9)</f>
        <v>9.8091000000000008</v>
      </c>
      <c r="Q195" s="17">
        <f>CHOOSE(CONTROL!$C$42, 10.4945, 10.4945) * CHOOSE(CONTROL!$C$21, $C$9, 100%, $E$9)</f>
        <v>10.4945</v>
      </c>
      <c r="R195" s="17">
        <f>CHOOSE(CONTROL!$C$42, 11.1077, 11.1077) * CHOOSE(CONTROL!$C$21, $C$9, 100%, $E$9)</f>
        <v>11.107699999999999</v>
      </c>
      <c r="S195" s="17">
        <f>CHOOSE(CONTROL!$C$42, 9.5298, 9.5298) * CHOOSE(CONTROL!$C$21, $C$9, 100%, $E$9)</f>
        <v>9.5297999999999998</v>
      </c>
      <c r="T195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195" s="57">
        <f>(1000*CHOOSE(CONTROL!$C$42, 695, 695)*CHOOSE(CONTROL!$C$42, 0.5599, 0.5599)*CHOOSE(CONTROL!$C$42, 31, 31))/1000000</f>
        <v>12.063045499999998</v>
      </c>
      <c r="V195" s="57">
        <f>(1000*CHOOSE(CONTROL!$C$42, 500, 500)*CHOOSE(CONTROL!$C$42, 0.275, 0.275)*CHOOSE(CONTROL!$C$42, 31, 31))/1000000</f>
        <v>4.2625000000000002</v>
      </c>
      <c r="W195" s="57">
        <f>(1000*CHOOSE(CONTROL!$C$42, 0.0916, 0.0916)*CHOOSE(CONTROL!$C$42, 121.5, 121.5)*CHOOSE(CONTROL!$C$42, 31, 31))/1000000</f>
        <v>0.34501139999999997</v>
      </c>
      <c r="X195" s="57">
        <f>(31*0.2374*100000/1000000)</f>
        <v>0.73594000000000004</v>
      </c>
      <c r="Y195" s="57"/>
      <c r="Z195" s="17"/>
      <c r="AA195" s="56"/>
      <c r="AB195" s="49">
        <f>(B195*122.58+C195*297.941+D195*89.177+E195*140.302+F195*40+G195*60+H195*0+I195*100+J195*300)/(122.58+297.941+89.177+140.302+0+40+60+100+300)</f>
        <v>9.8754077253913017</v>
      </c>
      <c r="AC195" s="46">
        <f>(M195*'RAP TEMPLATE-GAS AVAILABILITY'!O194+N195*'RAP TEMPLATE-GAS AVAILABILITY'!P194+O195*'RAP TEMPLATE-GAS AVAILABILITY'!Q194+P195*'RAP TEMPLATE-GAS AVAILABILITY'!R194)/('RAP TEMPLATE-GAS AVAILABILITY'!O194+'RAP TEMPLATE-GAS AVAILABILITY'!P194+'RAP TEMPLATE-GAS AVAILABILITY'!Q194+'RAP TEMPLATE-GAS AVAILABILITY'!R194)</f>
        <v>9.8319525179856129</v>
      </c>
    </row>
    <row r="196" spans="1:29" ht="15.75" x14ac:dyDescent="0.25">
      <c r="A196" s="16">
        <v>46844</v>
      </c>
      <c r="B196" s="17">
        <f>CHOOSE(CONTROL!$C$42, 9.8291, 9.8291) * CHOOSE(CONTROL!$C$21, $C$9, 100%, $E$9)</f>
        <v>9.8291000000000004</v>
      </c>
      <c r="C196" s="17">
        <f>CHOOSE(CONTROL!$C$42, 9.8337, 9.8337) * CHOOSE(CONTROL!$C$21, $C$9, 100%, $E$9)</f>
        <v>9.8337000000000003</v>
      </c>
      <c r="D196" s="17">
        <f>CHOOSE(CONTROL!$C$42, 10.0864, 10.0864) * CHOOSE(CONTROL!$C$21, $C$9, 100%, $E$9)</f>
        <v>10.086399999999999</v>
      </c>
      <c r="E196" s="17">
        <f>CHOOSE(CONTROL!$C$42, 10.1182, 10.1182) * CHOOSE(CONTROL!$C$21, $C$9, 100%, $E$9)</f>
        <v>10.1182</v>
      </c>
      <c r="F196" s="17">
        <f>CHOOSE(CONTROL!$C$42, 9.8351, 9.8351)*CHOOSE(CONTROL!$C$21, $C$9, 100%, $E$9)</f>
        <v>9.8351000000000006</v>
      </c>
      <c r="G196" s="17">
        <f>CHOOSE(CONTROL!$C$42, 9.851, 9.851)*CHOOSE(CONTROL!$C$21, $C$9, 100%, $E$9)</f>
        <v>9.8510000000000009</v>
      </c>
      <c r="H196" s="17">
        <f>CHOOSE(CONTROL!$C$42, 10.1076, 10.1076) * CHOOSE(CONTROL!$C$21, $C$9, 100%, $E$9)</f>
        <v>10.1076</v>
      </c>
      <c r="I196" s="17">
        <f>CHOOSE(CONTROL!$C$42, 9.8812, 9.8812)* CHOOSE(CONTROL!$C$21, $C$9, 100%, $E$9)</f>
        <v>9.8811999999999998</v>
      </c>
      <c r="J196" s="17">
        <f>CHOOSE(CONTROL!$C$42, 9.8277, 9.8277)* CHOOSE(CONTROL!$C$21, $C$9, 100%, $E$9)</f>
        <v>9.8277000000000001</v>
      </c>
      <c r="K196" s="53">
        <f>CHOOSE(CONTROL!$C$42, 9.8752, 9.8752) * CHOOSE(CONTROL!$C$21, $C$9, 100%, $E$9)</f>
        <v>9.8751999999999995</v>
      </c>
      <c r="L196" s="17">
        <f>CHOOSE(CONTROL!$C$42, 10.6946, 10.6946) * CHOOSE(CONTROL!$C$21, $C$9, 100%, $E$9)</f>
        <v>10.694599999999999</v>
      </c>
      <c r="M196" s="17">
        <f>CHOOSE(CONTROL!$C$42, 9.7463, 9.7463) * CHOOSE(CONTROL!$C$21, $C$9, 100%, $E$9)</f>
        <v>9.7462999999999997</v>
      </c>
      <c r="N196" s="17">
        <f>CHOOSE(CONTROL!$C$42, 9.762, 9.762) * CHOOSE(CONTROL!$C$21, $C$9, 100%, $E$9)</f>
        <v>9.7620000000000005</v>
      </c>
      <c r="O196" s="17">
        <f>CHOOSE(CONTROL!$C$42, 10.0237, 10.0237) * CHOOSE(CONTROL!$C$21, $C$9, 100%, $E$9)</f>
        <v>10.0237</v>
      </c>
      <c r="P196" s="17">
        <f>CHOOSE(CONTROL!$C$42, 9.7992, 9.7992) * CHOOSE(CONTROL!$C$21, $C$9, 100%, $E$9)</f>
        <v>9.7992000000000008</v>
      </c>
      <c r="Q196" s="17">
        <f>CHOOSE(CONTROL!$C$42, 10.6184, 10.6184) * CHOOSE(CONTROL!$C$21, $C$9, 100%, $E$9)</f>
        <v>10.618399999999999</v>
      </c>
      <c r="R196" s="17">
        <f>CHOOSE(CONTROL!$C$42, 11.232, 11.232) * CHOOSE(CONTROL!$C$21, $C$9, 100%, $E$9)</f>
        <v>11.231999999999999</v>
      </c>
      <c r="S196" s="17">
        <f>CHOOSE(CONTROL!$C$42, 9.5211, 9.5211) * CHOOSE(CONTROL!$C$21, $C$9, 100%, $E$9)</f>
        <v>9.5211000000000006</v>
      </c>
      <c r="T196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196" s="57">
        <f>(1000*CHOOSE(CONTROL!$C$42, 695, 695)*CHOOSE(CONTROL!$C$42, 0.5599, 0.5599)*CHOOSE(CONTROL!$C$42, 30, 30))/1000000</f>
        <v>11.673914999999997</v>
      </c>
      <c r="V196" s="57">
        <f>(1000*CHOOSE(CONTROL!$C$42, 500, 500)*CHOOSE(CONTROL!$C$42, 0.275, 0.275)*CHOOSE(CONTROL!$C$42, 30, 30))/1000000</f>
        <v>4.125</v>
      </c>
      <c r="W196" s="57">
        <f>(1000*CHOOSE(CONTROL!$C$42, 0.0916, 0.0916)*CHOOSE(CONTROL!$C$42, 121.5, 121.5)*CHOOSE(CONTROL!$C$42, 30, 30))/1000000</f>
        <v>0.33388200000000001</v>
      </c>
      <c r="X196" s="57">
        <f>(30*0.1790888*145000/1000000)+(30*0.2374*100000/1000000)</f>
        <v>1.4912362799999999</v>
      </c>
      <c r="Y196" s="57"/>
      <c r="Z196" s="17"/>
      <c r="AA196" s="56"/>
      <c r="AB196" s="49">
        <f>(B196*141.293+C196*267.993+D196*115.016+E196*189.698+F196*40+G196*85+H196*0+I196*100+J196*300)/(141.293+267.993+115.016+189.698+0+40+85+100+300)</f>
        <v>9.9038050656981422</v>
      </c>
      <c r="AC196" s="46">
        <f>(M196*'RAP TEMPLATE-GAS AVAILABILITY'!O195+N196*'RAP TEMPLATE-GAS AVAILABILITY'!P195+O196*'RAP TEMPLATE-GAS AVAILABILITY'!Q195+P196*'RAP TEMPLATE-GAS AVAILABILITY'!R195)/('RAP TEMPLATE-GAS AVAILABILITY'!O195+'RAP TEMPLATE-GAS AVAILABILITY'!P195+'RAP TEMPLATE-GAS AVAILABILITY'!Q195+'RAP TEMPLATE-GAS AVAILABILITY'!R195)</f>
        <v>9.8353575539568343</v>
      </c>
    </row>
    <row r="197" spans="1:29" ht="15.75" x14ac:dyDescent="0.25">
      <c r="A197" s="16">
        <v>46874</v>
      </c>
      <c r="B197" s="17">
        <f>CHOOSE(CONTROL!$C$42, 9.9376, 9.9376) * CHOOSE(CONTROL!$C$21, $C$9, 100%, $E$9)</f>
        <v>9.9375999999999998</v>
      </c>
      <c r="C197" s="17">
        <f>CHOOSE(CONTROL!$C$42, 9.9455, 9.9455) * CHOOSE(CONTROL!$C$21, $C$9, 100%, $E$9)</f>
        <v>9.9454999999999991</v>
      </c>
      <c r="D197" s="17">
        <f>CHOOSE(CONTROL!$C$42, 10.1952, 10.1952) * CHOOSE(CONTROL!$C$21, $C$9, 100%, $E$9)</f>
        <v>10.1952</v>
      </c>
      <c r="E197" s="17">
        <f>CHOOSE(CONTROL!$C$42, 10.2263, 10.2263) * CHOOSE(CONTROL!$C$21, $C$9, 100%, $E$9)</f>
        <v>10.2263</v>
      </c>
      <c r="F197" s="17">
        <f>CHOOSE(CONTROL!$C$42, 9.9424, 9.9424)*CHOOSE(CONTROL!$C$21, $C$9, 100%, $E$9)</f>
        <v>9.9423999999999992</v>
      </c>
      <c r="G197" s="17">
        <f>CHOOSE(CONTROL!$C$42, 9.9585, 9.9585)*CHOOSE(CONTROL!$C$21, $C$9, 100%, $E$9)</f>
        <v>9.9585000000000008</v>
      </c>
      <c r="H197" s="17">
        <f>CHOOSE(CONTROL!$C$42, 10.2147, 10.2147) * CHOOSE(CONTROL!$C$21, $C$9, 100%, $E$9)</f>
        <v>10.214700000000001</v>
      </c>
      <c r="I197" s="17">
        <f>CHOOSE(CONTROL!$C$42, 9.9886, 9.9886)* CHOOSE(CONTROL!$C$21, $C$9, 100%, $E$9)</f>
        <v>9.9885999999999999</v>
      </c>
      <c r="J197" s="17">
        <f>CHOOSE(CONTROL!$C$42, 9.935, 9.935)* CHOOSE(CONTROL!$C$21, $C$9, 100%, $E$9)</f>
        <v>9.9350000000000005</v>
      </c>
      <c r="K197" s="53">
        <f>CHOOSE(CONTROL!$C$42, 9.9826, 9.9826) * CHOOSE(CONTROL!$C$21, $C$9, 100%, $E$9)</f>
        <v>9.9825999999999997</v>
      </c>
      <c r="L197" s="17">
        <f>CHOOSE(CONTROL!$C$42, 10.8017, 10.8017) * CHOOSE(CONTROL!$C$21, $C$9, 100%, $E$9)</f>
        <v>10.8017</v>
      </c>
      <c r="M197" s="17">
        <f>CHOOSE(CONTROL!$C$42, 9.8527, 9.8527) * CHOOSE(CONTROL!$C$21, $C$9, 100%, $E$9)</f>
        <v>9.8527000000000005</v>
      </c>
      <c r="N197" s="17">
        <f>CHOOSE(CONTROL!$C$42, 9.8686, 9.8686) * CHOOSE(CONTROL!$C$21, $C$9, 100%, $E$9)</f>
        <v>9.8686000000000007</v>
      </c>
      <c r="O197" s="17">
        <f>CHOOSE(CONTROL!$C$42, 10.1298, 10.1298) * CHOOSE(CONTROL!$C$21, $C$9, 100%, $E$9)</f>
        <v>10.129799999999999</v>
      </c>
      <c r="P197" s="17">
        <f>CHOOSE(CONTROL!$C$42, 9.9056, 9.9056) * CHOOSE(CONTROL!$C$21, $C$9, 100%, $E$9)</f>
        <v>9.9055999999999997</v>
      </c>
      <c r="Q197" s="17">
        <f>CHOOSE(CONTROL!$C$42, 10.7245, 10.7245) * CHOOSE(CONTROL!$C$21, $C$9, 100%, $E$9)</f>
        <v>10.724500000000001</v>
      </c>
      <c r="R197" s="17">
        <f>CHOOSE(CONTROL!$C$42, 11.3383, 11.3383) * CHOOSE(CONTROL!$C$21, $C$9, 100%, $E$9)</f>
        <v>11.3383</v>
      </c>
      <c r="S197" s="17">
        <f>CHOOSE(CONTROL!$C$42, 9.6249, 9.6249) * CHOOSE(CONTROL!$C$21, $C$9, 100%, $E$9)</f>
        <v>9.6249000000000002</v>
      </c>
      <c r="T197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197" s="57">
        <f>(1000*CHOOSE(CONTROL!$C$42, 695, 695)*CHOOSE(CONTROL!$C$42, 0.5599, 0.5599)*CHOOSE(CONTROL!$C$42, 31, 31))/1000000</f>
        <v>12.063045499999998</v>
      </c>
      <c r="V197" s="57">
        <f>(1000*CHOOSE(CONTROL!$C$42, 500, 500)*CHOOSE(CONTROL!$C$42, 0.275, 0.275)*CHOOSE(CONTROL!$C$42, 31, 31))/1000000</f>
        <v>4.2625000000000002</v>
      </c>
      <c r="W197" s="57">
        <f>(1000*CHOOSE(CONTROL!$C$42, 0.0916, 0.0916)*CHOOSE(CONTROL!$C$42, 121.5, 121.5)*CHOOSE(CONTROL!$C$42, 31, 31))/1000000</f>
        <v>0.34501139999999997</v>
      </c>
      <c r="X197" s="57">
        <f>(31*0.1790888*145000/1000000)+(31*0.2374*100000/1000000)</f>
        <v>1.5409441560000001</v>
      </c>
      <c r="Y197" s="57"/>
      <c r="Z197" s="17"/>
      <c r="AA197" s="56"/>
      <c r="AB197" s="49">
        <f>(B197*194.205+C197*267.466+D197*133.845+E197*153.484+F197*40+G197*85+H197*0+I197*100+J197*300)/(194.205+267.466+133.845+153.484+0+40+85+100+300)</f>
        <v>10.006038606122448</v>
      </c>
      <c r="AC197" s="46">
        <f>(M197*'RAP TEMPLATE-GAS AVAILABILITY'!O196+N197*'RAP TEMPLATE-GAS AVAILABILITY'!P196+O197*'RAP TEMPLATE-GAS AVAILABILITY'!Q196+P197*'RAP TEMPLATE-GAS AVAILABILITY'!R196)/('RAP TEMPLATE-GAS AVAILABILITY'!O196+'RAP TEMPLATE-GAS AVAILABILITY'!P196+'RAP TEMPLATE-GAS AVAILABILITY'!Q196+'RAP TEMPLATE-GAS AVAILABILITY'!R196)</f>
        <v>9.9417194244604321</v>
      </c>
    </row>
    <row r="198" spans="1:29" ht="15.75" x14ac:dyDescent="0.25">
      <c r="A198" s="16">
        <v>46905</v>
      </c>
      <c r="B198" s="17">
        <f>CHOOSE(CONTROL!$C$42, 10.2401, 10.2401) * CHOOSE(CONTROL!$C$21, $C$9, 100%, $E$9)</f>
        <v>10.2401</v>
      </c>
      <c r="C198" s="17">
        <f>CHOOSE(CONTROL!$C$42, 10.2481, 10.2481) * CHOOSE(CONTROL!$C$21, $C$9, 100%, $E$9)</f>
        <v>10.248100000000001</v>
      </c>
      <c r="D198" s="17">
        <f>CHOOSE(CONTROL!$C$42, 10.4977, 10.4977) * CHOOSE(CONTROL!$C$21, $C$9, 100%, $E$9)</f>
        <v>10.4977</v>
      </c>
      <c r="E198" s="17">
        <f>CHOOSE(CONTROL!$C$42, 10.5289, 10.5289) * CHOOSE(CONTROL!$C$21, $C$9, 100%, $E$9)</f>
        <v>10.5289</v>
      </c>
      <c r="F198" s="17">
        <f>CHOOSE(CONTROL!$C$42, 10.2453, 10.2453)*CHOOSE(CONTROL!$C$21, $C$9, 100%, $E$9)</f>
        <v>10.2453</v>
      </c>
      <c r="G198" s="17">
        <f>CHOOSE(CONTROL!$C$42, 10.2615, 10.2615)*CHOOSE(CONTROL!$C$21, $C$9, 100%, $E$9)</f>
        <v>10.2615</v>
      </c>
      <c r="H198" s="17">
        <f>CHOOSE(CONTROL!$C$42, 10.5172, 10.5172) * CHOOSE(CONTROL!$C$21, $C$9, 100%, $E$9)</f>
        <v>10.517200000000001</v>
      </c>
      <c r="I198" s="17">
        <f>CHOOSE(CONTROL!$C$42, 10.2921, 10.2921)* CHOOSE(CONTROL!$C$21, $C$9, 100%, $E$9)</f>
        <v>10.2921</v>
      </c>
      <c r="J198" s="17">
        <f>CHOOSE(CONTROL!$C$42, 10.2379, 10.2379)* CHOOSE(CONTROL!$C$21, $C$9, 100%, $E$9)</f>
        <v>10.2379</v>
      </c>
      <c r="K198" s="53">
        <f>CHOOSE(CONTROL!$C$42, 10.2861, 10.2861) * CHOOSE(CONTROL!$C$21, $C$9, 100%, $E$9)</f>
        <v>10.286099999999999</v>
      </c>
      <c r="L198" s="17">
        <f>CHOOSE(CONTROL!$C$42, 11.1042, 11.1042) * CHOOSE(CONTROL!$C$21, $C$9, 100%, $E$9)</f>
        <v>11.104200000000001</v>
      </c>
      <c r="M198" s="17">
        <f>CHOOSE(CONTROL!$C$42, 10.1528, 10.1528) * CHOOSE(CONTROL!$C$21, $C$9, 100%, $E$9)</f>
        <v>10.152799999999999</v>
      </c>
      <c r="N198" s="17">
        <f>CHOOSE(CONTROL!$C$42, 10.1689, 10.1689) * CHOOSE(CONTROL!$C$21, $C$9, 100%, $E$9)</f>
        <v>10.168900000000001</v>
      </c>
      <c r="O198" s="17">
        <f>CHOOSE(CONTROL!$C$42, 10.4296, 10.4296) * CHOOSE(CONTROL!$C$21, $C$9, 100%, $E$9)</f>
        <v>10.429600000000001</v>
      </c>
      <c r="P198" s="17">
        <f>CHOOSE(CONTROL!$C$42, 10.2063, 10.2063) * CHOOSE(CONTROL!$C$21, $C$9, 100%, $E$9)</f>
        <v>10.206300000000001</v>
      </c>
      <c r="Q198" s="17">
        <f>CHOOSE(CONTROL!$C$42, 11.0243, 11.0243) * CHOOSE(CONTROL!$C$21, $C$9, 100%, $E$9)</f>
        <v>11.0243</v>
      </c>
      <c r="R198" s="17">
        <f>CHOOSE(CONTROL!$C$42, 11.6389, 11.6389) * CHOOSE(CONTROL!$C$21, $C$9, 100%, $E$9)</f>
        <v>11.6389</v>
      </c>
      <c r="S198" s="17">
        <f>CHOOSE(CONTROL!$C$42, 9.9183, 9.9183) * CHOOSE(CONTROL!$C$21, $C$9, 100%, $E$9)</f>
        <v>9.9183000000000003</v>
      </c>
      <c r="T198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198" s="57">
        <f>(1000*CHOOSE(CONTROL!$C$42, 695, 695)*CHOOSE(CONTROL!$C$42, 0.5599, 0.5599)*CHOOSE(CONTROL!$C$42, 30, 30))/1000000</f>
        <v>11.673914999999997</v>
      </c>
      <c r="V198" s="57">
        <f>(1000*CHOOSE(CONTROL!$C$42, 500, 500)*CHOOSE(CONTROL!$C$42, 0.275, 0.275)*CHOOSE(CONTROL!$C$42, 30, 30))/1000000</f>
        <v>4.125</v>
      </c>
      <c r="W198" s="57">
        <f>(1000*CHOOSE(CONTROL!$C$42, 0.0916, 0.0916)*CHOOSE(CONTROL!$C$42, 121.5, 121.5)*CHOOSE(CONTROL!$C$42, 30, 30))/1000000</f>
        <v>0.33388200000000001</v>
      </c>
      <c r="X198" s="57">
        <f>(30*0.1790888*145000/1000000)+(30*0.2374*100000/1000000)</f>
        <v>1.4912362799999999</v>
      </c>
      <c r="Y198" s="57"/>
      <c r="Z198" s="17"/>
      <c r="AA198" s="56"/>
      <c r="AB198" s="49">
        <f>(B198*194.205+C198*267.466+D198*133.845+E198*153.484+F198*40+G198*85+H198*0+I198*100+J198*300)/(194.205+267.466+133.845+153.484+0+40+85+100+300)</f>
        <v>10.308790250549448</v>
      </c>
      <c r="AC198" s="46">
        <f>(M198*'RAP TEMPLATE-GAS AVAILABILITY'!O197+N198*'RAP TEMPLATE-GAS AVAILABILITY'!P197+O198*'RAP TEMPLATE-GAS AVAILABILITY'!Q197+P198*'RAP TEMPLATE-GAS AVAILABILITY'!R197)/('RAP TEMPLATE-GAS AVAILABILITY'!O197+'RAP TEMPLATE-GAS AVAILABILITY'!P197+'RAP TEMPLATE-GAS AVAILABILITY'!Q197+'RAP TEMPLATE-GAS AVAILABILITY'!R197)</f>
        <v>10.24186762589928</v>
      </c>
    </row>
    <row r="199" spans="1:29" ht="15.75" x14ac:dyDescent="0.25">
      <c r="A199" s="16">
        <v>46935</v>
      </c>
      <c r="B199" s="17">
        <f>CHOOSE(CONTROL!$C$42, 10.0646, 10.0646) * CHOOSE(CONTROL!$C$21, $C$9, 100%, $E$9)</f>
        <v>10.0646</v>
      </c>
      <c r="C199" s="17">
        <f>CHOOSE(CONTROL!$C$42, 10.0726, 10.0726) * CHOOSE(CONTROL!$C$21, $C$9, 100%, $E$9)</f>
        <v>10.0726</v>
      </c>
      <c r="D199" s="17">
        <f>CHOOSE(CONTROL!$C$42, 10.3222, 10.3222) * CHOOSE(CONTROL!$C$21, $C$9, 100%, $E$9)</f>
        <v>10.3222</v>
      </c>
      <c r="E199" s="17">
        <f>CHOOSE(CONTROL!$C$42, 10.3534, 10.3534) * CHOOSE(CONTROL!$C$21, $C$9, 100%, $E$9)</f>
        <v>10.353400000000001</v>
      </c>
      <c r="F199" s="17">
        <f>CHOOSE(CONTROL!$C$42, 10.0703, 10.0703)*CHOOSE(CONTROL!$C$21, $C$9, 100%, $E$9)</f>
        <v>10.0703</v>
      </c>
      <c r="G199" s="17">
        <f>CHOOSE(CONTROL!$C$42, 10.0866, 10.0866)*CHOOSE(CONTROL!$C$21, $C$9, 100%, $E$9)</f>
        <v>10.086600000000001</v>
      </c>
      <c r="H199" s="17">
        <f>CHOOSE(CONTROL!$C$42, 10.3417, 10.3417) * CHOOSE(CONTROL!$C$21, $C$9, 100%, $E$9)</f>
        <v>10.341699999999999</v>
      </c>
      <c r="I199" s="17">
        <f>CHOOSE(CONTROL!$C$42, 10.116, 10.116)* CHOOSE(CONTROL!$C$21, $C$9, 100%, $E$9)</f>
        <v>10.116</v>
      </c>
      <c r="J199" s="17">
        <f>CHOOSE(CONTROL!$C$42, 10.0629, 10.0629)* CHOOSE(CONTROL!$C$21, $C$9, 100%, $E$9)</f>
        <v>10.062900000000001</v>
      </c>
      <c r="K199" s="53">
        <f>CHOOSE(CONTROL!$C$42, 10.11, 10.11) * CHOOSE(CONTROL!$C$21, $C$9, 100%, $E$9)</f>
        <v>10.11</v>
      </c>
      <c r="L199" s="17">
        <f>CHOOSE(CONTROL!$C$42, 10.9287, 10.9287) * CHOOSE(CONTROL!$C$21, $C$9, 100%, $E$9)</f>
        <v>10.928699999999999</v>
      </c>
      <c r="M199" s="17">
        <f>CHOOSE(CONTROL!$C$42, 9.9794, 9.9794) * CHOOSE(CONTROL!$C$21, $C$9, 100%, $E$9)</f>
        <v>9.9794</v>
      </c>
      <c r="N199" s="17">
        <f>CHOOSE(CONTROL!$C$42, 9.9956, 9.9956) * CHOOSE(CONTROL!$C$21, $C$9, 100%, $E$9)</f>
        <v>9.9955999999999996</v>
      </c>
      <c r="O199" s="17">
        <f>CHOOSE(CONTROL!$C$42, 10.2557, 10.2557) * CHOOSE(CONTROL!$C$21, $C$9, 100%, $E$9)</f>
        <v>10.255699999999999</v>
      </c>
      <c r="P199" s="17">
        <f>CHOOSE(CONTROL!$C$42, 10.0318, 10.0318) * CHOOSE(CONTROL!$C$21, $C$9, 100%, $E$9)</f>
        <v>10.0318</v>
      </c>
      <c r="Q199" s="17">
        <f>CHOOSE(CONTROL!$C$42, 10.8504, 10.8504) * CHOOSE(CONTROL!$C$21, $C$9, 100%, $E$9)</f>
        <v>10.8504</v>
      </c>
      <c r="R199" s="17">
        <f>CHOOSE(CONTROL!$C$42, 11.4645, 11.4645) * CHOOSE(CONTROL!$C$21, $C$9, 100%, $E$9)</f>
        <v>11.464499999999999</v>
      </c>
      <c r="S199" s="17">
        <f>CHOOSE(CONTROL!$C$42, 9.748, 9.748) * CHOOSE(CONTROL!$C$21, $C$9, 100%, $E$9)</f>
        <v>9.7479999999999993</v>
      </c>
      <c r="T199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199" s="57">
        <f>(1000*CHOOSE(CONTROL!$C$42, 695, 695)*CHOOSE(CONTROL!$C$42, 0.5599, 0.5599)*CHOOSE(CONTROL!$C$42, 31, 31))/1000000</f>
        <v>12.063045499999998</v>
      </c>
      <c r="V199" s="57">
        <f>(1000*CHOOSE(CONTROL!$C$42, 500, 500)*CHOOSE(CONTROL!$C$42, 0.275, 0.275)*CHOOSE(CONTROL!$C$42, 31, 31))/1000000</f>
        <v>4.2625000000000002</v>
      </c>
      <c r="W199" s="57">
        <f>(1000*CHOOSE(CONTROL!$C$42, 0.0916, 0.0916)*CHOOSE(CONTROL!$C$42, 121.5, 121.5)*CHOOSE(CONTROL!$C$42, 31, 31))/1000000</f>
        <v>0.34501139999999997</v>
      </c>
      <c r="X199" s="57">
        <f>(31*0.1790888*145000/1000000)+(31*0.2374*100000/1000000)</f>
        <v>1.5409441560000001</v>
      </c>
      <c r="Y199" s="57"/>
      <c r="Z199" s="17"/>
      <c r="AA199" s="56"/>
      <c r="AB199" s="49">
        <f>(B199*194.205+C199*267.466+D199*133.845+E199*153.484+F199*40+G199*85+H199*0+I199*100+J199*300)/(194.205+267.466+133.845+153.484+0+40+85+100+300)</f>
        <v>10.133416624175826</v>
      </c>
      <c r="AC199" s="46">
        <f>(M199*'RAP TEMPLATE-GAS AVAILABILITY'!O198+N199*'RAP TEMPLATE-GAS AVAILABILITY'!P198+O199*'RAP TEMPLATE-GAS AVAILABILITY'!Q198+P199*'RAP TEMPLATE-GAS AVAILABILITY'!R198)/('RAP TEMPLATE-GAS AVAILABILITY'!O198+'RAP TEMPLATE-GAS AVAILABILITY'!P198+'RAP TEMPLATE-GAS AVAILABILITY'!Q198+'RAP TEMPLATE-GAS AVAILABILITY'!R198)</f>
        <v>10.068192086330935</v>
      </c>
    </row>
    <row r="200" spans="1:29" ht="15.75" x14ac:dyDescent="0.25">
      <c r="A200" s="16">
        <v>46966</v>
      </c>
      <c r="B200" s="17">
        <f>CHOOSE(CONTROL!$C$42, 9.5877, 9.5877) * CHOOSE(CONTROL!$C$21, $C$9, 100%, $E$9)</f>
        <v>9.5876999999999999</v>
      </c>
      <c r="C200" s="17">
        <f>CHOOSE(CONTROL!$C$42, 9.5957, 9.5957) * CHOOSE(CONTROL!$C$21, $C$9, 100%, $E$9)</f>
        <v>9.5957000000000008</v>
      </c>
      <c r="D200" s="17">
        <f>CHOOSE(CONTROL!$C$42, 9.8454, 9.8454) * CHOOSE(CONTROL!$C$21, $C$9, 100%, $E$9)</f>
        <v>9.8453999999999997</v>
      </c>
      <c r="E200" s="17">
        <f>CHOOSE(CONTROL!$C$42, 9.8765, 9.8765) * CHOOSE(CONTROL!$C$21, $C$9, 100%, $E$9)</f>
        <v>9.8765000000000001</v>
      </c>
      <c r="F200" s="17">
        <f>CHOOSE(CONTROL!$C$42, 9.5937, 9.5937)*CHOOSE(CONTROL!$C$21, $C$9, 100%, $E$9)</f>
        <v>9.5937000000000001</v>
      </c>
      <c r="G200" s="17">
        <f>CHOOSE(CONTROL!$C$42, 9.6101, 9.6101)*CHOOSE(CONTROL!$C$21, $C$9, 100%, $E$9)</f>
        <v>9.6100999999999992</v>
      </c>
      <c r="H200" s="17">
        <f>CHOOSE(CONTROL!$C$42, 9.8649, 9.8649) * CHOOSE(CONTROL!$C$21, $C$9, 100%, $E$9)</f>
        <v>9.8649000000000004</v>
      </c>
      <c r="I200" s="17">
        <f>CHOOSE(CONTROL!$C$42, 9.6377, 9.6377)* CHOOSE(CONTROL!$C$21, $C$9, 100%, $E$9)</f>
        <v>9.6377000000000006</v>
      </c>
      <c r="J200" s="17">
        <f>CHOOSE(CONTROL!$C$42, 9.5863, 9.5863)* CHOOSE(CONTROL!$C$21, $C$9, 100%, $E$9)</f>
        <v>9.5862999999999996</v>
      </c>
      <c r="K200" s="53">
        <f>CHOOSE(CONTROL!$C$42, 9.6317, 9.6317) * CHOOSE(CONTROL!$C$21, $C$9, 100%, $E$9)</f>
        <v>9.6317000000000004</v>
      </c>
      <c r="L200" s="17">
        <f>CHOOSE(CONTROL!$C$42, 10.4519, 10.4519) * CHOOSE(CONTROL!$C$21, $C$9, 100%, $E$9)</f>
        <v>10.4519</v>
      </c>
      <c r="M200" s="17">
        <f>CHOOSE(CONTROL!$C$42, 9.5071, 9.5071) * CHOOSE(CONTROL!$C$21, $C$9, 100%, $E$9)</f>
        <v>9.5070999999999994</v>
      </c>
      <c r="N200" s="17">
        <f>CHOOSE(CONTROL!$C$42, 9.5234, 9.5234) * CHOOSE(CONTROL!$C$21, $C$9, 100%, $E$9)</f>
        <v>9.5234000000000005</v>
      </c>
      <c r="O200" s="17">
        <f>CHOOSE(CONTROL!$C$42, 9.7831, 9.7831) * CHOOSE(CONTROL!$C$21, $C$9, 100%, $E$9)</f>
        <v>9.7830999999999992</v>
      </c>
      <c r="P200" s="17">
        <f>CHOOSE(CONTROL!$C$42, 9.5578, 9.5578) * CHOOSE(CONTROL!$C$21, $C$9, 100%, $E$9)</f>
        <v>9.5578000000000003</v>
      </c>
      <c r="Q200" s="17">
        <f>CHOOSE(CONTROL!$C$42, 10.3778, 10.3778) * CHOOSE(CONTROL!$C$21, $C$9, 100%, $E$9)</f>
        <v>10.377800000000001</v>
      </c>
      <c r="R200" s="17">
        <f>CHOOSE(CONTROL!$C$42, 10.9908, 10.9908) * CHOOSE(CONTROL!$C$21, $C$9, 100%, $E$9)</f>
        <v>10.9908</v>
      </c>
      <c r="S200" s="17">
        <f>CHOOSE(CONTROL!$C$42, 9.2857, 9.2857) * CHOOSE(CONTROL!$C$21, $C$9, 100%, $E$9)</f>
        <v>9.2857000000000003</v>
      </c>
      <c r="T200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200" s="57">
        <f>(1000*CHOOSE(CONTROL!$C$42, 695, 695)*CHOOSE(CONTROL!$C$42, 0.5599, 0.5599)*CHOOSE(CONTROL!$C$42, 31, 31))/1000000</f>
        <v>12.063045499999998</v>
      </c>
      <c r="V200" s="57">
        <f>(1000*CHOOSE(CONTROL!$C$42, 500, 500)*CHOOSE(CONTROL!$C$42, 0.275, 0.275)*CHOOSE(CONTROL!$C$42, 31, 31))/1000000</f>
        <v>4.2625000000000002</v>
      </c>
      <c r="W200" s="57">
        <f>(1000*CHOOSE(CONTROL!$C$42, 0.0916, 0.0916)*CHOOSE(CONTROL!$C$42, 121.5, 121.5)*CHOOSE(CONTROL!$C$42, 31, 31))/1000000</f>
        <v>0.34501139999999997</v>
      </c>
      <c r="X200" s="57">
        <f>(31*0.1790888*145000/1000000)+(31*0.2374*100000/1000000)</f>
        <v>1.5409441560000001</v>
      </c>
      <c r="Y200" s="57"/>
      <c r="Z200" s="17"/>
      <c r="AA200" s="56"/>
      <c r="AB200" s="49">
        <f>(B200*194.205+C200*267.466+D200*133.845+E200*153.484+F200*40+G200*85+H200*0+I200*100+J200*300)/(194.205+267.466+133.845+153.484+0+40+85+100+300)</f>
        <v>9.6565239903453683</v>
      </c>
      <c r="AC200" s="46">
        <f>(M200*'RAP TEMPLATE-GAS AVAILABILITY'!O199+N200*'RAP TEMPLATE-GAS AVAILABILITY'!P199+O200*'RAP TEMPLATE-GAS AVAILABILITY'!Q199+P200*'RAP TEMPLATE-GAS AVAILABILITY'!R199)/('RAP TEMPLATE-GAS AVAILABILITY'!O199+'RAP TEMPLATE-GAS AVAILABILITY'!P199+'RAP TEMPLATE-GAS AVAILABILITY'!Q199+'RAP TEMPLATE-GAS AVAILABILITY'!R199)</f>
        <v>9.5955863309352516</v>
      </c>
    </row>
    <row r="201" spans="1:29" ht="15.75" x14ac:dyDescent="0.25">
      <c r="A201" s="16">
        <v>46997</v>
      </c>
      <c r="B201" s="17">
        <f>CHOOSE(CONTROL!$C$42, 8.9981, 8.9981) * CHOOSE(CONTROL!$C$21, $C$9, 100%, $E$9)</f>
        <v>8.9981000000000009</v>
      </c>
      <c r="C201" s="17">
        <f>CHOOSE(CONTROL!$C$42, 9.0061, 9.0061) * CHOOSE(CONTROL!$C$21, $C$9, 100%, $E$9)</f>
        <v>9.0061</v>
      </c>
      <c r="D201" s="17">
        <f>CHOOSE(CONTROL!$C$42, 9.2557, 9.2557) * CHOOSE(CONTROL!$C$21, $C$9, 100%, $E$9)</f>
        <v>9.2556999999999992</v>
      </c>
      <c r="E201" s="17">
        <f>CHOOSE(CONTROL!$C$42, 9.2869, 9.2869) * CHOOSE(CONTROL!$C$21, $C$9, 100%, $E$9)</f>
        <v>9.2868999999999993</v>
      </c>
      <c r="F201" s="17">
        <f>CHOOSE(CONTROL!$C$42, 9.0041, 9.0041)*CHOOSE(CONTROL!$C$21, $C$9, 100%, $E$9)</f>
        <v>9.0040999999999993</v>
      </c>
      <c r="G201" s="17">
        <f>CHOOSE(CONTROL!$C$42, 9.0205, 9.0205)*CHOOSE(CONTROL!$C$21, $C$9, 100%, $E$9)</f>
        <v>9.0205000000000002</v>
      </c>
      <c r="H201" s="17">
        <f>CHOOSE(CONTROL!$C$42, 9.2752, 9.2752) * CHOOSE(CONTROL!$C$21, $C$9, 100%, $E$9)</f>
        <v>9.2751999999999999</v>
      </c>
      <c r="I201" s="17">
        <f>CHOOSE(CONTROL!$C$42, 9.0463, 9.0463)* CHOOSE(CONTROL!$C$21, $C$9, 100%, $E$9)</f>
        <v>9.0463000000000005</v>
      </c>
      <c r="J201" s="17">
        <f>CHOOSE(CONTROL!$C$42, 8.9967, 8.9967)* CHOOSE(CONTROL!$C$21, $C$9, 100%, $E$9)</f>
        <v>8.9967000000000006</v>
      </c>
      <c r="K201" s="53">
        <f>CHOOSE(CONTROL!$C$42, 9.0402, 9.0402) * CHOOSE(CONTROL!$C$21, $C$9, 100%, $E$9)</f>
        <v>9.0402000000000005</v>
      </c>
      <c r="L201" s="17">
        <f>CHOOSE(CONTROL!$C$42, 9.8622, 9.8622) * CHOOSE(CONTROL!$C$21, $C$9, 100%, $E$9)</f>
        <v>9.8621999999999996</v>
      </c>
      <c r="M201" s="17">
        <f>CHOOSE(CONTROL!$C$42, 8.9228, 8.9228) * CHOOSE(CONTROL!$C$21, $C$9, 100%, $E$9)</f>
        <v>8.9228000000000005</v>
      </c>
      <c r="N201" s="17">
        <f>CHOOSE(CONTROL!$C$42, 8.9391, 8.9391) * CHOOSE(CONTROL!$C$21, $C$9, 100%, $E$9)</f>
        <v>8.9390999999999998</v>
      </c>
      <c r="O201" s="17">
        <f>CHOOSE(CONTROL!$C$42, 9.1988, 9.1988) * CHOOSE(CONTROL!$C$21, $C$9, 100%, $E$9)</f>
        <v>9.1988000000000003</v>
      </c>
      <c r="P201" s="17">
        <f>CHOOSE(CONTROL!$C$42, 8.9717, 8.9717) * CHOOSE(CONTROL!$C$21, $C$9, 100%, $E$9)</f>
        <v>8.9717000000000002</v>
      </c>
      <c r="Q201" s="17">
        <f>CHOOSE(CONTROL!$C$42, 9.7935, 9.7935) * CHOOSE(CONTROL!$C$21, $C$9, 100%, $E$9)</f>
        <v>9.7934999999999999</v>
      </c>
      <c r="R201" s="17">
        <f>CHOOSE(CONTROL!$C$42, 10.405, 10.405) * CHOOSE(CONTROL!$C$21, $C$9, 100%, $E$9)</f>
        <v>10.404999999999999</v>
      </c>
      <c r="S201" s="17">
        <f>CHOOSE(CONTROL!$C$42, 8.7139, 8.7139) * CHOOSE(CONTROL!$C$21, $C$9, 100%, $E$9)</f>
        <v>8.7139000000000006</v>
      </c>
      <c r="T201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201" s="57">
        <f>(1000*CHOOSE(CONTROL!$C$42, 695, 695)*CHOOSE(CONTROL!$C$42, 0.5599, 0.5599)*CHOOSE(CONTROL!$C$42, 30, 30))/1000000</f>
        <v>11.673914999999997</v>
      </c>
      <c r="V201" s="57">
        <f>(1000*CHOOSE(CONTROL!$C$42, 500, 500)*CHOOSE(CONTROL!$C$42, 0.275, 0.275)*CHOOSE(CONTROL!$C$42, 30, 30))/1000000</f>
        <v>4.125</v>
      </c>
      <c r="W201" s="57">
        <f>(1000*CHOOSE(CONTROL!$C$42, 0.0916, 0.0916)*CHOOSE(CONTROL!$C$42, 121.5, 121.5)*CHOOSE(CONTROL!$C$42, 30, 30))/1000000</f>
        <v>0.33388200000000001</v>
      </c>
      <c r="X201" s="57">
        <f>(30*0.1790888*145000/1000000)+(30*0.2374*100000/1000000)</f>
        <v>1.4912362799999999</v>
      </c>
      <c r="Y201" s="57"/>
      <c r="Z201" s="17"/>
      <c r="AA201" s="56"/>
      <c r="AB201" s="49">
        <f>(B201*194.205+C201*267.466+D201*133.845+E201*153.484+F201*40+G201*85+H201*0+I201*100+J201*300)/(194.205+267.466+133.845+153.484+0+40+85+100+300)</f>
        <v>9.0667721971742541</v>
      </c>
      <c r="AC201" s="46">
        <f>(M201*'RAP TEMPLATE-GAS AVAILABILITY'!O200+N201*'RAP TEMPLATE-GAS AVAILABILITY'!P200+O201*'RAP TEMPLATE-GAS AVAILABILITY'!Q200+P201*'RAP TEMPLATE-GAS AVAILABILITY'!R200)/('RAP TEMPLATE-GAS AVAILABILITY'!O200+'RAP TEMPLATE-GAS AVAILABILITY'!P200+'RAP TEMPLATE-GAS AVAILABILITY'!Q200+'RAP TEMPLATE-GAS AVAILABILITY'!R200)</f>
        <v>9.0110273381294981</v>
      </c>
    </row>
    <row r="202" spans="1:29" ht="15.75" x14ac:dyDescent="0.25">
      <c r="A202" s="16">
        <v>47027</v>
      </c>
      <c r="B202" s="17">
        <f>CHOOSE(CONTROL!$C$42, 8.8321, 8.8321) * CHOOSE(CONTROL!$C$21, $C$9, 100%, $E$9)</f>
        <v>8.8321000000000005</v>
      </c>
      <c r="C202" s="17">
        <f>CHOOSE(CONTROL!$C$42, 8.8374, 8.8374) * CHOOSE(CONTROL!$C$21, $C$9, 100%, $E$9)</f>
        <v>8.8374000000000006</v>
      </c>
      <c r="D202" s="17">
        <f>CHOOSE(CONTROL!$C$42, 9.0919, 9.0919) * CHOOSE(CONTROL!$C$21, $C$9, 100%, $E$9)</f>
        <v>9.0919000000000008</v>
      </c>
      <c r="E202" s="17">
        <f>CHOOSE(CONTROL!$C$42, 9.1208, 9.1208) * CHOOSE(CONTROL!$C$21, $C$9, 100%, $E$9)</f>
        <v>9.1207999999999991</v>
      </c>
      <c r="F202" s="17">
        <f>CHOOSE(CONTROL!$C$42, 8.8403, 8.8403)*CHOOSE(CONTROL!$C$21, $C$9, 100%, $E$9)</f>
        <v>8.8402999999999992</v>
      </c>
      <c r="G202" s="17">
        <f>CHOOSE(CONTROL!$C$42, 8.8566, 8.8566)*CHOOSE(CONTROL!$C$21, $C$9, 100%, $E$9)</f>
        <v>8.8566000000000003</v>
      </c>
      <c r="H202" s="17">
        <f>CHOOSE(CONTROL!$C$42, 9.1109, 9.1109) * CHOOSE(CONTROL!$C$21, $C$9, 100%, $E$9)</f>
        <v>9.1109000000000009</v>
      </c>
      <c r="I202" s="17">
        <f>CHOOSE(CONTROL!$C$42, 8.8814, 8.8814)* CHOOSE(CONTROL!$C$21, $C$9, 100%, $E$9)</f>
        <v>8.8813999999999993</v>
      </c>
      <c r="J202" s="17">
        <f>CHOOSE(CONTROL!$C$42, 8.8329, 8.8329)* CHOOSE(CONTROL!$C$21, $C$9, 100%, $E$9)</f>
        <v>8.8329000000000004</v>
      </c>
      <c r="K202" s="53">
        <f>CHOOSE(CONTROL!$C$42, 8.8754, 8.8754) * CHOOSE(CONTROL!$C$21, $C$9, 100%, $E$9)</f>
        <v>8.8754000000000008</v>
      </c>
      <c r="L202" s="17">
        <f>CHOOSE(CONTROL!$C$42, 9.6979, 9.6979) * CHOOSE(CONTROL!$C$21, $C$9, 100%, $E$9)</f>
        <v>9.6979000000000006</v>
      </c>
      <c r="M202" s="17">
        <f>CHOOSE(CONTROL!$C$42, 8.7604, 8.7604) * CHOOSE(CONTROL!$C$21, $C$9, 100%, $E$9)</f>
        <v>8.7604000000000006</v>
      </c>
      <c r="N202" s="17">
        <f>CHOOSE(CONTROL!$C$42, 8.7766, 8.7766) * CHOOSE(CONTROL!$C$21, $C$9, 100%, $E$9)</f>
        <v>8.7766000000000002</v>
      </c>
      <c r="O202" s="17">
        <f>CHOOSE(CONTROL!$C$42, 9.036, 9.036) * CHOOSE(CONTROL!$C$21, $C$9, 100%, $E$9)</f>
        <v>9.0359999999999996</v>
      </c>
      <c r="P202" s="17">
        <f>CHOOSE(CONTROL!$C$42, 8.8084, 8.8084) * CHOOSE(CONTROL!$C$21, $C$9, 100%, $E$9)</f>
        <v>8.8084000000000007</v>
      </c>
      <c r="Q202" s="17">
        <f>CHOOSE(CONTROL!$C$42, 9.6307, 9.6307) * CHOOSE(CONTROL!$C$21, $C$9, 100%, $E$9)</f>
        <v>9.6306999999999992</v>
      </c>
      <c r="R202" s="17">
        <f>CHOOSE(CONTROL!$C$42, 10.2417, 10.2417) * CHOOSE(CONTROL!$C$21, $C$9, 100%, $E$9)</f>
        <v>10.2417</v>
      </c>
      <c r="S202" s="17">
        <f>CHOOSE(CONTROL!$C$42, 8.5546, 8.5546) * CHOOSE(CONTROL!$C$21, $C$9, 100%, $E$9)</f>
        <v>8.5546000000000006</v>
      </c>
      <c r="T202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202" s="57">
        <f>(1000*CHOOSE(CONTROL!$C$42, 695, 695)*CHOOSE(CONTROL!$C$42, 0.5599, 0.5599)*CHOOSE(CONTROL!$C$42, 31, 31))/1000000</f>
        <v>12.063045499999998</v>
      </c>
      <c r="V202" s="57">
        <f>(1000*CHOOSE(CONTROL!$C$42, 500, 500)*CHOOSE(CONTROL!$C$42, 0.275, 0.275)*CHOOSE(CONTROL!$C$42, 31, 31))/1000000</f>
        <v>4.2625000000000002</v>
      </c>
      <c r="W202" s="57">
        <f>(1000*CHOOSE(CONTROL!$C$42, 0.0916, 0.0916)*CHOOSE(CONTROL!$C$42, 121.5, 121.5)*CHOOSE(CONTROL!$C$42, 31, 31))/1000000</f>
        <v>0.34501139999999997</v>
      </c>
      <c r="X202" s="57">
        <f>(31*0.1790888*145000/1000000)+(31*0.2374*100000/1000000)</f>
        <v>1.5409441560000001</v>
      </c>
      <c r="Y202" s="57"/>
      <c r="Z202" s="17"/>
      <c r="AA202" s="56"/>
      <c r="AB202" s="49">
        <f>(B202*131.881+C202*277.167+D202*79.08+E202*225.872+F202*40+G202*85+H202*0+I202*100+J202*300)/(131.881+277.167+79.08+225.872+0+40+85+100+300)</f>
        <v>8.9086163159806304</v>
      </c>
      <c r="AC202" s="46">
        <f>(M202*'RAP TEMPLATE-GAS AVAILABILITY'!O201+N202*'RAP TEMPLATE-GAS AVAILABILITY'!P201+O202*'RAP TEMPLATE-GAS AVAILABILITY'!Q201+P202*'RAP TEMPLATE-GAS AVAILABILITY'!R201)/('RAP TEMPLATE-GAS AVAILABILITY'!O201+'RAP TEMPLATE-GAS AVAILABILITY'!P201+'RAP TEMPLATE-GAS AVAILABILITY'!Q201+'RAP TEMPLATE-GAS AVAILABILITY'!R201)</f>
        <v>8.8483625899280582</v>
      </c>
    </row>
    <row r="203" spans="1:29" ht="15.75" x14ac:dyDescent="0.25">
      <c r="A203" s="16">
        <v>47058</v>
      </c>
      <c r="B203" s="17">
        <f>CHOOSE(CONTROL!$C$42, 9.0827, 9.0827) * CHOOSE(CONTROL!$C$21, $C$9, 100%, $E$9)</f>
        <v>9.0827000000000009</v>
      </c>
      <c r="C203" s="17">
        <f>CHOOSE(CONTROL!$C$42, 9.0878, 9.0878) * CHOOSE(CONTROL!$C$21, $C$9, 100%, $E$9)</f>
        <v>9.0877999999999997</v>
      </c>
      <c r="D203" s="17">
        <f>CHOOSE(CONTROL!$C$42, 9.2104, 9.2104) * CHOOSE(CONTROL!$C$21, $C$9, 100%, $E$9)</f>
        <v>9.2103999999999999</v>
      </c>
      <c r="E203" s="17">
        <f>CHOOSE(CONTROL!$C$42, 9.2442, 9.2442) * CHOOSE(CONTROL!$C$21, $C$9, 100%, $E$9)</f>
        <v>9.2441999999999993</v>
      </c>
      <c r="F203" s="17">
        <f>CHOOSE(CONTROL!$C$42, 9.0977, 9.0977)*CHOOSE(CONTROL!$C$21, $C$9, 100%, $E$9)</f>
        <v>9.0976999999999997</v>
      </c>
      <c r="G203" s="17">
        <f>CHOOSE(CONTROL!$C$42, 9.1144, 9.1144)*CHOOSE(CONTROL!$C$21, $C$9, 100%, $E$9)</f>
        <v>9.1143999999999998</v>
      </c>
      <c r="H203" s="17">
        <f>CHOOSE(CONTROL!$C$42, 9.233, 9.233) * CHOOSE(CONTROL!$C$21, $C$9, 100%, $E$9)</f>
        <v>9.2330000000000005</v>
      </c>
      <c r="I203" s="17">
        <f>CHOOSE(CONTROL!$C$42, 9.1358, 9.1358)* CHOOSE(CONTROL!$C$21, $C$9, 100%, $E$9)</f>
        <v>9.1357999999999997</v>
      </c>
      <c r="J203" s="17">
        <f>CHOOSE(CONTROL!$C$42, 9.0903, 9.0903)* CHOOSE(CONTROL!$C$21, $C$9, 100%, $E$9)</f>
        <v>9.0902999999999992</v>
      </c>
      <c r="K203" s="53">
        <f>CHOOSE(CONTROL!$C$42, 9.1298, 9.1298) * CHOOSE(CONTROL!$C$21, $C$9, 100%, $E$9)</f>
        <v>9.1297999999999995</v>
      </c>
      <c r="L203" s="17">
        <f>CHOOSE(CONTROL!$C$42, 9.82, 9.82) * CHOOSE(CONTROL!$C$21, $C$9, 100%, $E$9)</f>
        <v>9.82</v>
      </c>
      <c r="M203" s="17">
        <f>CHOOSE(CONTROL!$C$42, 9.0156, 9.0156) * CHOOSE(CONTROL!$C$21, $C$9, 100%, $E$9)</f>
        <v>9.0155999999999992</v>
      </c>
      <c r="N203" s="17">
        <f>CHOOSE(CONTROL!$C$42, 9.0321, 9.0321) * CHOOSE(CONTROL!$C$21, $C$9, 100%, $E$9)</f>
        <v>9.0320999999999998</v>
      </c>
      <c r="O203" s="17">
        <f>CHOOSE(CONTROL!$C$42, 9.157, 9.157) * CHOOSE(CONTROL!$C$21, $C$9, 100%, $E$9)</f>
        <v>9.157</v>
      </c>
      <c r="P203" s="17">
        <f>CHOOSE(CONTROL!$C$42, 9.0605, 9.0605) * CHOOSE(CONTROL!$C$21, $C$9, 100%, $E$9)</f>
        <v>9.0604999999999993</v>
      </c>
      <c r="Q203" s="17">
        <f>CHOOSE(CONTROL!$C$42, 9.7517, 9.7517) * CHOOSE(CONTROL!$C$21, $C$9, 100%, $E$9)</f>
        <v>9.7516999999999996</v>
      </c>
      <c r="R203" s="17">
        <f>CHOOSE(CONTROL!$C$42, 10.3631, 10.3631) * CHOOSE(CONTROL!$C$21, $C$9, 100%, $E$9)</f>
        <v>10.363099999999999</v>
      </c>
      <c r="S203" s="17">
        <f>CHOOSE(CONTROL!$C$42, 8.798, 8.798) * CHOOSE(CONTROL!$C$21, $C$9, 100%, $E$9)</f>
        <v>8.798</v>
      </c>
      <c r="T203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203" s="57">
        <f>(1000*CHOOSE(CONTROL!$C$42, 695, 695)*CHOOSE(CONTROL!$C$42, 0.5599, 0.5599)*CHOOSE(CONTROL!$C$42, 30, 30))/1000000</f>
        <v>11.673914999999997</v>
      </c>
      <c r="V203" s="57">
        <f>(1000*CHOOSE(CONTROL!$C$42, 500, 500)*CHOOSE(CONTROL!$C$42, 0.275, 0.275)*CHOOSE(CONTROL!$C$42, 30, 30))/1000000</f>
        <v>4.125</v>
      </c>
      <c r="W203" s="57">
        <f>(1000*CHOOSE(CONTROL!$C$42, 0.0916, 0.0916)*CHOOSE(CONTROL!$C$42, 121.5, 121.5)*CHOOSE(CONTROL!$C$42, 30, 30))/1000000</f>
        <v>0.33388200000000001</v>
      </c>
      <c r="X203" s="57">
        <f>(30*0.2374*100000/1000000)</f>
        <v>0.71220000000000006</v>
      </c>
      <c r="Y203" s="57"/>
      <c r="Z203" s="17"/>
      <c r="AA203" s="56"/>
      <c r="AB203" s="49">
        <f>(B203*122.58+C203*297.941+D203*89.177+E203*140.302+F203*40+G203*60+H203*0+I203*100+J203*300)/(122.58+297.941+89.177+140.302+0+40+60+100+300)</f>
        <v>9.1224027608695657</v>
      </c>
      <c r="AC203" s="46">
        <f>(M203*'RAP TEMPLATE-GAS AVAILABILITY'!O202+N203*'RAP TEMPLATE-GAS AVAILABILITY'!P202+O203*'RAP TEMPLATE-GAS AVAILABILITY'!Q202+P203*'RAP TEMPLATE-GAS AVAILABILITY'!R202)/('RAP TEMPLATE-GAS AVAILABILITY'!O202+'RAP TEMPLATE-GAS AVAILABILITY'!P202+'RAP TEMPLATE-GAS AVAILABILITY'!Q202+'RAP TEMPLATE-GAS AVAILABILITY'!R202)</f>
        <v>9.0870978417266191</v>
      </c>
    </row>
    <row r="204" spans="1:29" ht="15.75" x14ac:dyDescent="0.25">
      <c r="A204" s="16">
        <v>47088</v>
      </c>
      <c r="B204" s="17">
        <f>CHOOSE(CONTROL!$C$42, 9.7212, 9.7212) * CHOOSE(CONTROL!$C$21, $C$9, 100%, $E$9)</f>
        <v>9.7211999999999996</v>
      </c>
      <c r="C204" s="17">
        <f>CHOOSE(CONTROL!$C$42, 9.7263, 9.7263) * CHOOSE(CONTROL!$C$21, $C$9, 100%, $E$9)</f>
        <v>9.7263000000000002</v>
      </c>
      <c r="D204" s="17">
        <f>CHOOSE(CONTROL!$C$42, 9.8489, 9.8489) * CHOOSE(CONTROL!$C$21, $C$9, 100%, $E$9)</f>
        <v>9.8489000000000004</v>
      </c>
      <c r="E204" s="17">
        <f>CHOOSE(CONTROL!$C$42, 9.8827, 9.8827) * CHOOSE(CONTROL!$C$21, $C$9, 100%, $E$9)</f>
        <v>9.8826999999999998</v>
      </c>
      <c r="F204" s="17">
        <f>CHOOSE(CONTROL!$C$42, 9.7386, 9.7386)*CHOOSE(CONTROL!$C$21, $C$9, 100%, $E$9)</f>
        <v>9.7385999999999999</v>
      </c>
      <c r="G204" s="17">
        <f>CHOOSE(CONTROL!$C$42, 9.7559, 9.7559)*CHOOSE(CONTROL!$C$21, $C$9, 100%, $E$9)</f>
        <v>9.7559000000000005</v>
      </c>
      <c r="H204" s="17">
        <f>CHOOSE(CONTROL!$C$42, 9.8715, 9.8715) * CHOOSE(CONTROL!$C$21, $C$9, 100%, $E$9)</f>
        <v>9.8714999999999993</v>
      </c>
      <c r="I204" s="17">
        <f>CHOOSE(CONTROL!$C$42, 9.7763, 9.7763)* CHOOSE(CONTROL!$C$21, $C$9, 100%, $E$9)</f>
        <v>9.7763000000000009</v>
      </c>
      <c r="J204" s="17">
        <f>CHOOSE(CONTROL!$C$42, 9.7312, 9.7312)* CHOOSE(CONTROL!$C$21, $C$9, 100%, $E$9)</f>
        <v>9.7311999999999994</v>
      </c>
      <c r="K204" s="53">
        <f>CHOOSE(CONTROL!$C$42, 9.7703, 9.7703) * CHOOSE(CONTROL!$C$21, $C$9, 100%, $E$9)</f>
        <v>9.7703000000000007</v>
      </c>
      <c r="L204" s="17">
        <f>CHOOSE(CONTROL!$C$42, 10.4585, 10.4585) * CHOOSE(CONTROL!$C$21, $C$9, 100%, $E$9)</f>
        <v>10.458500000000001</v>
      </c>
      <c r="M204" s="17">
        <f>CHOOSE(CONTROL!$C$42, 9.6507, 9.6507) * CHOOSE(CONTROL!$C$21, $C$9, 100%, $E$9)</f>
        <v>9.6507000000000005</v>
      </c>
      <c r="N204" s="17">
        <f>CHOOSE(CONTROL!$C$42, 9.6679, 9.6679) * CHOOSE(CONTROL!$C$21, $C$9, 100%, $E$9)</f>
        <v>9.6678999999999995</v>
      </c>
      <c r="O204" s="17">
        <f>CHOOSE(CONTROL!$C$42, 9.7898, 9.7898) * CHOOSE(CONTROL!$C$21, $C$9, 100%, $E$9)</f>
        <v>9.7897999999999996</v>
      </c>
      <c r="P204" s="17">
        <f>CHOOSE(CONTROL!$C$42, 9.6952, 9.6952) * CHOOSE(CONTROL!$C$21, $C$9, 100%, $E$9)</f>
        <v>9.6951999999999998</v>
      </c>
      <c r="Q204" s="17">
        <f>CHOOSE(CONTROL!$C$42, 10.3845, 10.3845) * CHOOSE(CONTROL!$C$21, $C$9, 100%, $E$9)</f>
        <v>10.384499999999999</v>
      </c>
      <c r="R204" s="17">
        <f>CHOOSE(CONTROL!$C$42, 10.9974, 10.9974) * CHOOSE(CONTROL!$C$21, $C$9, 100%, $E$9)</f>
        <v>10.997400000000001</v>
      </c>
      <c r="S204" s="17">
        <f>CHOOSE(CONTROL!$C$42, 9.4171, 9.4171) * CHOOSE(CONTROL!$C$21, $C$9, 100%, $E$9)</f>
        <v>9.4170999999999996</v>
      </c>
      <c r="T204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204" s="57">
        <f>(1000*CHOOSE(CONTROL!$C$42, 695, 695)*CHOOSE(CONTROL!$C$42, 0.5599, 0.5599)*CHOOSE(CONTROL!$C$42, 31, 31))/1000000</f>
        <v>12.063045499999998</v>
      </c>
      <c r="V204" s="57">
        <f>(1000*CHOOSE(CONTROL!$C$42, 500, 500)*CHOOSE(CONTROL!$C$42, 0.275, 0.275)*CHOOSE(CONTROL!$C$42, 31, 31))/1000000</f>
        <v>4.2625000000000002</v>
      </c>
      <c r="W204" s="57">
        <f>(1000*CHOOSE(CONTROL!$C$42, 0.0916, 0.0916)*CHOOSE(CONTROL!$C$42, 121.5, 121.5)*CHOOSE(CONTROL!$C$42, 31, 31))/1000000</f>
        <v>0.34501139999999997</v>
      </c>
      <c r="X204" s="57">
        <f>(31*0.2374*100000/1000000)</f>
        <v>0.73594000000000004</v>
      </c>
      <c r="Y204" s="57"/>
      <c r="Z204" s="17"/>
      <c r="AA204" s="56"/>
      <c r="AB204" s="49">
        <f>(B204*122.58+C204*297.941+D204*89.177+E204*140.302+F204*40+G204*60+H204*0+I204*100+J204*300)/(122.58+297.941+89.177+140.302+0+40+60+100+300)</f>
        <v>9.7619427608695641</v>
      </c>
      <c r="AC204" s="46">
        <f>(M204*'RAP TEMPLATE-GAS AVAILABILITY'!O203+N204*'RAP TEMPLATE-GAS AVAILABILITY'!P203+O204*'RAP TEMPLATE-GAS AVAILABILITY'!Q203+P204*'RAP TEMPLATE-GAS AVAILABILITY'!R203)/('RAP TEMPLATE-GAS AVAILABILITY'!O203+'RAP TEMPLATE-GAS AVAILABILITY'!P203+'RAP TEMPLATE-GAS AVAILABILITY'!Q203+'RAP TEMPLATE-GAS AVAILABILITY'!R203)</f>
        <v>9.7211381294964045</v>
      </c>
    </row>
    <row r="205" spans="1:29" ht="15.75" x14ac:dyDescent="0.25">
      <c r="A205" s="16">
        <v>47119</v>
      </c>
      <c r="B205" s="17">
        <f>CHOOSE(CONTROL!$C$42, 10.2363, 10.2363) * CHOOSE(CONTROL!$C$21, $C$9, 100%, $E$9)</f>
        <v>10.2363</v>
      </c>
      <c r="C205" s="17">
        <f>CHOOSE(CONTROL!$C$42, 10.2414, 10.2414) * CHOOSE(CONTROL!$C$21, $C$9, 100%, $E$9)</f>
        <v>10.241400000000001</v>
      </c>
      <c r="D205" s="17">
        <f>CHOOSE(CONTROL!$C$42, 10.3588, 10.3588) * CHOOSE(CONTROL!$C$21, $C$9, 100%, $E$9)</f>
        <v>10.3588</v>
      </c>
      <c r="E205" s="17">
        <f>CHOOSE(CONTROL!$C$42, 10.3926, 10.3926) * CHOOSE(CONTROL!$C$21, $C$9, 100%, $E$9)</f>
        <v>10.3926</v>
      </c>
      <c r="F205" s="17">
        <f>CHOOSE(CONTROL!$C$42, 10.2499, 10.2499)*CHOOSE(CONTROL!$C$21, $C$9, 100%, $E$9)</f>
        <v>10.2499</v>
      </c>
      <c r="G205" s="17">
        <f>CHOOSE(CONTROL!$C$42, 10.2662, 10.2662)*CHOOSE(CONTROL!$C$21, $C$9, 100%, $E$9)</f>
        <v>10.2662</v>
      </c>
      <c r="H205" s="17">
        <f>CHOOSE(CONTROL!$C$42, 10.3815, 10.3815) * CHOOSE(CONTROL!$C$21, $C$9, 100%, $E$9)</f>
        <v>10.381500000000001</v>
      </c>
      <c r="I205" s="17">
        <f>CHOOSE(CONTROL!$C$42, 10.2915, 10.2915)* CHOOSE(CONTROL!$C$21, $C$9, 100%, $E$9)</f>
        <v>10.291499999999999</v>
      </c>
      <c r="J205" s="17">
        <f>CHOOSE(CONTROL!$C$42, 10.2425, 10.2425)* CHOOSE(CONTROL!$C$21, $C$9, 100%, $E$9)</f>
        <v>10.2425</v>
      </c>
      <c r="K205" s="53">
        <f>CHOOSE(CONTROL!$C$42, 10.2854, 10.2854) * CHOOSE(CONTROL!$C$21, $C$9, 100%, $E$9)</f>
        <v>10.285399999999999</v>
      </c>
      <c r="L205" s="17">
        <f>CHOOSE(CONTROL!$C$42, 10.9685, 10.9685) * CHOOSE(CONTROL!$C$21, $C$9, 100%, $E$9)</f>
        <v>10.968500000000001</v>
      </c>
      <c r="M205" s="17">
        <f>CHOOSE(CONTROL!$C$42, 10.1574, 10.1574) * CHOOSE(CONTROL!$C$21, $C$9, 100%, $E$9)</f>
        <v>10.157400000000001</v>
      </c>
      <c r="N205" s="17">
        <f>CHOOSE(CONTROL!$C$42, 10.1736, 10.1736) * CHOOSE(CONTROL!$C$21, $C$9, 100%, $E$9)</f>
        <v>10.1736</v>
      </c>
      <c r="O205" s="17">
        <f>CHOOSE(CONTROL!$C$42, 10.2951, 10.2951) * CHOOSE(CONTROL!$C$21, $C$9, 100%, $E$9)</f>
        <v>10.2951</v>
      </c>
      <c r="P205" s="17">
        <f>CHOOSE(CONTROL!$C$42, 10.2057, 10.2057) * CHOOSE(CONTROL!$C$21, $C$9, 100%, $E$9)</f>
        <v>10.2057</v>
      </c>
      <c r="Q205" s="17">
        <f>CHOOSE(CONTROL!$C$42, 10.8898, 10.8898) * CHOOSE(CONTROL!$C$21, $C$9, 100%, $E$9)</f>
        <v>10.889799999999999</v>
      </c>
      <c r="R205" s="17">
        <f>CHOOSE(CONTROL!$C$42, 11.504, 11.504) * CHOOSE(CONTROL!$C$21, $C$9, 100%, $E$9)</f>
        <v>11.504</v>
      </c>
      <c r="S205" s="17">
        <f>CHOOSE(CONTROL!$C$42, 9.9166, 9.9166) * CHOOSE(CONTROL!$C$21, $C$9, 100%, $E$9)</f>
        <v>9.9166000000000007</v>
      </c>
      <c r="T205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205" s="57">
        <f>(1000*CHOOSE(CONTROL!$C$42, 695, 695)*CHOOSE(CONTROL!$C$42, 0.5599, 0.5599)*CHOOSE(CONTROL!$C$42, 31, 31))/1000000</f>
        <v>12.063045499999998</v>
      </c>
      <c r="V205" s="57">
        <f>(1000*CHOOSE(CONTROL!$C$42, 500, 500)*CHOOSE(CONTROL!$C$42, 0.275, 0.275)*CHOOSE(CONTROL!$C$42, 31, 31))/1000000</f>
        <v>4.2625000000000002</v>
      </c>
      <c r="W205" s="57">
        <f>(1000*CHOOSE(CONTROL!$C$42, 0.0916, 0.0916)*CHOOSE(CONTROL!$C$42, 121.5, 121.5)*CHOOSE(CONTROL!$C$42, 31, 31))/1000000</f>
        <v>0.34501139999999997</v>
      </c>
      <c r="X205" s="57">
        <f>(31*0.2374*100000/1000000)</f>
        <v>0.73594000000000004</v>
      </c>
      <c r="Y205" s="57"/>
      <c r="Z205" s="17"/>
      <c r="AA205" s="56"/>
      <c r="AB205" s="49">
        <f>(B205*122.58+C205*297.941+D205*89.177+E205*140.302+F205*40+G205*60+H205*0+I205*100+J205*300)/(122.58+297.941+89.177+140.302+0+40+60+100+300)</f>
        <v>10.274639899304347</v>
      </c>
      <c r="AC205" s="46">
        <f>(M205*'RAP TEMPLATE-GAS AVAILABILITY'!O204+N205*'RAP TEMPLATE-GAS AVAILABILITY'!P204+O205*'RAP TEMPLATE-GAS AVAILABILITY'!Q204+P205*'RAP TEMPLATE-GAS AVAILABILITY'!R204)/('RAP TEMPLATE-GAS AVAILABILITY'!O204+'RAP TEMPLATE-GAS AVAILABILITY'!P204+'RAP TEMPLATE-GAS AVAILABILITY'!Q204+'RAP TEMPLATE-GAS AVAILABILITY'!R204)</f>
        <v>10.227692805755394</v>
      </c>
    </row>
    <row r="206" spans="1:29" ht="15.75" x14ac:dyDescent="0.25">
      <c r="A206" s="16">
        <v>47150</v>
      </c>
      <c r="B206" s="17">
        <f>CHOOSE(CONTROL!$C$42, 10.4398, 10.4398) * CHOOSE(CONTROL!$C$21, $C$9, 100%, $E$9)</f>
        <v>10.4398</v>
      </c>
      <c r="C206" s="17">
        <f>CHOOSE(CONTROL!$C$42, 10.4449, 10.4449) * CHOOSE(CONTROL!$C$21, $C$9, 100%, $E$9)</f>
        <v>10.444900000000001</v>
      </c>
      <c r="D206" s="17">
        <f>CHOOSE(CONTROL!$C$42, 10.5623, 10.5623) * CHOOSE(CONTROL!$C$21, $C$9, 100%, $E$9)</f>
        <v>10.5623</v>
      </c>
      <c r="E206" s="17">
        <f>CHOOSE(CONTROL!$C$42, 10.5961, 10.5961) * CHOOSE(CONTROL!$C$21, $C$9, 100%, $E$9)</f>
        <v>10.5961</v>
      </c>
      <c r="F206" s="17">
        <f>CHOOSE(CONTROL!$C$42, 10.4534, 10.4534)*CHOOSE(CONTROL!$C$21, $C$9, 100%, $E$9)</f>
        <v>10.4534</v>
      </c>
      <c r="G206" s="17">
        <f>CHOOSE(CONTROL!$C$42, 10.4697, 10.4697)*CHOOSE(CONTROL!$C$21, $C$9, 100%, $E$9)</f>
        <v>10.4697</v>
      </c>
      <c r="H206" s="17">
        <f>CHOOSE(CONTROL!$C$42, 10.585, 10.585) * CHOOSE(CONTROL!$C$21, $C$9, 100%, $E$9)</f>
        <v>10.585000000000001</v>
      </c>
      <c r="I206" s="17">
        <f>CHOOSE(CONTROL!$C$42, 10.4956, 10.4956)* CHOOSE(CONTROL!$C$21, $C$9, 100%, $E$9)</f>
        <v>10.4956</v>
      </c>
      <c r="J206" s="17">
        <f>CHOOSE(CONTROL!$C$42, 10.446, 10.446)* CHOOSE(CONTROL!$C$21, $C$9, 100%, $E$9)</f>
        <v>10.446</v>
      </c>
      <c r="K206" s="53">
        <f>CHOOSE(CONTROL!$C$42, 10.4895, 10.4895) * CHOOSE(CONTROL!$C$21, $C$9, 100%, $E$9)</f>
        <v>10.4895</v>
      </c>
      <c r="L206" s="17">
        <f>CHOOSE(CONTROL!$C$42, 11.172, 11.172) * CHOOSE(CONTROL!$C$21, $C$9, 100%, $E$9)</f>
        <v>11.172000000000001</v>
      </c>
      <c r="M206" s="17">
        <f>CHOOSE(CONTROL!$C$42, 10.3591, 10.3591) * CHOOSE(CONTROL!$C$21, $C$9, 100%, $E$9)</f>
        <v>10.3591</v>
      </c>
      <c r="N206" s="17">
        <f>CHOOSE(CONTROL!$C$42, 10.3752, 10.3752) * CHOOSE(CONTROL!$C$21, $C$9, 100%, $E$9)</f>
        <v>10.3752</v>
      </c>
      <c r="O206" s="17">
        <f>CHOOSE(CONTROL!$C$42, 10.4968, 10.4968) * CHOOSE(CONTROL!$C$21, $C$9, 100%, $E$9)</f>
        <v>10.4968</v>
      </c>
      <c r="P206" s="17">
        <f>CHOOSE(CONTROL!$C$42, 10.4079, 10.4079) * CHOOSE(CONTROL!$C$21, $C$9, 100%, $E$9)</f>
        <v>10.4079</v>
      </c>
      <c r="Q206" s="17">
        <f>CHOOSE(CONTROL!$C$42, 11.0915, 11.0915) * CHOOSE(CONTROL!$C$21, $C$9, 100%, $E$9)</f>
        <v>11.0915</v>
      </c>
      <c r="R206" s="17">
        <f>CHOOSE(CONTROL!$C$42, 11.7062, 11.7062) * CHOOSE(CONTROL!$C$21, $C$9, 100%, $E$9)</f>
        <v>11.706200000000001</v>
      </c>
      <c r="S206" s="17">
        <f>CHOOSE(CONTROL!$C$42, 10.1139, 10.1139) * CHOOSE(CONTROL!$C$21, $C$9, 100%, $E$9)</f>
        <v>10.113899999999999</v>
      </c>
      <c r="T206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206" s="57">
        <f>(1000*CHOOSE(CONTROL!$C$42, 695, 695)*CHOOSE(CONTROL!$C$42, 0.5599, 0.5599)*CHOOSE(CONTROL!$C$42, 28, 28))/1000000</f>
        <v>10.895653999999999</v>
      </c>
      <c r="V206" s="57">
        <f>(1000*CHOOSE(CONTROL!$C$42, 500, 500)*CHOOSE(CONTROL!$C$42, 0.275, 0.275)*CHOOSE(CONTROL!$C$42, 28, 28))/1000000</f>
        <v>3.85</v>
      </c>
      <c r="W206" s="57">
        <f>(1000*CHOOSE(CONTROL!$C$42, 0.0916, 0.0916)*CHOOSE(CONTROL!$C$42, 121.5, 121.5)*CHOOSE(CONTROL!$C$42, 28, 28))/1000000</f>
        <v>0.31162319999999999</v>
      </c>
      <c r="X206" s="57">
        <f>(28*0.2374*100000/1000000)</f>
        <v>0.66471999999999998</v>
      </c>
      <c r="Y206" s="57"/>
      <c r="Z206" s="17"/>
      <c r="AA206" s="56"/>
      <c r="AB206" s="49">
        <f>(B206*122.58+C206*297.941+D206*89.177+E206*140.302+F206*40+G206*60+H206*0+I206*100+J206*300)/(122.58+297.941+89.177+140.302+0+40+60+100+300)</f>
        <v>10.478192073217391</v>
      </c>
      <c r="AC206" s="46">
        <f>(M206*'RAP TEMPLATE-GAS AVAILABILITY'!O205+N206*'RAP TEMPLATE-GAS AVAILABILITY'!P205+O206*'RAP TEMPLATE-GAS AVAILABILITY'!Q205+P206*'RAP TEMPLATE-GAS AVAILABILITY'!R205)/('RAP TEMPLATE-GAS AVAILABILITY'!O205+'RAP TEMPLATE-GAS AVAILABILITY'!P205+'RAP TEMPLATE-GAS AVAILABILITY'!Q205+'RAP TEMPLATE-GAS AVAILABILITY'!R205)</f>
        <v>10.429458992805754</v>
      </c>
    </row>
    <row r="207" spans="1:29" ht="15.75" x14ac:dyDescent="0.25">
      <c r="A207" s="16">
        <v>47178</v>
      </c>
      <c r="B207" s="17">
        <f>CHOOSE(CONTROL!$C$42, 10.1646, 10.1646) * CHOOSE(CONTROL!$C$21, $C$9, 100%, $E$9)</f>
        <v>10.1646</v>
      </c>
      <c r="C207" s="17">
        <f>CHOOSE(CONTROL!$C$42, 10.1696, 10.1696) * CHOOSE(CONTROL!$C$21, $C$9, 100%, $E$9)</f>
        <v>10.169600000000001</v>
      </c>
      <c r="D207" s="17">
        <f>CHOOSE(CONTROL!$C$42, 10.2871, 10.2871) * CHOOSE(CONTROL!$C$21, $C$9, 100%, $E$9)</f>
        <v>10.287100000000001</v>
      </c>
      <c r="E207" s="17">
        <f>CHOOSE(CONTROL!$C$42, 10.3209, 10.3209) * CHOOSE(CONTROL!$C$21, $C$9, 100%, $E$9)</f>
        <v>10.3209</v>
      </c>
      <c r="F207" s="17">
        <f>CHOOSE(CONTROL!$C$42, 10.1776, 10.1776)*CHOOSE(CONTROL!$C$21, $C$9, 100%, $E$9)</f>
        <v>10.1776</v>
      </c>
      <c r="G207" s="17">
        <f>CHOOSE(CONTROL!$C$42, 10.1937, 10.1937)*CHOOSE(CONTROL!$C$21, $C$9, 100%, $E$9)</f>
        <v>10.1937</v>
      </c>
      <c r="H207" s="17">
        <f>CHOOSE(CONTROL!$C$42, 10.3097, 10.3097) * CHOOSE(CONTROL!$C$21, $C$9, 100%, $E$9)</f>
        <v>10.309699999999999</v>
      </c>
      <c r="I207" s="17">
        <f>CHOOSE(CONTROL!$C$42, 10.2195, 10.2195)* CHOOSE(CONTROL!$C$21, $C$9, 100%, $E$9)</f>
        <v>10.2195</v>
      </c>
      <c r="J207" s="17">
        <f>CHOOSE(CONTROL!$C$42, 10.1702, 10.1702)* CHOOSE(CONTROL!$C$21, $C$9, 100%, $E$9)</f>
        <v>10.170199999999999</v>
      </c>
      <c r="K207" s="53">
        <f>CHOOSE(CONTROL!$C$42, 10.2135, 10.2135) * CHOOSE(CONTROL!$C$21, $C$9, 100%, $E$9)</f>
        <v>10.2135</v>
      </c>
      <c r="L207" s="17">
        <f>CHOOSE(CONTROL!$C$42, 10.8967, 10.8967) * CHOOSE(CONTROL!$C$21, $C$9, 100%, $E$9)</f>
        <v>10.896699999999999</v>
      </c>
      <c r="M207" s="17">
        <f>CHOOSE(CONTROL!$C$42, 10.0857, 10.0857) * CHOOSE(CONTROL!$C$21, $C$9, 100%, $E$9)</f>
        <v>10.085699999999999</v>
      </c>
      <c r="N207" s="17">
        <f>CHOOSE(CONTROL!$C$42, 10.1017, 10.1017) * CHOOSE(CONTROL!$C$21, $C$9, 100%, $E$9)</f>
        <v>10.101699999999999</v>
      </c>
      <c r="O207" s="17">
        <f>CHOOSE(CONTROL!$C$42, 10.224, 10.224) * CHOOSE(CONTROL!$C$21, $C$9, 100%, $E$9)</f>
        <v>10.224</v>
      </c>
      <c r="P207" s="17">
        <f>CHOOSE(CONTROL!$C$42, 10.1344, 10.1344) * CHOOSE(CONTROL!$C$21, $C$9, 100%, $E$9)</f>
        <v>10.134399999999999</v>
      </c>
      <c r="Q207" s="17">
        <f>CHOOSE(CONTROL!$C$42, 10.8187, 10.8187) * CHOOSE(CONTROL!$C$21, $C$9, 100%, $E$9)</f>
        <v>10.8187</v>
      </c>
      <c r="R207" s="17">
        <f>CHOOSE(CONTROL!$C$42, 11.4328, 11.4328) * CHOOSE(CONTROL!$C$21, $C$9, 100%, $E$9)</f>
        <v>11.4328</v>
      </c>
      <c r="S207" s="17">
        <f>CHOOSE(CONTROL!$C$42, 9.8471, 9.8471) * CHOOSE(CONTROL!$C$21, $C$9, 100%, $E$9)</f>
        <v>9.8470999999999993</v>
      </c>
      <c r="T207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207" s="57">
        <f>(1000*CHOOSE(CONTROL!$C$42, 695, 695)*CHOOSE(CONTROL!$C$42, 0.5599, 0.5599)*CHOOSE(CONTROL!$C$42, 31, 31))/1000000</f>
        <v>12.063045499999998</v>
      </c>
      <c r="V207" s="57">
        <f>(1000*CHOOSE(CONTROL!$C$42, 500, 500)*CHOOSE(CONTROL!$C$42, 0.275, 0.275)*CHOOSE(CONTROL!$C$42, 31, 31))/1000000</f>
        <v>4.2625000000000002</v>
      </c>
      <c r="W207" s="57">
        <f>(1000*CHOOSE(CONTROL!$C$42, 0.0916, 0.0916)*CHOOSE(CONTROL!$C$42, 121.5, 121.5)*CHOOSE(CONTROL!$C$42, 31, 31))/1000000</f>
        <v>0.34501139999999997</v>
      </c>
      <c r="X207" s="57">
        <f>(31*0.2374*100000/1000000)</f>
        <v>0.73594000000000004</v>
      </c>
      <c r="Y207" s="57"/>
      <c r="Z207" s="17"/>
      <c r="AA207" s="56"/>
      <c r="AB207" s="49">
        <f>(B207*122.58+C207*297.941+D207*89.177+E207*140.302+F207*40+G207*60+H207*0+I207*100+J207*300)/(122.58+297.941+89.177+140.302+0+40+60+100+300)</f>
        <v>10.202668773999999</v>
      </c>
      <c r="AC207" s="46">
        <f>(M207*'RAP TEMPLATE-GAS AVAILABILITY'!O206+N207*'RAP TEMPLATE-GAS AVAILABILITY'!P206+O207*'RAP TEMPLATE-GAS AVAILABILITY'!Q206+P207*'RAP TEMPLATE-GAS AVAILABILITY'!R206)/('RAP TEMPLATE-GAS AVAILABILITY'!O206+'RAP TEMPLATE-GAS AVAILABILITY'!P206+'RAP TEMPLATE-GAS AVAILABILITY'!Q206+'RAP TEMPLATE-GAS AVAILABILITY'!R206)</f>
        <v>10.156310791366906</v>
      </c>
    </row>
    <row r="208" spans="1:29" ht="15.75" x14ac:dyDescent="0.25">
      <c r="A208" s="16">
        <v>47209</v>
      </c>
      <c r="B208" s="17">
        <f>CHOOSE(CONTROL!$C$42, 10.156, 10.156) * CHOOSE(CONTROL!$C$21, $C$9, 100%, $E$9)</f>
        <v>10.156000000000001</v>
      </c>
      <c r="C208" s="17">
        <f>CHOOSE(CONTROL!$C$42, 10.1605, 10.1605) * CHOOSE(CONTROL!$C$21, $C$9, 100%, $E$9)</f>
        <v>10.160500000000001</v>
      </c>
      <c r="D208" s="17">
        <f>CHOOSE(CONTROL!$C$42, 10.4132, 10.4132) * CHOOSE(CONTROL!$C$21, $C$9, 100%, $E$9)</f>
        <v>10.4132</v>
      </c>
      <c r="E208" s="17">
        <f>CHOOSE(CONTROL!$C$42, 10.445, 10.445) * CHOOSE(CONTROL!$C$21, $C$9, 100%, $E$9)</f>
        <v>10.445</v>
      </c>
      <c r="F208" s="17">
        <f>CHOOSE(CONTROL!$C$42, 10.162, 10.162)*CHOOSE(CONTROL!$C$21, $C$9, 100%, $E$9)</f>
        <v>10.162000000000001</v>
      </c>
      <c r="G208" s="17">
        <f>CHOOSE(CONTROL!$C$42, 10.1778, 10.1778)*CHOOSE(CONTROL!$C$21, $C$9, 100%, $E$9)</f>
        <v>10.1778</v>
      </c>
      <c r="H208" s="17">
        <f>CHOOSE(CONTROL!$C$42, 10.4345, 10.4345) * CHOOSE(CONTROL!$C$21, $C$9, 100%, $E$9)</f>
        <v>10.4345</v>
      </c>
      <c r="I208" s="17">
        <f>CHOOSE(CONTROL!$C$42, 10.2091, 10.2091)* CHOOSE(CONTROL!$C$21, $C$9, 100%, $E$9)</f>
        <v>10.209099999999999</v>
      </c>
      <c r="J208" s="17">
        <f>CHOOSE(CONTROL!$C$42, 10.1546, 10.1546)* CHOOSE(CONTROL!$C$21, $C$9, 100%, $E$9)</f>
        <v>10.1546</v>
      </c>
      <c r="K208" s="53">
        <f>CHOOSE(CONTROL!$C$42, 10.2031, 10.2031) * CHOOSE(CONTROL!$C$21, $C$9, 100%, $E$9)</f>
        <v>10.203099999999999</v>
      </c>
      <c r="L208" s="17">
        <f>CHOOSE(CONTROL!$C$42, 11.0215, 11.0215) * CHOOSE(CONTROL!$C$21, $C$9, 100%, $E$9)</f>
        <v>11.0215</v>
      </c>
      <c r="M208" s="17">
        <f>CHOOSE(CONTROL!$C$42, 10.0702, 10.0702) * CHOOSE(CONTROL!$C$21, $C$9, 100%, $E$9)</f>
        <v>10.0702</v>
      </c>
      <c r="N208" s="17">
        <f>CHOOSE(CONTROL!$C$42, 10.0859, 10.0859) * CHOOSE(CONTROL!$C$21, $C$9, 100%, $E$9)</f>
        <v>10.085900000000001</v>
      </c>
      <c r="O208" s="17">
        <f>CHOOSE(CONTROL!$C$42, 10.3476, 10.3476) * CHOOSE(CONTROL!$C$21, $C$9, 100%, $E$9)</f>
        <v>10.3476</v>
      </c>
      <c r="P208" s="17">
        <f>CHOOSE(CONTROL!$C$42, 10.1241, 10.1241) * CHOOSE(CONTROL!$C$21, $C$9, 100%, $E$9)</f>
        <v>10.1241</v>
      </c>
      <c r="Q208" s="17">
        <f>CHOOSE(CONTROL!$C$42, 10.9423, 10.9423) * CHOOSE(CONTROL!$C$21, $C$9, 100%, $E$9)</f>
        <v>10.942299999999999</v>
      </c>
      <c r="R208" s="17">
        <f>CHOOSE(CONTROL!$C$42, 11.5567, 11.5567) * CHOOSE(CONTROL!$C$21, $C$9, 100%, $E$9)</f>
        <v>11.556699999999999</v>
      </c>
      <c r="S208" s="17">
        <f>CHOOSE(CONTROL!$C$42, 9.838, 9.838) * CHOOSE(CONTROL!$C$21, $C$9, 100%, $E$9)</f>
        <v>9.8379999999999992</v>
      </c>
      <c r="T208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208" s="57">
        <f>(1000*CHOOSE(CONTROL!$C$42, 695, 695)*CHOOSE(CONTROL!$C$42, 0.5599, 0.5599)*CHOOSE(CONTROL!$C$42, 30, 30))/1000000</f>
        <v>11.673914999999997</v>
      </c>
      <c r="V208" s="57">
        <f>(1000*CHOOSE(CONTROL!$C$42, 500, 500)*CHOOSE(CONTROL!$C$42, 0.275, 0.275)*CHOOSE(CONTROL!$C$42, 30, 30))/1000000</f>
        <v>4.125</v>
      </c>
      <c r="W208" s="57">
        <f>(1000*CHOOSE(CONTROL!$C$42, 0.0916, 0.0916)*CHOOSE(CONTROL!$C$42, 121.5, 121.5)*CHOOSE(CONTROL!$C$42, 30, 30))/1000000</f>
        <v>0.33388200000000001</v>
      </c>
      <c r="X208" s="57">
        <f>(30*0.1790888*145000/1000000)+(30*0.2374*100000/1000000)</f>
        <v>1.4912362799999999</v>
      </c>
      <c r="Y208" s="57"/>
      <c r="Z208" s="17"/>
      <c r="AA208" s="56"/>
      <c r="AB208" s="49">
        <f>(B208*141.293+C208*267.993+D208*115.016+E208*189.698+F208*40+G208*85+H208*0+I208*100+J208*300)/(141.293+267.993+115.016+189.698+0+40+85+100+300)</f>
        <v>10.230732692251815</v>
      </c>
      <c r="AC208" s="46">
        <f>(M208*'RAP TEMPLATE-GAS AVAILABILITY'!O207+N208*'RAP TEMPLATE-GAS AVAILABILITY'!P207+O208*'RAP TEMPLATE-GAS AVAILABILITY'!Q207+P208*'RAP TEMPLATE-GAS AVAILABILITY'!R207)/('RAP TEMPLATE-GAS AVAILABILITY'!O207+'RAP TEMPLATE-GAS AVAILABILITY'!P207+'RAP TEMPLATE-GAS AVAILABILITY'!Q207+'RAP TEMPLATE-GAS AVAILABILITY'!R207)</f>
        <v>10.159401438848921</v>
      </c>
    </row>
    <row r="209" spans="1:29" ht="15.75" x14ac:dyDescent="0.25">
      <c r="A209" s="16">
        <v>47239</v>
      </c>
      <c r="B209" s="17">
        <f>CHOOSE(CONTROL!$C$42, 10.268, 10.268) * CHOOSE(CONTROL!$C$21, $C$9, 100%, $E$9)</f>
        <v>10.268000000000001</v>
      </c>
      <c r="C209" s="17">
        <f>CHOOSE(CONTROL!$C$42, 10.276, 10.276) * CHOOSE(CONTROL!$C$21, $C$9, 100%, $E$9)</f>
        <v>10.276</v>
      </c>
      <c r="D209" s="17">
        <f>CHOOSE(CONTROL!$C$42, 10.5256, 10.5256) * CHOOSE(CONTROL!$C$21, $C$9, 100%, $E$9)</f>
        <v>10.525600000000001</v>
      </c>
      <c r="E209" s="17">
        <f>CHOOSE(CONTROL!$C$42, 10.5568, 10.5568) * CHOOSE(CONTROL!$C$21, $C$9, 100%, $E$9)</f>
        <v>10.556800000000001</v>
      </c>
      <c r="F209" s="17">
        <f>CHOOSE(CONTROL!$C$42, 10.2728, 10.2728)*CHOOSE(CONTROL!$C$21, $C$9, 100%, $E$9)</f>
        <v>10.2728</v>
      </c>
      <c r="G209" s="17">
        <f>CHOOSE(CONTROL!$C$42, 10.289, 10.289)*CHOOSE(CONTROL!$C$21, $C$9, 100%, $E$9)</f>
        <v>10.289</v>
      </c>
      <c r="H209" s="17">
        <f>CHOOSE(CONTROL!$C$42, 10.5451, 10.5451) * CHOOSE(CONTROL!$C$21, $C$9, 100%, $E$9)</f>
        <v>10.5451</v>
      </c>
      <c r="I209" s="17">
        <f>CHOOSE(CONTROL!$C$42, 10.3201, 10.3201)* CHOOSE(CONTROL!$C$21, $C$9, 100%, $E$9)</f>
        <v>10.3201</v>
      </c>
      <c r="J209" s="17">
        <f>CHOOSE(CONTROL!$C$42, 10.2654, 10.2654)* CHOOSE(CONTROL!$C$21, $C$9, 100%, $E$9)</f>
        <v>10.2654</v>
      </c>
      <c r="K209" s="53">
        <f>CHOOSE(CONTROL!$C$42, 10.314, 10.314) * CHOOSE(CONTROL!$C$21, $C$9, 100%, $E$9)</f>
        <v>10.314</v>
      </c>
      <c r="L209" s="17">
        <f>CHOOSE(CONTROL!$C$42, 11.1321, 11.1321) * CHOOSE(CONTROL!$C$21, $C$9, 100%, $E$9)</f>
        <v>11.132099999999999</v>
      </c>
      <c r="M209" s="17">
        <f>CHOOSE(CONTROL!$C$42, 10.1801, 10.1801) * CHOOSE(CONTROL!$C$21, $C$9, 100%, $E$9)</f>
        <v>10.180099999999999</v>
      </c>
      <c r="N209" s="17">
        <f>CHOOSE(CONTROL!$C$42, 10.1961, 10.1961) * CHOOSE(CONTROL!$C$21, $C$9, 100%, $E$9)</f>
        <v>10.196099999999999</v>
      </c>
      <c r="O209" s="17">
        <f>CHOOSE(CONTROL!$C$42, 10.4573, 10.4573) * CHOOSE(CONTROL!$C$21, $C$9, 100%, $E$9)</f>
        <v>10.4573</v>
      </c>
      <c r="P209" s="17">
        <f>CHOOSE(CONTROL!$C$42, 10.234, 10.234) * CHOOSE(CONTROL!$C$21, $C$9, 100%, $E$9)</f>
        <v>10.234</v>
      </c>
      <c r="Q209" s="17">
        <f>CHOOSE(CONTROL!$C$42, 11.052, 11.052) * CHOOSE(CONTROL!$C$21, $C$9, 100%, $E$9)</f>
        <v>11.052</v>
      </c>
      <c r="R209" s="17">
        <f>CHOOSE(CONTROL!$C$42, 11.6666, 11.6666) * CHOOSE(CONTROL!$C$21, $C$9, 100%, $E$9)</f>
        <v>11.666600000000001</v>
      </c>
      <c r="S209" s="17">
        <f>CHOOSE(CONTROL!$C$42, 9.9453, 9.9453) * CHOOSE(CONTROL!$C$21, $C$9, 100%, $E$9)</f>
        <v>9.9452999999999996</v>
      </c>
      <c r="T209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209" s="57">
        <f>(1000*CHOOSE(CONTROL!$C$42, 695, 695)*CHOOSE(CONTROL!$C$42, 0.5599, 0.5599)*CHOOSE(CONTROL!$C$42, 31, 31))/1000000</f>
        <v>12.063045499999998</v>
      </c>
      <c r="V209" s="57">
        <f>(1000*CHOOSE(CONTROL!$C$42, 500, 500)*CHOOSE(CONTROL!$C$42, 0.275, 0.275)*CHOOSE(CONTROL!$C$42, 31, 31))/1000000</f>
        <v>4.2625000000000002</v>
      </c>
      <c r="W209" s="57">
        <f>(1000*CHOOSE(CONTROL!$C$42, 0.0916, 0.0916)*CHOOSE(CONTROL!$C$42, 121.5, 121.5)*CHOOSE(CONTROL!$C$42, 31, 31))/1000000</f>
        <v>0.34501139999999997</v>
      </c>
      <c r="X209" s="57">
        <f>(31*0.1790888*145000/1000000)+(31*0.2374*100000/1000000)</f>
        <v>1.5409441560000001</v>
      </c>
      <c r="Y209" s="57"/>
      <c r="Z209" s="17"/>
      <c r="AA209" s="56"/>
      <c r="AB209" s="49">
        <f>(B209*194.205+C209*267.466+D209*133.845+E209*153.484+F209*40+G209*85+H209*0+I209*100+J209*300)/(194.205+267.466+133.845+153.484+0+40+85+100+300)</f>
        <v>10.336564661852435</v>
      </c>
      <c r="AC209" s="46">
        <f>(M209*'RAP TEMPLATE-GAS AVAILABILITY'!O208+N209*'RAP TEMPLATE-GAS AVAILABILITY'!P208+O209*'RAP TEMPLATE-GAS AVAILABILITY'!Q208+P209*'RAP TEMPLATE-GAS AVAILABILITY'!R208)/('RAP TEMPLATE-GAS AVAILABILITY'!O208+'RAP TEMPLATE-GAS AVAILABILITY'!P208+'RAP TEMPLATE-GAS AVAILABILITY'!Q208+'RAP TEMPLATE-GAS AVAILABILITY'!R208)</f>
        <v>10.269314388489207</v>
      </c>
    </row>
    <row r="210" spans="1:29" ht="15.75" x14ac:dyDescent="0.25">
      <c r="A210" s="16">
        <v>47270</v>
      </c>
      <c r="B210" s="17">
        <f>CHOOSE(CONTROL!$C$42, 10.5806, 10.5806) * CHOOSE(CONTROL!$C$21, $C$9, 100%, $E$9)</f>
        <v>10.5806</v>
      </c>
      <c r="C210" s="17">
        <f>CHOOSE(CONTROL!$C$42, 10.5886, 10.5886) * CHOOSE(CONTROL!$C$21, $C$9, 100%, $E$9)</f>
        <v>10.5886</v>
      </c>
      <c r="D210" s="17">
        <f>CHOOSE(CONTROL!$C$42, 10.8382, 10.8382) * CHOOSE(CONTROL!$C$21, $C$9, 100%, $E$9)</f>
        <v>10.838200000000001</v>
      </c>
      <c r="E210" s="17">
        <f>CHOOSE(CONTROL!$C$42, 10.8694, 10.8694) * CHOOSE(CONTROL!$C$21, $C$9, 100%, $E$9)</f>
        <v>10.869400000000001</v>
      </c>
      <c r="F210" s="17">
        <f>CHOOSE(CONTROL!$C$42, 10.5858, 10.5858)*CHOOSE(CONTROL!$C$21, $C$9, 100%, $E$9)</f>
        <v>10.585800000000001</v>
      </c>
      <c r="G210" s="17">
        <f>CHOOSE(CONTROL!$C$42, 10.602, 10.602)*CHOOSE(CONTROL!$C$21, $C$9, 100%, $E$9)</f>
        <v>10.602</v>
      </c>
      <c r="H210" s="17">
        <f>CHOOSE(CONTROL!$C$42, 10.8577, 10.8577) * CHOOSE(CONTROL!$C$21, $C$9, 100%, $E$9)</f>
        <v>10.857699999999999</v>
      </c>
      <c r="I210" s="17">
        <f>CHOOSE(CONTROL!$C$42, 10.6337, 10.6337)* CHOOSE(CONTROL!$C$21, $C$9, 100%, $E$9)</f>
        <v>10.633699999999999</v>
      </c>
      <c r="J210" s="17">
        <f>CHOOSE(CONTROL!$C$42, 10.5784, 10.5784)* CHOOSE(CONTROL!$C$21, $C$9, 100%, $E$9)</f>
        <v>10.5784</v>
      </c>
      <c r="K210" s="53">
        <f>CHOOSE(CONTROL!$C$42, 10.6276, 10.6276) * CHOOSE(CONTROL!$C$21, $C$9, 100%, $E$9)</f>
        <v>10.627599999999999</v>
      </c>
      <c r="L210" s="17">
        <f>CHOOSE(CONTROL!$C$42, 11.4447, 11.4447) * CHOOSE(CONTROL!$C$21, $C$9, 100%, $E$9)</f>
        <v>11.444699999999999</v>
      </c>
      <c r="M210" s="17">
        <f>CHOOSE(CONTROL!$C$42, 10.4903, 10.4903) * CHOOSE(CONTROL!$C$21, $C$9, 100%, $E$9)</f>
        <v>10.4903</v>
      </c>
      <c r="N210" s="17">
        <f>CHOOSE(CONTROL!$C$42, 10.5063, 10.5063) * CHOOSE(CONTROL!$C$21, $C$9, 100%, $E$9)</f>
        <v>10.5063</v>
      </c>
      <c r="O210" s="17">
        <f>CHOOSE(CONTROL!$C$42, 10.7671, 10.7671) * CHOOSE(CONTROL!$C$21, $C$9, 100%, $E$9)</f>
        <v>10.767099999999999</v>
      </c>
      <c r="P210" s="17">
        <f>CHOOSE(CONTROL!$C$42, 10.5448, 10.5448) * CHOOSE(CONTROL!$C$21, $C$9, 100%, $E$9)</f>
        <v>10.5448</v>
      </c>
      <c r="Q210" s="17">
        <f>CHOOSE(CONTROL!$C$42, 11.3618, 11.3618) * CHOOSE(CONTROL!$C$21, $C$9, 100%, $E$9)</f>
        <v>11.361800000000001</v>
      </c>
      <c r="R210" s="17">
        <f>CHOOSE(CONTROL!$C$42, 11.9772, 11.9772) * CHOOSE(CONTROL!$C$21, $C$9, 100%, $E$9)</f>
        <v>11.9772</v>
      </c>
      <c r="S210" s="17">
        <f>CHOOSE(CONTROL!$C$42, 10.2484, 10.2484) * CHOOSE(CONTROL!$C$21, $C$9, 100%, $E$9)</f>
        <v>10.2484</v>
      </c>
      <c r="T210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210" s="57">
        <f>(1000*CHOOSE(CONTROL!$C$42, 695, 695)*CHOOSE(CONTROL!$C$42, 0.5599, 0.5599)*CHOOSE(CONTROL!$C$42, 30, 30))/1000000</f>
        <v>11.673914999999997</v>
      </c>
      <c r="V210" s="57">
        <f>(1000*CHOOSE(CONTROL!$C$42, 500, 500)*CHOOSE(CONTROL!$C$42, 0.275, 0.275)*CHOOSE(CONTROL!$C$42, 30, 30))/1000000</f>
        <v>4.125</v>
      </c>
      <c r="W210" s="57">
        <f>(1000*CHOOSE(CONTROL!$C$42, 0.0916, 0.0916)*CHOOSE(CONTROL!$C$42, 121.5, 121.5)*CHOOSE(CONTROL!$C$42, 30, 30))/1000000</f>
        <v>0.33388200000000001</v>
      </c>
      <c r="X210" s="57">
        <f>(30*0.1790888*145000/1000000)+(30*0.2374*100000/1000000)</f>
        <v>1.4912362799999999</v>
      </c>
      <c r="Y210" s="57"/>
      <c r="Z210" s="17"/>
      <c r="AA210" s="56"/>
      <c r="AB210" s="49">
        <f>(B210*194.205+C210*267.466+D210*133.845+E210*153.484+F210*40+G210*85+H210*0+I210*100+J210*300)/(194.205+267.466+133.845+153.484+0+40+85+100+300)</f>
        <v>10.649376592778649</v>
      </c>
      <c r="AC210" s="46">
        <f>(M210*'RAP TEMPLATE-GAS AVAILABILITY'!O209+N210*'RAP TEMPLATE-GAS AVAILABILITY'!P209+O210*'RAP TEMPLATE-GAS AVAILABILITY'!Q209+P210*'RAP TEMPLATE-GAS AVAILABILITY'!R209)/('RAP TEMPLATE-GAS AVAILABILITY'!O209+'RAP TEMPLATE-GAS AVAILABILITY'!P209+'RAP TEMPLATE-GAS AVAILABILITY'!Q209+'RAP TEMPLATE-GAS AVAILABILITY'!R209)</f>
        <v>10.579488489208634</v>
      </c>
    </row>
    <row r="211" spans="1:29" ht="15.75" x14ac:dyDescent="0.25">
      <c r="A211" s="16">
        <v>47300</v>
      </c>
      <c r="B211" s="17">
        <f>CHOOSE(CONTROL!$C$42, 10.3992, 10.3992) * CHOOSE(CONTROL!$C$21, $C$9, 100%, $E$9)</f>
        <v>10.3992</v>
      </c>
      <c r="C211" s="17">
        <f>CHOOSE(CONTROL!$C$42, 10.4072, 10.4072) * CHOOSE(CONTROL!$C$21, $C$9, 100%, $E$9)</f>
        <v>10.4072</v>
      </c>
      <c r="D211" s="17">
        <f>CHOOSE(CONTROL!$C$42, 10.6568, 10.6568) * CHOOSE(CONTROL!$C$21, $C$9, 100%, $E$9)</f>
        <v>10.6568</v>
      </c>
      <c r="E211" s="17">
        <f>CHOOSE(CONTROL!$C$42, 10.688, 10.688) * CHOOSE(CONTROL!$C$21, $C$9, 100%, $E$9)</f>
        <v>10.688000000000001</v>
      </c>
      <c r="F211" s="17">
        <f>CHOOSE(CONTROL!$C$42, 10.4049, 10.4049)*CHOOSE(CONTROL!$C$21, $C$9, 100%, $E$9)</f>
        <v>10.4049</v>
      </c>
      <c r="G211" s="17">
        <f>CHOOSE(CONTROL!$C$42, 10.4213, 10.4213)*CHOOSE(CONTROL!$C$21, $C$9, 100%, $E$9)</f>
        <v>10.4213</v>
      </c>
      <c r="H211" s="17">
        <f>CHOOSE(CONTROL!$C$42, 10.6763, 10.6763) * CHOOSE(CONTROL!$C$21, $C$9, 100%, $E$9)</f>
        <v>10.676299999999999</v>
      </c>
      <c r="I211" s="17">
        <f>CHOOSE(CONTROL!$C$42, 10.4517, 10.4517)* CHOOSE(CONTROL!$C$21, $C$9, 100%, $E$9)</f>
        <v>10.451700000000001</v>
      </c>
      <c r="J211" s="17">
        <f>CHOOSE(CONTROL!$C$42, 10.3975, 10.3975)* CHOOSE(CONTROL!$C$21, $C$9, 100%, $E$9)</f>
        <v>10.397500000000001</v>
      </c>
      <c r="K211" s="53">
        <f>CHOOSE(CONTROL!$C$42, 10.4457, 10.4457) * CHOOSE(CONTROL!$C$21, $C$9, 100%, $E$9)</f>
        <v>10.4457</v>
      </c>
      <c r="L211" s="17">
        <f>CHOOSE(CONTROL!$C$42, 11.2633, 11.2633) * CHOOSE(CONTROL!$C$21, $C$9, 100%, $E$9)</f>
        <v>11.263299999999999</v>
      </c>
      <c r="M211" s="17">
        <f>CHOOSE(CONTROL!$C$42, 10.311, 10.311) * CHOOSE(CONTROL!$C$21, $C$9, 100%, $E$9)</f>
        <v>10.311</v>
      </c>
      <c r="N211" s="17">
        <f>CHOOSE(CONTROL!$C$42, 10.3272, 10.3272) * CHOOSE(CONTROL!$C$21, $C$9, 100%, $E$9)</f>
        <v>10.327199999999999</v>
      </c>
      <c r="O211" s="17">
        <f>CHOOSE(CONTROL!$C$42, 10.5873, 10.5873) * CHOOSE(CONTROL!$C$21, $C$9, 100%, $E$9)</f>
        <v>10.587300000000001</v>
      </c>
      <c r="P211" s="17">
        <f>CHOOSE(CONTROL!$C$42, 10.3645, 10.3645) * CHOOSE(CONTROL!$C$21, $C$9, 100%, $E$9)</f>
        <v>10.3645</v>
      </c>
      <c r="Q211" s="17">
        <f>CHOOSE(CONTROL!$C$42, 11.182, 11.182) * CHOOSE(CONTROL!$C$21, $C$9, 100%, $E$9)</f>
        <v>11.182</v>
      </c>
      <c r="R211" s="17">
        <f>CHOOSE(CONTROL!$C$42, 11.797, 11.797) * CHOOSE(CONTROL!$C$21, $C$9, 100%, $E$9)</f>
        <v>11.797000000000001</v>
      </c>
      <c r="S211" s="17">
        <f>CHOOSE(CONTROL!$C$42, 10.0725, 10.0725) * CHOOSE(CONTROL!$C$21, $C$9, 100%, $E$9)</f>
        <v>10.0725</v>
      </c>
      <c r="T211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211" s="57">
        <f>(1000*CHOOSE(CONTROL!$C$42, 695, 695)*CHOOSE(CONTROL!$C$42, 0.5599, 0.5599)*CHOOSE(CONTROL!$C$42, 31, 31))/1000000</f>
        <v>12.063045499999998</v>
      </c>
      <c r="V211" s="57">
        <f>(1000*CHOOSE(CONTROL!$C$42, 500, 500)*CHOOSE(CONTROL!$C$42, 0.275, 0.275)*CHOOSE(CONTROL!$C$42, 31, 31))/1000000</f>
        <v>4.2625000000000002</v>
      </c>
      <c r="W211" s="57">
        <f>(1000*CHOOSE(CONTROL!$C$42, 0.0916, 0.0916)*CHOOSE(CONTROL!$C$42, 121.5, 121.5)*CHOOSE(CONTROL!$C$42, 31, 31))/1000000</f>
        <v>0.34501139999999997</v>
      </c>
      <c r="X211" s="57">
        <f>(31*0.1790888*145000/1000000)+(31*0.2374*100000/1000000)</f>
        <v>1.5409441560000001</v>
      </c>
      <c r="Y211" s="57"/>
      <c r="Z211" s="17"/>
      <c r="AA211" s="56"/>
      <c r="AB211" s="49">
        <f>(B211*194.205+C211*267.466+D211*133.845+E211*153.484+F211*40+G211*85+H211*0+I211*100+J211*300)/(194.205+267.466+133.845+153.484+0+40+85+100+300)</f>
        <v>10.468109638304552</v>
      </c>
      <c r="AC211" s="46">
        <f>(M211*'RAP TEMPLATE-GAS AVAILABILITY'!O210+N211*'RAP TEMPLATE-GAS AVAILABILITY'!P210+O211*'RAP TEMPLATE-GAS AVAILABILITY'!Q210+P211*'RAP TEMPLATE-GAS AVAILABILITY'!R210)/('RAP TEMPLATE-GAS AVAILABILITY'!O210+'RAP TEMPLATE-GAS AVAILABILITY'!P210+'RAP TEMPLATE-GAS AVAILABILITY'!Q210+'RAP TEMPLATE-GAS AVAILABILITY'!R210)</f>
        <v>10.39995035971223</v>
      </c>
    </row>
    <row r="212" spans="1:29" ht="15.75" x14ac:dyDescent="0.25">
      <c r="A212" s="16">
        <v>47331</v>
      </c>
      <c r="B212" s="17">
        <f>CHOOSE(CONTROL!$C$42, 9.9065, 9.9065) * CHOOSE(CONTROL!$C$21, $C$9, 100%, $E$9)</f>
        <v>9.9064999999999994</v>
      </c>
      <c r="C212" s="17">
        <f>CHOOSE(CONTROL!$C$42, 9.9145, 9.9145) * CHOOSE(CONTROL!$C$21, $C$9, 100%, $E$9)</f>
        <v>9.9145000000000003</v>
      </c>
      <c r="D212" s="17">
        <f>CHOOSE(CONTROL!$C$42, 10.1641, 10.1641) * CHOOSE(CONTROL!$C$21, $C$9, 100%, $E$9)</f>
        <v>10.164099999999999</v>
      </c>
      <c r="E212" s="17">
        <f>CHOOSE(CONTROL!$C$42, 10.1953, 10.1953) * CHOOSE(CONTROL!$C$21, $C$9, 100%, $E$9)</f>
        <v>10.1953</v>
      </c>
      <c r="F212" s="17">
        <f>CHOOSE(CONTROL!$C$42, 9.9125, 9.9125)*CHOOSE(CONTROL!$C$21, $C$9, 100%, $E$9)</f>
        <v>9.9124999999999996</v>
      </c>
      <c r="G212" s="17">
        <f>CHOOSE(CONTROL!$C$42, 9.9289, 9.9289)*CHOOSE(CONTROL!$C$21, $C$9, 100%, $E$9)</f>
        <v>9.9289000000000005</v>
      </c>
      <c r="H212" s="17">
        <f>CHOOSE(CONTROL!$C$42, 10.1836, 10.1836) * CHOOSE(CONTROL!$C$21, $C$9, 100%, $E$9)</f>
        <v>10.1836</v>
      </c>
      <c r="I212" s="17">
        <f>CHOOSE(CONTROL!$C$42, 9.9575, 9.9575)* CHOOSE(CONTROL!$C$21, $C$9, 100%, $E$9)</f>
        <v>9.9574999999999996</v>
      </c>
      <c r="J212" s="17">
        <f>CHOOSE(CONTROL!$C$42, 9.9051, 9.9051)* CHOOSE(CONTROL!$C$21, $C$9, 100%, $E$9)</f>
        <v>9.9050999999999991</v>
      </c>
      <c r="K212" s="53">
        <f>CHOOSE(CONTROL!$C$42, 9.9514, 9.9514) * CHOOSE(CONTROL!$C$21, $C$9, 100%, $E$9)</f>
        <v>9.9513999999999996</v>
      </c>
      <c r="L212" s="17">
        <f>CHOOSE(CONTROL!$C$42, 10.7706, 10.7706) * CHOOSE(CONTROL!$C$21, $C$9, 100%, $E$9)</f>
        <v>10.7706</v>
      </c>
      <c r="M212" s="17">
        <f>CHOOSE(CONTROL!$C$42, 9.823, 9.823) * CHOOSE(CONTROL!$C$21, $C$9, 100%, $E$9)</f>
        <v>9.8230000000000004</v>
      </c>
      <c r="N212" s="17">
        <f>CHOOSE(CONTROL!$C$42, 9.8393, 9.8393) * CHOOSE(CONTROL!$C$21, $C$9, 100%, $E$9)</f>
        <v>9.8392999999999997</v>
      </c>
      <c r="O212" s="17">
        <f>CHOOSE(CONTROL!$C$42, 10.099, 10.099) * CHOOSE(CONTROL!$C$21, $C$9, 100%, $E$9)</f>
        <v>10.099</v>
      </c>
      <c r="P212" s="17">
        <f>CHOOSE(CONTROL!$C$42, 9.8747, 9.8747) * CHOOSE(CONTROL!$C$21, $C$9, 100%, $E$9)</f>
        <v>9.8747000000000007</v>
      </c>
      <c r="Q212" s="17">
        <f>CHOOSE(CONTROL!$C$42, 10.6937, 10.6937) * CHOOSE(CONTROL!$C$21, $C$9, 100%, $E$9)</f>
        <v>10.6937</v>
      </c>
      <c r="R212" s="17">
        <f>CHOOSE(CONTROL!$C$42, 11.3075, 11.3075) * CHOOSE(CONTROL!$C$21, $C$9, 100%, $E$9)</f>
        <v>11.307499999999999</v>
      </c>
      <c r="S212" s="17">
        <f>CHOOSE(CONTROL!$C$42, 9.5948, 9.5948) * CHOOSE(CONTROL!$C$21, $C$9, 100%, $E$9)</f>
        <v>9.5947999999999993</v>
      </c>
      <c r="T212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212" s="57">
        <f>(1000*CHOOSE(CONTROL!$C$42, 695, 695)*CHOOSE(CONTROL!$C$42, 0.5599, 0.5599)*CHOOSE(CONTROL!$C$42, 31, 31))/1000000</f>
        <v>12.063045499999998</v>
      </c>
      <c r="V212" s="57">
        <f>(1000*CHOOSE(CONTROL!$C$42, 500, 500)*CHOOSE(CONTROL!$C$42, 0.275, 0.275)*CHOOSE(CONTROL!$C$42, 31, 31))/1000000</f>
        <v>4.2625000000000002</v>
      </c>
      <c r="W212" s="57">
        <f>(1000*CHOOSE(CONTROL!$C$42, 0.0916, 0.0916)*CHOOSE(CONTROL!$C$42, 121.5, 121.5)*CHOOSE(CONTROL!$C$42, 31, 31))/1000000</f>
        <v>0.34501139999999997</v>
      </c>
      <c r="X212" s="57">
        <f>(31*0.1790888*145000/1000000)+(31*0.2374*100000/1000000)</f>
        <v>1.5409441560000001</v>
      </c>
      <c r="Y212" s="57"/>
      <c r="Z212" s="17"/>
      <c r="AA212" s="56"/>
      <c r="AB212" s="49">
        <f>(B212*194.205+C212*267.466+D212*133.845+E212*153.484+F212*40+G212*85+H212*0+I212*100+J212*300)/(194.205+267.466+133.845+153.484+0+40+85+100+300)</f>
        <v>9.9753919773940343</v>
      </c>
      <c r="AC212" s="46">
        <f>(M212*'RAP TEMPLATE-GAS AVAILABILITY'!O211+N212*'RAP TEMPLATE-GAS AVAILABILITY'!P211+O212*'RAP TEMPLATE-GAS AVAILABILITY'!Q211+P212*'RAP TEMPLATE-GAS AVAILABILITY'!R211)/('RAP TEMPLATE-GAS AVAILABILITY'!O211+'RAP TEMPLATE-GAS AVAILABILITY'!P211+'RAP TEMPLATE-GAS AVAILABILITY'!Q211+'RAP TEMPLATE-GAS AVAILABILITY'!R211)</f>
        <v>9.9116302158273388</v>
      </c>
    </row>
    <row r="213" spans="1:29" ht="15.75" x14ac:dyDescent="0.25">
      <c r="A213" s="16">
        <v>47362</v>
      </c>
      <c r="B213" s="17">
        <f>CHOOSE(CONTROL!$C$42, 9.2973, 9.2973) * CHOOSE(CONTROL!$C$21, $C$9, 100%, $E$9)</f>
        <v>9.2972999999999999</v>
      </c>
      <c r="C213" s="17">
        <f>CHOOSE(CONTROL!$C$42, 9.3052, 9.3052) * CHOOSE(CONTROL!$C$21, $C$9, 100%, $E$9)</f>
        <v>9.3051999999999992</v>
      </c>
      <c r="D213" s="17">
        <f>CHOOSE(CONTROL!$C$42, 9.5549, 9.5549) * CHOOSE(CONTROL!$C$21, $C$9, 100%, $E$9)</f>
        <v>9.5548999999999999</v>
      </c>
      <c r="E213" s="17">
        <f>CHOOSE(CONTROL!$C$42, 9.586, 9.586) * CHOOSE(CONTROL!$C$21, $C$9, 100%, $E$9)</f>
        <v>9.5860000000000003</v>
      </c>
      <c r="F213" s="17">
        <f>CHOOSE(CONTROL!$C$42, 9.3032, 9.3032)*CHOOSE(CONTROL!$C$21, $C$9, 100%, $E$9)</f>
        <v>9.3032000000000004</v>
      </c>
      <c r="G213" s="17">
        <f>CHOOSE(CONTROL!$C$42, 9.3197, 9.3197)*CHOOSE(CONTROL!$C$21, $C$9, 100%, $E$9)</f>
        <v>9.3196999999999992</v>
      </c>
      <c r="H213" s="17">
        <f>CHOOSE(CONTROL!$C$42, 9.5744, 9.5744) * CHOOSE(CONTROL!$C$21, $C$9, 100%, $E$9)</f>
        <v>9.5744000000000007</v>
      </c>
      <c r="I213" s="17">
        <f>CHOOSE(CONTROL!$C$42, 9.3463, 9.3463)* CHOOSE(CONTROL!$C$21, $C$9, 100%, $E$9)</f>
        <v>9.3462999999999994</v>
      </c>
      <c r="J213" s="17">
        <f>CHOOSE(CONTROL!$C$42, 9.2958, 9.2958)* CHOOSE(CONTROL!$C$21, $C$9, 100%, $E$9)</f>
        <v>9.2957999999999998</v>
      </c>
      <c r="K213" s="53">
        <f>CHOOSE(CONTROL!$C$42, 9.3403, 9.3403) * CHOOSE(CONTROL!$C$21, $C$9, 100%, $E$9)</f>
        <v>9.3402999999999992</v>
      </c>
      <c r="L213" s="17">
        <f>CHOOSE(CONTROL!$C$42, 10.1614, 10.1614) * CHOOSE(CONTROL!$C$21, $C$9, 100%, $E$9)</f>
        <v>10.1614</v>
      </c>
      <c r="M213" s="17">
        <f>CHOOSE(CONTROL!$C$42, 9.2192, 9.2192) * CHOOSE(CONTROL!$C$21, $C$9, 100%, $E$9)</f>
        <v>9.2192000000000007</v>
      </c>
      <c r="N213" s="17">
        <f>CHOOSE(CONTROL!$C$42, 9.2355, 9.2355) * CHOOSE(CONTROL!$C$21, $C$9, 100%, $E$9)</f>
        <v>9.2355</v>
      </c>
      <c r="O213" s="17">
        <f>CHOOSE(CONTROL!$C$42, 9.4953, 9.4953) * CHOOSE(CONTROL!$C$21, $C$9, 100%, $E$9)</f>
        <v>9.4953000000000003</v>
      </c>
      <c r="P213" s="17">
        <f>CHOOSE(CONTROL!$C$42, 9.2691, 9.2691) * CHOOSE(CONTROL!$C$21, $C$9, 100%, $E$9)</f>
        <v>9.2690999999999999</v>
      </c>
      <c r="Q213" s="17">
        <f>CHOOSE(CONTROL!$C$42, 10.09, 10.09) * CHOOSE(CONTROL!$C$21, $C$9, 100%, $E$9)</f>
        <v>10.09</v>
      </c>
      <c r="R213" s="17">
        <f>CHOOSE(CONTROL!$C$42, 10.7022, 10.7022) * CHOOSE(CONTROL!$C$21, $C$9, 100%, $E$9)</f>
        <v>10.702199999999999</v>
      </c>
      <c r="S213" s="17">
        <f>CHOOSE(CONTROL!$C$42, 9.004, 9.004) * CHOOSE(CONTROL!$C$21, $C$9, 100%, $E$9)</f>
        <v>9.0039999999999996</v>
      </c>
      <c r="T213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213" s="57">
        <f>(1000*CHOOSE(CONTROL!$C$42, 695, 695)*CHOOSE(CONTROL!$C$42, 0.5599, 0.5599)*CHOOSE(CONTROL!$C$42, 30, 30))/1000000</f>
        <v>11.673914999999997</v>
      </c>
      <c r="V213" s="57">
        <f>(1000*CHOOSE(CONTROL!$C$42, 500, 500)*CHOOSE(CONTROL!$C$42, 0.275, 0.275)*CHOOSE(CONTROL!$C$42, 30, 30))/1000000</f>
        <v>4.125</v>
      </c>
      <c r="W213" s="57">
        <f>(1000*CHOOSE(CONTROL!$C$42, 0.0916, 0.0916)*CHOOSE(CONTROL!$C$42, 121.5, 121.5)*CHOOSE(CONTROL!$C$42, 30, 30))/1000000</f>
        <v>0.33388200000000001</v>
      </c>
      <c r="X213" s="57">
        <f>(30*0.1790888*145000/1000000)+(30*0.2374*100000/1000000)</f>
        <v>1.4912362799999999</v>
      </c>
      <c r="Y213" s="57"/>
      <c r="Z213" s="17"/>
      <c r="AA213" s="56"/>
      <c r="AB213" s="49">
        <f>(B213*194.205+C213*267.466+D213*133.845+E213*153.484+F213*40+G213*85+H213*0+I213*100+J213*300)/(194.205+267.466+133.845+153.484+0+40+85+100+300)</f>
        <v>9.3659752623233903</v>
      </c>
      <c r="AC213" s="46">
        <f>(M213*'RAP TEMPLATE-GAS AVAILABILITY'!O212+N213*'RAP TEMPLATE-GAS AVAILABILITY'!P212+O213*'RAP TEMPLATE-GAS AVAILABILITY'!Q212+P213*'RAP TEMPLATE-GAS AVAILABILITY'!R212)/('RAP TEMPLATE-GAS AVAILABILITY'!O212+'RAP TEMPLATE-GAS AVAILABILITY'!P212+'RAP TEMPLATE-GAS AVAILABILITY'!Q212+'RAP TEMPLATE-GAS AVAILABILITY'!R212)</f>
        <v>9.3075992805755394</v>
      </c>
    </row>
    <row r="214" spans="1:29" ht="15.75" x14ac:dyDescent="0.25">
      <c r="A214" s="16">
        <v>47392</v>
      </c>
      <c r="B214" s="17">
        <f>CHOOSE(CONTROL!$C$42, 9.1258, 9.1258) * CHOOSE(CONTROL!$C$21, $C$9, 100%, $E$9)</f>
        <v>9.1257999999999999</v>
      </c>
      <c r="C214" s="17">
        <f>CHOOSE(CONTROL!$C$42, 9.1311, 9.1311) * CHOOSE(CONTROL!$C$21, $C$9, 100%, $E$9)</f>
        <v>9.1311</v>
      </c>
      <c r="D214" s="17">
        <f>CHOOSE(CONTROL!$C$42, 9.3856, 9.3856) * CHOOSE(CONTROL!$C$21, $C$9, 100%, $E$9)</f>
        <v>9.3856000000000002</v>
      </c>
      <c r="E214" s="17">
        <f>CHOOSE(CONTROL!$C$42, 9.4145, 9.4145) * CHOOSE(CONTROL!$C$21, $C$9, 100%, $E$9)</f>
        <v>9.4145000000000003</v>
      </c>
      <c r="F214" s="17">
        <f>CHOOSE(CONTROL!$C$42, 9.1339, 9.1339)*CHOOSE(CONTROL!$C$21, $C$9, 100%, $E$9)</f>
        <v>9.1339000000000006</v>
      </c>
      <c r="G214" s="17">
        <f>CHOOSE(CONTROL!$C$42, 9.1503, 9.1503)*CHOOSE(CONTROL!$C$21, $C$9, 100%, $E$9)</f>
        <v>9.1502999999999997</v>
      </c>
      <c r="H214" s="17">
        <f>CHOOSE(CONTROL!$C$42, 9.4046, 9.4046) * CHOOSE(CONTROL!$C$21, $C$9, 100%, $E$9)</f>
        <v>9.4046000000000003</v>
      </c>
      <c r="I214" s="17">
        <f>CHOOSE(CONTROL!$C$42, 9.176, 9.176)* CHOOSE(CONTROL!$C$21, $C$9, 100%, $E$9)</f>
        <v>9.1760000000000002</v>
      </c>
      <c r="J214" s="17">
        <f>CHOOSE(CONTROL!$C$42, 9.1265, 9.1265)* CHOOSE(CONTROL!$C$21, $C$9, 100%, $E$9)</f>
        <v>9.1265000000000001</v>
      </c>
      <c r="K214" s="53">
        <f>CHOOSE(CONTROL!$C$42, 9.17, 9.17) * CHOOSE(CONTROL!$C$21, $C$9, 100%, $E$9)</f>
        <v>9.17</v>
      </c>
      <c r="L214" s="17">
        <f>CHOOSE(CONTROL!$C$42, 9.9916, 9.9916) * CHOOSE(CONTROL!$C$21, $C$9, 100%, $E$9)</f>
        <v>9.9916</v>
      </c>
      <c r="M214" s="17">
        <f>CHOOSE(CONTROL!$C$42, 9.0515, 9.0515) * CHOOSE(CONTROL!$C$21, $C$9, 100%, $E$9)</f>
        <v>9.0515000000000008</v>
      </c>
      <c r="N214" s="17">
        <f>CHOOSE(CONTROL!$C$42, 9.0677, 9.0677) * CHOOSE(CONTROL!$C$21, $C$9, 100%, $E$9)</f>
        <v>9.0677000000000003</v>
      </c>
      <c r="O214" s="17">
        <f>CHOOSE(CONTROL!$C$42, 9.327, 9.327) * CHOOSE(CONTROL!$C$21, $C$9, 100%, $E$9)</f>
        <v>9.327</v>
      </c>
      <c r="P214" s="17">
        <f>CHOOSE(CONTROL!$C$42, 9.1003, 9.1003) * CHOOSE(CONTROL!$C$21, $C$9, 100%, $E$9)</f>
        <v>9.1003000000000007</v>
      </c>
      <c r="Q214" s="17">
        <f>CHOOSE(CONTROL!$C$42, 9.9217, 9.9217) * CHOOSE(CONTROL!$C$21, $C$9, 100%, $E$9)</f>
        <v>9.9216999999999995</v>
      </c>
      <c r="R214" s="17">
        <f>CHOOSE(CONTROL!$C$42, 10.5335, 10.5335) * CHOOSE(CONTROL!$C$21, $C$9, 100%, $E$9)</f>
        <v>10.5335</v>
      </c>
      <c r="S214" s="17">
        <f>CHOOSE(CONTROL!$C$42, 8.8393, 8.8393) * CHOOSE(CONTROL!$C$21, $C$9, 100%, $E$9)</f>
        <v>8.8392999999999997</v>
      </c>
      <c r="T214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214" s="57">
        <f>(1000*CHOOSE(CONTROL!$C$42, 695, 695)*CHOOSE(CONTROL!$C$42, 0.5599, 0.5599)*CHOOSE(CONTROL!$C$42, 31, 31))/1000000</f>
        <v>12.063045499999998</v>
      </c>
      <c r="V214" s="57">
        <f>(1000*CHOOSE(CONTROL!$C$42, 500, 500)*CHOOSE(CONTROL!$C$42, 0.275, 0.275)*CHOOSE(CONTROL!$C$42, 31, 31))/1000000</f>
        <v>4.2625000000000002</v>
      </c>
      <c r="W214" s="57">
        <f>(1000*CHOOSE(CONTROL!$C$42, 0.0916, 0.0916)*CHOOSE(CONTROL!$C$42, 121.5, 121.5)*CHOOSE(CONTROL!$C$42, 31, 31))/1000000</f>
        <v>0.34501139999999997</v>
      </c>
      <c r="X214" s="57">
        <f>(31*0.1790888*145000/1000000)+(31*0.2374*100000/1000000)</f>
        <v>1.5409441560000001</v>
      </c>
      <c r="Y214" s="57"/>
      <c r="Z214" s="17"/>
      <c r="AA214" s="56"/>
      <c r="AB214" s="49">
        <f>(B214*131.881+C214*277.167+D214*79.08+E214*225.872+F214*40+G214*85+H214*0+I214*100+J214*300)/(131.881+277.167+79.08+225.872+0+40+85+100+300)</f>
        <v>9.2023615137207422</v>
      </c>
      <c r="AC214" s="46">
        <f>(M214*'RAP TEMPLATE-GAS AVAILABILITY'!O213+N214*'RAP TEMPLATE-GAS AVAILABILITY'!P213+O214*'RAP TEMPLATE-GAS AVAILABILITY'!Q213+P214*'RAP TEMPLATE-GAS AVAILABILITY'!R213)/('RAP TEMPLATE-GAS AVAILABILITY'!O213+'RAP TEMPLATE-GAS AVAILABILITY'!P213+'RAP TEMPLATE-GAS AVAILABILITY'!Q213+'RAP TEMPLATE-GAS AVAILABILITY'!R213)</f>
        <v>9.1395496402877701</v>
      </c>
    </row>
    <row r="215" spans="1:29" ht="15.75" x14ac:dyDescent="0.25">
      <c r="A215" s="16">
        <v>47423</v>
      </c>
      <c r="B215" s="17">
        <f>CHOOSE(CONTROL!$C$42, 9.3847, 9.3847) * CHOOSE(CONTROL!$C$21, $C$9, 100%, $E$9)</f>
        <v>9.3847000000000005</v>
      </c>
      <c r="C215" s="17">
        <f>CHOOSE(CONTROL!$C$42, 9.3898, 9.3898) * CHOOSE(CONTROL!$C$21, $C$9, 100%, $E$9)</f>
        <v>9.3897999999999993</v>
      </c>
      <c r="D215" s="17">
        <f>CHOOSE(CONTROL!$C$42, 9.5124, 9.5124) * CHOOSE(CONTROL!$C$21, $C$9, 100%, $E$9)</f>
        <v>9.5123999999999995</v>
      </c>
      <c r="E215" s="17">
        <f>CHOOSE(CONTROL!$C$42, 9.5462, 9.5462) * CHOOSE(CONTROL!$C$21, $C$9, 100%, $E$9)</f>
        <v>9.5462000000000007</v>
      </c>
      <c r="F215" s="17">
        <f>CHOOSE(CONTROL!$C$42, 9.3997, 9.3997)*CHOOSE(CONTROL!$C$21, $C$9, 100%, $E$9)</f>
        <v>9.3996999999999993</v>
      </c>
      <c r="G215" s="17">
        <f>CHOOSE(CONTROL!$C$42, 9.4164, 9.4164)*CHOOSE(CONTROL!$C$21, $C$9, 100%, $E$9)</f>
        <v>9.4163999999999994</v>
      </c>
      <c r="H215" s="17">
        <f>CHOOSE(CONTROL!$C$42, 9.5351, 9.5351) * CHOOSE(CONTROL!$C$21, $C$9, 100%, $E$9)</f>
        <v>9.5350999999999999</v>
      </c>
      <c r="I215" s="17">
        <f>CHOOSE(CONTROL!$C$42, 9.4388, 9.4388)* CHOOSE(CONTROL!$C$21, $C$9, 100%, $E$9)</f>
        <v>9.4388000000000005</v>
      </c>
      <c r="J215" s="17">
        <f>CHOOSE(CONTROL!$C$42, 9.3923, 9.3923)* CHOOSE(CONTROL!$C$21, $C$9, 100%, $E$9)</f>
        <v>9.3923000000000005</v>
      </c>
      <c r="K215" s="53">
        <f>CHOOSE(CONTROL!$C$42, 9.4328, 9.4328) * CHOOSE(CONTROL!$C$21, $C$9, 100%, $E$9)</f>
        <v>9.4328000000000003</v>
      </c>
      <c r="L215" s="17">
        <f>CHOOSE(CONTROL!$C$42, 10.1221, 10.1221) * CHOOSE(CONTROL!$C$21, $C$9, 100%, $E$9)</f>
        <v>10.1221</v>
      </c>
      <c r="M215" s="17">
        <f>CHOOSE(CONTROL!$C$42, 9.3149, 9.3149) * CHOOSE(CONTROL!$C$21, $C$9, 100%, $E$9)</f>
        <v>9.3148999999999997</v>
      </c>
      <c r="N215" s="17">
        <f>CHOOSE(CONTROL!$C$42, 9.3314, 9.3314) * CHOOSE(CONTROL!$C$21, $C$9, 100%, $E$9)</f>
        <v>9.3314000000000004</v>
      </c>
      <c r="O215" s="17">
        <f>CHOOSE(CONTROL!$C$42, 9.4563, 9.4563) * CHOOSE(CONTROL!$C$21, $C$9, 100%, $E$9)</f>
        <v>9.4563000000000006</v>
      </c>
      <c r="P215" s="17">
        <f>CHOOSE(CONTROL!$C$42, 9.3607, 9.3607) * CHOOSE(CONTROL!$C$21, $C$9, 100%, $E$9)</f>
        <v>9.3606999999999996</v>
      </c>
      <c r="Q215" s="17">
        <f>CHOOSE(CONTROL!$C$42, 10.051, 10.051) * CHOOSE(CONTROL!$C$21, $C$9, 100%, $E$9)</f>
        <v>10.051</v>
      </c>
      <c r="R215" s="17">
        <f>CHOOSE(CONTROL!$C$42, 10.6632, 10.6632) * CHOOSE(CONTROL!$C$21, $C$9, 100%, $E$9)</f>
        <v>10.6632</v>
      </c>
      <c r="S215" s="17">
        <f>CHOOSE(CONTROL!$C$42, 9.0909, 9.0909) * CHOOSE(CONTROL!$C$21, $C$9, 100%, $E$9)</f>
        <v>9.0908999999999995</v>
      </c>
      <c r="T215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215" s="57">
        <f>(1000*CHOOSE(CONTROL!$C$42, 695, 695)*CHOOSE(CONTROL!$C$42, 0.5599, 0.5599)*CHOOSE(CONTROL!$C$42, 30, 30))/1000000</f>
        <v>11.673914999999997</v>
      </c>
      <c r="V215" s="57">
        <f>(1000*CHOOSE(CONTROL!$C$42, 500, 500)*CHOOSE(CONTROL!$C$42, 0.275, 0.275)*CHOOSE(CONTROL!$C$42, 30, 30))/1000000</f>
        <v>4.125</v>
      </c>
      <c r="W215" s="57">
        <f>(1000*CHOOSE(CONTROL!$C$42, 0.0916, 0.0916)*CHOOSE(CONTROL!$C$42, 121.5, 121.5)*CHOOSE(CONTROL!$C$42, 30, 30))/1000000</f>
        <v>0.33388200000000001</v>
      </c>
      <c r="X215" s="57">
        <f>(30*0.2374*100000/1000000)</f>
        <v>0.71220000000000006</v>
      </c>
      <c r="Y215" s="57"/>
      <c r="Z215" s="17"/>
      <c r="AA215" s="56"/>
      <c r="AB215" s="49">
        <f>(B215*122.58+C215*297.941+D215*89.177+E215*140.302+F215*40+G215*60+H215*0+I215*100+J215*300)/(122.58+297.941+89.177+140.302+0+40+60+100+300)</f>
        <v>9.4244897173913049</v>
      </c>
      <c r="AC215" s="46">
        <f>(M215*'RAP TEMPLATE-GAS AVAILABILITY'!O214+N215*'RAP TEMPLATE-GAS AVAILABILITY'!P214+O215*'RAP TEMPLATE-GAS AVAILABILITY'!Q214+P215*'RAP TEMPLATE-GAS AVAILABILITY'!R214)/('RAP TEMPLATE-GAS AVAILABILITY'!O214+'RAP TEMPLATE-GAS AVAILABILITY'!P214+'RAP TEMPLATE-GAS AVAILABILITY'!Q214+'RAP TEMPLATE-GAS AVAILABILITY'!R214)</f>
        <v>9.3865273381294951</v>
      </c>
    </row>
    <row r="216" spans="1:29" ht="15.75" x14ac:dyDescent="0.25">
      <c r="A216" s="16">
        <v>47453</v>
      </c>
      <c r="B216" s="17">
        <f>CHOOSE(CONTROL!$C$42, 10.0445, 10.0445) * CHOOSE(CONTROL!$C$21, $C$9, 100%, $E$9)</f>
        <v>10.044499999999999</v>
      </c>
      <c r="C216" s="17">
        <f>CHOOSE(CONTROL!$C$42, 10.0496, 10.0496) * CHOOSE(CONTROL!$C$21, $C$9, 100%, $E$9)</f>
        <v>10.0496</v>
      </c>
      <c r="D216" s="17">
        <f>CHOOSE(CONTROL!$C$42, 10.1722, 10.1722) * CHOOSE(CONTROL!$C$21, $C$9, 100%, $E$9)</f>
        <v>10.1722</v>
      </c>
      <c r="E216" s="17">
        <f>CHOOSE(CONTROL!$C$42, 10.2059, 10.2059) * CHOOSE(CONTROL!$C$21, $C$9, 100%, $E$9)</f>
        <v>10.2059</v>
      </c>
      <c r="F216" s="17">
        <f>CHOOSE(CONTROL!$C$42, 10.0619, 10.0619)*CHOOSE(CONTROL!$C$21, $C$9, 100%, $E$9)</f>
        <v>10.0619</v>
      </c>
      <c r="G216" s="17">
        <f>CHOOSE(CONTROL!$C$42, 10.0792, 10.0792)*CHOOSE(CONTROL!$C$21, $C$9, 100%, $E$9)</f>
        <v>10.0792</v>
      </c>
      <c r="H216" s="17">
        <f>CHOOSE(CONTROL!$C$42, 10.1948, 10.1948) * CHOOSE(CONTROL!$C$21, $C$9, 100%, $E$9)</f>
        <v>10.194800000000001</v>
      </c>
      <c r="I216" s="17">
        <f>CHOOSE(CONTROL!$C$42, 10.1006, 10.1006)* CHOOSE(CONTROL!$C$21, $C$9, 100%, $E$9)</f>
        <v>10.1006</v>
      </c>
      <c r="J216" s="17">
        <f>CHOOSE(CONTROL!$C$42, 10.0545, 10.0545)* CHOOSE(CONTROL!$C$21, $C$9, 100%, $E$9)</f>
        <v>10.054500000000001</v>
      </c>
      <c r="K216" s="53">
        <f>CHOOSE(CONTROL!$C$42, 10.0946, 10.0946) * CHOOSE(CONTROL!$C$21, $C$9, 100%, $E$9)</f>
        <v>10.0946</v>
      </c>
      <c r="L216" s="17">
        <f>CHOOSE(CONTROL!$C$42, 10.7818, 10.7818) * CHOOSE(CONTROL!$C$21, $C$9, 100%, $E$9)</f>
        <v>10.7818</v>
      </c>
      <c r="M216" s="17">
        <f>CHOOSE(CONTROL!$C$42, 9.9711, 9.9711) * CHOOSE(CONTROL!$C$21, $C$9, 100%, $E$9)</f>
        <v>9.9710999999999999</v>
      </c>
      <c r="N216" s="17">
        <f>CHOOSE(CONTROL!$C$42, 9.9883, 9.9883) * CHOOSE(CONTROL!$C$21, $C$9, 100%, $E$9)</f>
        <v>9.9883000000000006</v>
      </c>
      <c r="O216" s="17">
        <f>CHOOSE(CONTROL!$C$42, 10.1101, 10.1101) * CHOOSE(CONTROL!$C$21, $C$9, 100%, $E$9)</f>
        <v>10.110099999999999</v>
      </c>
      <c r="P216" s="17">
        <f>CHOOSE(CONTROL!$C$42, 10.0166, 10.0166) * CHOOSE(CONTROL!$C$21, $C$9, 100%, $E$9)</f>
        <v>10.0166</v>
      </c>
      <c r="Q216" s="17">
        <f>CHOOSE(CONTROL!$C$42, 10.7048, 10.7048) * CHOOSE(CONTROL!$C$21, $C$9, 100%, $E$9)</f>
        <v>10.704800000000001</v>
      </c>
      <c r="R216" s="17">
        <f>CHOOSE(CONTROL!$C$42, 11.3186, 11.3186) * CHOOSE(CONTROL!$C$21, $C$9, 100%, $E$9)</f>
        <v>11.3186</v>
      </c>
      <c r="S216" s="17">
        <f>CHOOSE(CONTROL!$C$42, 9.7306, 9.7306) * CHOOSE(CONTROL!$C$21, $C$9, 100%, $E$9)</f>
        <v>9.7306000000000008</v>
      </c>
      <c r="T216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216" s="57">
        <f>(1000*CHOOSE(CONTROL!$C$42, 695, 695)*CHOOSE(CONTROL!$C$42, 0.5599, 0.5599)*CHOOSE(CONTROL!$C$42, 31, 31))/1000000</f>
        <v>12.063045499999998</v>
      </c>
      <c r="V216" s="57">
        <f>(1000*CHOOSE(CONTROL!$C$42, 500, 500)*CHOOSE(CONTROL!$C$42, 0.275, 0.275)*CHOOSE(CONTROL!$C$42, 31, 31))/1000000</f>
        <v>4.2625000000000002</v>
      </c>
      <c r="W216" s="57">
        <f>(1000*CHOOSE(CONTROL!$C$42, 0.0916, 0.0916)*CHOOSE(CONTROL!$C$42, 121.5, 121.5)*CHOOSE(CONTROL!$C$42, 31, 31))/1000000</f>
        <v>0.34501139999999997</v>
      </c>
      <c r="X216" s="57">
        <f>(31*0.2374*100000/1000000)</f>
        <v>0.73594000000000004</v>
      </c>
      <c r="Y216" s="57"/>
      <c r="Z216" s="17"/>
      <c r="AA216" s="56"/>
      <c r="AB216" s="49">
        <f>(B216*122.58+C216*297.941+D216*89.177+E216*140.302+F216*40+G216*60+H216*0+I216*100+J216*300)/(122.58+297.941+89.177+140.302+0+40+60+100+300)</f>
        <v>10.085317517217391</v>
      </c>
      <c r="AC216" s="46">
        <f>(M216*'RAP TEMPLATE-GAS AVAILABILITY'!O215+N216*'RAP TEMPLATE-GAS AVAILABILITY'!P215+O216*'RAP TEMPLATE-GAS AVAILABILITY'!Q215+P216*'RAP TEMPLATE-GAS AVAILABILITY'!R215)/('RAP TEMPLATE-GAS AVAILABILITY'!O215+'RAP TEMPLATE-GAS AVAILABILITY'!P215+'RAP TEMPLATE-GAS AVAILABILITY'!Q215+'RAP TEMPLATE-GAS AVAILABILITY'!R215)</f>
        <v>10.041636690647483</v>
      </c>
    </row>
    <row r="217" spans="1:29" ht="15.75" x14ac:dyDescent="0.25">
      <c r="A217" s="16">
        <v>47484</v>
      </c>
      <c r="B217" s="17">
        <f>CHOOSE(CONTROL!$C$42, 10.5592, 10.5592) * CHOOSE(CONTROL!$C$21, $C$9, 100%, $E$9)</f>
        <v>10.559200000000001</v>
      </c>
      <c r="C217" s="17">
        <f>CHOOSE(CONTROL!$C$42, 10.5643, 10.5643) * CHOOSE(CONTROL!$C$21, $C$9, 100%, $E$9)</f>
        <v>10.564299999999999</v>
      </c>
      <c r="D217" s="17">
        <f>CHOOSE(CONTROL!$C$42, 10.6818, 10.6818) * CHOOSE(CONTROL!$C$21, $C$9, 100%, $E$9)</f>
        <v>10.681800000000001</v>
      </c>
      <c r="E217" s="17">
        <f>CHOOSE(CONTROL!$C$42, 10.7155, 10.7155) * CHOOSE(CONTROL!$C$21, $C$9, 100%, $E$9)</f>
        <v>10.7155</v>
      </c>
      <c r="F217" s="17">
        <f>CHOOSE(CONTROL!$C$42, 10.5729, 10.5729)*CHOOSE(CONTROL!$C$21, $C$9, 100%, $E$9)</f>
        <v>10.572900000000001</v>
      </c>
      <c r="G217" s="17">
        <f>CHOOSE(CONTROL!$C$42, 10.5892, 10.5892)*CHOOSE(CONTROL!$C$21, $C$9, 100%, $E$9)</f>
        <v>10.5892</v>
      </c>
      <c r="H217" s="17">
        <f>CHOOSE(CONTROL!$C$42, 10.7044, 10.7044) * CHOOSE(CONTROL!$C$21, $C$9, 100%, $E$9)</f>
        <v>10.7044</v>
      </c>
      <c r="I217" s="17">
        <f>CHOOSE(CONTROL!$C$42, 10.6154, 10.6154)* CHOOSE(CONTROL!$C$21, $C$9, 100%, $E$9)</f>
        <v>10.615399999999999</v>
      </c>
      <c r="J217" s="17">
        <f>CHOOSE(CONTROL!$C$42, 10.5655, 10.5655)* CHOOSE(CONTROL!$C$21, $C$9, 100%, $E$9)</f>
        <v>10.5655</v>
      </c>
      <c r="K217" s="53">
        <f>CHOOSE(CONTROL!$C$42, 10.6094, 10.6094) * CHOOSE(CONTROL!$C$21, $C$9, 100%, $E$9)</f>
        <v>10.609400000000001</v>
      </c>
      <c r="L217" s="17">
        <f>CHOOSE(CONTROL!$C$42, 11.2914, 11.2914) * CHOOSE(CONTROL!$C$21, $C$9, 100%, $E$9)</f>
        <v>11.291399999999999</v>
      </c>
      <c r="M217" s="17">
        <f>CHOOSE(CONTROL!$C$42, 10.4775, 10.4775) * CHOOSE(CONTROL!$C$21, $C$9, 100%, $E$9)</f>
        <v>10.477499999999999</v>
      </c>
      <c r="N217" s="17">
        <f>CHOOSE(CONTROL!$C$42, 10.4936, 10.4936) * CHOOSE(CONTROL!$C$21, $C$9, 100%, $E$9)</f>
        <v>10.493600000000001</v>
      </c>
      <c r="O217" s="17">
        <f>CHOOSE(CONTROL!$C$42, 10.6152, 10.6152) * CHOOSE(CONTROL!$C$21, $C$9, 100%, $E$9)</f>
        <v>10.6152</v>
      </c>
      <c r="P217" s="17">
        <f>CHOOSE(CONTROL!$C$42, 10.5267, 10.5267) * CHOOSE(CONTROL!$C$21, $C$9, 100%, $E$9)</f>
        <v>10.5267</v>
      </c>
      <c r="Q217" s="17">
        <f>CHOOSE(CONTROL!$C$42, 11.2099, 11.2099) * CHOOSE(CONTROL!$C$21, $C$9, 100%, $E$9)</f>
        <v>11.209899999999999</v>
      </c>
      <c r="R217" s="17">
        <f>CHOOSE(CONTROL!$C$42, 11.8249, 11.8249) * CHOOSE(CONTROL!$C$21, $C$9, 100%, $E$9)</f>
        <v>11.8249</v>
      </c>
      <c r="S217" s="17">
        <f>CHOOSE(CONTROL!$C$42, 10.2298, 10.2298) * CHOOSE(CONTROL!$C$21, $C$9, 100%, $E$9)</f>
        <v>10.229799999999999</v>
      </c>
      <c r="T217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217" s="57">
        <f>(1000*CHOOSE(CONTROL!$C$42, 695, 695)*CHOOSE(CONTROL!$C$42, 0.5599, 0.5599)*CHOOSE(CONTROL!$C$42, 31, 31))/1000000</f>
        <v>12.063045499999998</v>
      </c>
      <c r="V217" s="57">
        <f>(1000*CHOOSE(CONTROL!$C$42, 500, 500)*CHOOSE(CONTROL!$C$42, 0.275, 0.275)*CHOOSE(CONTROL!$C$42, 31, 31))/1000000</f>
        <v>4.2625000000000002</v>
      </c>
      <c r="W217" s="57">
        <f>(1000*CHOOSE(CONTROL!$C$42, 0.0916, 0.0916)*CHOOSE(CONTROL!$C$42, 121.5, 121.5)*CHOOSE(CONTROL!$C$42, 31, 31))/1000000</f>
        <v>0.34501139999999997</v>
      </c>
      <c r="X217" s="57">
        <f>(31*0.2374*100000/1000000)</f>
        <v>0.73594000000000004</v>
      </c>
      <c r="Y217" s="57"/>
      <c r="Z217" s="17"/>
      <c r="AA217" s="56"/>
      <c r="AB217" s="49">
        <f>(B217*122.58+C217*297.941+D217*89.177+E217*140.302+F217*40+G217*60+H217*0+I217*100+J217*300)/(122.58+297.941+89.177+140.302+0+40+60+100+300)</f>
        <v>10.59766939295652</v>
      </c>
      <c r="AC217" s="46">
        <f>(M217*'RAP TEMPLATE-GAS AVAILABILITY'!O216+N217*'RAP TEMPLATE-GAS AVAILABILITY'!P216+O217*'RAP TEMPLATE-GAS AVAILABILITY'!Q216+P217*'RAP TEMPLATE-GAS AVAILABILITY'!R216)/('RAP TEMPLATE-GAS AVAILABILITY'!O216+'RAP TEMPLATE-GAS AVAILABILITY'!P216+'RAP TEMPLATE-GAS AVAILABILITY'!Q216+'RAP TEMPLATE-GAS AVAILABILITY'!R216)</f>
        <v>10.54791654676259</v>
      </c>
    </row>
    <row r="218" spans="1:29" ht="15.75" x14ac:dyDescent="0.25">
      <c r="A218" s="16">
        <v>47515</v>
      </c>
      <c r="B218" s="17">
        <f>CHOOSE(CONTROL!$C$42, 10.7691, 10.7691) * CHOOSE(CONTROL!$C$21, $C$9, 100%, $E$9)</f>
        <v>10.7691</v>
      </c>
      <c r="C218" s="17">
        <f>CHOOSE(CONTROL!$C$42, 10.7742, 10.7742) * CHOOSE(CONTROL!$C$21, $C$9, 100%, $E$9)</f>
        <v>10.7742</v>
      </c>
      <c r="D218" s="17">
        <f>CHOOSE(CONTROL!$C$42, 10.8917, 10.8917) * CHOOSE(CONTROL!$C$21, $C$9, 100%, $E$9)</f>
        <v>10.8917</v>
      </c>
      <c r="E218" s="17">
        <f>CHOOSE(CONTROL!$C$42, 10.9254, 10.9254) * CHOOSE(CONTROL!$C$21, $C$9, 100%, $E$9)</f>
        <v>10.9254</v>
      </c>
      <c r="F218" s="17">
        <f>CHOOSE(CONTROL!$C$42, 10.7828, 10.7828)*CHOOSE(CONTROL!$C$21, $C$9, 100%, $E$9)</f>
        <v>10.7828</v>
      </c>
      <c r="G218" s="17">
        <f>CHOOSE(CONTROL!$C$42, 10.7991, 10.7991)*CHOOSE(CONTROL!$C$21, $C$9, 100%, $E$9)</f>
        <v>10.799099999999999</v>
      </c>
      <c r="H218" s="17">
        <f>CHOOSE(CONTROL!$C$42, 10.9143, 10.9143) * CHOOSE(CONTROL!$C$21, $C$9, 100%, $E$9)</f>
        <v>10.914300000000001</v>
      </c>
      <c r="I218" s="17">
        <f>CHOOSE(CONTROL!$C$42, 10.826, 10.826)* CHOOSE(CONTROL!$C$21, $C$9, 100%, $E$9)</f>
        <v>10.826000000000001</v>
      </c>
      <c r="J218" s="17">
        <f>CHOOSE(CONTROL!$C$42, 10.7754, 10.7754)* CHOOSE(CONTROL!$C$21, $C$9, 100%, $E$9)</f>
        <v>10.775399999999999</v>
      </c>
      <c r="K218" s="53">
        <f>CHOOSE(CONTROL!$C$42, 10.8199, 10.8199) * CHOOSE(CONTROL!$C$21, $C$9, 100%, $E$9)</f>
        <v>10.819900000000001</v>
      </c>
      <c r="L218" s="17">
        <f>CHOOSE(CONTROL!$C$42, 11.5013, 11.5013) * CHOOSE(CONTROL!$C$21, $C$9, 100%, $E$9)</f>
        <v>11.501300000000001</v>
      </c>
      <c r="M218" s="17">
        <f>CHOOSE(CONTROL!$C$42, 10.6855, 10.6855) * CHOOSE(CONTROL!$C$21, $C$9, 100%, $E$9)</f>
        <v>10.685499999999999</v>
      </c>
      <c r="N218" s="17">
        <f>CHOOSE(CONTROL!$C$42, 10.7016, 10.7016) * CHOOSE(CONTROL!$C$21, $C$9, 100%, $E$9)</f>
        <v>10.701599999999999</v>
      </c>
      <c r="O218" s="17">
        <f>CHOOSE(CONTROL!$C$42, 10.8232, 10.8232) * CHOOSE(CONTROL!$C$21, $C$9, 100%, $E$9)</f>
        <v>10.8232</v>
      </c>
      <c r="P218" s="17">
        <f>CHOOSE(CONTROL!$C$42, 10.7354, 10.7354) * CHOOSE(CONTROL!$C$21, $C$9, 100%, $E$9)</f>
        <v>10.7354</v>
      </c>
      <c r="Q218" s="17">
        <f>CHOOSE(CONTROL!$C$42, 11.4179, 11.4179) * CHOOSE(CONTROL!$C$21, $C$9, 100%, $E$9)</f>
        <v>11.417899999999999</v>
      </c>
      <c r="R218" s="17">
        <f>CHOOSE(CONTROL!$C$42, 12.0334, 12.0334) * CHOOSE(CONTROL!$C$21, $C$9, 100%, $E$9)</f>
        <v>12.0334</v>
      </c>
      <c r="S218" s="17">
        <f>CHOOSE(CONTROL!$C$42, 10.4333, 10.4333) * CHOOSE(CONTROL!$C$21, $C$9, 100%, $E$9)</f>
        <v>10.433299999999999</v>
      </c>
      <c r="T218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218" s="57">
        <f>(1000*CHOOSE(CONTROL!$C$42, 695, 695)*CHOOSE(CONTROL!$C$42, 0.5599, 0.5599)*CHOOSE(CONTROL!$C$42, 28, 28))/1000000</f>
        <v>10.895653999999999</v>
      </c>
      <c r="V218" s="57">
        <f>(1000*CHOOSE(CONTROL!$C$42, 500, 500)*CHOOSE(CONTROL!$C$42, 0.275, 0.275)*CHOOSE(CONTROL!$C$42, 28, 28))/1000000</f>
        <v>3.85</v>
      </c>
      <c r="W218" s="57">
        <f>(1000*CHOOSE(CONTROL!$C$42, 0.0916, 0.0916)*CHOOSE(CONTROL!$C$42, 121.5, 121.5)*CHOOSE(CONTROL!$C$42, 28, 28))/1000000</f>
        <v>0.31162319999999999</v>
      </c>
      <c r="X218" s="57">
        <f>(28*0.2374*100000/1000000)</f>
        <v>0.66471999999999998</v>
      </c>
      <c r="Y218" s="57"/>
      <c r="Z218" s="17"/>
      <c r="AA218" s="56"/>
      <c r="AB218" s="49">
        <f>(B218*122.58+C218*297.941+D218*89.177+E218*140.302+F218*40+G218*60+H218*0+I218*100+J218*300)/(122.58+297.941+89.177+140.302+0+40+60+100+300)</f>
        <v>10.807630262521739</v>
      </c>
      <c r="AC218" s="46">
        <f>(M218*'RAP TEMPLATE-GAS AVAILABILITY'!O217+N218*'RAP TEMPLATE-GAS AVAILABILITY'!P217+O218*'RAP TEMPLATE-GAS AVAILABILITY'!Q217+P218*'RAP TEMPLATE-GAS AVAILABILITY'!R217)/('RAP TEMPLATE-GAS AVAILABILITY'!O217+'RAP TEMPLATE-GAS AVAILABILITY'!P217+'RAP TEMPLATE-GAS AVAILABILITY'!Q217+'RAP TEMPLATE-GAS AVAILABILITY'!R217)</f>
        <v>10.756017266187049</v>
      </c>
    </row>
    <row r="219" spans="1:29" ht="15.75" x14ac:dyDescent="0.25">
      <c r="A219" s="16">
        <v>47543</v>
      </c>
      <c r="B219" s="17">
        <f>CHOOSE(CONTROL!$C$42, 10.4852, 10.4852) * CHOOSE(CONTROL!$C$21, $C$9, 100%, $E$9)</f>
        <v>10.485200000000001</v>
      </c>
      <c r="C219" s="17">
        <f>CHOOSE(CONTROL!$C$42, 10.4903, 10.4903) * CHOOSE(CONTROL!$C$21, $C$9, 100%, $E$9)</f>
        <v>10.4903</v>
      </c>
      <c r="D219" s="17">
        <f>CHOOSE(CONTROL!$C$42, 10.6078, 10.6078) * CHOOSE(CONTROL!$C$21, $C$9, 100%, $E$9)</f>
        <v>10.607799999999999</v>
      </c>
      <c r="E219" s="17">
        <f>CHOOSE(CONTROL!$C$42, 10.6415, 10.6415) * CHOOSE(CONTROL!$C$21, $C$9, 100%, $E$9)</f>
        <v>10.641500000000001</v>
      </c>
      <c r="F219" s="17">
        <f>CHOOSE(CONTROL!$C$42, 10.4982, 10.4982)*CHOOSE(CONTROL!$C$21, $C$9, 100%, $E$9)</f>
        <v>10.498200000000001</v>
      </c>
      <c r="G219" s="17">
        <f>CHOOSE(CONTROL!$C$42, 10.5144, 10.5144)*CHOOSE(CONTROL!$C$21, $C$9, 100%, $E$9)</f>
        <v>10.5144</v>
      </c>
      <c r="H219" s="17">
        <f>CHOOSE(CONTROL!$C$42, 10.6304, 10.6304) * CHOOSE(CONTROL!$C$21, $C$9, 100%, $E$9)</f>
        <v>10.6304</v>
      </c>
      <c r="I219" s="17">
        <f>CHOOSE(CONTROL!$C$42, 10.5412, 10.5412)* CHOOSE(CONTROL!$C$21, $C$9, 100%, $E$9)</f>
        <v>10.5412</v>
      </c>
      <c r="J219" s="17">
        <f>CHOOSE(CONTROL!$C$42, 10.4908, 10.4908)* CHOOSE(CONTROL!$C$21, $C$9, 100%, $E$9)</f>
        <v>10.4908</v>
      </c>
      <c r="K219" s="53">
        <f>CHOOSE(CONTROL!$C$42, 10.5351, 10.5351) * CHOOSE(CONTROL!$C$21, $C$9, 100%, $E$9)</f>
        <v>10.5351</v>
      </c>
      <c r="L219" s="17">
        <f>CHOOSE(CONTROL!$C$42, 11.2174, 11.2174) * CHOOSE(CONTROL!$C$21, $C$9, 100%, $E$9)</f>
        <v>11.2174</v>
      </c>
      <c r="M219" s="17">
        <f>CHOOSE(CONTROL!$C$42, 10.4035, 10.4035) * CHOOSE(CONTROL!$C$21, $C$9, 100%, $E$9)</f>
        <v>10.403499999999999</v>
      </c>
      <c r="N219" s="17">
        <f>CHOOSE(CONTROL!$C$42, 10.4195, 10.4195) * CHOOSE(CONTROL!$C$21, $C$9, 100%, $E$9)</f>
        <v>10.419499999999999</v>
      </c>
      <c r="O219" s="17">
        <f>CHOOSE(CONTROL!$C$42, 10.5418, 10.5418) * CHOOSE(CONTROL!$C$21, $C$9, 100%, $E$9)</f>
        <v>10.5418</v>
      </c>
      <c r="P219" s="17">
        <f>CHOOSE(CONTROL!$C$42, 10.4531, 10.4531) * CHOOSE(CONTROL!$C$21, $C$9, 100%, $E$9)</f>
        <v>10.453099999999999</v>
      </c>
      <c r="Q219" s="17">
        <f>CHOOSE(CONTROL!$C$42, 11.1365, 11.1365) * CHOOSE(CONTROL!$C$21, $C$9, 100%, $E$9)</f>
        <v>11.1365</v>
      </c>
      <c r="R219" s="17">
        <f>CHOOSE(CONTROL!$C$42, 11.7513, 11.7513) * CHOOSE(CONTROL!$C$21, $C$9, 100%, $E$9)</f>
        <v>11.751300000000001</v>
      </c>
      <c r="S219" s="17">
        <f>CHOOSE(CONTROL!$C$42, 10.158, 10.158) * CHOOSE(CONTROL!$C$21, $C$9, 100%, $E$9)</f>
        <v>10.157999999999999</v>
      </c>
      <c r="T219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219" s="57">
        <f>(1000*CHOOSE(CONTROL!$C$42, 695, 695)*CHOOSE(CONTROL!$C$42, 0.5599, 0.5599)*CHOOSE(CONTROL!$C$42, 31, 31))/1000000</f>
        <v>12.063045499999998</v>
      </c>
      <c r="V219" s="57">
        <f>(1000*CHOOSE(CONTROL!$C$42, 500, 500)*CHOOSE(CONTROL!$C$42, 0.275, 0.275)*CHOOSE(CONTROL!$C$42, 31, 31))/1000000</f>
        <v>4.2625000000000002</v>
      </c>
      <c r="W219" s="57">
        <f>(1000*CHOOSE(CONTROL!$C$42, 0.0916, 0.0916)*CHOOSE(CONTROL!$C$42, 121.5, 121.5)*CHOOSE(CONTROL!$C$42, 31, 31))/1000000</f>
        <v>0.34501139999999997</v>
      </c>
      <c r="X219" s="57">
        <f>(31*0.2374*100000/1000000)</f>
        <v>0.73594000000000004</v>
      </c>
      <c r="Y219" s="57"/>
      <c r="Z219" s="17"/>
      <c r="AA219" s="56"/>
      <c r="AB219" s="49">
        <f>(B219*122.58+C219*297.941+D219*89.177+E219*140.302+F219*40+G219*60+H219*0+I219*100+J219*300)/(122.58+297.941+89.177+140.302+0+40+60+100+300)</f>
        <v>10.523403306000001</v>
      </c>
      <c r="AC219" s="46">
        <f>(M219*'RAP TEMPLATE-GAS AVAILABILITY'!O218+N219*'RAP TEMPLATE-GAS AVAILABILITY'!P218+O219*'RAP TEMPLATE-GAS AVAILABILITY'!Q218+P219*'RAP TEMPLATE-GAS AVAILABILITY'!R218)/('RAP TEMPLATE-GAS AVAILABILITY'!O218+'RAP TEMPLATE-GAS AVAILABILITY'!P218+'RAP TEMPLATE-GAS AVAILABILITY'!Q218+'RAP TEMPLATE-GAS AVAILABILITY'!R218)</f>
        <v>10.474240287769783</v>
      </c>
    </row>
    <row r="220" spans="1:29" ht="15.75" x14ac:dyDescent="0.25">
      <c r="A220" s="16">
        <v>47574</v>
      </c>
      <c r="B220" s="17">
        <f>CHOOSE(CONTROL!$C$42, 10.4764, 10.4764) * CHOOSE(CONTROL!$C$21, $C$9, 100%, $E$9)</f>
        <v>10.4764</v>
      </c>
      <c r="C220" s="17">
        <f>CHOOSE(CONTROL!$C$42, 10.4809, 10.4809) * CHOOSE(CONTROL!$C$21, $C$9, 100%, $E$9)</f>
        <v>10.4809</v>
      </c>
      <c r="D220" s="17">
        <f>CHOOSE(CONTROL!$C$42, 10.7336, 10.7336) * CHOOSE(CONTROL!$C$21, $C$9, 100%, $E$9)</f>
        <v>10.733599999999999</v>
      </c>
      <c r="E220" s="17">
        <f>CHOOSE(CONTROL!$C$42, 10.7654, 10.7654) * CHOOSE(CONTROL!$C$21, $C$9, 100%, $E$9)</f>
        <v>10.7654</v>
      </c>
      <c r="F220" s="17">
        <f>CHOOSE(CONTROL!$C$42, 10.4823, 10.4823)*CHOOSE(CONTROL!$C$21, $C$9, 100%, $E$9)</f>
        <v>10.4823</v>
      </c>
      <c r="G220" s="17">
        <f>CHOOSE(CONTROL!$C$42, 10.4982, 10.4982)*CHOOSE(CONTROL!$C$21, $C$9, 100%, $E$9)</f>
        <v>10.498200000000001</v>
      </c>
      <c r="H220" s="17">
        <f>CHOOSE(CONTROL!$C$42, 10.7548, 10.7548) * CHOOSE(CONTROL!$C$21, $C$9, 100%, $E$9)</f>
        <v>10.754799999999999</v>
      </c>
      <c r="I220" s="17">
        <f>CHOOSE(CONTROL!$C$42, 10.5305, 10.5305)* CHOOSE(CONTROL!$C$21, $C$9, 100%, $E$9)</f>
        <v>10.5305</v>
      </c>
      <c r="J220" s="17">
        <f>CHOOSE(CONTROL!$C$42, 10.4749, 10.4749)* CHOOSE(CONTROL!$C$21, $C$9, 100%, $E$9)</f>
        <v>10.4749</v>
      </c>
      <c r="K220" s="53">
        <f>CHOOSE(CONTROL!$C$42, 10.5244, 10.5244) * CHOOSE(CONTROL!$C$21, $C$9, 100%, $E$9)</f>
        <v>10.5244</v>
      </c>
      <c r="L220" s="17">
        <f>CHOOSE(CONTROL!$C$42, 11.3418, 11.3418) * CHOOSE(CONTROL!$C$21, $C$9, 100%, $E$9)</f>
        <v>11.341799999999999</v>
      </c>
      <c r="M220" s="17">
        <f>CHOOSE(CONTROL!$C$42, 10.3877, 10.3877) * CHOOSE(CONTROL!$C$21, $C$9, 100%, $E$9)</f>
        <v>10.387700000000001</v>
      </c>
      <c r="N220" s="17">
        <f>CHOOSE(CONTROL!$C$42, 10.4034, 10.4034) * CHOOSE(CONTROL!$C$21, $C$9, 100%, $E$9)</f>
        <v>10.4034</v>
      </c>
      <c r="O220" s="17">
        <f>CHOOSE(CONTROL!$C$42, 10.6651, 10.6651) * CHOOSE(CONTROL!$C$21, $C$9, 100%, $E$9)</f>
        <v>10.665100000000001</v>
      </c>
      <c r="P220" s="17">
        <f>CHOOSE(CONTROL!$C$42, 10.4425, 10.4425) * CHOOSE(CONTROL!$C$21, $C$9, 100%, $E$9)</f>
        <v>10.442500000000001</v>
      </c>
      <c r="Q220" s="17">
        <f>CHOOSE(CONTROL!$C$42, 11.2598, 11.2598) * CHOOSE(CONTROL!$C$21, $C$9, 100%, $E$9)</f>
        <v>11.2598</v>
      </c>
      <c r="R220" s="17">
        <f>CHOOSE(CONTROL!$C$42, 11.875, 11.875) * CHOOSE(CONTROL!$C$21, $C$9, 100%, $E$9)</f>
        <v>11.875</v>
      </c>
      <c r="S220" s="17">
        <f>CHOOSE(CONTROL!$C$42, 10.1487, 10.1487) * CHOOSE(CONTROL!$C$21, $C$9, 100%, $E$9)</f>
        <v>10.1487</v>
      </c>
      <c r="T220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220" s="57">
        <f>(1000*CHOOSE(CONTROL!$C$42, 695, 695)*CHOOSE(CONTROL!$C$42, 0.5599, 0.5599)*CHOOSE(CONTROL!$C$42, 30, 30))/1000000</f>
        <v>11.673914999999997</v>
      </c>
      <c r="V220" s="57">
        <f>(1000*CHOOSE(CONTROL!$C$42, 500, 500)*CHOOSE(CONTROL!$C$42, 0.275, 0.275)*CHOOSE(CONTROL!$C$42, 30, 30))/1000000</f>
        <v>4.125</v>
      </c>
      <c r="W220" s="57">
        <f>(1000*CHOOSE(CONTROL!$C$42, 0.0916, 0.0916)*CHOOSE(CONTROL!$C$42, 121.5, 121.5)*CHOOSE(CONTROL!$C$42, 30, 30))/1000000</f>
        <v>0.33388200000000001</v>
      </c>
      <c r="X220" s="57">
        <f>(30*0.1790888*145000/1000000)+(30*0.2374*100000/1000000)</f>
        <v>1.4912362799999999</v>
      </c>
      <c r="Y220" s="57"/>
      <c r="Z220" s="17"/>
      <c r="AA220" s="56"/>
      <c r="AB220" s="49">
        <f>(B220*141.293+C220*267.993+D220*115.016+E220*189.698+F220*40+G220*85+H220*0+I220*100+J220*300)/(141.293+267.993+115.016+189.698+0+40+85+100+300)</f>
        <v>10.551185961016948</v>
      </c>
      <c r="AC220" s="46">
        <f>(M220*'RAP TEMPLATE-GAS AVAILABILITY'!O219+N220*'RAP TEMPLATE-GAS AVAILABILITY'!P219+O220*'RAP TEMPLATE-GAS AVAILABILITY'!Q219+P220*'RAP TEMPLATE-GAS AVAILABILITY'!R219)/('RAP TEMPLATE-GAS AVAILABILITY'!O219+'RAP TEMPLATE-GAS AVAILABILITY'!P219+'RAP TEMPLATE-GAS AVAILABILITY'!Q219+'RAP TEMPLATE-GAS AVAILABILITY'!R219)</f>
        <v>10.477030935251799</v>
      </c>
    </row>
    <row r="221" spans="1:29" ht="15.75" x14ac:dyDescent="0.25">
      <c r="A221" s="16">
        <v>47604</v>
      </c>
      <c r="B221" s="17">
        <f>CHOOSE(CONTROL!$C$42, 10.5918, 10.5918) * CHOOSE(CONTROL!$C$21, $C$9, 100%, $E$9)</f>
        <v>10.591799999999999</v>
      </c>
      <c r="C221" s="17">
        <f>CHOOSE(CONTROL!$C$42, 10.5998, 10.5998) * CHOOSE(CONTROL!$C$21, $C$9, 100%, $E$9)</f>
        <v>10.5998</v>
      </c>
      <c r="D221" s="17">
        <f>CHOOSE(CONTROL!$C$42, 10.8495, 10.8495) * CHOOSE(CONTROL!$C$21, $C$9, 100%, $E$9)</f>
        <v>10.849500000000001</v>
      </c>
      <c r="E221" s="17">
        <f>CHOOSE(CONTROL!$C$42, 10.8806, 10.8806) * CHOOSE(CONTROL!$C$21, $C$9, 100%, $E$9)</f>
        <v>10.880599999999999</v>
      </c>
      <c r="F221" s="17">
        <f>CHOOSE(CONTROL!$C$42, 10.5967, 10.5967)*CHOOSE(CONTROL!$C$21, $C$9, 100%, $E$9)</f>
        <v>10.5967</v>
      </c>
      <c r="G221" s="17">
        <f>CHOOSE(CONTROL!$C$42, 10.6128, 10.6128)*CHOOSE(CONTROL!$C$21, $C$9, 100%, $E$9)</f>
        <v>10.6128</v>
      </c>
      <c r="H221" s="17">
        <f>CHOOSE(CONTROL!$C$42, 10.869, 10.869) * CHOOSE(CONTROL!$C$21, $C$9, 100%, $E$9)</f>
        <v>10.869</v>
      </c>
      <c r="I221" s="17">
        <f>CHOOSE(CONTROL!$C$42, 10.6449, 10.6449)* CHOOSE(CONTROL!$C$21, $C$9, 100%, $E$9)</f>
        <v>10.6449</v>
      </c>
      <c r="J221" s="17">
        <f>CHOOSE(CONTROL!$C$42, 10.5893, 10.5893)* CHOOSE(CONTROL!$C$21, $C$9, 100%, $E$9)</f>
        <v>10.5893</v>
      </c>
      <c r="K221" s="53">
        <f>CHOOSE(CONTROL!$C$42, 10.6389, 10.6389) * CHOOSE(CONTROL!$C$21, $C$9, 100%, $E$9)</f>
        <v>10.6389</v>
      </c>
      <c r="L221" s="17">
        <f>CHOOSE(CONTROL!$C$42, 11.456, 11.456) * CHOOSE(CONTROL!$C$21, $C$9, 100%, $E$9)</f>
        <v>11.456</v>
      </c>
      <c r="M221" s="17">
        <f>CHOOSE(CONTROL!$C$42, 10.5011, 10.5011) * CHOOSE(CONTROL!$C$21, $C$9, 100%, $E$9)</f>
        <v>10.501099999999999</v>
      </c>
      <c r="N221" s="17">
        <f>CHOOSE(CONTROL!$C$42, 10.517, 10.517) * CHOOSE(CONTROL!$C$21, $C$9, 100%, $E$9)</f>
        <v>10.516999999999999</v>
      </c>
      <c r="O221" s="17">
        <f>CHOOSE(CONTROL!$C$42, 10.7782, 10.7782) * CHOOSE(CONTROL!$C$21, $C$9, 100%, $E$9)</f>
        <v>10.7782</v>
      </c>
      <c r="P221" s="17">
        <f>CHOOSE(CONTROL!$C$42, 10.556, 10.556) * CHOOSE(CONTROL!$C$21, $C$9, 100%, $E$9)</f>
        <v>10.555999999999999</v>
      </c>
      <c r="Q221" s="17">
        <f>CHOOSE(CONTROL!$C$42, 11.3729, 11.3729) * CHOOSE(CONTROL!$C$21, $C$9, 100%, $E$9)</f>
        <v>11.3729</v>
      </c>
      <c r="R221" s="17">
        <f>CHOOSE(CONTROL!$C$42, 11.9883, 11.9883) * CHOOSE(CONTROL!$C$21, $C$9, 100%, $E$9)</f>
        <v>11.988300000000001</v>
      </c>
      <c r="S221" s="17">
        <f>CHOOSE(CONTROL!$C$42, 10.2593, 10.2593) * CHOOSE(CONTROL!$C$21, $C$9, 100%, $E$9)</f>
        <v>10.2593</v>
      </c>
      <c r="T221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221" s="57">
        <f>(1000*CHOOSE(CONTROL!$C$42, 695, 695)*CHOOSE(CONTROL!$C$42, 0.5599, 0.5599)*CHOOSE(CONTROL!$C$42, 31, 31))/1000000</f>
        <v>12.063045499999998</v>
      </c>
      <c r="V221" s="57">
        <f>(1000*CHOOSE(CONTROL!$C$42, 500, 500)*CHOOSE(CONTROL!$C$42, 0.275, 0.275)*CHOOSE(CONTROL!$C$42, 31, 31))/1000000</f>
        <v>4.2625000000000002</v>
      </c>
      <c r="W221" s="57">
        <f>(1000*CHOOSE(CONTROL!$C$42, 0.0916, 0.0916)*CHOOSE(CONTROL!$C$42, 121.5, 121.5)*CHOOSE(CONTROL!$C$42, 31, 31))/1000000</f>
        <v>0.34501139999999997</v>
      </c>
      <c r="X221" s="57">
        <f>(31*0.1790888*145000/1000000)+(31*0.2374*100000/1000000)</f>
        <v>1.5409441560000001</v>
      </c>
      <c r="Y221" s="57"/>
      <c r="Z221" s="17"/>
      <c r="AA221" s="56"/>
      <c r="AB221" s="49">
        <f>(B221*194.205+C221*267.466+D221*133.845+E221*153.484+F221*40+G221*85+H221*0+I221*100+J221*300)/(194.205+267.466+133.845+153.484+0+40+85+100+300)</f>
        <v>10.660480348273156</v>
      </c>
      <c r="AC221" s="46">
        <f>(M221*'RAP TEMPLATE-GAS AVAILABILITY'!O220+N221*'RAP TEMPLATE-GAS AVAILABILITY'!P220+O221*'RAP TEMPLATE-GAS AVAILABILITY'!Q220+P221*'RAP TEMPLATE-GAS AVAILABILITY'!R220)/('RAP TEMPLATE-GAS AVAILABILITY'!O220+'RAP TEMPLATE-GAS AVAILABILITY'!P220+'RAP TEMPLATE-GAS AVAILABILITY'!Q220+'RAP TEMPLATE-GAS AVAILABILITY'!R220)</f>
        <v>10.590407194244602</v>
      </c>
    </row>
    <row r="222" spans="1:29" ht="15.75" x14ac:dyDescent="0.25">
      <c r="A222" s="16">
        <v>47635</v>
      </c>
      <c r="B222" s="17">
        <f>CHOOSE(CONTROL!$C$42, 10.9143, 10.9143) * CHOOSE(CONTROL!$C$21, $C$9, 100%, $E$9)</f>
        <v>10.914300000000001</v>
      </c>
      <c r="C222" s="17">
        <f>CHOOSE(CONTROL!$C$42, 10.9223, 10.9223) * CHOOSE(CONTROL!$C$21, $C$9, 100%, $E$9)</f>
        <v>10.9223</v>
      </c>
      <c r="D222" s="17">
        <f>CHOOSE(CONTROL!$C$42, 11.1719, 11.1719) * CHOOSE(CONTROL!$C$21, $C$9, 100%, $E$9)</f>
        <v>11.171900000000001</v>
      </c>
      <c r="E222" s="17">
        <f>CHOOSE(CONTROL!$C$42, 11.2031, 11.2031) * CHOOSE(CONTROL!$C$21, $C$9, 100%, $E$9)</f>
        <v>11.203099999999999</v>
      </c>
      <c r="F222" s="17">
        <f>CHOOSE(CONTROL!$C$42, 10.9195, 10.9195)*CHOOSE(CONTROL!$C$21, $C$9, 100%, $E$9)</f>
        <v>10.919499999999999</v>
      </c>
      <c r="G222" s="17">
        <f>CHOOSE(CONTROL!$C$42, 10.9358, 10.9358)*CHOOSE(CONTROL!$C$21, $C$9, 100%, $E$9)</f>
        <v>10.9358</v>
      </c>
      <c r="H222" s="17">
        <f>CHOOSE(CONTROL!$C$42, 11.1915, 11.1915) * CHOOSE(CONTROL!$C$21, $C$9, 100%, $E$9)</f>
        <v>11.1915</v>
      </c>
      <c r="I222" s="17">
        <f>CHOOSE(CONTROL!$C$42, 10.9684, 10.9684)* CHOOSE(CONTROL!$C$21, $C$9, 100%, $E$9)</f>
        <v>10.968400000000001</v>
      </c>
      <c r="J222" s="17">
        <f>CHOOSE(CONTROL!$C$42, 10.9121, 10.9121)* CHOOSE(CONTROL!$C$21, $C$9, 100%, $E$9)</f>
        <v>10.912100000000001</v>
      </c>
      <c r="K222" s="53">
        <f>CHOOSE(CONTROL!$C$42, 10.9624, 10.9624) * CHOOSE(CONTROL!$C$21, $C$9, 100%, $E$9)</f>
        <v>10.962400000000001</v>
      </c>
      <c r="L222" s="17">
        <f>CHOOSE(CONTROL!$C$42, 11.7785, 11.7785) * CHOOSE(CONTROL!$C$21, $C$9, 100%, $E$9)</f>
        <v>11.778499999999999</v>
      </c>
      <c r="M222" s="17">
        <f>CHOOSE(CONTROL!$C$42, 10.821, 10.821) * CHOOSE(CONTROL!$C$21, $C$9, 100%, $E$9)</f>
        <v>10.821</v>
      </c>
      <c r="N222" s="17">
        <f>CHOOSE(CONTROL!$C$42, 10.8371, 10.8371) * CHOOSE(CONTROL!$C$21, $C$9, 100%, $E$9)</f>
        <v>10.8371</v>
      </c>
      <c r="O222" s="17">
        <f>CHOOSE(CONTROL!$C$42, 11.0978, 11.0978) * CHOOSE(CONTROL!$C$21, $C$9, 100%, $E$9)</f>
        <v>11.097799999999999</v>
      </c>
      <c r="P222" s="17">
        <f>CHOOSE(CONTROL!$C$42, 10.8765, 10.8765) * CHOOSE(CONTROL!$C$21, $C$9, 100%, $E$9)</f>
        <v>10.8765</v>
      </c>
      <c r="Q222" s="17">
        <f>CHOOSE(CONTROL!$C$42, 11.6925, 11.6925) * CHOOSE(CONTROL!$C$21, $C$9, 100%, $E$9)</f>
        <v>11.692500000000001</v>
      </c>
      <c r="R222" s="17">
        <f>CHOOSE(CONTROL!$C$42, 12.3087, 12.3087) * CHOOSE(CONTROL!$C$21, $C$9, 100%, $E$9)</f>
        <v>12.3087</v>
      </c>
      <c r="S222" s="17">
        <f>CHOOSE(CONTROL!$C$42, 10.5721, 10.5721) * CHOOSE(CONTROL!$C$21, $C$9, 100%, $E$9)</f>
        <v>10.572100000000001</v>
      </c>
      <c r="T222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222" s="57">
        <f>(1000*CHOOSE(CONTROL!$C$42, 695, 695)*CHOOSE(CONTROL!$C$42, 0.5599, 0.5599)*CHOOSE(CONTROL!$C$42, 30, 30))/1000000</f>
        <v>11.673914999999997</v>
      </c>
      <c r="V222" s="57">
        <f>(1000*CHOOSE(CONTROL!$C$42, 500, 500)*CHOOSE(CONTROL!$C$42, 0.275, 0.275)*CHOOSE(CONTROL!$C$42, 30, 30))/1000000</f>
        <v>4.125</v>
      </c>
      <c r="W222" s="57">
        <f>(1000*CHOOSE(CONTROL!$C$42, 0.0916, 0.0916)*CHOOSE(CONTROL!$C$42, 121.5, 121.5)*CHOOSE(CONTROL!$C$42, 30, 30))/1000000</f>
        <v>0.33388200000000001</v>
      </c>
      <c r="X222" s="57">
        <f>(30*0.1790888*145000/1000000)+(30*0.2374*100000/1000000)</f>
        <v>1.4912362799999999</v>
      </c>
      <c r="Y222" s="57"/>
      <c r="Z222" s="17"/>
      <c r="AA222" s="56"/>
      <c r="AB222" s="49">
        <f>(B222*194.205+C222*267.466+D222*133.845+E222*153.484+F222*40+G222*85+H222*0+I222*100+J222*300)/(194.205+267.466+133.845+153.484+0+40+85+100+300)</f>
        <v>10.983161757613816</v>
      </c>
      <c r="AC222" s="46">
        <f>(M222*'RAP TEMPLATE-GAS AVAILABILITY'!O221+N222*'RAP TEMPLATE-GAS AVAILABILITY'!P221+O222*'RAP TEMPLATE-GAS AVAILABILITY'!Q221+P222*'RAP TEMPLATE-GAS AVAILABILITY'!R221)/('RAP TEMPLATE-GAS AVAILABILITY'!O221+'RAP TEMPLATE-GAS AVAILABILITY'!P221+'RAP TEMPLATE-GAS AVAILABILITY'!Q221+'RAP TEMPLATE-GAS AVAILABILITY'!R221)</f>
        <v>10.910355395683453</v>
      </c>
    </row>
    <row r="223" spans="1:29" ht="15.75" x14ac:dyDescent="0.25">
      <c r="A223" s="16">
        <v>47665</v>
      </c>
      <c r="B223" s="17">
        <f>CHOOSE(CONTROL!$C$42, 10.7272, 10.7272) * CHOOSE(CONTROL!$C$21, $C$9, 100%, $E$9)</f>
        <v>10.7272</v>
      </c>
      <c r="C223" s="17">
        <f>CHOOSE(CONTROL!$C$42, 10.7352, 10.7352) * CHOOSE(CONTROL!$C$21, $C$9, 100%, $E$9)</f>
        <v>10.735200000000001</v>
      </c>
      <c r="D223" s="17">
        <f>CHOOSE(CONTROL!$C$42, 10.9848, 10.9848) * CHOOSE(CONTROL!$C$21, $C$9, 100%, $E$9)</f>
        <v>10.9848</v>
      </c>
      <c r="E223" s="17">
        <f>CHOOSE(CONTROL!$C$42, 11.016, 11.016) * CHOOSE(CONTROL!$C$21, $C$9, 100%, $E$9)</f>
        <v>11.016</v>
      </c>
      <c r="F223" s="17">
        <f>CHOOSE(CONTROL!$C$42, 10.7329, 10.7329)*CHOOSE(CONTROL!$C$21, $C$9, 100%, $E$9)</f>
        <v>10.732900000000001</v>
      </c>
      <c r="G223" s="17">
        <f>CHOOSE(CONTROL!$C$42, 10.7493, 10.7493)*CHOOSE(CONTROL!$C$21, $C$9, 100%, $E$9)</f>
        <v>10.7493</v>
      </c>
      <c r="H223" s="17">
        <f>CHOOSE(CONTROL!$C$42, 11.0043, 11.0043) * CHOOSE(CONTROL!$C$21, $C$9, 100%, $E$9)</f>
        <v>11.004300000000001</v>
      </c>
      <c r="I223" s="17">
        <f>CHOOSE(CONTROL!$C$42, 10.7807, 10.7807)* CHOOSE(CONTROL!$C$21, $C$9, 100%, $E$9)</f>
        <v>10.7807</v>
      </c>
      <c r="J223" s="17">
        <f>CHOOSE(CONTROL!$C$42, 10.7255, 10.7255)* CHOOSE(CONTROL!$C$21, $C$9, 100%, $E$9)</f>
        <v>10.7255</v>
      </c>
      <c r="K223" s="53">
        <f>CHOOSE(CONTROL!$C$42, 10.7747, 10.7747) * CHOOSE(CONTROL!$C$21, $C$9, 100%, $E$9)</f>
        <v>10.774699999999999</v>
      </c>
      <c r="L223" s="17">
        <f>CHOOSE(CONTROL!$C$42, 11.5913, 11.5913) * CHOOSE(CONTROL!$C$21, $C$9, 100%, $E$9)</f>
        <v>11.5913</v>
      </c>
      <c r="M223" s="17">
        <f>CHOOSE(CONTROL!$C$42, 10.6361, 10.6361) * CHOOSE(CONTROL!$C$21, $C$9, 100%, $E$9)</f>
        <v>10.636100000000001</v>
      </c>
      <c r="N223" s="17">
        <f>CHOOSE(CONTROL!$C$42, 10.6523, 10.6523) * CHOOSE(CONTROL!$C$21, $C$9, 100%, $E$9)</f>
        <v>10.6523</v>
      </c>
      <c r="O223" s="17">
        <f>CHOOSE(CONTROL!$C$42, 10.9124, 10.9124) * CHOOSE(CONTROL!$C$21, $C$9, 100%, $E$9)</f>
        <v>10.9124</v>
      </c>
      <c r="P223" s="17">
        <f>CHOOSE(CONTROL!$C$42, 10.6905, 10.6905) * CHOOSE(CONTROL!$C$21, $C$9, 100%, $E$9)</f>
        <v>10.6905</v>
      </c>
      <c r="Q223" s="17">
        <f>CHOOSE(CONTROL!$C$42, 11.5071, 11.5071) * CHOOSE(CONTROL!$C$21, $C$9, 100%, $E$9)</f>
        <v>11.507099999999999</v>
      </c>
      <c r="R223" s="17">
        <f>CHOOSE(CONTROL!$C$42, 12.1228, 12.1228) * CHOOSE(CONTROL!$C$21, $C$9, 100%, $E$9)</f>
        <v>12.1228</v>
      </c>
      <c r="S223" s="17">
        <f>CHOOSE(CONTROL!$C$42, 10.3906, 10.3906) * CHOOSE(CONTROL!$C$21, $C$9, 100%, $E$9)</f>
        <v>10.390599999999999</v>
      </c>
      <c r="T223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223" s="57">
        <f>(1000*CHOOSE(CONTROL!$C$42, 695, 695)*CHOOSE(CONTROL!$C$42, 0.5599, 0.5599)*CHOOSE(CONTROL!$C$42, 31, 31))/1000000</f>
        <v>12.063045499999998</v>
      </c>
      <c r="V223" s="57">
        <f>(1000*CHOOSE(CONTROL!$C$42, 500, 500)*CHOOSE(CONTROL!$C$42, 0.275, 0.275)*CHOOSE(CONTROL!$C$42, 31, 31))/1000000</f>
        <v>4.2625000000000002</v>
      </c>
      <c r="W223" s="57">
        <f>(1000*CHOOSE(CONTROL!$C$42, 0.0916, 0.0916)*CHOOSE(CONTROL!$C$42, 121.5, 121.5)*CHOOSE(CONTROL!$C$42, 31, 31))/1000000</f>
        <v>0.34501139999999997</v>
      </c>
      <c r="X223" s="57">
        <f>(31*0.1790888*145000/1000000)+(31*0.2374*100000/1000000)</f>
        <v>1.5409441560000001</v>
      </c>
      <c r="Y223" s="57"/>
      <c r="Z223" s="17"/>
      <c r="AA223" s="56"/>
      <c r="AB223" s="49">
        <f>(B223*194.205+C223*267.466+D223*133.845+E223*153.484+F223*40+G223*85+H223*0+I223*100+J223*300)/(194.205+267.466+133.845+153.484+0+40+85+100+300)</f>
        <v>10.796188131240189</v>
      </c>
      <c r="AC223" s="46">
        <f>(M223*'RAP TEMPLATE-GAS AVAILABILITY'!O222+N223*'RAP TEMPLATE-GAS AVAILABILITY'!P222+O223*'RAP TEMPLATE-GAS AVAILABILITY'!Q222+P223*'RAP TEMPLATE-GAS AVAILABILITY'!R222)/('RAP TEMPLATE-GAS AVAILABILITY'!O222+'RAP TEMPLATE-GAS AVAILABILITY'!P222+'RAP TEMPLATE-GAS AVAILABILITY'!Q222+'RAP TEMPLATE-GAS AVAILABILITY'!R222)</f>
        <v>10.725179856115108</v>
      </c>
    </row>
    <row r="224" spans="1:29" ht="15.75" x14ac:dyDescent="0.25">
      <c r="A224" s="16">
        <v>47696</v>
      </c>
      <c r="B224" s="17">
        <f>CHOOSE(CONTROL!$C$42, 10.198, 10.198) * CHOOSE(CONTROL!$C$21, $C$9, 100%, $E$9)</f>
        <v>10.198</v>
      </c>
      <c r="C224" s="17">
        <f>CHOOSE(CONTROL!$C$42, 10.206, 10.206) * CHOOSE(CONTROL!$C$21, $C$9, 100%, $E$9)</f>
        <v>10.206</v>
      </c>
      <c r="D224" s="17">
        <f>CHOOSE(CONTROL!$C$42, 10.4556, 10.4556) * CHOOSE(CONTROL!$C$21, $C$9, 100%, $E$9)</f>
        <v>10.4556</v>
      </c>
      <c r="E224" s="17">
        <f>CHOOSE(CONTROL!$C$42, 10.4868, 10.4868) * CHOOSE(CONTROL!$C$21, $C$9, 100%, $E$9)</f>
        <v>10.486800000000001</v>
      </c>
      <c r="F224" s="17">
        <f>CHOOSE(CONTROL!$C$42, 10.2039, 10.2039)*CHOOSE(CONTROL!$C$21, $C$9, 100%, $E$9)</f>
        <v>10.203900000000001</v>
      </c>
      <c r="G224" s="17">
        <f>CHOOSE(CONTROL!$C$42, 10.2204, 10.2204)*CHOOSE(CONTROL!$C$21, $C$9, 100%, $E$9)</f>
        <v>10.2204</v>
      </c>
      <c r="H224" s="17">
        <f>CHOOSE(CONTROL!$C$42, 10.4751, 10.4751) * CHOOSE(CONTROL!$C$21, $C$9, 100%, $E$9)</f>
        <v>10.475099999999999</v>
      </c>
      <c r="I224" s="17">
        <f>CHOOSE(CONTROL!$C$42, 10.2499, 10.2499)* CHOOSE(CONTROL!$C$21, $C$9, 100%, $E$9)</f>
        <v>10.2499</v>
      </c>
      <c r="J224" s="17">
        <f>CHOOSE(CONTROL!$C$42, 10.1965, 10.1965)* CHOOSE(CONTROL!$C$21, $C$9, 100%, $E$9)</f>
        <v>10.1965</v>
      </c>
      <c r="K224" s="53">
        <f>CHOOSE(CONTROL!$C$42, 10.2438, 10.2438) * CHOOSE(CONTROL!$C$21, $C$9, 100%, $E$9)</f>
        <v>10.2438</v>
      </c>
      <c r="L224" s="17">
        <f>CHOOSE(CONTROL!$C$42, 11.0621, 11.0621) * CHOOSE(CONTROL!$C$21, $C$9, 100%, $E$9)</f>
        <v>11.062099999999999</v>
      </c>
      <c r="M224" s="17">
        <f>CHOOSE(CONTROL!$C$42, 10.1118, 10.1118) * CHOOSE(CONTROL!$C$21, $C$9, 100%, $E$9)</f>
        <v>10.111800000000001</v>
      </c>
      <c r="N224" s="17">
        <f>CHOOSE(CONTROL!$C$42, 10.1281, 10.1281) * CHOOSE(CONTROL!$C$21, $C$9, 100%, $E$9)</f>
        <v>10.1281</v>
      </c>
      <c r="O224" s="17">
        <f>CHOOSE(CONTROL!$C$42, 10.3879, 10.3879) * CHOOSE(CONTROL!$C$21, $C$9, 100%, $E$9)</f>
        <v>10.3879</v>
      </c>
      <c r="P224" s="17">
        <f>CHOOSE(CONTROL!$C$42, 10.1645, 10.1645) * CHOOSE(CONTROL!$C$21, $C$9, 100%, $E$9)</f>
        <v>10.1645</v>
      </c>
      <c r="Q224" s="17">
        <f>CHOOSE(CONTROL!$C$42, 10.9826, 10.9826) * CHOOSE(CONTROL!$C$21, $C$9, 100%, $E$9)</f>
        <v>10.9826</v>
      </c>
      <c r="R224" s="17">
        <f>CHOOSE(CONTROL!$C$42, 11.5971, 11.5971) * CHOOSE(CONTROL!$C$21, $C$9, 100%, $E$9)</f>
        <v>11.597099999999999</v>
      </c>
      <c r="S224" s="17">
        <f>CHOOSE(CONTROL!$C$42, 9.8774, 9.8774) * CHOOSE(CONTROL!$C$21, $C$9, 100%, $E$9)</f>
        <v>9.8773999999999997</v>
      </c>
      <c r="T224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224" s="57">
        <f>(1000*CHOOSE(CONTROL!$C$42, 695, 695)*CHOOSE(CONTROL!$C$42, 0.5599, 0.5599)*CHOOSE(CONTROL!$C$42, 31, 31))/1000000</f>
        <v>12.063045499999998</v>
      </c>
      <c r="V224" s="57">
        <f>(1000*CHOOSE(CONTROL!$C$42, 500, 500)*CHOOSE(CONTROL!$C$42, 0.275, 0.275)*CHOOSE(CONTROL!$C$42, 31, 31))/1000000</f>
        <v>4.2625000000000002</v>
      </c>
      <c r="W224" s="57">
        <f>(1000*CHOOSE(CONTROL!$C$42, 0.0916, 0.0916)*CHOOSE(CONTROL!$C$42, 121.5, 121.5)*CHOOSE(CONTROL!$C$42, 31, 31))/1000000</f>
        <v>0.34501139999999997</v>
      </c>
      <c r="X224" s="57">
        <f>(31*0.1790888*145000/1000000)+(31*0.2374*100000/1000000)</f>
        <v>1.5409441560000001</v>
      </c>
      <c r="Y224" s="57"/>
      <c r="Z224" s="17"/>
      <c r="AA224" s="56"/>
      <c r="AB224" s="49">
        <f>(B224*194.205+C224*267.466+D224*133.845+E224*153.484+F224*40+G224*85+H224*0+I224*100+J224*300)/(194.205+267.466+133.845+153.484+0+40+85+100+300)</f>
        <v>10.266935933437992</v>
      </c>
      <c r="AC224" s="46">
        <f>(M224*'RAP TEMPLATE-GAS AVAILABILITY'!O223+N224*'RAP TEMPLATE-GAS AVAILABILITY'!P223+O224*'RAP TEMPLATE-GAS AVAILABILITY'!Q223+P224*'RAP TEMPLATE-GAS AVAILABILITY'!R223)/('RAP TEMPLATE-GAS AVAILABILITY'!O223+'RAP TEMPLATE-GAS AVAILABILITY'!P223+'RAP TEMPLATE-GAS AVAILABILITY'!Q223+'RAP TEMPLATE-GAS AVAILABILITY'!R223)</f>
        <v>10.200602158273382</v>
      </c>
    </row>
    <row r="225" spans="1:29" ht="15.75" x14ac:dyDescent="0.25">
      <c r="A225" s="16">
        <v>47727</v>
      </c>
      <c r="B225" s="17">
        <f>CHOOSE(CONTROL!$C$42, 9.5511, 9.5511) * CHOOSE(CONTROL!$C$21, $C$9, 100%, $E$9)</f>
        <v>9.5510999999999999</v>
      </c>
      <c r="C225" s="17">
        <f>CHOOSE(CONTROL!$C$42, 9.5591, 9.5591) * CHOOSE(CONTROL!$C$21, $C$9, 100%, $E$9)</f>
        <v>9.5591000000000008</v>
      </c>
      <c r="D225" s="17">
        <f>CHOOSE(CONTROL!$C$42, 9.8087, 9.8087) * CHOOSE(CONTROL!$C$21, $C$9, 100%, $E$9)</f>
        <v>9.8087</v>
      </c>
      <c r="E225" s="17">
        <f>CHOOSE(CONTROL!$C$42, 9.8399, 9.8399) * CHOOSE(CONTROL!$C$21, $C$9, 100%, $E$9)</f>
        <v>9.8399000000000001</v>
      </c>
      <c r="F225" s="17">
        <f>CHOOSE(CONTROL!$C$42, 9.5571, 9.5571)*CHOOSE(CONTROL!$C$21, $C$9, 100%, $E$9)</f>
        <v>9.5571000000000002</v>
      </c>
      <c r="G225" s="17">
        <f>CHOOSE(CONTROL!$C$42, 9.5736, 9.5736)*CHOOSE(CONTROL!$C$21, $C$9, 100%, $E$9)</f>
        <v>9.5736000000000008</v>
      </c>
      <c r="H225" s="17">
        <f>CHOOSE(CONTROL!$C$42, 9.8282, 9.8282) * CHOOSE(CONTROL!$C$21, $C$9, 100%, $E$9)</f>
        <v>9.8282000000000007</v>
      </c>
      <c r="I225" s="17">
        <f>CHOOSE(CONTROL!$C$42, 9.601, 9.601)* CHOOSE(CONTROL!$C$21, $C$9, 100%, $E$9)</f>
        <v>9.6010000000000009</v>
      </c>
      <c r="J225" s="17">
        <f>CHOOSE(CONTROL!$C$42, 9.5497, 9.5497)* CHOOSE(CONTROL!$C$21, $C$9, 100%, $E$9)</f>
        <v>9.5496999999999996</v>
      </c>
      <c r="K225" s="53">
        <f>CHOOSE(CONTROL!$C$42, 9.595, 9.595) * CHOOSE(CONTROL!$C$21, $C$9, 100%, $E$9)</f>
        <v>9.5950000000000006</v>
      </c>
      <c r="L225" s="17">
        <f>CHOOSE(CONTROL!$C$42, 10.4152, 10.4152) * CHOOSE(CONTROL!$C$21, $C$9, 100%, $E$9)</f>
        <v>10.4152</v>
      </c>
      <c r="M225" s="17">
        <f>CHOOSE(CONTROL!$C$42, 9.4708, 9.4708) * CHOOSE(CONTROL!$C$21, $C$9, 100%, $E$9)</f>
        <v>9.4708000000000006</v>
      </c>
      <c r="N225" s="17">
        <f>CHOOSE(CONTROL!$C$42, 9.4871, 9.4871) * CHOOSE(CONTROL!$C$21, $C$9, 100%, $E$9)</f>
        <v>9.4870999999999999</v>
      </c>
      <c r="O225" s="17">
        <f>CHOOSE(CONTROL!$C$42, 9.7469, 9.7469) * CHOOSE(CONTROL!$C$21, $C$9, 100%, $E$9)</f>
        <v>9.7469000000000001</v>
      </c>
      <c r="P225" s="17">
        <f>CHOOSE(CONTROL!$C$42, 9.5214, 9.5214) * CHOOSE(CONTROL!$C$21, $C$9, 100%, $E$9)</f>
        <v>9.5213999999999999</v>
      </c>
      <c r="Q225" s="17">
        <f>CHOOSE(CONTROL!$C$42, 10.3416, 10.3416) * CHOOSE(CONTROL!$C$21, $C$9, 100%, $E$9)</f>
        <v>10.3416</v>
      </c>
      <c r="R225" s="17">
        <f>CHOOSE(CONTROL!$C$42, 10.9544, 10.9544) * CHOOSE(CONTROL!$C$21, $C$9, 100%, $E$9)</f>
        <v>10.9544</v>
      </c>
      <c r="S225" s="17">
        <f>CHOOSE(CONTROL!$C$42, 9.2502, 9.2502) * CHOOSE(CONTROL!$C$21, $C$9, 100%, $E$9)</f>
        <v>9.2501999999999995</v>
      </c>
      <c r="T225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225" s="57">
        <f>(1000*CHOOSE(CONTROL!$C$42, 695, 695)*CHOOSE(CONTROL!$C$42, 0.5599, 0.5599)*CHOOSE(CONTROL!$C$42, 30, 30))/1000000</f>
        <v>11.673914999999997</v>
      </c>
      <c r="V225" s="57">
        <f>(1000*CHOOSE(CONTROL!$C$42, 500, 500)*CHOOSE(CONTROL!$C$42, 0.275, 0.275)*CHOOSE(CONTROL!$C$42, 30, 30))/1000000</f>
        <v>4.125</v>
      </c>
      <c r="W225" s="57">
        <f>(1000*CHOOSE(CONTROL!$C$42, 0.0916, 0.0916)*CHOOSE(CONTROL!$C$42, 121.5, 121.5)*CHOOSE(CONTROL!$C$42, 30, 30))/1000000</f>
        <v>0.33388200000000001</v>
      </c>
      <c r="X225" s="57">
        <f>(30*0.1790888*145000/1000000)+(30*0.2374*100000/1000000)</f>
        <v>1.4912362799999999</v>
      </c>
      <c r="Y225" s="57"/>
      <c r="Z225" s="17"/>
      <c r="AA225" s="56"/>
      <c r="AB225" s="49">
        <f>(B225*194.205+C225*267.466+D225*133.845+E225*153.484+F225*40+G225*85+H225*0+I225*100+J225*300)/(194.205+267.466+133.845+153.484+0+40+85+100+300)</f>
        <v>9.6199123070643662</v>
      </c>
      <c r="AC225" s="46">
        <f>(M225*'RAP TEMPLATE-GAS AVAILABILITY'!O224+N225*'RAP TEMPLATE-GAS AVAILABILITY'!P224+O225*'RAP TEMPLATE-GAS AVAILABILITY'!Q224+P225*'RAP TEMPLATE-GAS AVAILABILITY'!R224)/('RAP TEMPLATE-GAS AVAILABILITY'!O224+'RAP TEMPLATE-GAS AVAILABILITY'!P224+'RAP TEMPLATE-GAS AVAILABILITY'!Q224+'RAP TEMPLATE-GAS AVAILABILITY'!R224)</f>
        <v>9.5593000000000004</v>
      </c>
    </row>
    <row r="226" spans="1:29" ht="15.75" x14ac:dyDescent="0.25">
      <c r="A226" s="16">
        <v>47757</v>
      </c>
      <c r="B226" s="17">
        <f>CHOOSE(CONTROL!$C$42, 9.3557, 9.3557) * CHOOSE(CONTROL!$C$21, $C$9, 100%, $E$9)</f>
        <v>9.3557000000000006</v>
      </c>
      <c r="C226" s="17">
        <f>CHOOSE(CONTROL!$C$42, 9.3611, 9.3611) * CHOOSE(CONTROL!$C$21, $C$9, 100%, $E$9)</f>
        <v>9.3611000000000004</v>
      </c>
      <c r="D226" s="17">
        <f>CHOOSE(CONTROL!$C$42, 9.6156, 9.6156) * CHOOSE(CONTROL!$C$21, $C$9, 100%, $E$9)</f>
        <v>9.6156000000000006</v>
      </c>
      <c r="E226" s="17">
        <f>CHOOSE(CONTROL!$C$42, 9.6444, 9.6444) * CHOOSE(CONTROL!$C$21, $C$9, 100%, $E$9)</f>
        <v>9.6443999999999992</v>
      </c>
      <c r="F226" s="17">
        <f>CHOOSE(CONTROL!$C$42, 9.3639, 9.3639)*CHOOSE(CONTROL!$C$21, $C$9, 100%, $E$9)</f>
        <v>9.3638999999999992</v>
      </c>
      <c r="G226" s="17">
        <f>CHOOSE(CONTROL!$C$42, 9.3803, 9.3803)*CHOOSE(CONTROL!$C$21, $C$9, 100%, $E$9)</f>
        <v>9.3803000000000001</v>
      </c>
      <c r="H226" s="17">
        <f>CHOOSE(CONTROL!$C$42, 9.6346, 9.6346) * CHOOSE(CONTROL!$C$21, $C$9, 100%, $E$9)</f>
        <v>9.6346000000000007</v>
      </c>
      <c r="I226" s="17">
        <f>CHOOSE(CONTROL!$C$42, 9.4067, 9.4067)* CHOOSE(CONTROL!$C$21, $C$9, 100%, $E$9)</f>
        <v>9.4067000000000007</v>
      </c>
      <c r="J226" s="17">
        <f>CHOOSE(CONTROL!$C$42, 9.3565, 9.3565)* CHOOSE(CONTROL!$C$21, $C$9, 100%, $E$9)</f>
        <v>9.3565000000000005</v>
      </c>
      <c r="K226" s="53">
        <f>CHOOSE(CONTROL!$C$42, 9.4007, 9.4007) * CHOOSE(CONTROL!$C$21, $C$9, 100%, $E$9)</f>
        <v>9.4007000000000005</v>
      </c>
      <c r="L226" s="17">
        <f>CHOOSE(CONTROL!$C$42, 10.2216, 10.2216) * CHOOSE(CONTROL!$C$21, $C$9, 100%, $E$9)</f>
        <v>10.2216</v>
      </c>
      <c r="M226" s="17">
        <f>CHOOSE(CONTROL!$C$42, 9.2794, 9.2794) * CHOOSE(CONTROL!$C$21, $C$9, 100%, $E$9)</f>
        <v>9.2794000000000008</v>
      </c>
      <c r="N226" s="17">
        <f>CHOOSE(CONTROL!$C$42, 9.2956, 9.2956) * CHOOSE(CONTROL!$C$21, $C$9, 100%, $E$9)</f>
        <v>9.2956000000000003</v>
      </c>
      <c r="O226" s="17">
        <f>CHOOSE(CONTROL!$C$42, 9.5549, 9.5549) * CHOOSE(CONTROL!$C$21, $C$9, 100%, $E$9)</f>
        <v>9.5548999999999999</v>
      </c>
      <c r="P226" s="17">
        <f>CHOOSE(CONTROL!$C$42, 9.3289, 9.3289) * CHOOSE(CONTROL!$C$21, $C$9, 100%, $E$9)</f>
        <v>9.3289000000000009</v>
      </c>
      <c r="Q226" s="17">
        <f>CHOOSE(CONTROL!$C$42, 10.1496, 10.1496) * CHOOSE(CONTROL!$C$21, $C$9, 100%, $E$9)</f>
        <v>10.1496</v>
      </c>
      <c r="R226" s="17">
        <f>CHOOSE(CONTROL!$C$42, 10.762, 10.762) * CHOOSE(CONTROL!$C$21, $C$9, 100%, $E$9)</f>
        <v>10.762</v>
      </c>
      <c r="S226" s="17">
        <f>CHOOSE(CONTROL!$C$42, 9.0624, 9.0624) * CHOOSE(CONTROL!$C$21, $C$9, 100%, $E$9)</f>
        <v>9.0624000000000002</v>
      </c>
      <c r="T226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226" s="57">
        <f>(1000*CHOOSE(CONTROL!$C$42, 695, 695)*CHOOSE(CONTROL!$C$42, 0.5599, 0.5599)*CHOOSE(CONTROL!$C$42, 31, 31))/1000000</f>
        <v>12.063045499999998</v>
      </c>
      <c r="V226" s="57">
        <f>(1000*CHOOSE(CONTROL!$C$42, 500, 500)*CHOOSE(CONTROL!$C$42, 0.275, 0.275)*CHOOSE(CONTROL!$C$42, 31, 31))/1000000</f>
        <v>4.2625000000000002</v>
      </c>
      <c r="W226" s="57">
        <f>(1000*CHOOSE(CONTROL!$C$42, 0.0916, 0.0916)*CHOOSE(CONTROL!$C$42, 121.5, 121.5)*CHOOSE(CONTROL!$C$42, 31, 31))/1000000</f>
        <v>0.34501139999999997</v>
      </c>
      <c r="X226" s="57">
        <f>(31*0.1790888*145000/1000000)+(31*0.2374*100000/1000000)</f>
        <v>1.5409441560000001</v>
      </c>
      <c r="Y226" s="57"/>
      <c r="Z226" s="17"/>
      <c r="AA226" s="56"/>
      <c r="AB226" s="49">
        <f>(B226*131.881+C226*277.167+D226*79.08+E226*225.872+F226*40+G226*85+H226*0+I226*100+J226*300)/(131.881+277.167+79.08+225.872+0+40+85+100+300)</f>
        <v>9.4323891365617438</v>
      </c>
      <c r="AC226" s="46">
        <f>(M226*'RAP TEMPLATE-GAS AVAILABILITY'!O225+N226*'RAP TEMPLATE-GAS AVAILABILITY'!P225+O226*'RAP TEMPLATE-GAS AVAILABILITY'!Q225+P226*'RAP TEMPLATE-GAS AVAILABILITY'!R225)/('RAP TEMPLATE-GAS AVAILABILITY'!O225+'RAP TEMPLATE-GAS AVAILABILITY'!P225+'RAP TEMPLATE-GAS AVAILABILITY'!Q225+'RAP TEMPLATE-GAS AVAILABILITY'!R225)</f>
        <v>9.3675503597122312</v>
      </c>
    </row>
    <row r="227" spans="1:29" ht="15.75" x14ac:dyDescent="0.25">
      <c r="A227" s="16">
        <v>47788</v>
      </c>
      <c r="B227" s="17">
        <f>CHOOSE(CONTROL!$C$42, 9.6015, 9.6015) * CHOOSE(CONTROL!$C$21, $C$9, 100%, $E$9)</f>
        <v>9.6014999999999997</v>
      </c>
      <c r="C227" s="17">
        <f>CHOOSE(CONTROL!$C$42, 9.6066, 9.6066) * CHOOSE(CONTROL!$C$21, $C$9, 100%, $E$9)</f>
        <v>9.6066000000000003</v>
      </c>
      <c r="D227" s="17">
        <f>CHOOSE(CONTROL!$C$42, 9.7292, 9.7292) * CHOOSE(CONTROL!$C$21, $C$9, 100%, $E$9)</f>
        <v>9.7292000000000005</v>
      </c>
      <c r="E227" s="17">
        <f>CHOOSE(CONTROL!$C$42, 9.763, 9.763) * CHOOSE(CONTROL!$C$21, $C$9, 100%, $E$9)</f>
        <v>9.7629999999999999</v>
      </c>
      <c r="F227" s="17">
        <f>CHOOSE(CONTROL!$C$42, 9.6165, 9.6165)*CHOOSE(CONTROL!$C$21, $C$9, 100%, $E$9)</f>
        <v>9.6165000000000003</v>
      </c>
      <c r="G227" s="17">
        <f>CHOOSE(CONTROL!$C$42, 9.6332, 9.6332)*CHOOSE(CONTROL!$C$21, $C$9, 100%, $E$9)</f>
        <v>9.6332000000000004</v>
      </c>
      <c r="H227" s="17">
        <f>CHOOSE(CONTROL!$C$42, 9.7519, 9.7519) * CHOOSE(CONTROL!$C$21, $C$9, 100%, $E$9)</f>
        <v>9.7518999999999991</v>
      </c>
      <c r="I227" s="17">
        <f>CHOOSE(CONTROL!$C$42, 9.6563, 9.6563)* CHOOSE(CONTROL!$C$21, $C$9, 100%, $E$9)</f>
        <v>9.6562999999999999</v>
      </c>
      <c r="J227" s="17">
        <f>CHOOSE(CONTROL!$C$42, 9.6091, 9.6091)* CHOOSE(CONTROL!$C$21, $C$9, 100%, $E$9)</f>
        <v>9.6090999999999998</v>
      </c>
      <c r="K227" s="53">
        <f>CHOOSE(CONTROL!$C$42, 9.6502, 9.6502) * CHOOSE(CONTROL!$C$21, $C$9, 100%, $E$9)</f>
        <v>9.6501999999999999</v>
      </c>
      <c r="L227" s="17">
        <f>CHOOSE(CONTROL!$C$42, 10.3389, 10.3389) * CHOOSE(CONTROL!$C$21, $C$9, 100%, $E$9)</f>
        <v>10.338900000000001</v>
      </c>
      <c r="M227" s="17">
        <f>CHOOSE(CONTROL!$C$42, 9.5297, 9.5297) * CHOOSE(CONTROL!$C$21, $C$9, 100%, $E$9)</f>
        <v>9.5297000000000001</v>
      </c>
      <c r="N227" s="17">
        <f>CHOOSE(CONTROL!$C$42, 9.5462, 9.5462) * CHOOSE(CONTROL!$C$21, $C$9, 100%, $E$9)</f>
        <v>9.5462000000000007</v>
      </c>
      <c r="O227" s="17">
        <f>CHOOSE(CONTROL!$C$42, 9.6712, 9.6712) * CHOOSE(CONTROL!$C$21, $C$9, 100%, $E$9)</f>
        <v>9.6712000000000007</v>
      </c>
      <c r="P227" s="17">
        <f>CHOOSE(CONTROL!$C$42, 9.5762, 9.5762) * CHOOSE(CONTROL!$C$21, $C$9, 100%, $E$9)</f>
        <v>9.5762</v>
      </c>
      <c r="Q227" s="17">
        <f>CHOOSE(CONTROL!$C$42, 10.2659, 10.2659) * CHOOSE(CONTROL!$C$21, $C$9, 100%, $E$9)</f>
        <v>10.2659</v>
      </c>
      <c r="R227" s="17">
        <f>CHOOSE(CONTROL!$C$42, 10.8785, 10.8785) * CHOOSE(CONTROL!$C$21, $C$9, 100%, $E$9)</f>
        <v>10.878500000000001</v>
      </c>
      <c r="S227" s="17">
        <f>CHOOSE(CONTROL!$C$42, 9.3011, 9.3011) * CHOOSE(CONTROL!$C$21, $C$9, 100%, $E$9)</f>
        <v>9.3010999999999999</v>
      </c>
      <c r="T227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227" s="57">
        <f>(1000*CHOOSE(CONTROL!$C$42, 695, 695)*CHOOSE(CONTROL!$C$42, 0.5599, 0.5599)*CHOOSE(CONTROL!$C$42, 30, 30))/1000000</f>
        <v>11.673914999999997</v>
      </c>
      <c r="V227" s="57">
        <f>(1000*CHOOSE(CONTROL!$C$42, 500, 500)*CHOOSE(CONTROL!$C$42, 0.275, 0.275)*CHOOSE(CONTROL!$C$42, 30, 30))/1000000</f>
        <v>4.125</v>
      </c>
      <c r="W227" s="57">
        <f>(1000*CHOOSE(CONTROL!$C$42, 0.0916, 0.0916)*CHOOSE(CONTROL!$C$42, 121.5, 121.5)*CHOOSE(CONTROL!$C$42, 30, 30))/1000000</f>
        <v>0.33388200000000001</v>
      </c>
      <c r="X227" s="57">
        <f>(30*0.2374*100000/1000000)</f>
        <v>0.71220000000000006</v>
      </c>
      <c r="Y227" s="57"/>
      <c r="Z227" s="17"/>
      <c r="AA227" s="56"/>
      <c r="AB227" s="49">
        <f>(B227*122.58+C227*297.941+D227*89.177+E227*140.302+F227*40+G227*60+H227*0+I227*100+J227*300)/(122.58+297.941+89.177+140.302+0+40+60+100+300)</f>
        <v>9.6413505869565217</v>
      </c>
      <c r="AC227" s="46">
        <f>(M227*'RAP TEMPLATE-GAS AVAILABILITY'!O226+N227*'RAP TEMPLATE-GAS AVAILABILITY'!P226+O227*'RAP TEMPLATE-GAS AVAILABILITY'!Q226+P227*'RAP TEMPLATE-GAS AVAILABILITY'!R226)/('RAP TEMPLATE-GAS AVAILABILITY'!O226+'RAP TEMPLATE-GAS AVAILABILITY'!P226+'RAP TEMPLATE-GAS AVAILABILITY'!Q226+'RAP TEMPLATE-GAS AVAILABILITY'!R226)</f>
        <v>9.601473381294964</v>
      </c>
    </row>
    <row r="228" spans="1:29" ht="15.75" x14ac:dyDescent="0.25">
      <c r="A228" s="16">
        <v>47818</v>
      </c>
      <c r="B228" s="17">
        <f>CHOOSE(CONTROL!$C$42, 10.2554, 10.2554) * CHOOSE(CONTROL!$C$21, $C$9, 100%, $E$9)</f>
        <v>10.2554</v>
      </c>
      <c r="C228" s="17">
        <f>CHOOSE(CONTROL!$C$42, 10.2605, 10.2605) * CHOOSE(CONTROL!$C$21, $C$9, 100%, $E$9)</f>
        <v>10.2605</v>
      </c>
      <c r="D228" s="17">
        <f>CHOOSE(CONTROL!$C$42, 10.3831, 10.3831) * CHOOSE(CONTROL!$C$21, $C$9, 100%, $E$9)</f>
        <v>10.383100000000001</v>
      </c>
      <c r="E228" s="17">
        <f>CHOOSE(CONTROL!$C$42, 10.4169, 10.4169) * CHOOSE(CONTROL!$C$21, $C$9, 100%, $E$9)</f>
        <v>10.4169</v>
      </c>
      <c r="F228" s="17">
        <f>CHOOSE(CONTROL!$C$42, 10.2729, 10.2729)*CHOOSE(CONTROL!$C$21, $C$9, 100%, $E$9)</f>
        <v>10.2729</v>
      </c>
      <c r="G228" s="17">
        <f>CHOOSE(CONTROL!$C$42, 10.2902, 10.2902)*CHOOSE(CONTROL!$C$21, $C$9, 100%, $E$9)</f>
        <v>10.2902</v>
      </c>
      <c r="H228" s="17">
        <f>CHOOSE(CONTROL!$C$42, 10.4058, 10.4058) * CHOOSE(CONTROL!$C$21, $C$9, 100%, $E$9)</f>
        <v>10.405799999999999</v>
      </c>
      <c r="I228" s="17">
        <f>CHOOSE(CONTROL!$C$42, 10.3122, 10.3122)* CHOOSE(CONTROL!$C$21, $C$9, 100%, $E$9)</f>
        <v>10.312200000000001</v>
      </c>
      <c r="J228" s="17">
        <f>CHOOSE(CONTROL!$C$42, 10.2655, 10.2655)* CHOOSE(CONTROL!$C$21, $C$9, 100%, $E$9)</f>
        <v>10.265499999999999</v>
      </c>
      <c r="K228" s="53">
        <f>CHOOSE(CONTROL!$C$42, 10.3062, 10.3062) * CHOOSE(CONTROL!$C$21, $C$9, 100%, $E$9)</f>
        <v>10.3062</v>
      </c>
      <c r="L228" s="17">
        <f>CHOOSE(CONTROL!$C$42, 10.9928, 10.9928) * CHOOSE(CONTROL!$C$21, $C$9, 100%, $E$9)</f>
        <v>10.992800000000001</v>
      </c>
      <c r="M228" s="17">
        <f>CHOOSE(CONTROL!$C$42, 10.1801, 10.1801) * CHOOSE(CONTROL!$C$21, $C$9, 100%, $E$9)</f>
        <v>10.180099999999999</v>
      </c>
      <c r="N228" s="17">
        <f>CHOOSE(CONTROL!$C$42, 10.1973, 10.1973) * CHOOSE(CONTROL!$C$21, $C$9, 100%, $E$9)</f>
        <v>10.1973</v>
      </c>
      <c r="O228" s="17">
        <f>CHOOSE(CONTROL!$C$42, 10.3192, 10.3192) * CHOOSE(CONTROL!$C$21, $C$9, 100%, $E$9)</f>
        <v>10.3192</v>
      </c>
      <c r="P228" s="17">
        <f>CHOOSE(CONTROL!$C$42, 10.2262, 10.2262) * CHOOSE(CONTROL!$C$21, $C$9, 100%, $E$9)</f>
        <v>10.2262</v>
      </c>
      <c r="Q228" s="17">
        <f>CHOOSE(CONTROL!$C$42, 10.9139, 10.9139) * CHOOSE(CONTROL!$C$21, $C$9, 100%, $E$9)</f>
        <v>10.9139</v>
      </c>
      <c r="R228" s="17">
        <f>CHOOSE(CONTROL!$C$42, 11.5282, 11.5282) * CHOOSE(CONTROL!$C$21, $C$9, 100%, $E$9)</f>
        <v>11.5282</v>
      </c>
      <c r="S228" s="17">
        <f>CHOOSE(CONTROL!$C$42, 9.9352, 9.9352) * CHOOSE(CONTROL!$C$21, $C$9, 100%, $E$9)</f>
        <v>9.9352</v>
      </c>
      <c r="T228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228" s="57">
        <f>(1000*CHOOSE(CONTROL!$C$42, 695, 695)*CHOOSE(CONTROL!$C$42, 0.5599, 0.5599)*CHOOSE(CONTROL!$C$42, 31, 31))/1000000</f>
        <v>12.063045499999998</v>
      </c>
      <c r="V228" s="57">
        <f>(1000*CHOOSE(CONTROL!$C$42, 500, 500)*CHOOSE(CONTROL!$C$42, 0.275, 0.275)*CHOOSE(CONTROL!$C$42, 31, 31))/1000000</f>
        <v>4.2625000000000002</v>
      </c>
      <c r="W228" s="57">
        <f>(1000*CHOOSE(CONTROL!$C$42, 0.0916, 0.0916)*CHOOSE(CONTROL!$C$42, 121.5, 121.5)*CHOOSE(CONTROL!$C$42, 31, 31))/1000000</f>
        <v>0.34501139999999997</v>
      </c>
      <c r="X228" s="57">
        <f>(31*0.2374*100000/1000000)</f>
        <v>0.73594000000000004</v>
      </c>
      <c r="Y228" s="57"/>
      <c r="Z228" s="17"/>
      <c r="AA228" s="56"/>
      <c r="AB228" s="49">
        <f>(B228*122.58+C228*297.941+D228*89.177+E228*140.302+F228*40+G228*60+H228*0+I228*100+J228*300)/(122.58+297.941+89.177+140.302+0+40+60+100+300)</f>
        <v>10.296325369565217</v>
      </c>
      <c r="AC228" s="46">
        <f>(M228*'RAP TEMPLATE-GAS AVAILABILITY'!O227+N228*'RAP TEMPLATE-GAS AVAILABILITY'!P227+O228*'RAP TEMPLATE-GAS AVAILABILITY'!Q227+P228*'RAP TEMPLATE-GAS AVAILABILITY'!R227)/('RAP TEMPLATE-GAS AVAILABILITY'!O227+'RAP TEMPLATE-GAS AVAILABILITY'!P227+'RAP TEMPLATE-GAS AVAILABILITY'!Q227+'RAP TEMPLATE-GAS AVAILABILITY'!R227)</f>
        <v>10.25076834532374</v>
      </c>
    </row>
    <row r="229" spans="1:29" ht="15.75" x14ac:dyDescent="0.25">
      <c r="A229" s="16">
        <v>47849</v>
      </c>
      <c r="B229" s="17">
        <f>CHOOSE(CONTROL!$C$42, 11.1047, 11.1047) * CHOOSE(CONTROL!$C$21, $C$9, 100%, $E$9)</f>
        <v>11.104699999999999</v>
      </c>
      <c r="C229" s="17">
        <f>CHOOSE(CONTROL!$C$42, 11.1098, 11.1098) * CHOOSE(CONTROL!$C$21, $C$9, 100%, $E$9)</f>
        <v>11.1098</v>
      </c>
      <c r="D229" s="17">
        <f>CHOOSE(CONTROL!$C$42, 11.2273, 11.2273) * CHOOSE(CONTROL!$C$21, $C$9, 100%, $E$9)</f>
        <v>11.2273</v>
      </c>
      <c r="E229" s="17">
        <f>CHOOSE(CONTROL!$C$42, 11.261, 11.261) * CHOOSE(CONTROL!$C$21, $C$9, 100%, $E$9)</f>
        <v>11.260999999999999</v>
      </c>
      <c r="F229" s="17">
        <f>CHOOSE(CONTROL!$C$42, 11.1184, 11.1184)*CHOOSE(CONTROL!$C$21, $C$9, 100%, $E$9)</f>
        <v>11.118399999999999</v>
      </c>
      <c r="G229" s="17">
        <f>CHOOSE(CONTROL!$C$42, 11.1347, 11.1347)*CHOOSE(CONTROL!$C$21, $C$9, 100%, $E$9)</f>
        <v>11.1347</v>
      </c>
      <c r="H229" s="17">
        <f>CHOOSE(CONTROL!$C$42, 11.2499, 11.2499) * CHOOSE(CONTROL!$C$21, $C$9, 100%, $E$9)</f>
        <v>11.2499</v>
      </c>
      <c r="I229" s="17">
        <f>CHOOSE(CONTROL!$C$42, 11.1626, 11.1626)* CHOOSE(CONTROL!$C$21, $C$9, 100%, $E$9)</f>
        <v>11.162599999999999</v>
      </c>
      <c r="J229" s="17">
        <f>CHOOSE(CONTROL!$C$42, 11.111, 11.111)* CHOOSE(CONTROL!$C$21, $C$9, 100%, $E$9)</f>
        <v>11.111000000000001</v>
      </c>
      <c r="K229" s="53">
        <f>CHOOSE(CONTROL!$C$42, 11.1565, 11.1565) * CHOOSE(CONTROL!$C$21, $C$9, 100%, $E$9)</f>
        <v>11.156499999999999</v>
      </c>
      <c r="L229" s="17">
        <f>CHOOSE(CONTROL!$C$42, 11.8369, 11.8369) * CHOOSE(CONTROL!$C$21, $C$9, 100%, $E$9)</f>
        <v>11.8369</v>
      </c>
      <c r="M229" s="17">
        <f>CHOOSE(CONTROL!$C$42, 11.018, 11.018) * CHOOSE(CONTROL!$C$21, $C$9, 100%, $E$9)</f>
        <v>11.018000000000001</v>
      </c>
      <c r="N229" s="17">
        <f>CHOOSE(CONTROL!$C$42, 11.0342, 11.0342) * CHOOSE(CONTROL!$C$21, $C$9, 100%, $E$9)</f>
        <v>11.0342</v>
      </c>
      <c r="O229" s="17">
        <f>CHOOSE(CONTROL!$C$42, 11.1557, 11.1557) * CHOOSE(CONTROL!$C$21, $C$9, 100%, $E$9)</f>
        <v>11.1557</v>
      </c>
      <c r="P229" s="17">
        <f>CHOOSE(CONTROL!$C$42, 11.0689, 11.0689) * CHOOSE(CONTROL!$C$21, $C$9, 100%, $E$9)</f>
        <v>11.068899999999999</v>
      </c>
      <c r="Q229" s="17">
        <f>CHOOSE(CONTROL!$C$42, 11.7504, 11.7504) * CHOOSE(CONTROL!$C$21, $C$9, 100%, $E$9)</f>
        <v>11.750400000000001</v>
      </c>
      <c r="R229" s="17">
        <f>CHOOSE(CONTROL!$C$42, 12.3668, 12.3668) * CHOOSE(CONTROL!$C$21, $C$9, 100%, $E$9)</f>
        <v>12.3668</v>
      </c>
      <c r="S229" s="17">
        <f>CHOOSE(CONTROL!$C$42, 10.7587, 10.7587) * CHOOSE(CONTROL!$C$21, $C$9, 100%, $E$9)</f>
        <v>10.758699999999999</v>
      </c>
      <c r="T229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229" s="57">
        <f>(1000*CHOOSE(CONTROL!$C$42, 695, 695)*CHOOSE(CONTROL!$C$42, 0.5599, 0.5599)*CHOOSE(CONTROL!$C$42, 31, 31))/1000000</f>
        <v>12.063045499999998</v>
      </c>
      <c r="V229" s="57">
        <f>(1000*CHOOSE(CONTROL!$C$42, 500, 500)*CHOOSE(CONTROL!$C$42, 0.275, 0.275)*CHOOSE(CONTROL!$C$42, 31, 31))/1000000</f>
        <v>4.2625000000000002</v>
      </c>
      <c r="W229" s="57">
        <f>(1000*CHOOSE(CONTROL!$C$42, 0.0916, 0.0916)*CHOOSE(CONTROL!$C$42, 121.5, 121.5)*CHOOSE(CONTROL!$C$42, 31, 31))/1000000</f>
        <v>0.34501139999999997</v>
      </c>
      <c r="X229" s="57">
        <f>(31*0.2374*100000/1000000)</f>
        <v>0.73594000000000004</v>
      </c>
      <c r="Y229" s="57"/>
      <c r="Z229" s="17"/>
      <c r="AA229" s="56"/>
      <c r="AB229" s="49">
        <f>(B229*122.58+C229*297.941+D229*89.177+E229*140.302+F229*40+G229*60+H229*0+I229*100+J229*300)/(122.58+297.941+89.177+140.302+0+40+60+100+300)</f>
        <v>11.143317219043478</v>
      </c>
      <c r="AC229" s="46">
        <f>(M229*'RAP TEMPLATE-GAS AVAILABILITY'!O228+N229*'RAP TEMPLATE-GAS AVAILABILITY'!P228+O229*'RAP TEMPLATE-GAS AVAILABILITY'!Q228+P229*'RAP TEMPLATE-GAS AVAILABILITY'!R228)/('RAP TEMPLATE-GAS AVAILABILITY'!O228+'RAP TEMPLATE-GAS AVAILABILITY'!P228+'RAP TEMPLATE-GAS AVAILABILITY'!Q228+'RAP TEMPLATE-GAS AVAILABILITY'!R228)</f>
        <v>11.08866690647482</v>
      </c>
    </row>
    <row r="230" spans="1:29" ht="15.75" x14ac:dyDescent="0.25">
      <c r="A230" s="16">
        <v>47880</v>
      </c>
      <c r="B230" s="17">
        <f>CHOOSE(CONTROL!$C$42, 11.3022, 11.3022) * CHOOSE(CONTROL!$C$21, $C$9, 100%, $E$9)</f>
        <v>11.302199999999999</v>
      </c>
      <c r="C230" s="17">
        <f>CHOOSE(CONTROL!$C$42, 11.3073, 11.3073) * CHOOSE(CONTROL!$C$21, $C$9, 100%, $E$9)</f>
        <v>11.3073</v>
      </c>
      <c r="D230" s="17">
        <f>CHOOSE(CONTROL!$C$42, 11.4248, 11.4248) * CHOOSE(CONTROL!$C$21, $C$9, 100%, $E$9)</f>
        <v>11.424799999999999</v>
      </c>
      <c r="E230" s="17">
        <f>CHOOSE(CONTROL!$C$42, 11.4585, 11.4585) * CHOOSE(CONTROL!$C$21, $C$9, 100%, $E$9)</f>
        <v>11.458500000000001</v>
      </c>
      <c r="F230" s="17">
        <f>CHOOSE(CONTROL!$C$42, 11.3159, 11.3159)*CHOOSE(CONTROL!$C$21, $C$9, 100%, $E$9)</f>
        <v>11.315899999999999</v>
      </c>
      <c r="G230" s="17">
        <f>CHOOSE(CONTROL!$C$42, 11.3322, 11.3322)*CHOOSE(CONTROL!$C$21, $C$9, 100%, $E$9)</f>
        <v>11.3322</v>
      </c>
      <c r="H230" s="17">
        <f>CHOOSE(CONTROL!$C$42, 11.4474, 11.4474) * CHOOSE(CONTROL!$C$21, $C$9, 100%, $E$9)</f>
        <v>11.4474</v>
      </c>
      <c r="I230" s="17">
        <f>CHOOSE(CONTROL!$C$42, 11.3607, 11.3607)* CHOOSE(CONTROL!$C$21, $C$9, 100%, $E$9)</f>
        <v>11.3607</v>
      </c>
      <c r="J230" s="17">
        <f>CHOOSE(CONTROL!$C$42, 11.3085, 11.3085)* CHOOSE(CONTROL!$C$21, $C$9, 100%, $E$9)</f>
        <v>11.3085</v>
      </c>
      <c r="K230" s="53">
        <f>CHOOSE(CONTROL!$C$42, 11.3547, 11.3547) * CHOOSE(CONTROL!$C$21, $C$9, 100%, $E$9)</f>
        <v>11.354699999999999</v>
      </c>
      <c r="L230" s="17">
        <f>CHOOSE(CONTROL!$C$42, 12.0344, 12.0344) * CHOOSE(CONTROL!$C$21, $C$9, 100%, $E$9)</f>
        <v>12.0344</v>
      </c>
      <c r="M230" s="17">
        <f>CHOOSE(CONTROL!$C$42, 11.2138, 11.2138) * CHOOSE(CONTROL!$C$21, $C$9, 100%, $E$9)</f>
        <v>11.213800000000001</v>
      </c>
      <c r="N230" s="17">
        <f>CHOOSE(CONTROL!$C$42, 11.2299, 11.2299) * CHOOSE(CONTROL!$C$21, $C$9, 100%, $E$9)</f>
        <v>11.229900000000001</v>
      </c>
      <c r="O230" s="17">
        <f>CHOOSE(CONTROL!$C$42, 11.3515, 11.3515) * CHOOSE(CONTROL!$C$21, $C$9, 100%, $E$9)</f>
        <v>11.3515</v>
      </c>
      <c r="P230" s="17">
        <f>CHOOSE(CONTROL!$C$42, 11.2653, 11.2653) * CHOOSE(CONTROL!$C$21, $C$9, 100%, $E$9)</f>
        <v>11.2653</v>
      </c>
      <c r="Q230" s="17">
        <f>CHOOSE(CONTROL!$C$42, 11.9462, 11.9462) * CHOOSE(CONTROL!$C$21, $C$9, 100%, $E$9)</f>
        <v>11.946199999999999</v>
      </c>
      <c r="R230" s="17">
        <f>CHOOSE(CONTROL!$C$42, 12.563, 12.563) * CHOOSE(CONTROL!$C$21, $C$9, 100%, $E$9)</f>
        <v>12.563000000000001</v>
      </c>
      <c r="S230" s="17">
        <f>CHOOSE(CONTROL!$C$42, 10.9503, 10.9503) * CHOOSE(CONTROL!$C$21, $C$9, 100%, $E$9)</f>
        <v>10.9503</v>
      </c>
      <c r="T230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230" s="57">
        <f>(1000*CHOOSE(CONTROL!$C$42, 695, 695)*CHOOSE(CONTROL!$C$42, 0.5599, 0.5599)*CHOOSE(CONTROL!$C$42, 28, 28))/1000000</f>
        <v>10.895653999999999</v>
      </c>
      <c r="V230" s="57">
        <f>(1000*CHOOSE(CONTROL!$C$42, 500, 500)*CHOOSE(CONTROL!$C$42, 0.275, 0.275)*CHOOSE(CONTROL!$C$42, 28, 28))/1000000</f>
        <v>3.85</v>
      </c>
      <c r="W230" s="57">
        <f>(1000*CHOOSE(CONTROL!$C$42, 0.0916, 0.0916)*CHOOSE(CONTROL!$C$42, 121.5, 121.5)*CHOOSE(CONTROL!$C$42, 28, 28))/1000000</f>
        <v>0.31162319999999999</v>
      </c>
      <c r="X230" s="57">
        <f>(28*0.2374*100000/1000000)</f>
        <v>0.66471999999999998</v>
      </c>
      <c r="Y230" s="57"/>
      <c r="Z230" s="17"/>
      <c r="AA230" s="56"/>
      <c r="AB230" s="49">
        <f>(B230*122.58+C230*297.941+D230*89.177+E230*140.302+F230*40+G230*60+H230*0+I230*100+J230*300)/(122.58+297.941+89.177+140.302+0+40+60+100+300)</f>
        <v>11.340869392956522</v>
      </c>
      <c r="AC230" s="46">
        <f>(M230*'RAP TEMPLATE-GAS AVAILABILITY'!O229+N230*'RAP TEMPLATE-GAS AVAILABILITY'!P229+O230*'RAP TEMPLATE-GAS AVAILABILITY'!Q229+P230*'RAP TEMPLATE-GAS AVAILABILITY'!R229)/('RAP TEMPLATE-GAS AVAILABILITY'!O229+'RAP TEMPLATE-GAS AVAILABILITY'!P229+'RAP TEMPLATE-GAS AVAILABILITY'!Q229+'RAP TEMPLATE-GAS AVAILABILITY'!R229)</f>
        <v>11.284547482014387</v>
      </c>
    </row>
    <row r="231" spans="1:29" ht="15.75" x14ac:dyDescent="0.25">
      <c r="A231" s="16">
        <v>47908</v>
      </c>
      <c r="B231" s="17">
        <f>CHOOSE(CONTROL!$C$42, 10.9816, 10.9816) * CHOOSE(CONTROL!$C$21, $C$9, 100%, $E$9)</f>
        <v>10.9816</v>
      </c>
      <c r="C231" s="17">
        <f>CHOOSE(CONTROL!$C$42, 10.9867, 10.9867) * CHOOSE(CONTROL!$C$21, $C$9, 100%, $E$9)</f>
        <v>10.986700000000001</v>
      </c>
      <c r="D231" s="17">
        <f>CHOOSE(CONTROL!$C$42, 11.1042, 11.1042) * CHOOSE(CONTROL!$C$21, $C$9, 100%, $E$9)</f>
        <v>11.104200000000001</v>
      </c>
      <c r="E231" s="17">
        <f>CHOOSE(CONTROL!$C$42, 11.1379, 11.1379) * CHOOSE(CONTROL!$C$21, $C$9, 100%, $E$9)</f>
        <v>11.1379</v>
      </c>
      <c r="F231" s="17">
        <f>CHOOSE(CONTROL!$C$42, 10.9946, 10.9946)*CHOOSE(CONTROL!$C$21, $C$9, 100%, $E$9)</f>
        <v>10.9946</v>
      </c>
      <c r="G231" s="17">
        <f>CHOOSE(CONTROL!$C$42, 11.0108, 11.0108)*CHOOSE(CONTROL!$C$21, $C$9, 100%, $E$9)</f>
        <v>11.0108</v>
      </c>
      <c r="H231" s="17">
        <f>CHOOSE(CONTROL!$C$42, 11.1268, 11.1268) * CHOOSE(CONTROL!$C$21, $C$9, 100%, $E$9)</f>
        <v>11.126799999999999</v>
      </c>
      <c r="I231" s="17">
        <f>CHOOSE(CONTROL!$C$42, 11.0391, 11.0391)* CHOOSE(CONTROL!$C$21, $C$9, 100%, $E$9)</f>
        <v>11.039099999999999</v>
      </c>
      <c r="J231" s="17">
        <f>CHOOSE(CONTROL!$C$42, 10.9872, 10.9872)* CHOOSE(CONTROL!$C$21, $C$9, 100%, $E$9)</f>
        <v>10.9872</v>
      </c>
      <c r="K231" s="53">
        <f>CHOOSE(CONTROL!$C$42, 11.0331, 11.0331) * CHOOSE(CONTROL!$C$21, $C$9, 100%, $E$9)</f>
        <v>11.033099999999999</v>
      </c>
      <c r="L231" s="17">
        <f>CHOOSE(CONTROL!$C$42, 11.7138, 11.7138) * CHOOSE(CONTROL!$C$21, $C$9, 100%, $E$9)</f>
        <v>11.713800000000001</v>
      </c>
      <c r="M231" s="17">
        <f>CHOOSE(CONTROL!$C$42, 10.8954, 10.8954) * CHOOSE(CONTROL!$C$21, $C$9, 100%, $E$9)</f>
        <v>10.8954</v>
      </c>
      <c r="N231" s="17">
        <f>CHOOSE(CONTROL!$C$42, 10.9114, 10.9114) * CHOOSE(CONTROL!$C$21, $C$9, 100%, $E$9)</f>
        <v>10.9114</v>
      </c>
      <c r="O231" s="17">
        <f>CHOOSE(CONTROL!$C$42, 11.0338, 11.0338) * CHOOSE(CONTROL!$C$21, $C$9, 100%, $E$9)</f>
        <v>11.033799999999999</v>
      </c>
      <c r="P231" s="17">
        <f>CHOOSE(CONTROL!$C$42, 10.9466, 10.9466) * CHOOSE(CONTROL!$C$21, $C$9, 100%, $E$9)</f>
        <v>10.9466</v>
      </c>
      <c r="Q231" s="17">
        <f>CHOOSE(CONTROL!$C$42, 11.6285, 11.6285) * CHOOSE(CONTROL!$C$21, $C$9, 100%, $E$9)</f>
        <v>11.628500000000001</v>
      </c>
      <c r="R231" s="17">
        <f>CHOOSE(CONTROL!$C$42, 12.2445, 12.2445) * CHOOSE(CONTROL!$C$21, $C$9, 100%, $E$9)</f>
        <v>12.2445</v>
      </c>
      <c r="S231" s="17">
        <f>CHOOSE(CONTROL!$C$42, 10.6394, 10.6394) * CHOOSE(CONTROL!$C$21, $C$9, 100%, $E$9)</f>
        <v>10.6394</v>
      </c>
      <c r="T231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231" s="57">
        <f>(1000*CHOOSE(CONTROL!$C$42, 695, 695)*CHOOSE(CONTROL!$C$42, 0.5599, 0.5599)*CHOOSE(CONTROL!$C$42, 31, 31))/1000000</f>
        <v>12.063045499999998</v>
      </c>
      <c r="V231" s="57">
        <f>(1000*CHOOSE(CONTROL!$C$42, 500, 500)*CHOOSE(CONTROL!$C$42, 0.275, 0.275)*CHOOSE(CONTROL!$C$42, 31, 31))/1000000</f>
        <v>4.2625000000000002</v>
      </c>
      <c r="W231" s="57">
        <f>(1000*CHOOSE(CONTROL!$C$42, 0.0916, 0.0916)*CHOOSE(CONTROL!$C$42, 121.5, 121.5)*CHOOSE(CONTROL!$C$42, 31, 31))/1000000</f>
        <v>0.34501139999999997</v>
      </c>
      <c r="X231" s="57">
        <f>(31*0.2374*100000/1000000)</f>
        <v>0.73594000000000004</v>
      </c>
      <c r="Y231" s="57"/>
      <c r="Z231" s="17"/>
      <c r="AA231" s="56"/>
      <c r="AB231" s="49">
        <f>(B231*122.58+C231*297.941+D231*89.177+E231*140.302+F231*40+G231*60+H231*0+I231*100+J231*300)/(122.58+297.941+89.177+140.302+0+40+60+100+300)</f>
        <v>11.019933740782607</v>
      </c>
      <c r="AC231" s="46">
        <f>(M231*'RAP TEMPLATE-GAS AVAILABILITY'!O230+N231*'RAP TEMPLATE-GAS AVAILABILITY'!P230+O231*'RAP TEMPLATE-GAS AVAILABILITY'!Q230+P231*'RAP TEMPLATE-GAS AVAILABILITY'!R230)/('RAP TEMPLATE-GAS AVAILABILITY'!O230+'RAP TEMPLATE-GAS AVAILABILITY'!P230+'RAP TEMPLATE-GAS AVAILABILITY'!Q230+'RAP TEMPLATE-GAS AVAILABILITY'!R230)</f>
        <v>10.966415827338128</v>
      </c>
    </row>
    <row r="232" spans="1:29" ht="15.75" x14ac:dyDescent="0.25">
      <c r="A232" s="16">
        <v>47939</v>
      </c>
      <c r="B232" s="17">
        <f>CHOOSE(CONTROL!$C$42, 10.9498, 10.9498) * CHOOSE(CONTROL!$C$21, $C$9, 100%, $E$9)</f>
        <v>10.9498</v>
      </c>
      <c r="C232" s="17">
        <f>CHOOSE(CONTROL!$C$42, 10.9543, 10.9543) * CHOOSE(CONTROL!$C$21, $C$9, 100%, $E$9)</f>
        <v>10.9543</v>
      </c>
      <c r="D232" s="17">
        <f>CHOOSE(CONTROL!$C$42, 11.207, 11.207) * CHOOSE(CONTROL!$C$21, $C$9, 100%, $E$9)</f>
        <v>11.207000000000001</v>
      </c>
      <c r="E232" s="17">
        <f>CHOOSE(CONTROL!$C$42, 11.2388, 11.2388) * CHOOSE(CONTROL!$C$21, $C$9, 100%, $E$9)</f>
        <v>11.238799999999999</v>
      </c>
      <c r="F232" s="17">
        <f>CHOOSE(CONTROL!$C$42, 10.9558, 10.9558)*CHOOSE(CONTROL!$C$21, $C$9, 100%, $E$9)</f>
        <v>10.9558</v>
      </c>
      <c r="G232" s="17">
        <f>CHOOSE(CONTROL!$C$42, 10.9716, 10.9716)*CHOOSE(CONTROL!$C$21, $C$9, 100%, $E$9)</f>
        <v>10.9716</v>
      </c>
      <c r="H232" s="17">
        <f>CHOOSE(CONTROL!$C$42, 11.2283, 11.2283) * CHOOSE(CONTROL!$C$21, $C$9, 100%, $E$9)</f>
        <v>11.228300000000001</v>
      </c>
      <c r="I232" s="17">
        <f>CHOOSE(CONTROL!$C$42, 11.0054, 11.0054)* CHOOSE(CONTROL!$C$21, $C$9, 100%, $E$9)</f>
        <v>11.0054</v>
      </c>
      <c r="J232" s="17">
        <f>CHOOSE(CONTROL!$C$42, 10.9484, 10.9484)* CHOOSE(CONTROL!$C$21, $C$9, 100%, $E$9)</f>
        <v>10.948399999999999</v>
      </c>
      <c r="K232" s="53">
        <f>CHOOSE(CONTROL!$C$42, 10.9993, 10.9993) * CHOOSE(CONTROL!$C$21, $C$9, 100%, $E$9)</f>
        <v>10.9993</v>
      </c>
      <c r="L232" s="17">
        <f>CHOOSE(CONTROL!$C$42, 11.8153, 11.8153) * CHOOSE(CONTROL!$C$21, $C$9, 100%, $E$9)</f>
        <v>11.815300000000001</v>
      </c>
      <c r="M232" s="17">
        <f>CHOOSE(CONTROL!$C$42, 10.8569, 10.8569) * CHOOSE(CONTROL!$C$21, $C$9, 100%, $E$9)</f>
        <v>10.8569</v>
      </c>
      <c r="N232" s="17">
        <f>CHOOSE(CONTROL!$C$42, 10.8726, 10.8726) * CHOOSE(CONTROL!$C$21, $C$9, 100%, $E$9)</f>
        <v>10.8726</v>
      </c>
      <c r="O232" s="17">
        <f>CHOOSE(CONTROL!$C$42, 11.1343, 11.1343) * CHOOSE(CONTROL!$C$21, $C$9, 100%, $E$9)</f>
        <v>11.1343</v>
      </c>
      <c r="P232" s="17">
        <f>CHOOSE(CONTROL!$C$42, 10.9131, 10.9131) * CHOOSE(CONTROL!$C$21, $C$9, 100%, $E$9)</f>
        <v>10.9131</v>
      </c>
      <c r="Q232" s="17">
        <f>CHOOSE(CONTROL!$C$42, 11.729, 11.729) * CHOOSE(CONTROL!$C$21, $C$9, 100%, $E$9)</f>
        <v>11.728999999999999</v>
      </c>
      <c r="R232" s="17">
        <f>CHOOSE(CONTROL!$C$42, 12.3453, 12.3453) * CHOOSE(CONTROL!$C$21, $C$9, 100%, $E$9)</f>
        <v>12.3453</v>
      </c>
      <c r="S232" s="17">
        <f>CHOOSE(CONTROL!$C$42, 10.6078, 10.6078) * CHOOSE(CONTROL!$C$21, $C$9, 100%, $E$9)</f>
        <v>10.607799999999999</v>
      </c>
      <c r="T232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232" s="57">
        <f>(1000*CHOOSE(CONTROL!$C$42, 695, 695)*CHOOSE(CONTROL!$C$42, 0.5599, 0.5599)*CHOOSE(CONTROL!$C$42, 30, 30))/1000000</f>
        <v>11.673914999999997</v>
      </c>
      <c r="V232" s="57">
        <f>(1000*CHOOSE(CONTROL!$C$42, 500, 500)*CHOOSE(CONTROL!$C$42, 0.275, 0.275)*CHOOSE(CONTROL!$C$42, 30, 30))/1000000</f>
        <v>4.125</v>
      </c>
      <c r="W232" s="57">
        <f>(1000*CHOOSE(CONTROL!$C$42, 0.0916, 0.0916)*CHOOSE(CONTROL!$C$42, 121.5, 121.5)*CHOOSE(CONTROL!$C$42, 30, 30))/1000000</f>
        <v>0.33388200000000001</v>
      </c>
      <c r="X232" s="57">
        <f>(30*0.1790888*145000/1000000)+(30*0.2374*100000/1000000)</f>
        <v>1.4912362799999999</v>
      </c>
      <c r="Y232" s="57"/>
      <c r="Z232" s="17"/>
      <c r="AA232" s="56"/>
      <c r="AB232" s="49">
        <f>(B232*141.293+C232*267.993+D232*115.016+E232*189.698+F232*40+G232*85+H232*0+I232*100+J232*300)/(141.293+267.993+115.016+189.698+0+40+85+100+300)</f>
        <v>11.024734467877321</v>
      </c>
      <c r="AC232" s="46">
        <f>(M232*'RAP TEMPLATE-GAS AVAILABILITY'!O231+N232*'RAP TEMPLATE-GAS AVAILABILITY'!P231+O232*'RAP TEMPLATE-GAS AVAILABILITY'!Q231+P232*'RAP TEMPLATE-GAS AVAILABILITY'!R231)/('RAP TEMPLATE-GAS AVAILABILITY'!O231+'RAP TEMPLATE-GAS AVAILABILITY'!P231+'RAP TEMPLATE-GAS AVAILABILITY'!Q231+'RAP TEMPLATE-GAS AVAILABILITY'!R231)</f>
        <v>10.946432374100718</v>
      </c>
    </row>
    <row r="233" spans="1:29" ht="15.75" x14ac:dyDescent="0.25">
      <c r="A233" s="16">
        <v>47969</v>
      </c>
      <c r="B233" s="17">
        <f>CHOOSE(CONTROL!$C$42, 11.0477, 11.0477) * CHOOSE(CONTROL!$C$21, $C$9, 100%, $E$9)</f>
        <v>11.047700000000001</v>
      </c>
      <c r="C233" s="17">
        <f>CHOOSE(CONTROL!$C$42, 11.0557, 11.0557) * CHOOSE(CONTROL!$C$21, $C$9, 100%, $E$9)</f>
        <v>11.0557</v>
      </c>
      <c r="D233" s="17">
        <f>CHOOSE(CONTROL!$C$42, 11.3053, 11.3053) * CHOOSE(CONTROL!$C$21, $C$9, 100%, $E$9)</f>
        <v>11.305300000000001</v>
      </c>
      <c r="E233" s="17">
        <f>CHOOSE(CONTROL!$C$42, 11.3365, 11.3365) * CHOOSE(CONTROL!$C$21, $C$9, 100%, $E$9)</f>
        <v>11.336499999999999</v>
      </c>
      <c r="F233" s="17">
        <f>CHOOSE(CONTROL!$C$42, 11.0525, 11.0525)*CHOOSE(CONTROL!$C$21, $C$9, 100%, $E$9)</f>
        <v>11.0525</v>
      </c>
      <c r="G233" s="17">
        <f>CHOOSE(CONTROL!$C$42, 11.0687, 11.0687)*CHOOSE(CONTROL!$C$21, $C$9, 100%, $E$9)</f>
        <v>11.0687</v>
      </c>
      <c r="H233" s="17">
        <f>CHOOSE(CONTROL!$C$42, 11.3248, 11.3248) * CHOOSE(CONTROL!$C$21, $C$9, 100%, $E$9)</f>
        <v>11.3248</v>
      </c>
      <c r="I233" s="17">
        <f>CHOOSE(CONTROL!$C$42, 11.1022, 11.1022)* CHOOSE(CONTROL!$C$21, $C$9, 100%, $E$9)</f>
        <v>11.1022</v>
      </c>
      <c r="J233" s="17">
        <f>CHOOSE(CONTROL!$C$42, 11.0451, 11.0451)* CHOOSE(CONTROL!$C$21, $C$9, 100%, $E$9)</f>
        <v>11.0451</v>
      </c>
      <c r="K233" s="53">
        <f>CHOOSE(CONTROL!$C$42, 11.0962, 11.0962) * CHOOSE(CONTROL!$C$21, $C$9, 100%, $E$9)</f>
        <v>11.0962</v>
      </c>
      <c r="L233" s="17">
        <f>CHOOSE(CONTROL!$C$42, 11.9118, 11.9118) * CHOOSE(CONTROL!$C$21, $C$9, 100%, $E$9)</f>
        <v>11.911799999999999</v>
      </c>
      <c r="M233" s="17">
        <f>CHOOSE(CONTROL!$C$42, 10.9528, 10.9528) * CHOOSE(CONTROL!$C$21, $C$9, 100%, $E$9)</f>
        <v>10.9528</v>
      </c>
      <c r="N233" s="17">
        <f>CHOOSE(CONTROL!$C$42, 10.9688, 10.9688) * CHOOSE(CONTROL!$C$21, $C$9, 100%, $E$9)</f>
        <v>10.9688</v>
      </c>
      <c r="O233" s="17">
        <f>CHOOSE(CONTROL!$C$42, 11.23, 11.23) * CHOOSE(CONTROL!$C$21, $C$9, 100%, $E$9)</f>
        <v>11.23</v>
      </c>
      <c r="P233" s="17">
        <f>CHOOSE(CONTROL!$C$42, 11.0091, 11.0091) * CHOOSE(CONTROL!$C$21, $C$9, 100%, $E$9)</f>
        <v>11.0091</v>
      </c>
      <c r="Q233" s="17">
        <f>CHOOSE(CONTROL!$C$42, 11.8247, 11.8247) * CHOOSE(CONTROL!$C$21, $C$9, 100%, $E$9)</f>
        <v>11.8247</v>
      </c>
      <c r="R233" s="17">
        <f>CHOOSE(CONTROL!$C$42, 12.4412, 12.4412) * CHOOSE(CONTROL!$C$21, $C$9, 100%, $E$9)</f>
        <v>12.4412</v>
      </c>
      <c r="S233" s="17">
        <f>CHOOSE(CONTROL!$C$42, 10.7014, 10.7014) * CHOOSE(CONTROL!$C$21, $C$9, 100%, $E$9)</f>
        <v>10.7014</v>
      </c>
      <c r="T233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233" s="57">
        <f>(1000*CHOOSE(CONTROL!$C$42, 695, 695)*CHOOSE(CONTROL!$C$42, 0.5599, 0.5599)*CHOOSE(CONTROL!$C$42, 31, 31))/1000000</f>
        <v>12.063045499999998</v>
      </c>
      <c r="V233" s="57">
        <f>(1000*CHOOSE(CONTROL!$C$42, 500, 500)*CHOOSE(CONTROL!$C$42, 0.275, 0.275)*CHOOSE(CONTROL!$C$42, 31, 31))/1000000</f>
        <v>4.2625000000000002</v>
      </c>
      <c r="W233" s="57">
        <f>(1000*CHOOSE(CONTROL!$C$42, 0.0916, 0.0916)*CHOOSE(CONTROL!$C$42, 121.5, 121.5)*CHOOSE(CONTROL!$C$42, 31, 31))/1000000</f>
        <v>0.34501139999999997</v>
      </c>
      <c r="X233" s="57">
        <f>(31*0.1790888*145000/1000000)+(31*0.2374*100000/1000000)</f>
        <v>1.5409441560000001</v>
      </c>
      <c r="Y233" s="57"/>
      <c r="Z233" s="17"/>
      <c r="AA233" s="56"/>
      <c r="AB233" s="49">
        <f>(B233*194.205+C233*267.466+D233*133.845+E233*153.484+F233*40+G233*85+H233*0+I233*100+J233*300)/(194.205+267.466+133.845+153.484+0+40+85+100+300)</f>
        <v>11.116453044897961</v>
      </c>
      <c r="AC233" s="46">
        <f>(M233*'RAP TEMPLATE-GAS AVAILABILITY'!O232+N233*'RAP TEMPLATE-GAS AVAILABILITY'!P232+O233*'RAP TEMPLATE-GAS AVAILABILITY'!Q232+P233*'RAP TEMPLATE-GAS AVAILABILITY'!R232)/('RAP TEMPLATE-GAS AVAILABILITY'!O232+'RAP TEMPLATE-GAS AVAILABILITY'!P232+'RAP TEMPLATE-GAS AVAILABILITY'!Q232+'RAP TEMPLATE-GAS AVAILABILITY'!R232)</f>
        <v>11.042359712230217</v>
      </c>
    </row>
    <row r="234" spans="1:29" ht="15.75" x14ac:dyDescent="0.25">
      <c r="A234" s="16">
        <v>48000</v>
      </c>
      <c r="B234" s="17">
        <f>CHOOSE(CONTROL!$C$42, 11.3607, 11.3607) * CHOOSE(CONTROL!$C$21, $C$9, 100%, $E$9)</f>
        <v>11.3607</v>
      </c>
      <c r="C234" s="17">
        <f>CHOOSE(CONTROL!$C$42, 11.3687, 11.3687) * CHOOSE(CONTROL!$C$21, $C$9, 100%, $E$9)</f>
        <v>11.3687</v>
      </c>
      <c r="D234" s="17">
        <f>CHOOSE(CONTROL!$C$42, 11.6183, 11.6183) * CHOOSE(CONTROL!$C$21, $C$9, 100%, $E$9)</f>
        <v>11.6183</v>
      </c>
      <c r="E234" s="17">
        <f>CHOOSE(CONTROL!$C$42, 11.6495, 11.6495) * CHOOSE(CONTROL!$C$21, $C$9, 100%, $E$9)</f>
        <v>11.6495</v>
      </c>
      <c r="F234" s="17">
        <f>CHOOSE(CONTROL!$C$42, 11.3659, 11.3659)*CHOOSE(CONTROL!$C$21, $C$9, 100%, $E$9)</f>
        <v>11.3659</v>
      </c>
      <c r="G234" s="17">
        <f>CHOOSE(CONTROL!$C$42, 11.3821, 11.3821)*CHOOSE(CONTROL!$C$21, $C$9, 100%, $E$9)</f>
        <v>11.382099999999999</v>
      </c>
      <c r="H234" s="17">
        <f>CHOOSE(CONTROL!$C$42, 11.6378, 11.6378) * CHOOSE(CONTROL!$C$21, $C$9, 100%, $E$9)</f>
        <v>11.6378</v>
      </c>
      <c r="I234" s="17">
        <f>CHOOSE(CONTROL!$C$42, 11.4162, 11.4162)* CHOOSE(CONTROL!$C$21, $C$9, 100%, $E$9)</f>
        <v>11.4162</v>
      </c>
      <c r="J234" s="17">
        <f>CHOOSE(CONTROL!$C$42, 11.3585, 11.3585)* CHOOSE(CONTROL!$C$21, $C$9, 100%, $E$9)</f>
        <v>11.358499999999999</v>
      </c>
      <c r="K234" s="53">
        <f>CHOOSE(CONTROL!$C$42, 11.4102, 11.4102) * CHOOSE(CONTROL!$C$21, $C$9, 100%, $E$9)</f>
        <v>11.4102</v>
      </c>
      <c r="L234" s="17">
        <f>CHOOSE(CONTROL!$C$42, 12.2248, 12.2248) * CHOOSE(CONTROL!$C$21, $C$9, 100%, $E$9)</f>
        <v>12.2248</v>
      </c>
      <c r="M234" s="17">
        <f>CHOOSE(CONTROL!$C$42, 11.2634, 11.2634) * CHOOSE(CONTROL!$C$21, $C$9, 100%, $E$9)</f>
        <v>11.263400000000001</v>
      </c>
      <c r="N234" s="17">
        <f>CHOOSE(CONTROL!$C$42, 11.2794, 11.2794) * CHOOSE(CONTROL!$C$21, $C$9, 100%, $E$9)</f>
        <v>11.279400000000001</v>
      </c>
      <c r="O234" s="17">
        <f>CHOOSE(CONTROL!$C$42, 11.5402, 11.5402) * CHOOSE(CONTROL!$C$21, $C$9, 100%, $E$9)</f>
        <v>11.5402</v>
      </c>
      <c r="P234" s="17">
        <f>CHOOSE(CONTROL!$C$42, 11.3203, 11.3203) * CHOOSE(CONTROL!$C$21, $C$9, 100%, $E$9)</f>
        <v>11.3203</v>
      </c>
      <c r="Q234" s="17">
        <f>CHOOSE(CONTROL!$C$42, 12.1349, 12.1349) * CHOOSE(CONTROL!$C$21, $C$9, 100%, $E$9)</f>
        <v>12.1349</v>
      </c>
      <c r="R234" s="17">
        <f>CHOOSE(CONTROL!$C$42, 12.7522, 12.7522) * CHOOSE(CONTROL!$C$21, $C$9, 100%, $E$9)</f>
        <v>12.7522</v>
      </c>
      <c r="S234" s="17">
        <f>CHOOSE(CONTROL!$C$42, 11.0049, 11.0049) * CHOOSE(CONTROL!$C$21, $C$9, 100%, $E$9)</f>
        <v>11.004899999999999</v>
      </c>
      <c r="T234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234" s="57">
        <f>(1000*CHOOSE(CONTROL!$C$42, 695, 695)*CHOOSE(CONTROL!$C$42, 0.5599, 0.5599)*CHOOSE(CONTROL!$C$42, 30, 30))/1000000</f>
        <v>11.673914999999997</v>
      </c>
      <c r="V234" s="57">
        <f>(1000*CHOOSE(CONTROL!$C$42, 500, 500)*CHOOSE(CONTROL!$C$42, 0.275, 0.275)*CHOOSE(CONTROL!$C$42, 30, 30))/1000000</f>
        <v>4.125</v>
      </c>
      <c r="W234" s="57">
        <f>(1000*CHOOSE(CONTROL!$C$42, 0.0916, 0.0916)*CHOOSE(CONTROL!$C$42, 121.5, 121.5)*CHOOSE(CONTROL!$C$42, 30, 30))/1000000</f>
        <v>0.33388200000000001</v>
      </c>
      <c r="X234" s="57">
        <f>(30*0.1790888*145000/1000000)+(30*0.2374*100000/1000000)</f>
        <v>1.4912362799999999</v>
      </c>
      <c r="Y234" s="57"/>
      <c r="Z234" s="17"/>
      <c r="AA234" s="56"/>
      <c r="AB234" s="49">
        <f>(B234*194.205+C234*267.466+D234*133.845+E234*153.484+F234*40+G234*85+H234*0+I234*100+J234*300)/(194.205+267.466+133.845+153.484+0+40+85+100+300)</f>
        <v>11.429664975824176</v>
      </c>
      <c r="AC234" s="46">
        <f>(M234*'RAP TEMPLATE-GAS AVAILABILITY'!O233+N234*'RAP TEMPLATE-GAS AVAILABILITY'!P233+O234*'RAP TEMPLATE-GAS AVAILABILITY'!Q233+P234*'RAP TEMPLATE-GAS AVAILABILITY'!R233)/('RAP TEMPLATE-GAS AVAILABILITY'!O233+'RAP TEMPLATE-GAS AVAILABILITY'!P233+'RAP TEMPLATE-GAS AVAILABILITY'!Q233+'RAP TEMPLATE-GAS AVAILABILITY'!R233)</f>
        <v>11.35293381294964</v>
      </c>
    </row>
    <row r="235" spans="1:29" ht="15.75" x14ac:dyDescent="0.25">
      <c r="A235" s="16">
        <v>48030</v>
      </c>
      <c r="B235" s="17">
        <f>CHOOSE(CONTROL!$C$42, 11.143, 11.143) * CHOOSE(CONTROL!$C$21, $C$9, 100%, $E$9)</f>
        <v>11.143000000000001</v>
      </c>
      <c r="C235" s="17">
        <f>CHOOSE(CONTROL!$C$42, 11.151, 11.151) * CHOOSE(CONTROL!$C$21, $C$9, 100%, $E$9)</f>
        <v>11.151</v>
      </c>
      <c r="D235" s="17">
        <f>CHOOSE(CONTROL!$C$42, 11.4006, 11.4006) * CHOOSE(CONTROL!$C$21, $C$9, 100%, $E$9)</f>
        <v>11.400600000000001</v>
      </c>
      <c r="E235" s="17">
        <f>CHOOSE(CONTROL!$C$42, 11.4318, 11.4318) * CHOOSE(CONTROL!$C$21, $C$9, 100%, $E$9)</f>
        <v>11.431800000000001</v>
      </c>
      <c r="F235" s="17">
        <f>CHOOSE(CONTROL!$C$42, 11.1487, 11.1487)*CHOOSE(CONTROL!$C$21, $C$9, 100%, $E$9)</f>
        <v>11.1487</v>
      </c>
      <c r="G235" s="17">
        <f>CHOOSE(CONTROL!$C$42, 11.1651, 11.1651)*CHOOSE(CONTROL!$C$21, $C$9, 100%, $E$9)</f>
        <v>11.165100000000001</v>
      </c>
      <c r="H235" s="17">
        <f>CHOOSE(CONTROL!$C$42, 11.4201, 11.4201) * CHOOSE(CONTROL!$C$21, $C$9, 100%, $E$9)</f>
        <v>11.4201</v>
      </c>
      <c r="I235" s="17">
        <f>CHOOSE(CONTROL!$C$42, 11.1978, 11.1978)* CHOOSE(CONTROL!$C$21, $C$9, 100%, $E$9)</f>
        <v>11.197800000000001</v>
      </c>
      <c r="J235" s="17">
        <f>CHOOSE(CONTROL!$C$42, 11.1413, 11.1413)* CHOOSE(CONTROL!$C$21, $C$9, 100%, $E$9)</f>
        <v>11.141299999999999</v>
      </c>
      <c r="K235" s="53">
        <f>CHOOSE(CONTROL!$C$42, 11.1918, 11.1918) * CHOOSE(CONTROL!$C$21, $C$9, 100%, $E$9)</f>
        <v>11.191800000000001</v>
      </c>
      <c r="L235" s="17">
        <f>CHOOSE(CONTROL!$C$42, 12.0071, 12.0071) * CHOOSE(CONTROL!$C$21, $C$9, 100%, $E$9)</f>
        <v>12.007099999999999</v>
      </c>
      <c r="M235" s="17">
        <f>CHOOSE(CONTROL!$C$42, 11.0481, 11.0481) * CHOOSE(CONTROL!$C$21, $C$9, 100%, $E$9)</f>
        <v>11.0481</v>
      </c>
      <c r="N235" s="17">
        <f>CHOOSE(CONTROL!$C$42, 11.0643, 11.0643) * CHOOSE(CONTROL!$C$21, $C$9, 100%, $E$9)</f>
        <v>11.064299999999999</v>
      </c>
      <c r="O235" s="17">
        <f>CHOOSE(CONTROL!$C$42, 11.3244, 11.3244) * CHOOSE(CONTROL!$C$21, $C$9, 100%, $E$9)</f>
        <v>11.324400000000001</v>
      </c>
      <c r="P235" s="17">
        <f>CHOOSE(CONTROL!$C$42, 11.1039, 11.1039) * CHOOSE(CONTROL!$C$21, $C$9, 100%, $E$9)</f>
        <v>11.103899999999999</v>
      </c>
      <c r="Q235" s="17">
        <f>CHOOSE(CONTROL!$C$42, 11.9191, 11.9191) * CHOOSE(CONTROL!$C$21, $C$9, 100%, $E$9)</f>
        <v>11.9191</v>
      </c>
      <c r="R235" s="17">
        <f>CHOOSE(CONTROL!$C$42, 12.5359, 12.5359) * CHOOSE(CONTROL!$C$21, $C$9, 100%, $E$9)</f>
        <v>12.5359</v>
      </c>
      <c r="S235" s="17">
        <f>CHOOSE(CONTROL!$C$42, 10.7938, 10.7938) * CHOOSE(CONTROL!$C$21, $C$9, 100%, $E$9)</f>
        <v>10.793799999999999</v>
      </c>
      <c r="T235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235" s="57">
        <f>(1000*CHOOSE(CONTROL!$C$42, 695, 695)*CHOOSE(CONTROL!$C$42, 0.5599, 0.5599)*CHOOSE(CONTROL!$C$42, 31, 31))/1000000</f>
        <v>12.063045499999998</v>
      </c>
      <c r="V235" s="57">
        <f>(1000*CHOOSE(CONTROL!$C$42, 500, 500)*CHOOSE(CONTROL!$C$42, 0.275, 0.275)*CHOOSE(CONTROL!$C$42, 31, 31))/1000000</f>
        <v>4.2625000000000002</v>
      </c>
      <c r="W235" s="57">
        <f>(1000*CHOOSE(CONTROL!$C$42, 0.0916, 0.0916)*CHOOSE(CONTROL!$C$42, 121.5, 121.5)*CHOOSE(CONTROL!$C$42, 31, 31))/1000000</f>
        <v>0.34501139999999997</v>
      </c>
      <c r="X235" s="57">
        <f>(31*0.1790888*145000/1000000)+(31*0.2374*100000/1000000)</f>
        <v>1.5409441560000001</v>
      </c>
      <c r="Y235" s="57"/>
      <c r="Z235" s="17"/>
      <c r="AA235" s="56"/>
      <c r="AB235" s="49">
        <f>(B235*194.205+C235*267.466+D235*133.845+E235*153.484+F235*40+G235*85+H235*0+I235*100+J235*300)/(194.205+267.466+133.845+153.484+0+40+85+100+300)</f>
        <v>11.212090172056515</v>
      </c>
      <c r="AC235" s="46">
        <f>(M235*'RAP TEMPLATE-GAS AVAILABILITY'!O234+N235*'RAP TEMPLATE-GAS AVAILABILITY'!P234+O235*'RAP TEMPLATE-GAS AVAILABILITY'!Q234+P235*'RAP TEMPLATE-GAS AVAILABILITY'!R234)/('RAP TEMPLATE-GAS AVAILABILITY'!O234+'RAP TEMPLATE-GAS AVAILABILITY'!P234+'RAP TEMPLATE-GAS AVAILABILITY'!Q234+'RAP TEMPLATE-GAS AVAILABILITY'!R234)</f>
        <v>11.137381294964028</v>
      </c>
    </row>
    <row r="236" spans="1:29" ht="15.75" x14ac:dyDescent="0.25">
      <c r="A236" s="16">
        <v>48061</v>
      </c>
      <c r="B236" s="17">
        <f>CHOOSE(CONTROL!$C$42, 10.5932, 10.5932) * CHOOSE(CONTROL!$C$21, $C$9, 100%, $E$9)</f>
        <v>10.5932</v>
      </c>
      <c r="C236" s="17">
        <f>CHOOSE(CONTROL!$C$42, 10.6012, 10.6012) * CHOOSE(CONTROL!$C$21, $C$9, 100%, $E$9)</f>
        <v>10.6012</v>
      </c>
      <c r="D236" s="17">
        <f>CHOOSE(CONTROL!$C$42, 10.8508, 10.8508) * CHOOSE(CONTROL!$C$21, $C$9, 100%, $E$9)</f>
        <v>10.8508</v>
      </c>
      <c r="E236" s="17">
        <f>CHOOSE(CONTROL!$C$42, 10.882, 10.882) * CHOOSE(CONTROL!$C$21, $C$9, 100%, $E$9)</f>
        <v>10.882</v>
      </c>
      <c r="F236" s="17">
        <f>CHOOSE(CONTROL!$C$42, 10.5992, 10.5992)*CHOOSE(CONTROL!$C$21, $C$9, 100%, $E$9)</f>
        <v>10.5992</v>
      </c>
      <c r="G236" s="17">
        <f>CHOOSE(CONTROL!$C$42, 10.6156, 10.6156)*CHOOSE(CONTROL!$C$21, $C$9, 100%, $E$9)</f>
        <v>10.615600000000001</v>
      </c>
      <c r="H236" s="17">
        <f>CHOOSE(CONTROL!$C$42, 10.8703, 10.8703) * CHOOSE(CONTROL!$C$21, $C$9, 100%, $E$9)</f>
        <v>10.8703</v>
      </c>
      <c r="I236" s="17">
        <f>CHOOSE(CONTROL!$C$42, 10.6463, 10.6463)* CHOOSE(CONTROL!$C$21, $C$9, 100%, $E$9)</f>
        <v>10.6463</v>
      </c>
      <c r="J236" s="17">
        <f>CHOOSE(CONTROL!$C$42, 10.5918, 10.5918)* CHOOSE(CONTROL!$C$21, $C$9, 100%, $E$9)</f>
        <v>10.591799999999999</v>
      </c>
      <c r="K236" s="53">
        <f>CHOOSE(CONTROL!$C$42, 10.6403, 10.6403) * CHOOSE(CONTROL!$C$21, $C$9, 100%, $E$9)</f>
        <v>10.6403</v>
      </c>
      <c r="L236" s="17">
        <f>CHOOSE(CONTROL!$C$42, 11.4573, 11.4573) * CHOOSE(CONTROL!$C$21, $C$9, 100%, $E$9)</f>
        <v>11.4573</v>
      </c>
      <c r="M236" s="17">
        <f>CHOOSE(CONTROL!$C$42, 10.5035, 10.5035) * CHOOSE(CONTROL!$C$21, $C$9, 100%, $E$9)</f>
        <v>10.503500000000001</v>
      </c>
      <c r="N236" s="17">
        <f>CHOOSE(CONTROL!$C$42, 10.5198, 10.5198) * CHOOSE(CONTROL!$C$21, $C$9, 100%, $E$9)</f>
        <v>10.5198</v>
      </c>
      <c r="O236" s="17">
        <f>CHOOSE(CONTROL!$C$42, 10.7796, 10.7796) * CHOOSE(CONTROL!$C$21, $C$9, 100%, $E$9)</f>
        <v>10.7796</v>
      </c>
      <c r="P236" s="17">
        <f>CHOOSE(CONTROL!$C$42, 10.5573, 10.5573) * CHOOSE(CONTROL!$C$21, $C$9, 100%, $E$9)</f>
        <v>10.5573</v>
      </c>
      <c r="Q236" s="17">
        <f>CHOOSE(CONTROL!$C$42, 11.3743, 11.3743) * CHOOSE(CONTROL!$C$21, $C$9, 100%, $E$9)</f>
        <v>11.3743</v>
      </c>
      <c r="R236" s="17">
        <f>CHOOSE(CONTROL!$C$42, 11.9897, 11.9897) * CHOOSE(CONTROL!$C$21, $C$9, 100%, $E$9)</f>
        <v>11.989699999999999</v>
      </c>
      <c r="S236" s="17">
        <f>CHOOSE(CONTROL!$C$42, 10.2607, 10.2607) * CHOOSE(CONTROL!$C$21, $C$9, 100%, $E$9)</f>
        <v>10.2607</v>
      </c>
      <c r="T236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236" s="57">
        <f>(1000*CHOOSE(CONTROL!$C$42, 695, 695)*CHOOSE(CONTROL!$C$42, 0.5599, 0.5599)*CHOOSE(CONTROL!$C$42, 31, 31))/1000000</f>
        <v>12.063045499999998</v>
      </c>
      <c r="V236" s="57">
        <f>(1000*CHOOSE(CONTROL!$C$42, 500, 500)*CHOOSE(CONTROL!$C$42, 0.275, 0.275)*CHOOSE(CONTROL!$C$42, 31, 31))/1000000</f>
        <v>4.2625000000000002</v>
      </c>
      <c r="W236" s="57">
        <f>(1000*CHOOSE(CONTROL!$C$42, 0.0916, 0.0916)*CHOOSE(CONTROL!$C$42, 121.5, 121.5)*CHOOSE(CONTROL!$C$42, 31, 31))/1000000</f>
        <v>0.34501139999999997</v>
      </c>
      <c r="X236" s="57">
        <f>(31*0.1790888*145000/1000000)+(31*0.2374*100000/1000000)</f>
        <v>1.5409441560000001</v>
      </c>
      <c r="Y236" s="57"/>
      <c r="Z236" s="17"/>
      <c r="AA236" s="56"/>
      <c r="AB236" s="49">
        <f>(B236*194.205+C236*267.466+D236*133.845+E236*153.484+F236*40+G236*85+H236*0+I236*100+J236*300)/(194.205+267.466+133.845+153.484+0+40+85+100+300)</f>
        <v>10.662256812558873</v>
      </c>
      <c r="AC236" s="46">
        <f>(M236*'RAP TEMPLATE-GAS AVAILABILITY'!O235+N236*'RAP TEMPLATE-GAS AVAILABILITY'!P235+O236*'RAP TEMPLATE-GAS AVAILABILITY'!Q235+P236*'RAP TEMPLATE-GAS AVAILABILITY'!R235)/('RAP TEMPLATE-GAS AVAILABILITY'!O235+'RAP TEMPLATE-GAS AVAILABILITY'!P235+'RAP TEMPLATE-GAS AVAILABILITY'!Q235+'RAP TEMPLATE-GAS AVAILABILITY'!R235)</f>
        <v>10.592460431654677</v>
      </c>
    </row>
    <row r="237" spans="1:29" ht="15.75" x14ac:dyDescent="0.25">
      <c r="A237" s="16">
        <v>48092</v>
      </c>
      <c r="B237" s="17">
        <f>CHOOSE(CONTROL!$C$42, 9.9213, 9.9213) * CHOOSE(CONTROL!$C$21, $C$9, 100%, $E$9)</f>
        <v>9.9213000000000005</v>
      </c>
      <c r="C237" s="17">
        <f>CHOOSE(CONTROL!$C$42, 9.9293, 9.9293) * CHOOSE(CONTROL!$C$21, $C$9, 100%, $E$9)</f>
        <v>9.9292999999999996</v>
      </c>
      <c r="D237" s="17">
        <f>CHOOSE(CONTROL!$C$42, 10.1789, 10.1789) * CHOOSE(CONTROL!$C$21, $C$9, 100%, $E$9)</f>
        <v>10.178900000000001</v>
      </c>
      <c r="E237" s="17">
        <f>CHOOSE(CONTROL!$C$42, 10.2101, 10.2101) * CHOOSE(CONTROL!$C$21, $C$9, 100%, $E$9)</f>
        <v>10.210100000000001</v>
      </c>
      <c r="F237" s="17">
        <f>CHOOSE(CONTROL!$C$42, 9.9273, 9.9273)*CHOOSE(CONTROL!$C$21, $C$9, 100%, $E$9)</f>
        <v>9.9273000000000007</v>
      </c>
      <c r="G237" s="17">
        <f>CHOOSE(CONTROL!$C$42, 9.9437, 9.9437)*CHOOSE(CONTROL!$C$21, $C$9, 100%, $E$9)</f>
        <v>9.9436999999999998</v>
      </c>
      <c r="H237" s="17">
        <f>CHOOSE(CONTROL!$C$42, 10.1984, 10.1984) * CHOOSE(CONTROL!$C$21, $C$9, 100%, $E$9)</f>
        <v>10.198399999999999</v>
      </c>
      <c r="I237" s="17">
        <f>CHOOSE(CONTROL!$C$42, 9.9723, 9.9723)* CHOOSE(CONTROL!$C$21, $C$9, 100%, $E$9)</f>
        <v>9.9723000000000006</v>
      </c>
      <c r="J237" s="17">
        <f>CHOOSE(CONTROL!$C$42, 9.9199, 9.9199)* CHOOSE(CONTROL!$C$21, $C$9, 100%, $E$9)</f>
        <v>9.9199000000000002</v>
      </c>
      <c r="K237" s="53">
        <f>CHOOSE(CONTROL!$C$42, 9.9663, 9.9663) * CHOOSE(CONTROL!$C$21, $C$9, 100%, $E$9)</f>
        <v>9.9663000000000004</v>
      </c>
      <c r="L237" s="17">
        <f>CHOOSE(CONTROL!$C$42, 10.7854, 10.7854) * CHOOSE(CONTROL!$C$21, $C$9, 100%, $E$9)</f>
        <v>10.785399999999999</v>
      </c>
      <c r="M237" s="17">
        <f>CHOOSE(CONTROL!$C$42, 9.8377, 9.8377) * CHOOSE(CONTROL!$C$21, $C$9, 100%, $E$9)</f>
        <v>9.8376999999999999</v>
      </c>
      <c r="N237" s="17">
        <f>CHOOSE(CONTROL!$C$42, 9.854, 9.854) * CHOOSE(CONTROL!$C$21, $C$9, 100%, $E$9)</f>
        <v>9.8539999999999992</v>
      </c>
      <c r="O237" s="17">
        <f>CHOOSE(CONTROL!$C$42, 10.1137, 10.1137) * CHOOSE(CONTROL!$C$21, $C$9, 100%, $E$9)</f>
        <v>10.1137</v>
      </c>
      <c r="P237" s="17">
        <f>CHOOSE(CONTROL!$C$42, 9.8894, 9.8894) * CHOOSE(CONTROL!$C$21, $C$9, 100%, $E$9)</f>
        <v>9.8894000000000002</v>
      </c>
      <c r="Q237" s="17">
        <f>CHOOSE(CONTROL!$C$42, 10.7084, 10.7084) * CHOOSE(CONTROL!$C$21, $C$9, 100%, $E$9)</f>
        <v>10.708399999999999</v>
      </c>
      <c r="R237" s="17">
        <f>CHOOSE(CONTROL!$C$42, 11.3222, 11.3222) * CHOOSE(CONTROL!$C$21, $C$9, 100%, $E$9)</f>
        <v>11.3222</v>
      </c>
      <c r="S237" s="17">
        <f>CHOOSE(CONTROL!$C$42, 9.6091, 9.6091) * CHOOSE(CONTROL!$C$21, $C$9, 100%, $E$9)</f>
        <v>9.6090999999999998</v>
      </c>
      <c r="T237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237" s="57">
        <f>(1000*CHOOSE(CONTROL!$C$42, 695, 695)*CHOOSE(CONTROL!$C$42, 0.5599, 0.5599)*CHOOSE(CONTROL!$C$42, 30, 30))/1000000</f>
        <v>11.673914999999997</v>
      </c>
      <c r="V237" s="57">
        <f>(1000*CHOOSE(CONTROL!$C$42, 500, 500)*CHOOSE(CONTROL!$C$42, 0.275, 0.275)*CHOOSE(CONTROL!$C$42, 30, 30))/1000000</f>
        <v>4.125</v>
      </c>
      <c r="W237" s="57">
        <f>(1000*CHOOSE(CONTROL!$C$42, 0.0916, 0.0916)*CHOOSE(CONTROL!$C$42, 121.5, 121.5)*CHOOSE(CONTROL!$C$42, 30, 30))/1000000</f>
        <v>0.33388200000000001</v>
      </c>
      <c r="X237" s="57">
        <f>(30*0.1790888*145000/1000000)+(30*0.2374*100000/1000000)</f>
        <v>1.4912362799999999</v>
      </c>
      <c r="Y237" s="57"/>
      <c r="Z237" s="17"/>
      <c r="AA237" s="56"/>
      <c r="AB237" s="49">
        <f>(B237*194.205+C237*267.466+D237*133.845+E237*153.484+F237*40+G237*85+H237*0+I237*100+J237*300)/(194.205+267.466+133.845+153.484+0+40+85+100+300)</f>
        <v>9.9901919773940335</v>
      </c>
      <c r="AC237" s="46">
        <f>(M237*'RAP TEMPLATE-GAS AVAILABILITY'!O236+N237*'RAP TEMPLATE-GAS AVAILABILITY'!P236+O237*'RAP TEMPLATE-GAS AVAILABILITY'!Q236+P237*'RAP TEMPLATE-GAS AVAILABILITY'!R236)/('RAP TEMPLATE-GAS AVAILABILITY'!O236+'RAP TEMPLATE-GAS AVAILABILITY'!P236+'RAP TEMPLATE-GAS AVAILABILITY'!Q236+'RAP TEMPLATE-GAS AVAILABILITY'!R236)</f>
        <v>9.9263302158273365</v>
      </c>
    </row>
    <row r="238" spans="1:29" ht="15.75" x14ac:dyDescent="0.25">
      <c r="A238" s="16">
        <v>48122</v>
      </c>
      <c r="B238" s="17">
        <f>CHOOSE(CONTROL!$C$42, 9.7184, 9.7184) * CHOOSE(CONTROL!$C$21, $C$9, 100%, $E$9)</f>
        <v>9.7184000000000008</v>
      </c>
      <c r="C238" s="17">
        <f>CHOOSE(CONTROL!$C$42, 9.7237, 9.7237) * CHOOSE(CONTROL!$C$21, $C$9, 100%, $E$9)</f>
        <v>9.7236999999999991</v>
      </c>
      <c r="D238" s="17">
        <f>CHOOSE(CONTROL!$C$42, 9.9782, 9.9782) * CHOOSE(CONTROL!$C$21, $C$9, 100%, $E$9)</f>
        <v>9.9781999999999993</v>
      </c>
      <c r="E238" s="17">
        <f>CHOOSE(CONTROL!$C$42, 10.0071, 10.0071) * CHOOSE(CONTROL!$C$21, $C$9, 100%, $E$9)</f>
        <v>10.007099999999999</v>
      </c>
      <c r="F238" s="17">
        <f>CHOOSE(CONTROL!$C$42, 9.7266, 9.7266)*CHOOSE(CONTROL!$C$21, $C$9, 100%, $E$9)</f>
        <v>9.7265999999999995</v>
      </c>
      <c r="G238" s="17">
        <f>CHOOSE(CONTROL!$C$42, 9.7429, 9.7429)*CHOOSE(CONTROL!$C$21, $C$9, 100%, $E$9)</f>
        <v>9.7429000000000006</v>
      </c>
      <c r="H238" s="17">
        <f>CHOOSE(CONTROL!$C$42, 9.9972, 9.9972) * CHOOSE(CONTROL!$C$21, $C$9, 100%, $E$9)</f>
        <v>9.9971999999999994</v>
      </c>
      <c r="I238" s="17">
        <f>CHOOSE(CONTROL!$C$42, 9.7705, 9.7705)* CHOOSE(CONTROL!$C$21, $C$9, 100%, $E$9)</f>
        <v>9.7705000000000002</v>
      </c>
      <c r="J238" s="17">
        <f>CHOOSE(CONTROL!$C$42, 9.7192, 9.7192)* CHOOSE(CONTROL!$C$21, $C$9, 100%, $E$9)</f>
        <v>9.7192000000000007</v>
      </c>
      <c r="K238" s="53">
        <f>CHOOSE(CONTROL!$C$42, 9.7645, 9.7645) * CHOOSE(CONTROL!$C$21, $C$9, 100%, $E$9)</f>
        <v>9.7645</v>
      </c>
      <c r="L238" s="17">
        <f>CHOOSE(CONTROL!$C$42, 10.5842, 10.5842) * CHOOSE(CONTROL!$C$21, $C$9, 100%, $E$9)</f>
        <v>10.584199999999999</v>
      </c>
      <c r="M238" s="17">
        <f>CHOOSE(CONTROL!$C$42, 9.6388, 9.6388) * CHOOSE(CONTROL!$C$21, $C$9, 100%, $E$9)</f>
        <v>9.6387999999999998</v>
      </c>
      <c r="N238" s="17">
        <f>CHOOSE(CONTROL!$C$42, 9.655, 9.655) * CHOOSE(CONTROL!$C$21, $C$9, 100%, $E$9)</f>
        <v>9.6549999999999994</v>
      </c>
      <c r="O238" s="17">
        <f>CHOOSE(CONTROL!$C$42, 9.9143, 9.9143) * CHOOSE(CONTROL!$C$21, $C$9, 100%, $E$9)</f>
        <v>9.9143000000000008</v>
      </c>
      <c r="P238" s="17">
        <f>CHOOSE(CONTROL!$C$42, 9.6894, 9.6894) * CHOOSE(CONTROL!$C$21, $C$9, 100%, $E$9)</f>
        <v>9.6893999999999991</v>
      </c>
      <c r="Q238" s="17">
        <f>CHOOSE(CONTROL!$C$42, 10.509, 10.509) * CHOOSE(CONTROL!$C$21, $C$9, 100%, $E$9)</f>
        <v>10.509</v>
      </c>
      <c r="R238" s="17">
        <f>CHOOSE(CONTROL!$C$42, 11.1223, 11.1223) * CHOOSE(CONTROL!$C$21, $C$9, 100%, $E$9)</f>
        <v>11.122299999999999</v>
      </c>
      <c r="S238" s="17">
        <f>CHOOSE(CONTROL!$C$42, 9.414, 9.414) * CHOOSE(CONTROL!$C$21, $C$9, 100%, $E$9)</f>
        <v>9.4139999999999997</v>
      </c>
      <c r="T238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238" s="57">
        <f>(1000*CHOOSE(CONTROL!$C$42, 695, 695)*CHOOSE(CONTROL!$C$42, 0.5599, 0.5599)*CHOOSE(CONTROL!$C$42, 31, 31))/1000000</f>
        <v>12.063045499999998</v>
      </c>
      <c r="V238" s="57">
        <f>(1000*CHOOSE(CONTROL!$C$42, 500, 500)*CHOOSE(CONTROL!$C$42, 0.275, 0.275)*CHOOSE(CONTROL!$C$42, 31, 31))/1000000</f>
        <v>4.2625000000000002</v>
      </c>
      <c r="W238" s="57">
        <f>(1000*CHOOSE(CONTROL!$C$42, 0.0916, 0.0916)*CHOOSE(CONTROL!$C$42, 121.5, 121.5)*CHOOSE(CONTROL!$C$42, 31, 31))/1000000</f>
        <v>0.34501139999999997</v>
      </c>
      <c r="X238" s="57">
        <f>(31*0.1790888*145000/1000000)+(31*0.2374*100000/1000000)</f>
        <v>1.5409441560000001</v>
      </c>
      <c r="Y238" s="57"/>
      <c r="Z238" s="17"/>
      <c r="AA238" s="56"/>
      <c r="AB238" s="49">
        <f>(B238*131.881+C238*277.167+D238*79.08+E238*225.872+F238*40+G238*85+H238*0+I238*100+J238*300)/(131.881+277.167+79.08+225.872+0+40+85+100+300)</f>
        <v>9.7951423046811943</v>
      </c>
      <c r="AC238" s="46">
        <f>(M238*'RAP TEMPLATE-GAS AVAILABILITY'!O237+N238*'RAP TEMPLATE-GAS AVAILABILITY'!P237+O238*'RAP TEMPLATE-GAS AVAILABILITY'!Q237+P238*'RAP TEMPLATE-GAS AVAILABILITY'!R237)/('RAP TEMPLATE-GAS AVAILABILITY'!O237+'RAP TEMPLATE-GAS AVAILABILITY'!P237+'RAP TEMPLATE-GAS AVAILABILITY'!Q237+'RAP TEMPLATE-GAS AVAILABILITY'!R237)</f>
        <v>9.7271086330935237</v>
      </c>
    </row>
    <row r="239" spans="1:29" ht="15.75" x14ac:dyDescent="0.25">
      <c r="A239" s="16">
        <v>48153</v>
      </c>
      <c r="B239" s="17">
        <f>CHOOSE(CONTROL!$C$42, 9.9737, 9.9737) * CHOOSE(CONTROL!$C$21, $C$9, 100%, $E$9)</f>
        <v>9.9736999999999991</v>
      </c>
      <c r="C239" s="17">
        <f>CHOOSE(CONTROL!$C$42, 9.9788, 9.9788) * CHOOSE(CONTROL!$C$21, $C$9, 100%, $E$9)</f>
        <v>9.9787999999999997</v>
      </c>
      <c r="D239" s="17">
        <f>CHOOSE(CONTROL!$C$42, 10.1014, 10.1014) * CHOOSE(CONTROL!$C$21, $C$9, 100%, $E$9)</f>
        <v>10.1014</v>
      </c>
      <c r="E239" s="17">
        <f>CHOOSE(CONTROL!$C$42, 10.1352, 10.1352) * CHOOSE(CONTROL!$C$21, $C$9, 100%, $E$9)</f>
        <v>10.135199999999999</v>
      </c>
      <c r="F239" s="17">
        <f>CHOOSE(CONTROL!$C$42, 9.9887, 9.9887)*CHOOSE(CONTROL!$C$21, $C$9, 100%, $E$9)</f>
        <v>9.9886999999999997</v>
      </c>
      <c r="G239" s="17">
        <f>CHOOSE(CONTROL!$C$42, 10.0054, 10.0054)*CHOOSE(CONTROL!$C$21, $C$9, 100%, $E$9)</f>
        <v>10.0054</v>
      </c>
      <c r="H239" s="17">
        <f>CHOOSE(CONTROL!$C$42, 10.124, 10.124) * CHOOSE(CONTROL!$C$21, $C$9, 100%, $E$9)</f>
        <v>10.124000000000001</v>
      </c>
      <c r="I239" s="17">
        <f>CHOOSE(CONTROL!$C$42, 10.0296, 10.0296)* CHOOSE(CONTROL!$C$21, $C$9, 100%, $E$9)</f>
        <v>10.0296</v>
      </c>
      <c r="J239" s="17">
        <f>CHOOSE(CONTROL!$C$42, 9.9813, 9.9813)* CHOOSE(CONTROL!$C$21, $C$9, 100%, $E$9)</f>
        <v>9.9812999999999992</v>
      </c>
      <c r="K239" s="53">
        <f>CHOOSE(CONTROL!$C$42, 10.0236, 10.0236) * CHOOSE(CONTROL!$C$21, $C$9, 100%, $E$9)</f>
        <v>10.0236</v>
      </c>
      <c r="L239" s="17">
        <f>CHOOSE(CONTROL!$C$42, 10.711, 10.711) * CHOOSE(CONTROL!$C$21, $C$9, 100%, $E$9)</f>
        <v>10.711</v>
      </c>
      <c r="M239" s="17">
        <f>CHOOSE(CONTROL!$C$42, 9.8986, 9.8986) * CHOOSE(CONTROL!$C$21, $C$9, 100%, $E$9)</f>
        <v>9.8986000000000001</v>
      </c>
      <c r="N239" s="17">
        <f>CHOOSE(CONTROL!$C$42, 9.9151, 9.9151) * CHOOSE(CONTROL!$C$21, $C$9, 100%, $E$9)</f>
        <v>9.9151000000000007</v>
      </c>
      <c r="O239" s="17">
        <f>CHOOSE(CONTROL!$C$42, 10.04, 10.04) * CHOOSE(CONTROL!$C$21, $C$9, 100%, $E$9)</f>
        <v>10.039999999999999</v>
      </c>
      <c r="P239" s="17">
        <f>CHOOSE(CONTROL!$C$42, 9.9462, 9.9462) * CHOOSE(CONTROL!$C$21, $C$9, 100%, $E$9)</f>
        <v>9.9461999999999993</v>
      </c>
      <c r="Q239" s="17">
        <f>CHOOSE(CONTROL!$C$42, 10.6347, 10.6347) * CHOOSE(CONTROL!$C$21, $C$9, 100%, $E$9)</f>
        <v>10.6347</v>
      </c>
      <c r="R239" s="17">
        <f>CHOOSE(CONTROL!$C$42, 11.2483, 11.2483) * CHOOSE(CONTROL!$C$21, $C$9, 100%, $E$9)</f>
        <v>11.2483</v>
      </c>
      <c r="S239" s="17">
        <f>CHOOSE(CONTROL!$C$42, 9.662, 9.662) * CHOOSE(CONTROL!$C$21, $C$9, 100%, $E$9)</f>
        <v>9.6620000000000008</v>
      </c>
      <c r="T239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239" s="57">
        <f>(1000*CHOOSE(CONTROL!$C$42, 695, 695)*CHOOSE(CONTROL!$C$42, 0.5599, 0.5599)*CHOOSE(CONTROL!$C$42, 30, 30))/1000000</f>
        <v>11.673914999999997</v>
      </c>
      <c r="V239" s="57">
        <f>(1000*CHOOSE(CONTROL!$C$42, 500, 500)*CHOOSE(CONTROL!$C$42, 0.275, 0.275)*CHOOSE(CONTROL!$C$42, 30, 30))/1000000</f>
        <v>4.125</v>
      </c>
      <c r="W239" s="57">
        <f>(1000*CHOOSE(CONTROL!$C$42, 0.0916, 0.0916)*CHOOSE(CONTROL!$C$42, 121.5, 121.5)*CHOOSE(CONTROL!$C$42, 30, 30))/1000000</f>
        <v>0.33388200000000001</v>
      </c>
      <c r="X239" s="57">
        <f>(30*0.2374*100000/1000000)</f>
        <v>0.71220000000000006</v>
      </c>
      <c r="Y239" s="57"/>
      <c r="Z239" s="17"/>
      <c r="AA239" s="56"/>
      <c r="AB239" s="49">
        <f>(B239*122.58+C239*297.941+D239*89.177+E239*140.302+F239*40+G239*60+H239*0+I239*100+J239*300)/(122.58+297.941+89.177+140.302+0+40+60+100+300)</f>
        <v>10.013646239130432</v>
      </c>
      <c r="AC239" s="46">
        <f>(M239*'RAP TEMPLATE-GAS AVAILABILITY'!O238+N239*'RAP TEMPLATE-GAS AVAILABILITY'!P238+O239*'RAP TEMPLATE-GAS AVAILABILITY'!Q238+P239*'RAP TEMPLATE-GAS AVAILABILITY'!R238)/('RAP TEMPLATE-GAS AVAILABILITY'!O238+'RAP TEMPLATE-GAS AVAILABILITY'!P238+'RAP TEMPLATE-GAS AVAILABILITY'!Q238+'RAP TEMPLATE-GAS AVAILABILITY'!R238)</f>
        <v>9.9704863309352518</v>
      </c>
    </row>
    <row r="240" spans="1:29" ht="15.75" x14ac:dyDescent="0.25">
      <c r="A240" s="16">
        <v>48183</v>
      </c>
      <c r="B240" s="17">
        <f>CHOOSE(CONTROL!$C$42, 10.653, 10.653) * CHOOSE(CONTROL!$C$21, $C$9, 100%, $E$9)</f>
        <v>10.653</v>
      </c>
      <c r="C240" s="17">
        <f>CHOOSE(CONTROL!$C$42, 10.6581, 10.6581) * CHOOSE(CONTROL!$C$21, $C$9, 100%, $E$9)</f>
        <v>10.658099999999999</v>
      </c>
      <c r="D240" s="17">
        <f>CHOOSE(CONTROL!$C$42, 10.7807, 10.7807) * CHOOSE(CONTROL!$C$21, $C$9, 100%, $E$9)</f>
        <v>10.7807</v>
      </c>
      <c r="E240" s="17">
        <f>CHOOSE(CONTROL!$C$42, 10.8144, 10.8144) * CHOOSE(CONTROL!$C$21, $C$9, 100%, $E$9)</f>
        <v>10.814399999999999</v>
      </c>
      <c r="F240" s="17">
        <f>CHOOSE(CONTROL!$C$42, 10.6704, 10.6704)*CHOOSE(CONTROL!$C$21, $C$9, 100%, $E$9)</f>
        <v>10.670400000000001</v>
      </c>
      <c r="G240" s="17">
        <f>CHOOSE(CONTROL!$C$42, 10.6877, 10.6877)*CHOOSE(CONTROL!$C$21, $C$9, 100%, $E$9)</f>
        <v>10.6877</v>
      </c>
      <c r="H240" s="17">
        <f>CHOOSE(CONTROL!$C$42, 10.8033, 10.8033) * CHOOSE(CONTROL!$C$21, $C$9, 100%, $E$9)</f>
        <v>10.8033</v>
      </c>
      <c r="I240" s="17">
        <f>CHOOSE(CONTROL!$C$42, 10.711, 10.711)* CHOOSE(CONTROL!$C$21, $C$9, 100%, $E$9)</f>
        <v>10.711</v>
      </c>
      <c r="J240" s="17">
        <f>CHOOSE(CONTROL!$C$42, 10.663, 10.663)* CHOOSE(CONTROL!$C$21, $C$9, 100%, $E$9)</f>
        <v>10.663</v>
      </c>
      <c r="K240" s="53">
        <f>CHOOSE(CONTROL!$C$42, 10.705, 10.705) * CHOOSE(CONTROL!$C$21, $C$9, 100%, $E$9)</f>
        <v>10.705</v>
      </c>
      <c r="L240" s="17">
        <f>CHOOSE(CONTROL!$C$42, 11.3903, 11.3903) * CHOOSE(CONTROL!$C$21, $C$9, 100%, $E$9)</f>
        <v>11.3903</v>
      </c>
      <c r="M240" s="17">
        <f>CHOOSE(CONTROL!$C$42, 10.5741, 10.5741) * CHOOSE(CONTROL!$C$21, $C$9, 100%, $E$9)</f>
        <v>10.5741</v>
      </c>
      <c r="N240" s="17">
        <f>CHOOSE(CONTROL!$C$42, 10.5913, 10.5913) * CHOOSE(CONTROL!$C$21, $C$9, 100%, $E$9)</f>
        <v>10.5913</v>
      </c>
      <c r="O240" s="17">
        <f>CHOOSE(CONTROL!$C$42, 10.7132, 10.7132) * CHOOSE(CONTROL!$C$21, $C$9, 100%, $E$9)</f>
        <v>10.713200000000001</v>
      </c>
      <c r="P240" s="17">
        <f>CHOOSE(CONTROL!$C$42, 10.6214, 10.6214) * CHOOSE(CONTROL!$C$21, $C$9, 100%, $E$9)</f>
        <v>10.6214</v>
      </c>
      <c r="Q240" s="17">
        <f>CHOOSE(CONTROL!$C$42, 11.3079, 11.3079) * CHOOSE(CONTROL!$C$21, $C$9, 100%, $E$9)</f>
        <v>11.3079</v>
      </c>
      <c r="R240" s="17">
        <f>CHOOSE(CONTROL!$C$42, 11.9231, 11.9231) * CHOOSE(CONTROL!$C$21, $C$9, 100%, $E$9)</f>
        <v>11.9231</v>
      </c>
      <c r="S240" s="17">
        <f>CHOOSE(CONTROL!$C$42, 10.3207, 10.3207) * CHOOSE(CONTROL!$C$21, $C$9, 100%, $E$9)</f>
        <v>10.3207</v>
      </c>
      <c r="T240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240" s="57">
        <f>(1000*CHOOSE(CONTROL!$C$42, 695, 695)*CHOOSE(CONTROL!$C$42, 0.5599, 0.5599)*CHOOSE(CONTROL!$C$42, 31, 31))/1000000</f>
        <v>12.063045499999998</v>
      </c>
      <c r="V240" s="57">
        <f>(1000*CHOOSE(CONTROL!$C$42, 500, 500)*CHOOSE(CONTROL!$C$42, 0.275, 0.275)*CHOOSE(CONTROL!$C$42, 31, 31))/1000000</f>
        <v>4.2625000000000002</v>
      </c>
      <c r="W240" s="57">
        <f>(1000*CHOOSE(CONTROL!$C$42, 0.0916, 0.0916)*CHOOSE(CONTROL!$C$42, 121.5, 121.5)*CHOOSE(CONTROL!$C$42, 31, 31))/1000000</f>
        <v>0.34501139999999997</v>
      </c>
      <c r="X240" s="57">
        <f>(31*0.2374*100000/1000000)</f>
        <v>0.73594000000000004</v>
      </c>
      <c r="Y240" s="57"/>
      <c r="Z240" s="17"/>
      <c r="AA240" s="56"/>
      <c r="AB240" s="49">
        <f>(B240*122.58+C240*297.941+D240*89.177+E240*140.302+F240*40+G240*60+H240*0+I240*100+J240*300)/(122.58+297.941+89.177+140.302+0+40+60+100+300)</f>
        <v>10.693982734608694</v>
      </c>
      <c r="AC240" s="46">
        <f>(M240*'RAP TEMPLATE-GAS AVAILABILITY'!O239+N240*'RAP TEMPLATE-GAS AVAILABILITY'!P239+O240*'RAP TEMPLATE-GAS AVAILABILITY'!Q239+P240*'RAP TEMPLATE-GAS AVAILABILITY'!R239)/('RAP TEMPLATE-GAS AVAILABILITY'!O239+'RAP TEMPLATE-GAS AVAILABILITY'!P239+'RAP TEMPLATE-GAS AVAILABILITY'!Q239+'RAP TEMPLATE-GAS AVAILABILITY'!R239)</f>
        <v>10.644941007194245</v>
      </c>
    </row>
    <row r="241" spans="1:29" ht="15.75" x14ac:dyDescent="0.25">
      <c r="A241" s="16">
        <v>48214</v>
      </c>
      <c r="B241" s="17">
        <f>CHOOSE(CONTROL!$C$42, 11.5353, 11.5353) * CHOOSE(CONTROL!$C$21, $C$9, 100%, $E$9)</f>
        <v>11.535299999999999</v>
      </c>
      <c r="C241" s="17">
        <f>CHOOSE(CONTROL!$C$42, 11.5403, 11.5403) * CHOOSE(CONTROL!$C$21, $C$9, 100%, $E$9)</f>
        <v>11.5403</v>
      </c>
      <c r="D241" s="17">
        <f>CHOOSE(CONTROL!$C$42, 11.6578, 11.6578) * CHOOSE(CONTROL!$C$21, $C$9, 100%, $E$9)</f>
        <v>11.6578</v>
      </c>
      <c r="E241" s="17">
        <f>CHOOSE(CONTROL!$C$42, 11.6916, 11.6916) * CHOOSE(CONTROL!$C$21, $C$9, 100%, $E$9)</f>
        <v>11.691599999999999</v>
      </c>
      <c r="F241" s="17">
        <f>CHOOSE(CONTROL!$C$42, 11.5489, 11.5489)*CHOOSE(CONTROL!$C$21, $C$9, 100%, $E$9)</f>
        <v>11.5489</v>
      </c>
      <c r="G241" s="17">
        <f>CHOOSE(CONTROL!$C$42, 11.5652, 11.5652)*CHOOSE(CONTROL!$C$21, $C$9, 100%, $E$9)</f>
        <v>11.565200000000001</v>
      </c>
      <c r="H241" s="17">
        <f>CHOOSE(CONTROL!$C$42, 11.6804, 11.6804) * CHOOSE(CONTROL!$C$21, $C$9, 100%, $E$9)</f>
        <v>11.680400000000001</v>
      </c>
      <c r="I241" s="17">
        <f>CHOOSE(CONTROL!$C$42, 11.5945, 11.5945)* CHOOSE(CONTROL!$C$21, $C$9, 100%, $E$9)</f>
        <v>11.5945</v>
      </c>
      <c r="J241" s="17">
        <f>CHOOSE(CONTROL!$C$42, 11.5415, 11.5415)* CHOOSE(CONTROL!$C$21, $C$9, 100%, $E$9)</f>
        <v>11.541499999999999</v>
      </c>
      <c r="K241" s="53">
        <f>CHOOSE(CONTROL!$C$42, 11.5884, 11.5884) * CHOOSE(CONTROL!$C$21, $C$9, 100%, $E$9)</f>
        <v>11.5884</v>
      </c>
      <c r="L241" s="17">
        <f>CHOOSE(CONTROL!$C$42, 12.2674, 12.2674) * CHOOSE(CONTROL!$C$21, $C$9, 100%, $E$9)</f>
        <v>12.2674</v>
      </c>
      <c r="M241" s="17">
        <f>CHOOSE(CONTROL!$C$42, 11.4447, 11.4447) * CHOOSE(CONTROL!$C$21, $C$9, 100%, $E$9)</f>
        <v>11.444699999999999</v>
      </c>
      <c r="N241" s="17">
        <f>CHOOSE(CONTROL!$C$42, 11.4608, 11.4608) * CHOOSE(CONTROL!$C$21, $C$9, 100%, $E$9)</f>
        <v>11.460800000000001</v>
      </c>
      <c r="O241" s="17">
        <f>CHOOSE(CONTROL!$C$42, 11.5824, 11.5824) * CHOOSE(CONTROL!$C$21, $C$9, 100%, $E$9)</f>
        <v>11.5824</v>
      </c>
      <c r="P241" s="17">
        <f>CHOOSE(CONTROL!$C$42, 11.4969, 11.4969) * CHOOSE(CONTROL!$C$21, $C$9, 100%, $E$9)</f>
        <v>11.4969</v>
      </c>
      <c r="Q241" s="17">
        <f>CHOOSE(CONTROL!$C$42, 12.1771, 12.1771) * CHOOSE(CONTROL!$C$21, $C$9, 100%, $E$9)</f>
        <v>12.177099999999999</v>
      </c>
      <c r="R241" s="17">
        <f>CHOOSE(CONTROL!$C$42, 12.7945, 12.7945) * CHOOSE(CONTROL!$C$21, $C$9, 100%, $E$9)</f>
        <v>12.794499999999999</v>
      </c>
      <c r="S241" s="17">
        <f>CHOOSE(CONTROL!$C$42, 11.1762, 11.1762) * CHOOSE(CONTROL!$C$21, $C$9, 100%, $E$9)</f>
        <v>11.1762</v>
      </c>
      <c r="T241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241" s="57">
        <f>(1000*CHOOSE(CONTROL!$C$42, 695, 695)*CHOOSE(CONTROL!$C$42, 0.5599, 0.5599)*CHOOSE(CONTROL!$C$42, 31, 31))/1000000</f>
        <v>12.063045499999998</v>
      </c>
      <c r="V241" s="57">
        <f>(1000*CHOOSE(CONTROL!$C$42, 500, 500)*CHOOSE(CONTROL!$C$42, 0.275, 0.275)*CHOOSE(CONTROL!$C$42, 31, 31))/1000000</f>
        <v>4.2625000000000002</v>
      </c>
      <c r="W241" s="57">
        <f>(1000*CHOOSE(CONTROL!$C$42, 0.0916, 0.0916)*CHOOSE(CONTROL!$C$42, 121.5, 121.5)*CHOOSE(CONTROL!$C$42, 31, 31))/1000000</f>
        <v>0.34501139999999997</v>
      </c>
      <c r="X241" s="57">
        <f>(31*0.2374*100000/1000000)</f>
        <v>0.73594000000000004</v>
      </c>
      <c r="Y241" s="57"/>
      <c r="Z241" s="17"/>
      <c r="AA241" s="56"/>
      <c r="AB241" s="49">
        <f>(B241*122.58+C241*297.941+D241*89.177+E241*140.302+F241*40+G241*60+H241*0+I241*100+J241*300)/(122.58+297.941+89.177+140.302+0+40+60+100+300)</f>
        <v>11.57396181747826</v>
      </c>
      <c r="AC241" s="46">
        <f>(M241*'RAP TEMPLATE-GAS AVAILABILITY'!O240+N241*'RAP TEMPLATE-GAS AVAILABILITY'!P240+O241*'RAP TEMPLATE-GAS AVAILABILITY'!Q240+P241*'RAP TEMPLATE-GAS AVAILABILITY'!R240)/('RAP TEMPLATE-GAS AVAILABILITY'!O240+'RAP TEMPLATE-GAS AVAILABILITY'!P240+'RAP TEMPLATE-GAS AVAILABILITY'!Q240+'RAP TEMPLATE-GAS AVAILABILITY'!R240)</f>
        <v>11.51554820143885</v>
      </c>
    </row>
    <row r="242" spans="1:29" ht="15.75" x14ac:dyDescent="0.25">
      <c r="A242" s="16">
        <v>48245</v>
      </c>
      <c r="B242" s="17">
        <f>CHOOSE(CONTROL!$C$42, 11.7404, 11.7404) * CHOOSE(CONTROL!$C$21, $C$9, 100%, $E$9)</f>
        <v>11.740399999999999</v>
      </c>
      <c r="C242" s="17">
        <f>CHOOSE(CONTROL!$C$42, 11.7455, 11.7455) * CHOOSE(CONTROL!$C$21, $C$9, 100%, $E$9)</f>
        <v>11.7455</v>
      </c>
      <c r="D242" s="17">
        <f>CHOOSE(CONTROL!$C$42, 11.863, 11.863) * CHOOSE(CONTROL!$C$21, $C$9, 100%, $E$9)</f>
        <v>11.863</v>
      </c>
      <c r="E242" s="17">
        <f>CHOOSE(CONTROL!$C$42, 11.8967, 11.8967) * CHOOSE(CONTROL!$C$21, $C$9, 100%, $E$9)</f>
        <v>11.896699999999999</v>
      </c>
      <c r="F242" s="17">
        <f>CHOOSE(CONTROL!$C$42, 11.7541, 11.7541)*CHOOSE(CONTROL!$C$21, $C$9, 100%, $E$9)</f>
        <v>11.754099999999999</v>
      </c>
      <c r="G242" s="17">
        <f>CHOOSE(CONTROL!$C$42, 11.7704, 11.7704)*CHOOSE(CONTROL!$C$21, $C$9, 100%, $E$9)</f>
        <v>11.7704</v>
      </c>
      <c r="H242" s="17">
        <f>CHOOSE(CONTROL!$C$42, 11.8856, 11.8856) * CHOOSE(CONTROL!$C$21, $C$9, 100%, $E$9)</f>
        <v>11.8856</v>
      </c>
      <c r="I242" s="17">
        <f>CHOOSE(CONTROL!$C$42, 11.8002, 11.8002)* CHOOSE(CONTROL!$C$21, $C$9, 100%, $E$9)</f>
        <v>11.8002</v>
      </c>
      <c r="J242" s="17">
        <f>CHOOSE(CONTROL!$C$42, 11.7467, 11.7467)* CHOOSE(CONTROL!$C$21, $C$9, 100%, $E$9)</f>
        <v>11.746700000000001</v>
      </c>
      <c r="K242" s="53">
        <f>CHOOSE(CONTROL!$C$42, 11.7942, 11.7942) * CHOOSE(CONTROL!$C$21, $C$9, 100%, $E$9)</f>
        <v>11.7942</v>
      </c>
      <c r="L242" s="17">
        <f>CHOOSE(CONTROL!$C$42, 12.4726, 12.4726) * CHOOSE(CONTROL!$C$21, $C$9, 100%, $E$9)</f>
        <v>12.4726</v>
      </c>
      <c r="M242" s="17">
        <f>CHOOSE(CONTROL!$C$42, 11.648, 11.648) * CHOOSE(CONTROL!$C$21, $C$9, 100%, $E$9)</f>
        <v>11.648</v>
      </c>
      <c r="N242" s="17">
        <f>CHOOSE(CONTROL!$C$42, 11.6642, 11.6642) * CHOOSE(CONTROL!$C$21, $C$9, 100%, $E$9)</f>
        <v>11.664199999999999</v>
      </c>
      <c r="O242" s="17">
        <f>CHOOSE(CONTROL!$C$42, 11.7857, 11.7857) * CHOOSE(CONTROL!$C$21, $C$9, 100%, $E$9)</f>
        <v>11.7857</v>
      </c>
      <c r="P242" s="17">
        <f>CHOOSE(CONTROL!$C$42, 11.7009, 11.7009) * CHOOSE(CONTROL!$C$21, $C$9, 100%, $E$9)</f>
        <v>11.700900000000001</v>
      </c>
      <c r="Q242" s="17">
        <f>CHOOSE(CONTROL!$C$42, 12.3804, 12.3804) * CHOOSE(CONTROL!$C$21, $C$9, 100%, $E$9)</f>
        <v>12.3804</v>
      </c>
      <c r="R242" s="17">
        <f>CHOOSE(CONTROL!$C$42, 12.9984, 12.9984) * CHOOSE(CONTROL!$C$21, $C$9, 100%, $E$9)</f>
        <v>12.9984</v>
      </c>
      <c r="S242" s="17">
        <f>CHOOSE(CONTROL!$C$42, 11.3752, 11.3752) * CHOOSE(CONTROL!$C$21, $C$9, 100%, $E$9)</f>
        <v>11.3752</v>
      </c>
      <c r="T242" s="57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242" s="57">
        <f>(1000*CHOOSE(CONTROL!$C$42, 695, 695)*CHOOSE(CONTROL!$C$42, 0.5599, 0.5599)*CHOOSE(CONTROL!$C$42, 29, 29))/1000000</f>
        <v>11.284784499999999</v>
      </c>
      <c r="V242" s="57">
        <f>(1000*CHOOSE(CONTROL!$C$42, 500, 500)*CHOOSE(CONTROL!$C$42, 0.275, 0.275)*CHOOSE(CONTROL!$C$42, 29, 29))/1000000</f>
        <v>3.9874999999999998</v>
      </c>
      <c r="W242" s="57">
        <f>(1000*CHOOSE(CONTROL!$C$42, 0.0916, 0.0916)*CHOOSE(CONTROL!$C$42, 121.5, 121.5)*CHOOSE(CONTROL!$C$42, 29, 29))/1000000</f>
        <v>0.3227526</v>
      </c>
      <c r="X242" s="57">
        <f>(29*0.2374*100000/1000000)</f>
        <v>0.68845999999999996</v>
      </c>
      <c r="Y242" s="57"/>
      <c r="Z242" s="17"/>
      <c r="AA242" s="56"/>
      <c r="AB242" s="49">
        <f>(B242*122.58+C242*297.941+D242*89.177+E242*140.302+F242*40+G242*60+H242*0+I242*100+J242*300)/(122.58+297.941+89.177+140.302+0+40+60+100+300)</f>
        <v>11.779182436434782</v>
      </c>
      <c r="AC242" s="46">
        <f>(M242*'RAP TEMPLATE-GAS AVAILABILITY'!O241+N242*'RAP TEMPLATE-GAS AVAILABILITY'!P241+O242*'RAP TEMPLATE-GAS AVAILABILITY'!Q241+P242*'RAP TEMPLATE-GAS AVAILABILITY'!R241)/('RAP TEMPLATE-GAS AVAILABILITY'!O241+'RAP TEMPLATE-GAS AVAILABILITY'!P241+'RAP TEMPLATE-GAS AVAILABILITY'!Q241+'RAP TEMPLATE-GAS AVAILABILITY'!R241)</f>
        <v>11.718954676258992</v>
      </c>
    </row>
    <row r="243" spans="1:29" ht="15.75" x14ac:dyDescent="0.25">
      <c r="A243" s="16">
        <v>48274</v>
      </c>
      <c r="B243" s="17">
        <f>CHOOSE(CONTROL!$C$42, 11.4074, 11.4074) * CHOOSE(CONTROL!$C$21, $C$9, 100%, $E$9)</f>
        <v>11.407400000000001</v>
      </c>
      <c r="C243" s="17">
        <f>CHOOSE(CONTROL!$C$42, 11.4125, 11.4125) * CHOOSE(CONTROL!$C$21, $C$9, 100%, $E$9)</f>
        <v>11.4125</v>
      </c>
      <c r="D243" s="17">
        <f>CHOOSE(CONTROL!$C$42, 11.5299, 11.5299) * CHOOSE(CONTROL!$C$21, $C$9, 100%, $E$9)</f>
        <v>11.5299</v>
      </c>
      <c r="E243" s="17">
        <f>CHOOSE(CONTROL!$C$42, 11.5637, 11.5637) * CHOOSE(CONTROL!$C$21, $C$9, 100%, $E$9)</f>
        <v>11.563700000000001</v>
      </c>
      <c r="F243" s="17">
        <f>CHOOSE(CONTROL!$C$42, 11.4204, 11.4204)*CHOOSE(CONTROL!$C$21, $C$9, 100%, $E$9)</f>
        <v>11.420400000000001</v>
      </c>
      <c r="G243" s="17">
        <f>CHOOSE(CONTROL!$C$42, 11.4365, 11.4365)*CHOOSE(CONTROL!$C$21, $C$9, 100%, $E$9)</f>
        <v>11.436500000000001</v>
      </c>
      <c r="H243" s="17">
        <f>CHOOSE(CONTROL!$C$42, 11.5526, 11.5526) * CHOOSE(CONTROL!$C$21, $C$9, 100%, $E$9)</f>
        <v>11.5526</v>
      </c>
      <c r="I243" s="17">
        <f>CHOOSE(CONTROL!$C$42, 11.4662, 11.4662)* CHOOSE(CONTROL!$C$21, $C$9, 100%, $E$9)</f>
        <v>11.466200000000001</v>
      </c>
      <c r="J243" s="17">
        <f>CHOOSE(CONTROL!$C$42, 11.413, 11.413)* CHOOSE(CONTROL!$C$21, $C$9, 100%, $E$9)</f>
        <v>11.413</v>
      </c>
      <c r="K243" s="53">
        <f>CHOOSE(CONTROL!$C$42, 11.4602, 11.4602) * CHOOSE(CONTROL!$C$21, $C$9, 100%, $E$9)</f>
        <v>11.4602</v>
      </c>
      <c r="L243" s="17">
        <f>CHOOSE(CONTROL!$C$42, 12.1396, 12.1396) * CHOOSE(CONTROL!$C$21, $C$9, 100%, $E$9)</f>
        <v>12.1396</v>
      </c>
      <c r="M243" s="17">
        <f>CHOOSE(CONTROL!$C$42, 11.3174, 11.3174) * CHOOSE(CONTROL!$C$21, $C$9, 100%, $E$9)</f>
        <v>11.317399999999999</v>
      </c>
      <c r="N243" s="17">
        <f>CHOOSE(CONTROL!$C$42, 11.3333, 11.3333) * CHOOSE(CONTROL!$C$21, $C$9, 100%, $E$9)</f>
        <v>11.333299999999999</v>
      </c>
      <c r="O243" s="17">
        <f>CHOOSE(CONTROL!$C$42, 11.4557, 11.4557) * CHOOSE(CONTROL!$C$21, $C$9, 100%, $E$9)</f>
        <v>11.4557</v>
      </c>
      <c r="P243" s="17">
        <f>CHOOSE(CONTROL!$C$42, 11.3698, 11.3698) * CHOOSE(CONTROL!$C$21, $C$9, 100%, $E$9)</f>
        <v>11.3698</v>
      </c>
      <c r="Q243" s="17">
        <f>CHOOSE(CONTROL!$C$42, 12.0504, 12.0504) * CHOOSE(CONTROL!$C$21, $C$9, 100%, $E$9)</f>
        <v>12.0504</v>
      </c>
      <c r="R243" s="17">
        <f>CHOOSE(CONTROL!$C$42, 12.6675, 12.6675) * CHOOSE(CONTROL!$C$21, $C$9, 100%, $E$9)</f>
        <v>12.6675</v>
      </c>
      <c r="S243" s="17">
        <f>CHOOSE(CONTROL!$C$42, 11.0522, 11.0522) * CHOOSE(CONTROL!$C$21, $C$9, 100%, $E$9)</f>
        <v>11.052199999999999</v>
      </c>
      <c r="T243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243" s="57">
        <f>(1000*CHOOSE(CONTROL!$C$42, 695, 695)*CHOOSE(CONTROL!$C$42, 0.5599, 0.5599)*CHOOSE(CONTROL!$C$42, 31, 31))/1000000</f>
        <v>12.063045499999998</v>
      </c>
      <c r="V243" s="57">
        <f>(1000*CHOOSE(CONTROL!$C$42, 500, 500)*CHOOSE(CONTROL!$C$42, 0.275, 0.275)*CHOOSE(CONTROL!$C$42, 31, 31))/1000000</f>
        <v>4.2625000000000002</v>
      </c>
      <c r="W243" s="57">
        <f>(1000*CHOOSE(CONTROL!$C$42, 0.0916, 0.0916)*CHOOSE(CONTROL!$C$42, 121.5, 121.5)*CHOOSE(CONTROL!$C$42, 31, 31))/1000000</f>
        <v>0.34501139999999997</v>
      </c>
      <c r="X243" s="57">
        <f>(31*0.2374*100000/1000000)</f>
        <v>0.73594000000000004</v>
      </c>
      <c r="Y243" s="57"/>
      <c r="Z243" s="17"/>
      <c r="AA243" s="56"/>
      <c r="AB243" s="49">
        <f>(B243*122.58+C243*297.941+D243*89.177+E243*140.302+F243*40+G243*60+H243*0+I243*100+J243*300)/(122.58+297.941+89.177+140.302+0+40+60+100+300)</f>
        <v>11.445833812347825</v>
      </c>
      <c r="AC243" s="46">
        <f>(M243*'RAP TEMPLATE-GAS AVAILABILITY'!O242+N243*'RAP TEMPLATE-GAS AVAILABILITY'!P242+O243*'RAP TEMPLATE-GAS AVAILABILITY'!Q242+P243*'RAP TEMPLATE-GAS AVAILABILITY'!R242)/('RAP TEMPLATE-GAS AVAILABILITY'!O242+'RAP TEMPLATE-GAS AVAILABILITY'!P242+'RAP TEMPLATE-GAS AVAILABILITY'!Q242+'RAP TEMPLATE-GAS AVAILABILITY'!R242)</f>
        <v>11.388537410071942</v>
      </c>
    </row>
    <row r="244" spans="1:29" ht="15.75" x14ac:dyDescent="0.25">
      <c r="A244" s="16">
        <v>48305</v>
      </c>
      <c r="B244" s="17">
        <f>CHOOSE(CONTROL!$C$42, 11.3743, 11.3743) * CHOOSE(CONTROL!$C$21, $C$9, 100%, $E$9)</f>
        <v>11.3743</v>
      </c>
      <c r="C244" s="17">
        <f>CHOOSE(CONTROL!$C$42, 11.3788, 11.3788) * CHOOSE(CONTROL!$C$21, $C$9, 100%, $E$9)</f>
        <v>11.3788</v>
      </c>
      <c r="D244" s="17">
        <f>CHOOSE(CONTROL!$C$42, 11.6315, 11.6315) * CHOOSE(CONTROL!$C$21, $C$9, 100%, $E$9)</f>
        <v>11.631500000000001</v>
      </c>
      <c r="E244" s="17">
        <f>CHOOSE(CONTROL!$C$42, 11.6633, 11.6633) * CHOOSE(CONTROL!$C$21, $C$9, 100%, $E$9)</f>
        <v>11.6633</v>
      </c>
      <c r="F244" s="17">
        <f>CHOOSE(CONTROL!$C$42, 11.3802, 11.3802)*CHOOSE(CONTROL!$C$21, $C$9, 100%, $E$9)</f>
        <v>11.3802</v>
      </c>
      <c r="G244" s="17">
        <f>CHOOSE(CONTROL!$C$42, 11.3961, 11.3961)*CHOOSE(CONTROL!$C$21, $C$9, 100%, $E$9)</f>
        <v>11.396100000000001</v>
      </c>
      <c r="H244" s="17">
        <f>CHOOSE(CONTROL!$C$42, 11.6527, 11.6527) * CHOOSE(CONTROL!$C$21, $C$9, 100%, $E$9)</f>
        <v>11.652699999999999</v>
      </c>
      <c r="I244" s="17">
        <f>CHOOSE(CONTROL!$C$42, 11.4312, 11.4312)* CHOOSE(CONTROL!$C$21, $C$9, 100%, $E$9)</f>
        <v>11.4312</v>
      </c>
      <c r="J244" s="17">
        <f>CHOOSE(CONTROL!$C$42, 11.3728, 11.3728)* CHOOSE(CONTROL!$C$21, $C$9, 100%, $E$9)</f>
        <v>11.3728</v>
      </c>
      <c r="K244" s="53">
        <f>CHOOSE(CONTROL!$C$42, 11.4251, 11.4251) * CHOOSE(CONTROL!$C$21, $C$9, 100%, $E$9)</f>
        <v>11.4251</v>
      </c>
      <c r="L244" s="17">
        <f>CHOOSE(CONTROL!$C$42, 12.2397, 12.2397) * CHOOSE(CONTROL!$C$21, $C$9, 100%, $E$9)</f>
        <v>12.239699999999999</v>
      </c>
      <c r="M244" s="17">
        <f>CHOOSE(CONTROL!$C$42, 11.2776, 11.2776) * CHOOSE(CONTROL!$C$21, $C$9, 100%, $E$9)</f>
        <v>11.2776</v>
      </c>
      <c r="N244" s="17">
        <f>CHOOSE(CONTROL!$C$42, 11.2933, 11.2933) * CHOOSE(CONTROL!$C$21, $C$9, 100%, $E$9)</f>
        <v>11.2933</v>
      </c>
      <c r="O244" s="17">
        <f>CHOOSE(CONTROL!$C$42, 11.5549, 11.5549) * CHOOSE(CONTROL!$C$21, $C$9, 100%, $E$9)</f>
        <v>11.5549</v>
      </c>
      <c r="P244" s="17">
        <f>CHOOSE(CONTROL!$C$42, 11.3351, 11.3351) * CHOOSE(CONTROL!$C$21, $C$9, 100%, $E$9)</f>
        <v>11.335100000000001</v>
      </c>
      <c r="Q244" s="17">
        <f>CHOOSE(CONTROL!$C$42, 12.1496, 12.1496) * CHOOSE(CONTROL!$C$21, $C$9, 100%, $E$9)</f>
        <v>12.1496</v>
      </c>
      <c r="R244" s="17">
        <f>CHOOSE(CONTROL!$C$42, 12.767, 12.767) * CHOOSE(CONTROL!$C$21, $C$9, 100%, $E$9)</f>
        <v>12.766999999999999</v>
      </c>
      <c r="S244" s="17">
        <f>CHOOSE(CONTROL!$C$42, 11.0194, 11.0194) * CHOOSE(CONTROL!$C$21, $C$9, 100%, $E$9)</f>
        <v>11.019399999999999</v>
      </c>
      <c r="T244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244" s="57">
        <f>(1000*CHOOSE(CONTROL!$C$42, 695, 695)*CHOOSE(CONTROL!$C$42, 0.5599, 0.5599)*CHOOSE(CONTROL!$C$42, 30, 30))/1000000</f>
        <v>11.673914999999997</v>
      </c>
      <c r="V244" s="57">
        <f>(1000*CHOOSE(CONTROL!$C$42, 500, 500)*CHOOSE(CONTROL!$C$42, 0.275, 0.275)*CHOOSE(CONTROL!$C$42, 30, 30))/1000000</f>
        <v>4.125</v>
      </c>
      <c r="W244" s="57">
        <f>(1000*CHOOSE(CONTROL!$C$42, 0.0916, 0.0916)*CHOOSE(CONTROL!$C$42, 121.5, 121.5)*CHOOSE(CONTROL!$C$42, 30, 30))/1000000</f>
        <v>0.33388200000000001</v>
      </c>
      <c r="X244" s="57">
        <f>(30*0.1790888*145000/1000000)+(30*0.2374*100000/1000000)</f>
        <v>1.4912362799999999</v>
      </c>
      <c r="Y244" s="57"/>
      <c r="Z244" s="17"/>
      <c r="AA244" s="56"/>
      <c r="AB244" s="49">
        <f>(B244*141.293+C244*267.993+D244*115.016+E244*189.698+F244*40+G244*85+H244*0+I244*100+J244*300)/(141.293+267.993+115.016+189.698+0+40+85+100+300)</f>
        <v>11.449311949717515</v>
      </c>
      <c r="AC244" s="46">
        <f>(M244*'RAP TEMPLATE-GAS AVAILABILITY'!O243+N244*'RAP TEMPLATE-GAS AVAILABILITY'!P243+O244*'RAP TEMPLATE-GAS AVAILABILITY'!Q243+P244*'RAP TEMPLATE-GAS AVAILABILITY'!R243)/('RAP TEMPLATE-GAS AVAILABILITY'!O243+'RAP TEMPLATE-GAS AVAILABILITY'!P243+'RAP TEMPLATE-GAS AVAILABILITY'!Q243+'RAP TEMPLATE-GAS AVAILABILITY'!R243)</f>
        <v>11.367291366906475</v>
      </c>
    </row>
    <row r="245" spans="1:29" ht="15.75" x14ac:dyDescent="0.25">
      <c r="A245" s="16">
        <v>48335</v>
      </c>
      <c r="B245" s="17">
        <f>CHOOSE(CONTROL!$C$42, 11.4759, 11.4759) * CHOOSE(CONTROL!$C$21, $C$9, 100%, $E$9)</f>
        <v>11.475899999999999</v>
      </c>
      <c r="C245" s="17">
        <f>CHOOSE(CONTROL!$C$42, 11.4839, 11.4839) * CHOOSE(CONTROL!$C$21, $C$9, 100%, $E$9)</f>
        <v>11.4839</v>
      </c>
      <c r="D245" s="17">
        <f>CHOOSE(CONTROL!$C$42, 11.7335, 11.7335) * CHOOSE(CONTROL!$C$21, $C$9, 100%, $E$9)</f>
        <v>11.733499999999999</v>
      </c>
      <c r="E245" s="17">
        <f>CHOOSE(CONTROL!$C$42, 11.7647, 11.7647) * CHOOSE(CONTROL!$C$21, $C$9, 100%, $E$9)</f>
        <v>11.764699999999999</v>
      </c>
      <c r="F245" s="17">
        <f>CHOOSE(CONTROL!$C$42, 11.4808, 11.4808)*CHOOSE(CONTROL!$C$21, $C$9, 100%, $E$9)</f>
        <v>11.4808</v>
      </c>
      <c r="G245" s="17">
        <f>CHOOSE(CONTROL!$C$42, 11.4969, 11.4969)*CHOOSE(CONTROL!$C$21, $C$9, 100%, $E$9)</f>
        <v>11.4969</v>
      </c>
      <c r="H245" s="17">
        <f>CHOOSE(CONTROL!$C$42, 11.753, 11.753) * CHOOSE(CONTROL!$C$21, $C$9, 100%, $E$9)</f>
        <v>11.753</v>
      </c>
      <c r="I245" s="17">
        <f>CHOOSE(CONTROL!$C$42, 11.5318, 11.5318)* CHOOSE(CONTROL!$C$21, $C$9, 100%, $E$9)</f>
        <v>11.5318</v>
      </c>
      <c r="J245" s="17">
        <f>CHOOSE(CONTROL!$C$42, 11.4734, 11.4734)* CHOOSE(CONTROL!$C$21, $C$9, 100%, $E$9)</f>
        <v>11.4734</v>
      </c>
      <c r="K245" s="53">
        <f>CHOOSE(CONTROL!$C$42, 11.5257, 11.5257) * CHOOSE(CONTROL!$C$21, $C$9, 100%, $E$9)</f>
        <v>11.525700000000001</v>
      </c>
      <c r="L245" s="17">
        <f>CHOOSE(CONTROL!$C$42, 12.34, 12.34) * CHOOSE(CONTROL!$C$21, $C$9, 100%, $E$9)</f>
        <v>12.34</v>
      </c>
      <c r="M245" s="17">
        <f>CHOOSE(CONTROL!$C$42, 11.3772, 11.3772) * CHOOSE(CONTROL!$C$21, $C$9, 100%, $E$9)</f>
        <v>11.3772</v>
      </c>
      <c r="N245" s="17">
        <f>CHOOSE(CONTROL!$C$42, 11.3932, 11.3932) * CHOOSE(CONTROL!$C$21, $C$9, 100%, $E$9)</f>
        <v>11.3932</v>
      </c>
      <c r="O245" s="17">
        <f>CHOOSE(CONTROL!$C$42, 11.6543, 11.6543) * CHOOSE(CONTROL!$C$21, $C$9, 100%, $E$9)</f>
        <v>11.654299999999999</v>
      </c>
      <c r="P245" s="17">
        <f>CHOOSE(CONTROL!$C$42, 11.4348, 11.4348) * CHOOSE(CONTROL!$C$21, $C$9, 100%, $E$9)</f>
        <v>11.434799999999999</v>
      </c>
      <c r="Q245" s="17">
        <f>CHOOSE(CONTROL!$C$42, 12.249, 12.249) * CHOOSE(CONTROL!$C$21, $C$9, 100%, $E$9)</f>
        <v>12.249000000000001</v>
      </c>
      <c r="R245" s="17">
        <f>CHOOSE(CONTROL!$C$42, 12.8667, 12.8667) * CHOOSE(CONTROL!$C$21, $C$9, 100%, $E$9)</f>
        <v>12.8667</v>
      </c>
      <c r="S245" s="17">
        <f>CHOOSE(CONTROL!$C$42, 11.1166, 11.1166) * CHOOSE(CONTROL!$C$21, $C$9, 100%, $E$9)</f>
        <v>11.1166</v>
      </c>
      <c r="T245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245" s="57">
        <f>(1000*CHOOSE(CONTROL!$C$42, 695, 695)*CHOOSE(CONTROL!$C$42, 0.5599, 0.5599)*CHOOSE(CONTROL!$C$42, 31, 31))/1000000</f>
        <v>12.063045499999998</v>
      </c>
      <c r="V245" s="57">
        <f>(1000*CHOOSE(CONTROL!$C$42, 500, 500)*CHOOSE(CONTROL!$C$42, 0.275, 0.275)*CHOOSE(CONTROL!$C$42, 31, 31))/1000000</f>
        <v>4.2625000000000002</v>
      </c>
      <c r="W245" s="57">
        <f>(1000*CHOOSE(CONTROL!$C$42, 0.0916, 0.0916)*CHOOSE(CONTROL!$C$42, 121.5, 121.5)*CHOOSE(CONTROL!$C$42, 31, 31))/1000000</f>
        <v>0.34501139999999997</v>
      </c>
      <c r="X245" s="57">
        <f>(31*0.1790888*145000/1000000)+(31*0.2374*100000/1000000)</f>
        <v>1.5409441560000001</v>
      </c>
      <c r="Y245" s="57"/>
      <c r="Z245" s="17"/>
      <c r="AA245" s="56"/>
      <c r="AB245" s="49">
        <f>(B245*194.205+C245*267.466+D245*133.845+E245*153.484+F245*40+G245*85+H245*0+I245*100+J245*300)/(194.205+267.466+133.845+153.484+0+40+85+100+300)</f>
        <v>11.544789622605965</v>
      </c>
      <c r="AC245" s="46">
        <f>(M245*'RAP TEMPLATE-GAS AVAILABILITY'!O244+N245*'RAP TEMPLATE-GAS AVAILABILITY'!P244+O245*'RAP TEMPLATE-GAS AVAILABILITY'!Q244+P245*'RAP TEMPLATE-GAS AVAILABILITY'!R244)/('RAP TEMPLATE-GAS AVAILABILITY'!O244+'RAP TEMPLATE-GAS AVAILABILITY'!P244+'RAP TEMPLATE-GAS AVAILABILITY'!Q244+'RAP TEMPLATE-GAS AVAILABILITY'!R244)</f>
        <v>11.466918705035971</v>
      </c>
    </row>
    <row r="246" spans="1:29" ht="15.75" x14ac:dyDescent="0.25">
      <c r="A246" s="16">
        <v>48366</v>
      </c>
      <c r="B246" s="17">
        <f>CHOOSE(CONTROL!$C$42, 11.8011, 11.8011) * CHOOSE(CONTROL!$C$21, $C$9, 100%, $E$9)</f>
        <v>11.8011</v>
      </c>
      <c r="C246" s="17">
        <f>CHOOSE(CONTROL!$C$42, 11.8091, 11.8091) * CHOOSE(CONTROL!$C$21, $C$9, 100%, $E$9)</f>
        <v>11.809100000000001</v>
      </c>
      <c r="D246" s="17">
        <f>CHOOSE(CONTROL!$C$42, 12.0587, 12.0587) * CHOOSE(CONTROL!$C$21, $C$9, 100%, $E$9)</f>
        <v>12.0587</v>
      </c>
      <c r="E246" s="17">
        <f>CHOOSE(CONTROL!$C$42, 12.0899, 12.0899) * CHOOSE(CONTROL!$C$21, $C$9, 100%, $E$9)</f>
        <v>12.0899</v>
      </c>
      <c r="F246" s="17">
        <f>CHOOSE(CONTROL!$C$42, 11.8063, 11.8063)*CHOOSE(CONTROL!$C$21, $C$9, 100%, $E$9)</f>
        <v>11.8063</v>
      </c>
      <c r="G246" s="17">
        <f>CHOOSE(CONTROL!$C$42, 11.8225, 11.8225)*CHOOSE(CONTROL!$C$21, $C$9, 100%, $E$9)</f>
        <v>11.8225</v>
      </c>
      <c r="H246" s="17">
        <f>CHOOSE(CONTROL!$C$42, 12.0782, 12.0782) * CHOOSE(CONTROL!$C$21, $C$9, 100%, $E$9)</f>
        <v>12.078200000000001</v>
      </c>
      <c r="I246" s="17">
        <f>CHOOSE(CONTROL!$C$42, 11.8579, 11.8579)* CHOOSE(CONTROL!$C$21, $C$9, 100%, $E$9)</f>
        <v>11.857900000000001</v>
      </c>
      <c r="J246" s="17">
        <f>CHOOSE(CONTROL!$C$42, 11.7989, 11.7989)* CHOOSE(CONTROL!$C$21, $C$9, 100%, $E$9)</f>
        <v>11.7989</v>
      </c>
      <c r="K246" s="53">
        <f>CHOOSE(CONTROL!$C$42, 11.8519, 11.8519) * CHOOSE(CONTROL!$C$21, $C$9, 100%, $E$9)</f>
        <v>11.851900000000001</v>
      </c>
      <c r="L246" s="17">
        <f>CHOOSE(CONTROL!$C$42, 12.6652, 12.6652) * CHOOSE(CONTROL!$C$21, $C$9, 100%, $E$9)</f>
        <v>12.6652</v>
      </c>
      <c r="M246" s="17">
        <f>CHOOSE(CONTROL!$C$42, 11.6998, 11.6998) * CHOOSE(CONTROL!$C$21, $C$9, 100%, $E$9)</f>
        <v>11.6998</v>
      </c>
      <c r="N246" s="17">
        <f>CHOOSE(CONTROL!$C$42, 11.7158, 11.7158) * CHOOSE(CONTROL!$C$21, $C$9, 100%, $E$9)</f>
        <v>11.7158</v>
      </c>
      <c r="O246" s="17">
        <f>CHOOSE(CONTROL!$C$42, 11.9766, 11.9766) * CHOOSE(CONTROL!$C$21, $C$9, 100%, $E$9)</f>
        <v>11.976599999999999</v>
      </c>
      <c r="P246" s="17">
        <f>CHOOSE(CONTROL!$C$42, 11.758, 11.758) * CHOOSE(CONTROL!$C$21, $C$9, 100%, $E$9)</f>
        <v>11.757999999999999</v>
      </c>
      <c r="Q246" s="17">
        <f>CHOOSE(CONTROL!$C$42, 12.5713, 12.5713) * CHOOSE(CONTROL!$C$21, $C$9, 100%, $E$9)</f>
        <v>12.571300000000001</v>
      </c>
      <c r="R246" s="17">
        <f>CHOOSE(CONTROL!$C$42, 13.1897, 13.1897) * CHOOSE(CONTROL!$C$21, $C$9, 100%, $E$9)</f>
        <v>13.1897</v>
      </c>
      <c r="S246" s="17">
        <f>CHOOSE(CONTROL!$C$42, 11.4319, 11.4319) * CHOOSE(CONTROL!$C$21, $C$9, 100%, $E$9)</f>
        <v>11.431900000000001</v>
      </c>
      <c r="T246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246" s="57">
        <f>(1000*CHOOSE(CONTROL!$C$42, 695, 695)*CHOOSE(CONTROL!$C$42, 0.5599, 0.5599)*CHOOSE(CONTROL!$C$42, 30, 30))/1000000</f>
        <v>11.673914999999997</v>
      </c>
      <c r="V246" s="57">
        <f>(1000*CHOOSE(CONTROL!$C$42, 500, 500)*CHOOSE(CONTROL!$C$42, 0.275, 0.275)*CHOOSE(CONTROL!$C$42, 30, 30))/1000000</f>
        <v>4.125</v>
      </c>
      <c r="W246" s="57">
        <f>(1000*CHOOSE(CONTROL!$C$42, 0.0916, 0.0916)*CHOOSE(CONTROL!$C$42, 121.5, 121.5)*CHOOSE(CONTROL!$C$42, 30, 30))/1000000</f>
        <v>0.33388200000000001</v>
      </c>
      <c r="X246" s="57">
        <f>(30*0.1790888*145000/1000000)+(30*0.2374*100000/1000000)</f>
        <v>1.4912362799999999</v>
      </c>
      <c r="Y246" s="57"/>
      <c r="Z246" s="17"/>
      <c r="AA246" s="56"/>
      <c r="AB246" s="49">
        <f>(B246*194.205+C246*267.466+D246*133.845+E246*153.484+F246*40+G246*85+H246*0+I246*100+J246*300)/(194.205+267.466+133.845+153.484+0+40+85+100+300)</f>
        <v>11.870167016640504</v>
      </c>
      <c r="AC246" s="46">
        <f>(M246*'RAP TEMPLATE-GAS AVAILABILITY'!O245+N246*'RAP TEMPLATE-GAS AVAILABILITY'!P245+O246*'RAP TEMPLATE-GAS AVAILABILITY'!Q245+P246*'RAP TEMPLATE-GAS AVAILABILITY'!R245)/('RAP TEMPLATE-GAS AVAILABILITY'!O245+'RAP TEMPLATE-GAS AVAILABILITY'!P245+'RAP TEMPLATE-GAS AVAILABILITY'!Q245+'RAP TEMPLATE-GAS AVAILABILITY'!R245)</f>
        <v>11.789520863309351</v>
      </c>
    </row>
    <row r="247" spans="1:29" ht="15.75" x14ac:dyDescent="0.25">
      <c r="A247" s="16">
        <v>48396</v>
      </c>
      <c r="B247" s="17">
        <f>CHOOSE(CONTROL!$C$42, 11.5749, 11.5749) * CHOOSE(CONTROL!$C$21, $C$9, 100%, $E$9)</f>
        <v>11.5749</v>
      </c>
      <c r="C247" s="17">
        <f>CHOOSE(CONTROL!$C$42, 11.5829, 11.5829) * CHOOSE(CONTROL!$C$21, $C$9, 100%, $E$9)</f>
        <v>11.5829</v>
      </c>
      <c r="D247" s="17">
        <f>CHOOSE(CONTROL!$C$42, 11.8325, 11.8325) * CHOOSE(CONTROL!$C$21, $C$9, 100%, $E$9)</f>
        <v>11.8325</v>
      </c>
      <c r="E247" s="17">
        <f>CHOOSE(CONTROL!$C$42, 11.8637, 11.8637) * CHOOSE(CONTROL!$C$21, $C$9, 100%, $E$9)</f>
        <v>11.8637</v>
      </c>
      <c r="F247" s="17">
        <f>CHOOSE(CONTROL!$C$42, 11.5806, 11.5806)*CHOOSE(CONTROL!$C$21, $C$9, 100%, $E$9)</f>
        <v>11.5806</v>
      </c>
      <c r="G247" s="17">
        <f>CHOOSE(CONTROL!$C$42, 11.597, 11.597)*CHOOSE(CONTROL!$C$21, $C$9, 100%, $E$9)</f>
        <v>11.597</v>
      </c>
      <c r="H247" s="17">
        <f>CHOOSE(CONTROL!$C$42, 11.852, 11.852) * CHOOSE(CONTROL!$C$21, $C$9, 100%, $E$9)</f>
        <v>11.852</v>
      </c>
      <c r="I247" s="17">
        <f>CHOOSE(CONTROL!$C$42, 11.6311, 11.6311)* CHOOSE(CONTROL!$C$21, $C$9, 100%, $E$9)</f>
        <v>11.6311</v>
      </c>
      <c r="J247" s="17">
        <f>CHOOSE(CONTROL!$C$42, 11.5732, 11.5732)* CHOOSE(CONTROL!$C$21, $C$9, 100%, $E$9)</f>
        <v>11.5732</v>
      </c>
      <c r="K247" s="53">
        <f>CHOOSE(CONTROL!$C$42, 11.625, 11.625) * CHOOSE(CONTROL!$C$21, $C$9, 100%, $E$9)</f>
        <v>11.625</v>
      </c>
      <c r="L247" s="17">
        <f>CHOOSE(CONTROL!$C$42, 12.439, 12.439) * CHOOSE(CONTROL!$C$21, $C$9, 100%, $E$9)</f>
        <v>12.439</v>
      </c>
      <c r="M247" s="17">
        <f>CHOOSE(CONTROL!$C$42, 11.4761, 11.4761) * CHOOSE(CONTROL!$C$21, $C$9, 100%, $E$9)</f>
        <v>11.476100000000001</v>
      </c>
      <c r="N247" s="17">
        <f>CHOOSE(CONTROL!$C$42, 11.4923, 11.4923) * CHOOSE(CONTROL!$C$21, $C$9, 100%, $E$9)</f>
        <v>11.4923</v>
      </c>
      <c r="O247" s="17">
        <f>CHOOSE(CONTROL!$C$42, 11.7524, 11.7524) * CHOOSE(CONTROL!$C$21, $C$9, 100%, $E$9)</f>
        <v>11.7524</v>
      </c>
      <c r="P247" s="17">
        <f>CHOOSE(CONTROL!$C$42, 11.5332, 11.5332) * CHOOSE(CONTROL!$C$21, $C$9, 100%, $E$9)</f>
        <v>11.533200000000001</v>
      </c>
      <c r="Q247" s="17">
        <f>CHOOSE(CONTROL!$C$42, 12.3471, 12.3471) * CHOOSE(CONTROL!$C$21, $C$9, 100%, $E$9)</f>
        <v>12.347099999999999</v>
      </c>
      <c r="R247" s="17">
        <f>CHOOSE(CONTROL!$C$42, 12.965, 12.965) * CHOOSE(CONTROL!$C$21, $C$9, 100%, $E$9)</f>
        <v>12.965</v>
      </c>
      <c r="S247" s="17">
        <f>CHOOSE(CONTROL!$C$42, 11.2126, 11.2126) * CHOOSE(CONTROL!$C$21, $C$9, 100%, $E$9)</f>
        <v>11.2126</v>
      </c>
      <c r="T247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247" s="57">
        <f>(1000*CHOOSE(CONTROL!$C$42, 695, 695)*CHOOSE(CONTROL!$C$42, 0.5599, 0.5599)*CHOOSE(CONTROL!$C$42, 31, 31))/1000000</f>
        <v>12.063045499999998</v>
      </c>
      <c r="V247" s="57">
        <f>(1000*CHOOSE(CONTROL!$C$42, 500, 500)*CHOOSE(CONTROL!$C$42, 0.275, 0.275)*CHOOSE(CONTROL!$C$42, 31, 31))/1000000</f>
        <v>4.2625000000000002</v>
      </c>
      <c r="W247" s="57">
        <f>(1000*CHOOSE(CONTROL!$C$42, 0.0916, 0.0916)*CHOOSE(CONTROL!$C$42, 121.5, 121.5)*CHOOSE(CONTROL!$C$42, 31, 31))/1000000</f>
        <v>0.34501139999999997</v>
      </c>
      <c r="X247" s="57">
        <f>(31*0.1790888*145000/1000000)+(31*0.2374*100000/1000000)</f>
        <v>1.5409441560000001</v>
      </c>
      <c r="Y247" s="57"/>
      <c r="Z247" s="17"/>
      <c r="AA247" s="56"/>
      <c r="AB247" s="49">
        <f>(B247*194.205+C247*267.466+D247*133.845+E247*153.484+F247*40+G247*85+H247*0+I247*100+J247*300)/(194.205+267.466+133.845+153.484+0+40+85+100+300)</f>
        <v>11.644100062166407</v>
      </c>
      <c r="AC247" s="46">
        <f>(M247*'RAP TEMPLATE-GAS AVAILABILITY'!O246+N247*'RAP TEMPLATE-GAS AVAILABILITY'!P246+O247*'RAP TEMPLATE-GAS AVAILABILITY'!Q246+P247*'RAP TEMPLATE-GAS AVAILABILITY'!R246)/('RAP TEMPLATE-GAS AVAILABILITY'!O246+'RAP TEMPLATE-GAS AVAILABILITY'!P246+'RAP TEMPLATE-GAS AVAILABILITY'!Q246+'RAP TEMPLATE-GAS AVAILABILITY'!R246)</f>
        <v>11.56556834532374</v>
      </c>
    </row>
    <row r="248" spans="1:29" ht="15.75" x14ac:dyDescent="0.25">
      <c r="A248" s="16">
        <v>48427</v>
      </c>
      <c r="B248" s="17">
        <f>CHOOSE(CONTROL!$C$42, 11.0038, 11.0038) * CHOOSE(CONTROL!$C$21, $C$9, 100%, $E$9)</f>
        <v>11.0038</v>
      </c>
      <c r="C248" s="17">
        <f>CHOOSE(CONTROL!$C$42, 11.0118, 11.0118) * CHOOSE(CONTROL!$C$21, $C$9, 100%, $E$9)</f>
        <v>11.011799999999999</v>
      </c>
      <c r="D248" s="17">
        <f>CHOOSE(CONTROL!$C$42, 11.2614, 11.2614) * CHOOSE(CONTROL!$C$21, $C$9, 100%, $E$9)</f>
        <v>11.2614</v>
      </c>
      <c r="E248" s="17">
        <f>CHOOSE(CONTROL!$C$42, 11.2926, 11.2926) * CHOOSE(CONTROL!$C$21, $C$9, 100%, $E$9)</f>
        <v>11.2926</v>
      </c>
      <c r="F248" s="17">
        <f>CHOOSE(CONTROL!$C$42, 11.0098, 11.0098)*CHOOSE(CONTROL!$C$21, $C$9, 100%, $E$9)</f>
        <v>11.0098</v>
      </c>
      <c r="G248" s="17">
        <f>CHOOSE(CONTROL!$C$42, 11.0262, 11.0262)*CHOOSE(CONTROL!$C$21, $C$9, 100%, $E$9)</f>
        <v>11.026199999999999</v>
      </c>
      <c r="H248" s="17">
        <f>CHOOSE(CONTROL!$C$42, 11.2809, 11.2809) * CHOOSE(CONTROL!$C$21, $C$9, 100%, $E$9)</f>
        <v>11.280900000000001</v>
      </c>
      <c r="I248" s="17">
        <f>CHOOSE(CONTROL!$C$42, 11.0582, 11.0582)* CHOOSE(CONTROL!$C$21, $C$9, 100%, $E$9)</f>
        <v>11.058199999999999</v>
      </c>
      <c r="J248" s="17">
        <f>CHOOSE(CONTROL!$C$42, 11.0024, 11.0024)* CHOOSE(CONTROL!$C$21, $C$9, 100%, $E$9)</f>
        <v>11.0024</v>
      </c>
      <c r="K248" s="53">
        <f>CHOOSE(CONTROL!$C$42, 11.0522, 11.0522) * CHOOSE(CONTROL!$C$21, $C$9, 100%, $E$9)</f>
        <v>11.052199999999999</v>
      </c>
      <c r="L248" s="17">
        <f>CHOOSE(CONTROL!$C$42, 11.8679, 11.8679) * CHOOSE(CONTROL!$C$21, $C$9, 100%, $E$9)</f>
        <v>11.867900000000001</v>
      </c>
      <c r="M248" s="17">
        <f>CHOOSE(CONTROL!$C$42, 10.9104, 10.9104) * CHOOSE(CONTROL!$C$21, $C$9, 100%, $E$9)</f>
        <v>10.910399999999999</v>
      </c>
      <c r="N248" s="17">
        <f>CHOOSE(CONTROL!$C$42, 10.9267, 10.9267) * CHOOSE(CONTROL!$C$21, $C$9, 100%, $E$9)</f>
        <v>10.9267</v>
      </c>
      <c r="O248" s="17">
        <f>CHOOSE(CONTROL!$C$42, 11.1865, 11.1865) * CHOOSE(CONTROL!$C$21, $C$9, 100%, $E$9)</f>
        <v>11.186500000000001</v>
      </c>
      <c r="P248" s="17">
        <f>CHOOSE(CONTROL!$C$42, 10.9655, 10.9655) * CHOOSE(CONTROL!$C$21, $C$9, 100%, $E$9)</f>
        <v>10.9655</v>
      </c>
      <c r="Q248" s="17">
        <f>CHOOSE(CONTROL!$C$42, 11.7812, 11.7812) * CHOOSE(CONTROL!$C$21, $C$9, 100%, $E$9)</f>
        <v>11.7812</v>
      </c>
      <c r="R248" s="17">
        <f>CHOOSE(CONTROL!$C$42, 12.3976, 12.3976) * CHOOSE(CONTROL!$C$21, $C$9, 100%, $E$9)</f>
        <v>12.397600000000001</v>
      </c>
      <c r="S248" s="17">
        <f>CHOOSE(CONTROL!$C$42, 10.6588, 10.6588) * CHOOSE(CONTROL!$C$21, $C$9, 100%, $E$9)</f>
        <v>10.658799999999999</v>
      </c>
      <c r="T248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248" s="57">
        <f>(1000*CHOOSE(CONTROL!$C$42, 695, 695)*CHOOSE(CONTROL!$C$42, 0.5599, 0.5599)*CHOOSE(CONTROL!$C$42, 31, 31))/1000000</f>
        <v>12.063045499999998</v>
      </c>
      <c r="V248" s="57">
        <f>(1000*CHOOSE(CONTROL!$C$42, 500, 500)*CHOOSE(CONTROL!$C$42, 0.275, 0.275)*CHOOSE(CONTROL!$C$42, 31, 31))/1000000</f>
        <v>4.2625000000000002</v>
      </c>
      <c r="W248" s="57">
        <f>(1000*CHOOSE(CONTROL!$C$42, 0.0916, 0.0916)*CHOOSE(CONTROL!$C$42, 121.5, 121.5)*CHOOSE(CONTROL!$C$42, 31, 31))/1000000</f>
        <v>0.34501139999999997</v>
      </c>
      <c r="X248" s="57">
        <f>(31*0.1790888*145000/1000000)+(31*0.2374*100000/1000000)</f>
        <v>1.5409441560000001</v>
      </c>
      <c r="Y248" s="57"/>
      <c r="Z248" s="17"/>
      <c r="AA248" s="56"/>
      <c r="AB248" s="49">
        <f>(B248*194.205+C248*267.466+D248*133.845+E248*153.484+F248*40+G248*85+H248*0+I248*100+J248*300)/(194.205+267.466+133.845+153.484+0+40+85+100+300)</f>
        <v>11.072958853375196</v>
      </c>
      <c r="AC248" s="46">
        <f>(M248*'RAP TEMPLATE-GAS AVAILABILITY'!O247+N248*'RAP TEMPLATE-GAS AVAILABILITY'!P247+O248*'RAP TEMPLATE-GAS AVAILABILITY'!Q247+P248*'RAP TEMPLATE-GAS AVAILABILITY'!R247)/('RAP TEMPLATE-GAS AVAILABILITY'!O247+'RAP TEMPLATE-GAS AVAILABILITY'!P247+'RAP TEMPLATE-GAS AVAILABILITY'!Q247+'RAP TEMPLATE-GAS AVAILABILITY'!R247)</f>
        <v>10.999547482014389</v>
      </c>
    </row>
    <row r="249" spans="1:29" ht="15.75" x14ac:dyDescent="0.25">
      <c r="A249" s="16">
        <v>48458</v>
      </c>
      <c r="B249" s="17">
        <f>CHOOSE(CONTROL!$C$42, 10.3058, 10.3058) * CHOOSE(CONTROL!$C$21, $C$9, 100%, $E$9)</f>
        <v>10.3058</v>
      </c>
      <c r="C249" s="17">
        <f>CHOOSE(CONTROL!$C$42, 10.3138, 10.3138) * CHOOSE(CONTROL!$C$21, $C$9, 100%, $E$9)</f>
        <v>10.313800000000001</v>
      </c>
      <c r="D249" s="17">
        <f>CHOOSE(CONTROL!$C$42, 10.5634, 10.5634) * CHOOSE(CONTROL!$C$21, $C$9, 100%, $E$9)</f>
        <v>10.5634</v>
      </c>
      <c r="E249" s="17">
        <f>CHOOSE(CONTROL!$C$42, 10.5946, 10.5946) * CHOOSE(CONTROL!$C$21, $C$9, 100%, $E$9)</f>
        <v>10.5946</v>
      </c>
      <c r="F249" s="17">
        <f>CHOOSE(CONTROL!$C$42, 10.3118, 10.3118)*CHOOSE(CONTROL!$C$21, $C$9, 100%, $E$9)</f>
        <v>10.3118</v>
      </c>
      <c r="G249" s="17">
        <f>CHOOSE(CONTROL!$C$42, 10.3282, 10.3282)*CHOOSE(CONTROL!$C$21, $C$9, 100%, $E$9)</f>
        <v>10.328200000000001</v>
      </c>
      <c r="H249" s="17">
        <f>CHOOSE(CONTROL!$C$42, 10.5829, 10.5829) * CHOOSE(CONTROL!$C$21, $C$9, 100%, $E$9)</f>
        <v>10.5829</v>
      </c>
      <c r="I249" s="17">
        <f>CHOOSE(CONTROL!$C$42, 10.358, 10.358)* CHOOSE(CONTROL!$C$21, $C$9, 100%, $E$9)</f>
        <v>10.358000000000001</v>
      </c>
      <c r="J249" s="17">
        <f>CHOOSE(CONTROL!$C$42, 10.3044, 10.3044)* CHOOSE(CONTROL!$C$21, $C$9, 100%, $E$9)</f>
        <v>10.304399999999999</v>
      </c>
      <c r="K249" s="53">
        <f>CHOOSE(CONTROL!$C$42, 10.352, 10.352) * CHOOSE(CONTROL!$C$21, $C$9, 100%, $E$9)</f>
        <v>10.352</v>
      </c>
      <c r="L249" s="17">
        <f>CHOOSE(CONTROL!$C$42, 11.1699, 11.1699) * CHOOSE(CONTROL!$C$21, $C$9, 100%, $E$9)</f>
        <v>11.1699</v>
      </c>
      <c r="M249" s="17">
        <f>CHOOSE(CONTROL!$C$42, 10.2187, 10.2187) * CHOOSE(CONTROL!$C$21, $C$9, 100%, $E$9)</f>
        <v>10.2187</v>
      </c>
      <c r="N249" s="17">
        <f>CHOOSE(CONTROL!$C$42, 10.235, 10.235) * CHOOSE(CONTROL!$C$21, $C$9, 100%, $E$9)</f>
        <v>10.234999999999999</v>
      </c>
      <c r="O249" s="17">
        <f>CHOOSE(CONTROL!$C$42, 10.4947, 10.4947) * CHOOSE(CONTROL!$C$21, $C$9, 100%, $E$9)</f>
        <v>10.4947</v>
      </c>
      <c r="P249" s="17">
        <f>CHOOSE(CONTROL!$C$42, 10.2716, 10.2716) * CHOOSE(CONTROL!$C$21, $C$9, 100%, $E$9)</f>
        <v>10.271599999999999</v>
      </c>
      <c r="Q249" s="17">
        <f>CHOOSE(CONTROL!$C$42, 11.0894, 11.0894) * CHOOSE(CONTROL!$C$21, $C$9, 100%, $E$9)</f>
        <v>11.089399999999999</v>
      </c>
      <c r="R249" s="17">
        <f>CHOOSE(CONTROL!$C$42, 11.7042, 11.7042) * CHOOSE(CONTROL!$C$21, $C$9, 100%, $E$9)</f>
        <v>11.7042</v>
      </c>
      <c r="S249" s="17">
        <f>CHOOSE(CONTROL!$C$42, 9.982, 9.982) * CHOOSE(CONTROL!$C$21, $C$9, 100%, $E$9)</f>
        <v>9.9819999999999993</v>
      </c>
      <c r="T249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249" s="57">
        <f>(1000*CHOOSE(CONTROL!$C$42, 695, 695)*CHOOSE(CONTROL!$C$42, 0.5599, 0.5599)*CHOOSE(CONTROL!$C$42, 30, 30))/1000000</f>
        <v>11.673914999999997</v>
      </c>
      <c r="V249" s="57">
        <f>(1000*CHOOSE(CONTROL!$C$42, 500, 500)*CHOOSE(CONTROL!$C$42, 0.275, 0.275)*CHOOSE(CONTROL!$C$42, 30, 30))/1000000</f>
        <v>4.125</v>
      </c>
      <c r="W249" s="57">
        <f>(1000*CHOOSE(CONTROL!$C$42, 0.0916, 0.0916)*CHOOSE(CONTROL!$C$42, 121.5, 121.5)*CHOOSE(CONTROL!$C$42, 30, 30))/1000000</f>
        <v>0.33388200000000001</v>
      </c>
      <c r="X249" s="57">
        <f>(30*0.1790888*145000/1000000)+(30*0.2374*100000/1000000)</f>
        <v>1.4912362799999999</v>
      </c>
      <c r="Y249" s="57"/>
      <c r="Z249" s="17"/>
      <c r="AA249" s="56"/>
      <c r="AB249" s="49">
        <f>(B249*194.205+C249*267.466+D249*133.845+E249*153.484+F249*40+G249*85+H249*0+I249*100+J249*300)/(194.205+267.466+133.845+153.484+0+40+85+100+300)</f>
        <v>10.374786168916797</v>
      </c>
      <c r="AC249" s="46">
        <f>(M249*'RAP TEMPLATE-GAS AVAILABILITY'!O248+N249*'RAP TEMPLATE-GAS AVAILABILITY'!P248+O249*'RAP TEMPLATE-GAS AVAILABILITY'!Q248+P249*'RAP TEMPLATE-GAS AVAILABILITY'!R248)/('RAP TEMPLATE-GAS AVAILABILITY'!O248+'RAP TEMPLATE-GAS AVAILABILITY'!P248+'RAP TEMPLATE-GAS AVAILABILITY'!Q248+'RAP TEMPLATE-GAS AVAILABILITY'!R248)</f>
        <v>10.307502877697841</v>
      </c>
    </row>
    <row r="250" spans="1:29" ht="15.75" x14ac:dyDescent="0.25">
      <c r="A250" s="16">
        <v>48488</v>
      </c>
      <c r="B250" s="17">
        <f>CHOOSE(CONTROL!$C$42, 10.0951, 10.0951) * CHOOSE(CONTROL!$C$21, $C$9, 100%, $E$9)</f>
        <v>10.0951</v>
      </c>
      <c r="C250" s="17">
        <f>CHOOSE(CONTROL!$C$42, 10.1004, 10.1004) * CHOOSE(CONTROL!$C$21, $C$9, 100%, $E$9)</f>
        <v>10.1004</v>
      </c>
      <c r="D250" s="17">
        <f>CHOOSE(CONTROL!$C$42, 10.3549, 10.3549) * CHOOSE(CONTROL!$C$21, $C$9, 100%, $E$9)</f>
        <v>10.354900000000001</v>
      </c>
      <c r="E250" s="17">
        <f>CHOOSE(CONTROL!$C$42, 10.3838, 10.3838) * CHOOSE(CONTROL!$C$21, $C$9, 100%, $E$9)</f>
        <v>10.383800000000001</v>
      </c>
      <c r="F250" s="17">
        <f>CHOOSE(CONTROL!$C$42, 10.1033, 10.1033)*CHOOSE(CONTROL!$C$21, $C$9, 100%, $E$9)</f>
        <v>10.103300000000001</v>
      </c>
      <c r="G250" s="17">
        <f>CHOOSE(CONTROL!$C$42, 10.1196, 10.1196)*CHOOSE(CONTROL!$C$21, $C$9, 100%, $E$9)</f>
        <v>10.1196</v>
      </c>
      <c r="H250" s="17">
        <f>CHOOSE(CONTROL!$C$42, 10.3739, 10.3739) * CHOOSE(CONTROL!$C$21, $C$9, 100%, $E$9)</f>
        <v>10.373900000000001</v>
      </c>
      <c r="I250" s="17">
        <f>CHOOSE(CONTROL!$C$42, 10.1484, 10.1484)* CHOOSE(CONTROL!$C$21, $C$9, 100%, $E$9)</f>
        <v>10.148400000000001</v>
      </c>
      <c r="J250" s="17">
        <f>CHOOSE(CONTROL!$C$42, 10.0959, 10.0959)* CHOOSE(CONTROL!$C$21, $C$9, 100%, $E$9)</f>
        <v>10.0959</v>
      </c>
      <c r="K250" s="53">
        <f>CHOOSE(CONTROL!$C$42, 10.1423, 10.1423) * CHOOSE(CONTROL!$C$21, $C$9, 100%, $E$9)</f>
        <v>10.142300000000001</v>
      </c>
      <c r="L250" s="17">
        <f>CHOOSE(CONTROL!$C$42, 10.9609, 10.9609) * CHOOSE(CONTROL!$C$21, $C$9, 100%, $E$9)</f>
        <v>10.960900000000001</v>
      </c>
      <c r="M250" s="17">
        <f>CHOOSE(CONTROL!$C$42, 10.0121, 10.0121) * CHOOSE(CONTROL!$C$21, $C$9, 100%, $E$9)</f>
        <v>10.0121</v>
      </c>
      <c r="N250" s="17">
        <f>CHOOSE(CONTROL!$C$42, 10.0283, 10.0283) * CHOOSE(CONTROL!$C$21, $C$9, 100%, $E$9)</f>
        <v>10.0283</v>
      </c>
      <c r="O250" s="17">
        <f>CHOOSE(CONTROL!$C$42, 10.2876, 10.2876) * CHOOSE(CONTROL!$C$21, $C$9, 100%, $E$9)</f>
        <v>10.287599999999999</v>
      </c>
      <c r="P250" s="17">
        <f>CHOOSE(CONTROL!$C$42, 10.0639, 10.0639) * CHOOSE(CONTROL!$C$21, $C$9, 100%, $E$9)</f>
        <v>10.0639</v>
      </c>
      <c r="Q250" s="17">
        <f>CHOOSE(CONTROL!$C$42, 10.8823, 10.8823) * CHOOSE(CONTROL!$C$21, $C$9, 100%, $E$9)</f>
        <v>10.882300000000001</v>
      </c>
      <c r="R250" s="17">
        <f>CHOOSE(CONTROL!$C$42, 11.4965, 11.4965) * CHOOSE(CONTROL!$C$21, $C$9, 100%, $E$9)</f>
        <v>11.496499999999999</v>
      </c>
      <c r="S250" s="17">
        <f>CHOOSE(CONTROL!$C$42, 9.7793, 9.7793) * CHOOSE(CONTROL!$C$21, $C$9, 100%, $E$9)</f>
        <v>9.7792999999999992</v>
      </c>
      <c r="T250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250" s="57">
        <f>(1000*CHOOSE(CONTROL!$C$42, 695, 695)*CHOOSE(CONTROL!$C$42, 0.5599, 0.5599)*CHOOSE(CONTROL!$C$42, 31, 31))/1000000</f>
        <v>12.063045499999998</v>
      </c>
      <c r="V250" s="57">
        <f>(1000*CHOOSE(CONTROL!$C$42, 500, 500)*CHOOSE(CONTROL!$C$42, 0.275, 0.275)*CHOOSE(CONTROL!$C$42, 31, 31))/1000000</f>
        <v>4.2625000000000002</v>
      </c>
      <c r="W250" s="57">
        <f>(1000*CHOOSE(CONTROL!$C$42, 0.0916, 0.0916)*CHOOSE(CONTROL!$C$42, 121.5, 121.5)*CHOOSE(CONTROL!$C$42, 31, 31))/1000000</f>
        <v>0.34501139999999997</v>
      </c>
      <c r="X250" s="57">
        <f>(31*0.1790888*145000/1000000)+(31*0.2374*100000/1000000)</f>
        <v>1.5409441560000001</v>
      </c>
      <c r="Y250" s="57"/>
      <c r="Z250" s="17"/>
      <c r="AA250" s="56"/>
      <c r="AB250" s="49">
        <f>(B250*131.881+C250*277.167+D250*79.08+E250*225.872+F250*40+G250*85+H250*0+I250*100+J250*300)/(131.881+277.167+79.08+225.872+0+40+85+100+300)</f>
        <v>10.171939156981438</v>
      </c>
      <c r="AC250" s="46">
        <f>(M250*'RAP TEMPLATE-GAS AVAILABILITY'!O249+N250*'RAP TEMPLATE-GAS AVAILABILITY'!P249+O250*'RAP TEMPLATE-GAS AVAILABILITY'!Q249+P250*'RAP TEMPLATE-GAS AVAILABILITY'!R249)/('RAP TEMPLATE-GAS AVAILABILITY'!O249+'RAP TEMPLATE-GAS AVAILABILITY'!P249+'RAP TEMPLATE-GAS AVAILABILITY'!Q249+'RAP TEMPLATE-GAS AVAILABILITY'!R249)</f>
        <v>10.100581294964028</v>
      </c>
    </row>
    <row r="251" spans="1:29" ht="15.75" x14ac:dyDescent="0.25">
      <c r="A251" s="16">
        <v>48519</v>
      </c>
      <c r="B251" s="17">
        <f>CHOOSE(CONTROL!$C$42, 10.3603, 10.3603) * CHOOSE(CONTROL!$C$21, $C$9, 100%, $E$9)</f>
        <v>10.360300000000001</v>
      </c>
      <c r="C251" s="17">
        <f>CHOOSE(CONTROL!$C$42, 10.3654, 10.3654) * CHOOSE(CONTROL!$C$21, $C$9, 100%, $E$9)</f>
        <v>10.365399999999999</v>
      </c>
      <c r="D251" s="17">
        <f>CHOOSE(CONTROL!$C$42, 10.488, 10.488) * CHOOSE(CONTROL!$C$21, $C$9, 100%, $E$9)</f>
        <v>10.488</v>
      </c>
      <c r="E251" s="17">
        <f>CHOOSE(CONTROL!$C$42, 10.5218, 10.5218) * CHOOSE(CONTROL!$C$21, $C$9, 100%, $E$9)</f>
        <v>10.521800000000001</v>
      </c>
      <c r="F251" s="17">
        <f>CHOOSE(CONTROL!$C$42, 10.3753, 10.3753)*CHOOSE(CONTROL!$C$21, $C$9, 100%, $E$9)</f>
        <v>10.375299999999999</v>
      </c>
      <c r="G251" s="17">
        <f>CHOOSE(CONTROL!$C$42, 10.392, 10.392)*CHOOSE(CONTROL!$C$21, $C$9, 100%, $E$9)</f>
        <v>10.391999999999999</v>
      </c>
      <c r="H251" s="17">
        <f>CHOOSE(CONTROL!$C$42, 10.5107, 10.5107) * CHOOSE(CONTROL!$C$21, $C$9, 100%, $E$9)</f>
        <v>10.5107</v>
      </c>
      <c r="I251" s="17">
        <f>CHOOSE(CONTROL!$C$42, 10.4174, 10.4174)* CHOOSE(CONTROL!$C$21, $C$9, 100%, $E$9)</f>
        <v>10.417400000000001</v>
      </c>
      <c r="J251" s="17">
        <f>CHOOSE(CONTROL!$C$42, 10.3679, 10.3679)* CHOOSE(CONTROL!$C$21, $C$9, 100%, $E$9)</f>
        <v>10.367900000000001</v>
      </c>
      <c r="K251" s="53">
        <f>CHOOSE(CONTROL!$C$42, 10.4114, 10.4114) * CHOOSE(CONTROL!$C$21, $C$9, 100%, $E$9)</f>
        <v>10.4114</v>
      </c>
      <c r="L251" s="17">
        <f>CHOOSE(CONTROL!$C$42, 11.0977, 11.0977) * CHOOSE(CONTROL!$C$21, $C$9, 100%, $E$9)</f>
        <v>11.0977</v>
      </c>
      <c r="M251" s="17">
        <f>CHOOSE(CONTROL!$C$42, 10.2817, 10.2817) * CHOOSE(CONTROL!$C$21, $C$9, 100%, $E$9)</f>
        <v>10.281700000000001</v>
      </c>
      <c r="N251" s="17">
        <f>CHOOSE(CONTROL!$C$42, 10.2982, 10.2982) * CHOOSE(CONTROL!$C$21, $C$9, 100%, $E$9)</f>
        <v>10.2982</v>
      </c>
      <c r="O251" s="17">
        <f>CHOOSE(CONTROL!$C$42, 10.4232, 10.4232) * CHOOSE(CONTROL!$C$21, $C$9, 100%, $E$9)</f>
        <v>10.4232</v>
      </c>
      <c r="P251" s="17">
        <f>CHOOSE(CONTROL!$C$42, 10.3305, 10.3305) * CHOOSE(CONTROL!$C$21, $C$9, 100%, $E$9)</f>
        <v>10.330500000000001</v>
      </c>
      <c r="Q251" s="17">
        <f>CHOOSE(CONTROL!$C$42, 11.0179, 11.0179) * CHOOSE(CONTROL!$C$21, $C$9, 100%, $E$9)</f>
        <v>11.017899999999999</v>
      </c>
      <c r="R251" s="17">
        <f>CHOOSE(CONTROL!$C$42, 11.6324, 11.6324) * CHOOSE(CONTROL!$C$21, $C$9, 100%, $E$9)</f>
        <v>11.632400000000001</v>
      </c>
      <c r="S251" s="17">
        <f>CHOOSE(CONTROL!$C$42, 10.0369, 10.0369) * CHOOSE(CONTROL!$C$21, $C$9, 100%, $E$9)</f>
        <v>10.036899999999999</v>
      </c>
      <c r="T251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251" s="57">
        <f>(1000*CHOOSE(CONTROL!$C$42, 695, 695)*CHOOSE(CONTROL!$C$42, 0.5599, 0.5599)*CHOOSE(CONTROL!$C$42, 30, 30))/1000000</f>
        <v>11.673914999999997</v>
      </c>
      <c r="V251" s="57">
        <f>(1000*CHOOSE(CONTROL!$C$42, 500, 500)*CHOOSE(CONTROL!$C$42, 0.275, 0.275)*CHOOSE(CONTROL!$C$42, 30, 30))/1000000</f>
        <v>4.125</v>
      </c>
      <c r="W251" s="57">
        <f>(1000*CHOOSE(CONTROL!$C$42, 0.0916, 0.0916)*CHOOSE(CONTROL!$C$42, 121.5, 121.5)*CHOOSE(CONTROL!$C$42, 30, 30))/1000000</f>
        <v>0.33388200000000001</v>
      </c>
      <c r="X251" s="57">
        <f>(30*0.2374*100000/1000000)</f>
        <v>0.71220000000000006</v>
      </c>
      <c r="Y251" s="57"/>
      <c r="Z251" s="17"/>
      <c r="AA251" s="56"/>
      <c r="AB251" s="49">
        <f>(B251*122.58+C251*297.941+D251*89.177+E251*140.302+F251*40+G251*60+H251*0+I251*100+J251*300)/(122.58+297.941+89.177+140.302+0+40+60+100+300)</f>
        <v>10.400350586956522</v>
      </c>
      <c r="AC251" s="46">
        <f>(M251*'RAP TEMPLATE-GAS AVAILABILITY'!O250+N251*'RAP TEMPLATE-GAS AVAILABILITY'!P250+O251*'RAP TEMPLATE-GAS AVAILABILITY'!Q250+P251*'RAP TEMPLATE-GAS AVAILABILITY'!R250)/('RAP TEMPLATE-GAS AVAILABILITY'!O250+'RAP TEMPLATE-GAS AVAILABILITY'!P250+'RAP TEMPLATE-GAS AVAILABILITY'!Q250+'RAP TEMPLATE-GAS AVAILABILITY'!R250)</f>
        <v>10.353804316546762</v>
      </c>
    </row>
    <row r="252" spans="1:29" ht="15.75" x14ac:dyDescent="0.25">
      <c r="A252" s="16">
        <v>48549</v>
      </c>
      <c r="B252" s="17">
        <f>CHOOSE(CONTROL!$C$42, 11.066, 11.066) * CHOOSE(CONTROL!$C$21, $C$9, 100%, $E$9)</f>
        <v>11.066000000000001</v>
      </c>
      <c r="C252" s="17">
        <f>CHOOSE(CONTROL!$C$42, 11.0711, 11.0711) * CHOOSE(CONTROL!$C$21, $C$9, 100%, $E$9)</f>
        <v>11.071099999999999</v>
      </c>
      <c r="D252" s="17">
        <f>CHOOSE(CONTROL!$C$42, 11.1937, 11.1937) * CHOOSE(CONTROL!$C$21, $C$9, 100%, $E$9)</f>
        <v>11.1937</v>
      </c>
      <c r="E252" s="17">
        <f>CHOOSE(CONTROL!$C$42, 11.2274, 11.2274) * CHOOSE(CONTROL!$C$21, $C$9, 100%, $E$9)</f>
        <v>11.227399999999999</v>
      </c>
      <c r="F252" s="17">
        <f>CHOOSE(CONTROL!$C$42, 11.0834, 11.0834)*CHOOSE(CONTROL!$C$21, $C$9, 100%, $E$9)</f>
        <v>11.083399999999999</v>
      </c>
      <c r="G252" s="17">
        <f>CHOOSE(CONTROL!$C$42, 11.1007, 11.1007)*CHOOSE(CONTROL!$C$21, $C$9, 100%, $E$9)</f>
        <v>11.1007</v>
      </c>
      <c r="H252" s="17">
        <f>CHOOSE(CONTROL!$C$42, 11.2163, 11.2163) * CHOOSE(CONTROL!$C$21, $C$9, 100%, $E$9)</f>
        <v>11.2163</v>
      </c>
      <c r="I252" s="17">
        <f>CHOOSE(CONTROL!$C$42, 11.1253, 11.1253)* CHOOSE(CONTROL!$C$21, $C$9, 100%, $E$9)</f>
        <v>11.125299999999999</v>
      </c>
      <c r="J252" s="17">
        <f>CHOOSE(CONTROL!$C$42, 11.076, 11.076)* CHOOSE(CONTROL!$C$21, $C$9, 100%, $E$9)</f>
        <v>11.076000000000001</v>
      </c>
      <c r="K252" s="53">
        <f>CHOOSE(CONTROL!$C$42, 11.1192, 11.1192) * CHOOSE(CONTROL!$C$21, $C$9, 100%, $E$9)</f>
        <v>11.119199999999999</v>
      </c>
      <c r="L252" s="17">
        <f>CHOOSE(CONTROL!$C$42, 11.8033, 11.8033) * CHOOSE(CONTROL!$C$21, $C$9, 100%, $E$9)</f>
        <v>11.8033</v>
      </c>
      <c r="M252" s="17">
        <f>CHOOSE(CONTROL!$C$42, 10.9834, 10.9834) * CHOOSE(CONTROL!$C$21, $C$9, 100%, $E$9)</f>
        <v>10.9834</v>
      </c>
      <c r="N252" s="17">
        <f>CHOOSE(CONTROL!$C$42, 11.0006, 11.0006) * CHOOSE(CONTROL!$C$21, $C$9, 100%, $E$9)</f>
        <v>11.0006</v>
      </c>
      <c r="O252" s="17">
        <f>CHOOSE(CONTROL!$C$42, 11.1225, 11.1225) * CHOOSE(CONTROL!$C$21, $C$9, 100%, $E$9)</f>
        <v>11.1225</v>
      </c>
      <c r="P252" s="17">
        <f>CHOOSE(CONTROL!$C$42, 11.032, 11.032) * CHOOSE(CONTROL!$C$21, $C$9, 100%, $E$9)</f>
        <v>11.032</v>
      </c>
      <c r="Q252" s="17">
        <f>CHOOSE(CONTROL!$C$42, 11.7172, 11.7172) * CHOOSE(CONTROL!$C$21, $C$9, 100%, $E$9)</f>
        <v>11.7172</v>
      </c>
      <c r="R252" s="17">
        <f>CHOOSE(CONTROL!$C$42, 12.3334, 12.3334) * CHOOSE(CONTROL!$C$21, $C$9, 100%, $E$9)</f>
        <v>12.333399999999999</v>
      </c>
      <c r="S252" s="17">
        <f>CHOOSE(CONTROL!$C$42, 10.7212, 10.7212) * CHOOSE(CONTROL!$C$21, $C$9, 100%, $E$9)</f>
        <v>10.7212</v>
      </c>
      <c r="T252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252" s="57">
        <f>(1000*CHOOSE(CONTROL!$C$42, 695, 695)*CHOOSE(CONTROL!$C$42, 0.5599, 0.5599)*CHOOSE(CONTROL!$C$42, 31, 31))/1000000</f>
        <v>12.063045499999998</v>
      </c>
      <c r="V252" s="57">
        <f>(1000*CHOOSE(CONTROL!$C$42, 500, 500)*CHOOSE(CONTROL!$C$42, 0.275, 0.275)*CHOOSE(CONTROL!$C$42, 31, 31))/1000000</f>
        <v>4.2625000000000002</v>
      </c>
      <c r="W252" s="57">
        <f>(1000*CHOOSE(CONTROL!$C$42, 0.0916, 0.0916)*CHOOSE(CONTROL!$C$42, 121.5, 121.5)*CHOOSE(CONTROL!$C$42, 31, 31))/1000000</f>
        <v>0.34501139999999997</v>
      </c>
      <c r="X252" s="57">
        <f>(31*0.2374*100000/1000000)</f>
        <v>0.73594000000000004</v>
      </c>
      <c r="Y252" s="57"/>
      <c r="Z252" s="17"/>
      <c r="AA252" s="56"/>
      <c r="AB252" s="49">
        <f>(B252*122.58+C252*297.941+D252*89.177+E252*140.302+F252*40+G252*60+H252*0+I252*100+J252*300)/(122.58+297.941+89.177+140.302+0+40+60+100+300)</f>
        <v>11.107095778086956</v>
      </c>
      <c r="AC252" s="46">
        <f>(M252*'RAP TEMPLATE-GAS AVAILABILITY'!O251+N252*'RAP TEMPLATE-GAS AVAILABILITY'!P251+O252*'RAP TEMPLATE-GAS AVAILABILITY'!Q251+P252*'RAP TEMPLATE-GAS AVAILABILITY'!R251)/('RAP TEMPLATE-GAS AVAILABILITY'!O251+'RAP TEMPLATE-GAS AVAILABILITY'!P251+'RAP TEMPLATE-GAS AVAILABILITY'!Q251+'RAP TEMPLATE-GAS AVAILABILITY'!R251)</f>
        <v>11.054428057553958</v>
      </c>
    </row>
    <row r="253" spans="1:29" ht="15.75" x14ac:dyDescent="0.25">
      <c r="A253" s="16">
        <v>48580</v>
      </c>
      <c r="B253" s="17">
        <f>CHOOSE(CONTROL!$C$42, 11.9825, 11.9825) * CHOOSE(CONTROL!$C$21, $C$9, 100%, $E$9)</f>
        <v>11.9825</v>
      </c>
      <c r="C253" s="17">
        <f>CHOOSE(CONTROL!$C$42, 11.9876, 11.9876) * CHOOSE(CONTROL!$C$21, $C$9, 100%, $E$9)</f>
        <v>11.9876</v>
      </c>
      <c r="D253" s="17">
        <f>CHOOSE(CONTROL!$C$42, 12.105, 12.105) * CHOOSE(CONTROL!$C$21, $C$9, 100%, $E$9)</f>
        <v>12.105</v>
      </c>
      <c r="E253" s="17">
        <f>CHOOSE(CONTROL!$C$42, 12.1388, 12.1388) * CHOOSE(CONTROL!$C$21, $C$9, 100%, $E$9)</f>
        <v>12.1388</v>
      </c>
      <c r="F253" s="17">
        <f>CHOOSE(CONTROL!$C$42, 11.9961, 11.9961)*CHOOSE(CONTROL!$C$21, $C$9, 100%, $E$9)</f>
        <v>11.9961</v>
      </c>
      <c r="G253" s="17">
        <f>CHOOSE(CONTROL!$C$42, 12.0124, 12.0124)*CHOOSE(CONTROL!$C$21, $C$9, 100%, $E$9)</f>
        <v>12.0124</v>
      </c>
      <c r="H253" s="17">
        <f>CHOOSE(CONTROL!$C$42, 12.1277, 12.1277) * CHOOSE(CONTROL!$C$21, $C$9, 100%, $E$9)</f>
        <v>12.127700000000001</v>
      </c>
      <c r="I253" s="17">
        <f>CHOOSE(CONTROL!$C$42, 12.0431, 12.0431)* CHOOSE(CONTROL!$C$21, $C$9, 100%, $E$9)</f>
        <v>12.043100000000001</v>
      </c>
      <c r="J253" s="17">
        <f>CHOOSE(CONTROL!$C$42, 11.9887, 11.9887)* CHOOSE(CONTROL!$C$21, $C$9, 100%, $E$9)</f>
        <v>11.9887</v>
      </c>
      <c r="K253" s="53">
        <f>CHOOSE(CONTROL!$C$42, 12.037, 12.037) * CHOOSE(CONTROL!$C$21, $C$9, 100%, $E$9)</f>
        <v>12.037000000000001</v>
      </c>
      <c r="L253" s="17">
        <f>CHOOSE(CONTROL!$C$42, 12.7147, 12.7147) * CHOOSE(CONTROL!$C$21, $C$9, 100%, $E$9)</f>
        <v>12.714700000000001</v>
      </c>
      <c r="M253" s="17">
        <f>CHOOSE(CONTROL!$C$42, 11.8879, 11.8879) * CHOOSE(CONTROL!$C$21, $C$9, 100%, $E$9)</f>
        <v>11.8879</v>
      </c>
      <c r="N253" s="17">
        <f>CHOOSE(CONTROL!$C$42, 11.9041, 11.9041) * CHOOSE(CONTROL!$C$21, $C$9, 100%, $E$9)</f>
        <v>11.9041</v>
      </c>
      <c r="O253" s="17">
        <f>CHOOSE(CONTROL!$C$42, 12.0256, 12.0256) * CHOOSE(CONTROL!$C$21, $C$9, 100%, $E$9)</f>
        <v>12.025600000000001</v>
      </c>
      <c r="P253" s="17">
        <f>CHOOSE(CONTROL!$C$42, 11.9415, 11.9415) * CHOOSE(CONTROL!$C$21, $C$9, 100%, $E$9)</f>
        <v>11.9415</v>
      </c>
      <c r="Q253" s="17">
        <f>CHOOSE(CONTROL!$C$42, 12.6203, 12.6203) * CHOOSE(CONTROL!$C$21, $C$9, 100%, $E$9)</f>
        <v>12.6203</v>
      </c>
      <c r="R253" s="17">
        <f>CHOOSE(CONTROL!$C$42, 13.2389, 13.2389) * CHOOSE(CONTROL!$C$21, $C$9, 100%, $E$9)</f>
        <v>13.238899999999999</v>
      </c>
      <c r="S253" s="17">
        <f>CHOOSE(CONTROL!$C$42, 11.6099, 11.6099) * CHOOSE(CONTROL!$C$21, $C$9, 100%, $E$9)</f>
        <v>11.6099</v>
      </c>
      <c r="T253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253" s="57">
        <f>(1000*CHOOSE(CONTROL!$C$42, 695, 695)*CHOOSE(CONTROL!$C$42, 0.5599, 0.5599)*CHOOSE(CONTROL!$C$42, 31, 31))/1000000</f>
        <v>12.063045499999998</v>
      </c>
      <c r="V253" s="57">
        <f>(1000*CHOOSE(CONTROL!$C$42, 500, 500)*CHOOSE(CONTROL!$C$42, 0.275, 0.275)*CHOOSE(CONTROL!$C$42, 31, 31))/1000000</f>
        <v>4.2625000000000002</v>
      </c>
      <c r="W253" s="57">
        <f>(1000*CHOOSE(CONTROL!$C$42, 0.0916, 0.0916)*CHOOSE(CONTROL!$C$42, 121.5, 121.5)*CHOOSE(CONTROL!$C$42, 31, 31))/1000000</f>
        <v>0.34501139999999997</v>
      </c>
      <c r="X253" s="57">
        <f>(31*0.2374*100000/1000000)</f>
        <v>0.73594000000000004</v>
      </c>
      <c r="Y253" s="57"/>
      <c r="Z253" s="17"/>
      <c r="AA253" s="56"/>
      <c r="AB253" s="49">
        <f>(B253*122.58+C253*297.941+D253*89.177+E253*140.302+F253*40+G253*60+H253*0+I253*100+J253*300)/(122.58+297.941+89.177+140.302+0+40+60+100+300)</f>
        <v>12.021309464521739</v>
      </c>
      <c r="AC253" s="46">
        <f>(M253*'RAP TEMPLATE-GAS AVAILABILITY'!O252+N253*'RAP TEMPLATE-GAS AVAILABILITY'!P252+O253*'RAP TEMPLATE-GAS AVAILABILITY'!Q252+P253*'RAP TEMPLATE-GAS AVAILABILITY'!R252)/('RAP TEMPLATE-GAS AVAILABILITY'!O252+'RAP TEMPLATE-GAS AVAILABILITY'!P252+'RAP TEMPLATE-GAS AVAILABILITY'!Q252+'RAP TEMPLATE-GAS AVAILABILITY'!R252)</f>
        <v>11.958955395683454</v>
      </c>
    </row>
    <row r="254" spans="1:29" ht="15.75" x14ac:dyDescent="0.25">
      <c r="A254" s="16">
        <v>48611</v>
      </c>
      <c r="B254" s="17">
        <f>CHOOSE(CONTROL!$C$42, 12.1956, 12.1956) * CHOOSE(CONTROL!$C$21, $C$9, 100%, $E$9)</f>
        <v>12.195600000000001</v>
      </c>
      <c r="C254" s="17">
        <f>CHOOSE(CONTROL!$C$42, 12.2007, 12.2007) * CHOOSE(CONTROL!$C$21, $C$9, 100%, $E$9)</f>
        <v>12.200699999999999</v>
      </c>
      <c r="D254" s="17">
        <f>CHOOSE(CONTROL!$C$42, 12.3181, 12.3181) * CHOOSE(CONTROL!$C$21, $C$9, 100%, $E$9)</f>
        <v>12.318099999999999</v>
      </c>
      <c r="E254" s="17">
        <f>CHOOSE(CONTROL!$C$42, 12.3519, 12.3519) * CHOOSE(CONTROL!$C$21, $C$9, 100%, $E$9)</f>
        <v>12.351900000000001</v>
      </c>
      <c r="F254" s="17">
        <f>CHOOSE(CONTROL!$C$42, 12.2092, 12.2092)*CHOOSE(CONTROL!$C$21, $C$9, 100%, $E$9)</f>
        <v>12.209199999999999</v>
      </c>
      <c r="G254" s="17">
        <f>CHOOSE(CONTROL!$C$42, 12.2256, 12.2256)*CHOOSE(CONTROL!$C$21, $C$9, 100%, $E$9)</f>
        <v>12.2256</v>
      </c>
      <c r="H254" s="17">
        <f>CHOOSE(CONTROL!$C$42, 12.3408, 12.3408) * CHOOSE(CONTROL!$C$21, $C$9, 100%, $E$9)</f>
        <v>12.3408</v>
      </c>
      <c r="I254" s="17">
        <f>CHOOSE(CONTROL!$C$42, 12.2568, 12.2568)* CHOOSE(CONTROL!$C$21, $C$9, 100%, $E$9)</f>
        <v>12.2568</v>
      </c>
      <c r="J254" s="17">
        <f>CHOOSE(CONTROL!$C$42, 12.2018, 12.2018)* CHOOSE(CONTROL!$C$21, $C$9, 100%, $E$9)</f>
        <v>12.2018</v>
      </c>
      <c r="K254" s="53">
        <f>CHOOSE(CONTROL!$C$42, 12.2508, 12.2508) * CHOOSE(CONTROL!$C$21, $C$9, 100%, $E$9)</f>
        <v>12.2508</v>
      </c>
      <c r="L254" s="17">
        <f>CHOOSE(CONTROL!$C$42, 12.9278, 12.9278) * CHOOSE(CONTROL!$C$21, $C$9, 100%, $E$9)</f>
        <v>12.9278</v>
      </c>
      <c r="M254" s="17">
        <f>CHOOSE(CONTROL!$C$42, 12.0991, 12.0991) * CHOOSE(CONTROL!$C$21, $C$9, 100%, $E$9)</f>
        <v>12.0991</v>
      </c>
      <c r="N254" s="17">
        <f>CHOOSE(CONTROL!$C$42, 12.1153, 12.1153) * CHOOSE(CONTROL!$C$21, $C$9, 100%, $E$9)</f>
        <v>12.1153</v>
      </c>
      <c r="O254" s="17">
        <f>CHOOSE(CONTROL!$C$42, 12.2368, 12.2368) * CHOOSE(CONTROL!$C$21, $C$9, 100%, $E$9)</f>
        <v>12.236800000000001</v>
      </c>
      <c r="P254" s="17">
        <f>CHOOSE(CONTROL!$C$42, 12.1533, 12.1533) * CHOOSE(CONTROL!$C$21, $C$9, 100%, $E$9)</f>
        <v>12.1533</v>
      </c>
      <c r="Q254" s="17">
        <f>CHOOSE(CONTROL!$C$42, 12.8315, 12.8315) * CHOOSE(CONTROL!$C$21, $C$9, 100%, $E$9)</f>
        <v>12.8315</v>
      </c>
      <c r="R254" s="17">
        <f>CHOOSE(CONTROL!$C$42, 13.4506, 13.4506) * CHOOSE(CONTROL!$C$21, $C$9, 100%, $E$9)</f>
        <v>13.4506</v>
      </c>
      <c r="S254" s="17">
        <f>CHOOSE(CONTROL!$C$42, 11.8166, 11.8166) * CHOOSE(CONTROL!$C$21, $C$9, 100%, $E$9)</f>
        <v>11.816599999999999</v>
      </c>
      <c r="T254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254" s="57">
        <f>(1000*CHOOSE(CONTROL!$C$42, 695, 695)*CHOOSE(CONTROL!$C$42, 0.5599, 0.5599)*CHOOSE(CONTROL!$C$42, 28, 28))/1000000</f>
        <v>10.895653999999999</v>
      </c>
      <c r="V254" s="57">
        <f>(1000*CHOOSE(CONTROL!$C$42, 500, 500)*CHOOSE(CONTROL!$C$42, 0.275, 0.275)*CHOOSE(CONTROL!$C$42, 28, 28))/1000000</f>
        <v>3.85</v>
      </c>
      <c r="W254" s="57">
        <f>(1000*CHOOSE(CONTROL!$C$42, 0.0916, 0.0916)*CHOOSE(CONTROL!$C$42, 121.5, 121.5)*CHOOSE(CONTROL!$C$42, 28, 28))/1000000</f>
        <v>0.31162319999999999</v>
      </c>
      <c r="X254" s="57">
        <f>(28*0.2374*100000/1000000)</f>
        <v>0.66471999999999998</v>
      </c>
      <c r="Y254" s="57"/>
      <c r="Z254" s="17"/>
      <c r="AA254" s="56"/>
      <c r="AB254" s="49">
        <f>(B254*122.58+C254*297.941+D254*89.177+E254*140.302+F254*40+G254*60+H254*0+I254*100+J254*300)/(122.58+297.941+89.177+140.302+0+40+60+100+300)</f>
        <v>12.234466855826089</v>
      </c>
      <c r="AC254" s="46">
        <f>(M254*'RAP TEMPLATE-GAS AVAILABILITY'!O253+N254*'RAP TEMPLATE-GAS AVAILABILITY'!P253+O254*'RAP TEMPLATE-GAS AVAILABILITY'!Q253+P254*'RAP TEMPLATE-GAS AVAILABILITY'!R253)/('RAP TEMPLATE-GAS AVAILABILITY'!O253+'RAP TEMPLATE-GAS AVAILABILITY'!P253+'RAP TEMPLATE-GAS AVAILABILITY'!Q253+'RAP TEMPLATE-GAS AVAILABILITY'!R253)</f>
        <v>12.170241726618704</v>
      </c>
    </row>
    <row r="255" spans="1:29" ht="15.75" x14ac:dyDescent="0.25">
      <c r="A255" s="16">
        <v>48639</v>
      </c>
      <c r="B255" s="17">
        <f>CHOOSE(CONTROL!$C$42, 11.8497, 11.8497) * CHOOSE(CONTROL!$C$21, $C$9, 100%, $E$9)</f>
        <v>11.8497</v>
      </c>
      <c r="C255" s="17">
        <f>CHOOSE(CONTROL!$C$42, 11.8547, 11.8547) * CHOOSE(CONTROL!$C$21, $C$9, 100%, $E$9)</f>
        <v>11.854699999999999</v>
      </c>
      <c r="D255" s="17">
        <f>CHOOSE(CONTROL!$C$42, 11.9722, 11.9722) * CHOOSE(CONTROL!$C$21, $C$9, 100%, $E$9)</f>
        <v>11.972200000000001</v>
      </c>
      <c r="E255" s="17">
        <f>CHOOSE(CONTROL!$C$42, 12.006, 12.006) * CHOOSE(CONTROL!$C$21, $C$9, 100%, $E$9)</f>
        <v>12.006</v>
      </c>
      <c r="F255" s="17">
        <f>CHOOSE(CONTROL!$C$42, 11.8627, 11.8627)*CHOOSE(CONTROL!$C$21, $C$9, 100%, $E$9)</f>
        <v>11.8627</v>
      </c>
      <c r="G255" s="17">
        <f>CHOOSE(CONTROL!$C$42, 11.8788, 11.8788)*CHOOSE(CONTROL!$C$21, $C$9, 100%, $E$9)</f>
        <v>11.8788</v>
      </c>
      <c r="H255" s="17">
        <f>CHOOSE(CONTROL!$C$42, 11.9948, 11.9948) * CHOOSE(CONTROL!$C$21, $C$9, 100%, $E$9)</f>
        <v>11.9948</v>
      </c>
      <c r="I255" s="17">
        <f>CHOOSE(CONTROL!$C$42, 11.9098, 11.9098)* CHOOSE(CONTROL!$C$21, $C$9, 100%, $E$9)</f>
        <v>11.909800000000001</v>
      </c>
      <c r="J255" s="17">
        <f>CHOOSE(CONTROL!$C$42, 11.8553, 11.8553)* CHOOSE(CONTROL!$C$21, $C$9, 100%, $E$9)</f>
        <v>11.8553</v>
      </c>
      <c r="K255" s="53">
        <f>CHOOSE(CONTROL!$C$42, 11.9038, 11.9038) * CHOOSE(CONTROL!$C$21, $C$9, 100%, $E$9)</f>
        <v>11.9038</v>
      </c>
      <c r="L255" s="17">
        <f>CHOOSE(CONTROL!$C$42, 12.5818, 12.5818) * CHOOSE(CONTROL!$C$21, $C$9, 100%, $E$9)</f>
        <v>12.581799999999999</v>
      </c>
      <c r="M255" s="17">
        <f>CHOOSE(CONTROL!$C$42, 11.7557, 11.7557) * CHOOSE(CONTROL!$C$21, $C$9, 100%, $E$9)</f>
        <v>11.755699999999999</v>
      </c>
      <c r="N255" s="17">
        <f>CHOOSE(CONTROL!$C$42, 11.7716, 11.7716) * CHOOSE(CONTROL!$C$21, $C$9, 100%, $E$9)</f>
        <v>11.771599999999999</v>
      </c>
      <c r="O255" s="17">
        <f>CHOOSE(CONTROL!$C$42, 11.894, 11.894) * CHOOSE(CONTROL!$C$21, $C$9, 100%, $E$9)</f>
        <v>11.894</v>
      </c>
      <c r="P255" s="17">
        <f>CHOOSE(CONTROL!$C$42, 11.8095, 11.8095) * CHOOSE(CONTROL!$C$21, $C$9, 100%, $E$9)</f>
        <v>11.8095</v>
      </c>
      <c r="Q255" s="17">
        <f>CHOOSE(CONTROL!$C$42, 12.4887, 12.4887) * CHOOSE(CONTROL!$C$21, $C$9, 100%, $E$9)</f>
        <v>12.4887</v>
      </c>
      <c r="R255" s="17">
        <f>CHOOSE(CONTROL!$C$42, 13.1069, 13.1069) * CHOOSE(CONTROL!$C$21, $C$9, 100%, $E$9)</f>
        <v>13.1069</v>
      </c>
      <c r="S255" s="17">
        <f>CHOOSE(CONTROL!$C$42, 11.4811, 11.4811) * CHOOSE(CONTROL!$C$21, $C$9, 100%, $E$9)</f>
        <v>11.4811</v>
      </c>
      <c r="T255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255" s="57">
        <f>(1000*CHOOSE(CONTROL!$C$42, 695, 695)*CHOOSE(CONTROL!$C$42, 0.5599, 0.5599)*CHOOSE(CONTROL!$C$42, 31, 31))/1000000</f>
        <v>12.063045499999998</v>
      </c>
      <c r="V255" s="57">
        <f>(1000*CHOOSE(CONTROL!$C$42, 500, 500)*CHOOSE(CONTROL!$C$42, 0.275, 0.275)*CHOOSE(CONTROL!$C$42, 31, 31))/1000000</f>
        <v>4.2625000000000002</v>
      </c>
      <c r="W255" s="57">
        <f>(1000*CHOOSE(CONTROL!$C$42, 0.0916, 0.0916)*CHOOSE(CONTROL!$C$42, 121.5, 121.5)*CHOOSE(CONTROL!$C$42, 31, 31))/1000000</f>
        <v>0.34501139999999997</v>
      </c>
      <c r="X255" s="57">
        <f>(31*0.2374*100000/1000000)</f>
        <v>0.73594000000000004</v>
      </c>
      <c r="Y255" s="57"/>
      <c r="Z255" s="17"/>
      <c r="AA255" s="56"/>
      <c r="AB255" s="49">
        <f>(B255*122.58+C255*297.941+D255*89.177+E255*140.302+F255*40+G255*60+H255*0+I255*100+J255*300)/(122.58+297.941+89.177+140.302+0+40+60+100+300)</f>
        <v>11.888220947913043</v>
      </c>
      <c r="AC255" s="46">
        <f>(M255*'RAP TEMPLATE-GAS AVAILABILITY'!O254+N255*'RAP TEMPLATE-GAS AVAILABILITY'!P254+O255*'RAP TEMPLATE-GAS AVAILABILITY'!Q254+P255*'RAP TEMPLATE-GAS AVAILABILITY'!R254)/('RAP TEMPLATE-GAS AVAILABILITY'!O254+'RAP TEMPLATE-GAS AVAILABILITY'!P254+'RAP TEMPLATE-GAS AVAILABILITY'!Q254+'RAP TEMPLATE-GAS AVAILABILITY'!R254)</f>
        <v>11.827038848920866</v>
      </c>
    </row>
    <row r="256" spans="1:29" ht="15.75" x14ac:dyDescent="0.25">
      <c r="A256" s="16">
        <v>48670</v>
      </c>
      <c r="B256" s="17">
        <f>CHOOSE(CONTROL!$C$42, 11.8152, 11.8152) * CHOOSE(CONTROL!$C$21, $C$9, 100%, $E$9)</f>
        <v>11.815200000000001</v>
      </c>
      <c r="C256" s="17">
        <f>CHOOSE(CONTROL!$C$42, 11.8197, 11.8197) * CHOOSE(CONTROL!$C$21, $C$9, 100%, $E$9)</f>
        <v>11.819699999999999</v>
      </c>
      <c r="D256" s="17">
        <f>CHOOSE(CONTROL!$C$42, 12.0724, 12.0724) * CHOOSE(CONTROL!$C$21, $C$9, 100%, $E$9)</f>
        <v>12.0724</v>
      </c>
      <c r="E256" s="17">
        <f>CHOOSE(CONTROL!$C$42, 12.1042, 12.1042) * CHOOSE(CONTROL!$C$21, $C$9, 100%, $E$9)</f>
        <v>12.104200000000001</v>
      </c>
      <c r="F256" s="17">
        <f>CHOOSE(CONTROL!$C$42, 11.8212, 11.8212)*CHOOSE(CONTROL!$C$21, $C$9, 100%, $E$9)</f>
        <v>11.821199999999999</v>
      </c>
      <c r="G256" s="17">
        <f>CHOOSE(CONTROL!$C$42, 11.837, 11.837)*CHOOSE(CONTROL!$C$21, $C$9, 100%, $E$9)</f>
        <v>11.837</v>
      </c>
      <c r="H256" s="17">
        <f>CHOOSE(CONTROL!$C$42, 12.0937, 12.0937) * CHOOSE(CONTROL!$C$21, $C$9, 100%, $E$9)</f>
        <v>12.0937</v>
      </c>
      <c r="I256" s="17">
        <f>CHOOSE(CONTROL!$C$42, 11.8735, 11.8735)* CHOOSE(CONTROL!$C$21, $C$9, 100%, $E$9)</f>
        <v>11.8735</v>
      </c>
      <c r="J256" s="17">
        <f>CHOOSE(CONTROL!$C$42, 11.8138, 11.8138)* CHOOSE(CONTROL!$C$21, $C$9, 100%, $E$9)</f>
        <v>11.813800000000001</v>
      </c>
      <c r="K256" s="53">
        <f>CHOOSE(CONTROL!$C$42, 11.8674, 11.8674) * CHOOSE(CONTROL!$C$21, $C$9, 100%, $E$9)</f>
        <v>11.8674</v>
      </c>
      <c r="L256" s="17">
        <f>CHOOSE(CONTROL!$C$42, 12.6807, 12.6807) * CHOOSE(CONTROL!$C$21, $C$9, 100%, $E$9)</f>
        <v>12.6807</v>
      </c>
      <c r="M256" s="17">
        <f>CHOOSE(CONTROL!$C$42, 11.7145, 11.7145) * CHOOSE(CONTROL!$C$21, $C$9, 100%, $E$9)</f>
        <v>11.714499999999999</v>
      </c>
      <c r="N256" s="17">
        <f>CHOOSE(CONTROL!$C$42, 11.7302, 11.7302) * CHOOSE(CONTROL!$C$21, $C$9, 100%, $E$9)</f>
        <v>11.7302</v>
      </c>
      <c r="O256" s="17">
        <f>CHOOSE(CONTROL!$C$42, 11.9919, 11.9919) * CHOOSE(CONTROL!$C$21, $C$9, 100%, $E$9)</f>
        <v>11.991899999999999</v>
      </c>
      <c r="P256" s="17">
        <f>CHOOSE(CONTROL!$C$42, 11.7734, 11.7734) * CHOOSE(CONTROL!$C$21, $C$9, 100%, $E$9)</f>
        <v>11.773400000000001</v>
      </c>
      <c r="Q256" s="17">
        <f>CHOOSE(CONTROL!$C$42, 12.5866, 12.5866) * CHOOSE(CONTROL!$C$21, $C$9, 100%, $E$9)</f>
        <v>12.586600000000001</v>
      </c>
      <c r="R256" s="17">
        <f>CHOOSE(CONTROL!$C$42, 13.2051, 13.2051) * CHOOSE(CONTROL!$C$21, $C$9, 100%, $E$9)</f>
        <v>13.2051</v>
      </c>
      <c r="S256" s="17">
        <f>CHOOSE(CONTROL!$C$42, 11.447, 11.447) * CHOOSE(CONTROL!$C$21, $C$9, 100%, $E$9)</f>
        <v>11.446999999999999</v>
      </c>
      <c r="T256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256" s="57">
        <f>(1000*CHOOSE(CONTROL!$C$42, 695, 695)*CHOOSE(CONTROL!$C$42, 0.5599, 0.5599)*CHOOSE(CONTROL!$C$42, 30, 30))/1000000</f>
        <v>11.673914999999997</v>
      </c>
      <c r="V256" s="57">
        <f>(1000*CHOOSE(CONTROL!$C$42, 500, 500)*CHOOSE(CONTROL!$C$42, 0.275, 0.275)*CHOOSE(CONTROL!$C$42, 30, 30))/1000000</f>
        <v>4.125</v>
      </c>
      <c r="W256" s="57">
        <f>(1000*CHOOSE(CONTROL!$C$42, 0.0916, 0.0916)*CHOOSE(CONTROL!$C$42, 121.5, 121.5)*CHOOSE(CONTROL!$C$42, 30, 30))/1000000</f>
        <v>0.33388200000000001</v>
      </c>
      <c r="X256" s="57">
        <f>(30*0.1790888*145000/1000000)+(30*0.2374*100000/1000000)</f>
        <v>1.4912362799999999</v>
      </c>
      <c r="Y256" s="57"/>
      <c r="Z256" s="17"/>
      <c r="AA256" s="56"/>
      <c r="AB256" s="49">
        <f>(B256*141.293+C256*267.993+D256*115.016+E256*189.698+F256*40+G256*85+H256*0+I256*100+J256*300)/(141.293+267.993+115.016+189.698+0+40+85+100+300)</f>
        <v>11.890352385552864</v>
      </c>
      <c r="AC256" s="46">
        <f>(M256*'RAP TEMPLATE-GAS AVAILABILITY'!O255+N256*'RAP TEMPLATE-GAS AVAILABILITY'!P255+O256*'RAP TEMPLATE-GAS AVAILABILITY'!Q255+P256*'RAP TEMPLATE-GAS AVAILABILITY'!R255)/('RAP TEMPLATE-GAS AVAILABILITY'!O255+'RAP TEMPLATE-GAS AVAILABILITY'!P255+'RAP TEMPLATE-GAS AVAILABILITY'!Q255+'RAP TEMPLATE-GAS AVAILABILITY'!R255)</f>
        <v>11.804420863309353</v>
      </c>
    </row>
    <row r="257" spans="1:29" ht="15.75" x14ac:dyDescent="0.25">
      <c r="A257" s="16">
        <v>48700</v>
      </c>
      <c r="B257" s="17">
        <f>CHOOSE(CONTROL!$C$42, 11.9208, 11.9208) * CHOOSE(CONTROL!$C$21, $C$9, 100%, $E$9)</f>
        <v>11.9208</v>
      </c>
      <c r="C257" s="17">
        <f>CHOOSE(CONTROL!$C$42, 11.9287, 11.9287) * CHOOSE(CONTROL!$C$21, $C$9, 100%, $E$9)</f>
        <v>11.928699999999999</v>
      </c>
      <c r="D257" s="17">
        <f>CHOOSE(CONTROL!$C$42, 12.1784, 12.1784) * CHOOSE(CONTROL!$C$21, $C$9, 100%, $E$9)</f>
        <v>12.1784</v>
      </c>
      <c r="E257" s="17">
        <f>CHOOSE(CONTROL!$C$42, 12.2095, 12.2095) * CHOOSE(CONTROL!$C$21, $C$9, 100%, $E$9)</f>
        <v>12.2095</v>
      </c>
      <c r="F257" s="17">
        <f>CHOOSE(CONTROL!$C$42, 11.9256, 11.9256)*CHOOSE(CONTROL!$C$21, $C$9, 100%, $E$9)</f>
        <v>11.925599999999999</v>
      </c>
      <c r="G257" s="17">
        <f>CHOOSE(CONTROL!$C$42, 11.9417, 11.9417)*CHOOSE(CONTROL!$C$21, $C$9, 100%, $E$9)</f>
        <v>11.941700000000001</v>
      </c>
      <c r="H257" s="17">
        <f>CHOOSE(CONTROL!$C$42, 12.1979, 12.1979) * CHOOSE(CONTROL!$C$21, $C$9, 100%, $E$9)</f>
        <v>12.197900000000001</v>
      </c>
      <c r="I257" s="17">
        <f>CHOOSE(CONTROL!$C$42, 11.978, 11.978)* CHOOSE(CONTROL!$C$21, $C$9, 100%, $E$9)</f>
        <v>11.978</v>
      </c>
      <c r="J257" s="17">
        <f>CHOOSE(CONTROL!$C$42, 11.9182, 11.9182)* CHOOSE(CONTROL!$C$21, $C$9, 100%, $E$9)</f>
        <v>11.918200000000001</v>
      </c>
      <c r="K257" s="53">
        <f>CHOOSE(CONTROL!$C$42, 11.9719, 11.9719) * CHOOSE(CONTROL!$C$21, $C$9, 100%, $E$9)</f>
        <v>11.9719</v>
      </c>
      <c r="L257" s="17">
        <f>CHOOSE(CONTROL!$C$42, 12.7849, 12.7849) * CHOOSE(CONTROL!$C$21, $C$9, 100%, $E$9)</f>
        <v>12.7849</v>
      </c>
      <c r="M257" s="17">
        <f>CHOOSE(CONTROL!$C$42, 11.818, 11.818) * CHOOSE(CONTROL!$C$21, $C$9, 100%, $E$9)</f>
        <v>11.818</v>
      </c>
      <c r="N257" s="17">
        <f>CHOOSE(CONTROL!$C$42, 11.834, 11.834) * CHOOSE(CONTROL!$C$21, $C$9, 100%, $E$9)</f>
        <v>11.834</v>
      </c>
      <c r="O257" s="17">
        <f>CHOOSE(CONTROL!$C$42, 12.0952, 12.0952) * CHOOSE(CONTROL!$C$21, $C$9, 100%, $E$9)</f>
        <v>12.0952</v>
      </c>
      <c r="P257" s="17">
        <f>CHOOSE(CONTROL!$C$42, 11.877, 11.877) * CHOOSE(CONTROL!$C$21, $C$9, 100%, $E$9)</f>
        <v>11.877000000000001</v>
      </c>
      <c r="Q257" s="17">
        <f>CHOOSE(CONTROL!$C$42, 12.6899, 12.6899) * CHOOSE(CONTROL!$C$21, $C$9, 100%, $E$9)</f>
        <v>12.6899</v>
      </c>
      <c r="R257" s="17">
        <f>CHOOSE(CONTROL!$C$42, 13.3086, 13.3086) * CHOOSE(CONTROL!$C$21, $C$9, 100%, $E$9)</f>
        <v>13.3086</v>
      </c>
      <c r="S257" s="17">
        <f>CHOOSE(CONTROL!$C$42, 11.548, 11.548) * CHOOSE(CONTROL!$C$21, $C$9, 100%, $E$9)</f>
        <v>11.548</v>
      </c>
      <c r="T257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257" s="57">
        <f>(1000*CHOOSE(CONTROL!$C$42, 695, 695)*CHOOSE(CONTROL!$C$42, 0.5599, 0.5599)*CHOOSE(CONTROL!$C$42, 31, 31))/1000000</f>
        <v>12.063045499999998</v>
      </c>
      <c r="V257" s="57">
        <f>(1000*CHOOSE(CONTROL!$C$42, 500, 500)*CHOOSE(CONTROL!$C$42, 0.275, 0.275)*CHOOSE(CONTROL!$C$42, 31, 31))/1000000</f>
        <v>4.2625000000000002</v>
      </c>
      <c r="W257" s="57">
        <f>(1000*CHOOSE(CONTROL!$C$42, 0.0916, 0.0916)*CHOOSE(CONTROL!$C$42, 121.5, 121.5)*CHOOSE(CONTROL!$C$42, 31, 31))/1000000</f>
        <v>0.34501139999999997</v>
      </c>
      <c r="X257" s="57">
        <f>(31*0.1790888*145000/1000000)+(31*0.2374*100000/1000000)</f>
        <v>1.5409441560000001</v>
      </c>
      <c r="Y257" s="57"/>
      <c r="Z257" s="17"/>
      <c r="AA257" s="56"/>
      <c r="AB257" s="49">
        <f>(B257*194.205+C257*267.466+D257*133.845+E257*153.484+F257*40+G257*85+H257*0+I257*100+J257*300)/(194.205+267.466+133.845+153.484+0+40+85+100+300)</f>
        <v>11.989725262323391</v>
      </c>
      <c r="AC257" s="46">
        <f>(M257*'RAP TEMPLATE-GAS AVAILABILITY'!O256+N257*'RAP TEMPLATE-GAS AVAILABILITY'!P256+O257*'RAP TEMPLATE-GAS AVAILABILITY'!Q256+P257*'RAP TEMPLATE-GAS AVAILABILITY'!R256)/('RAP TEMPLATE-GAS AVAILABILITY'!O256+'RAP TEMPLATE-GAS AVAILABILITY'!P256+'RAP TEMPLATE-GAS AVAILABILITY'!Q256+'RAP TEMPLATE-GAS AVAILABILITY'!R256)</f>
        <v>11.907948201438851</v>
      </c>
    </row>
    <row r="258" spans="1:29" ht="15.75" x14ac:dyDescent="0.25">
      <c r="A258" s="16">
        <v>48731</v>
      </c>
      <c r="B258" s="17">
        <f>CHOOSE(CONTROL!$C$42, 12.2585, 12.2585) * CHOOSE(CONTROL!$C$21, $C$9, 100%, $E$9)</f>
        <v>12.2585</v>
      </c>
      <c r="C258" s="17">
        <f>CHOOSE(CONTROL!$C$42, 12.2665, 12.2665) * CHOOSE(CONTROL!$C$21, $C$9, 100%, $E$9)</f>
        <v>12.266500000000001</v>
      </c>
      <c r="D258" s="17">
        <f>CHOOSE(CONTROL!$C$42, 12.5161, 12.5161) * CHOOSE(CONTROL!$C$21, $C$9, 100%, $E$9)</f>
        <v>12.5161</v>
      </c>
      <c r="E258" s="17">
        <f>CHOOSE(CONTROL!$C$42, 12.5473, 12.5473) * CHOOSE(CONTROL!$C$21, $C$9, 100%, $E$9)</f>
        <v>12.5473</v>
      </c>
      <c r="F258" s="17">
        <f>CHOOSE(CONTROL!$C$42, 12.2637, 12.2637)*CHOOSE(CONTROL!$C$21, $C$9, 100%, $E$9)</f>
        <v>12.2637</v>
      </c>
      <c r="G258" s="17">
        <f>CHOOSE(CONTROL!$C$42, 12.2799, 12.2799)*CHOOSE(CONTROL!$C$21, $C$9, 100%, $E$9)</f>
        <v>12.2799</v>
      </c>
      <c r="H258" s="17">
        <f>CHOOSE(CONTROL!$C$42, 12.5356, 12.5356) * CHOOSE(CONTROL!$C$21, $C$9, 100%, $E$9)</f>
        <v>12.535600000000001</v>
      </c>
      <c r="I258" s="17">
        <f>CHOOSE(CONTROL!$C$42, 12.3168, 12.3168)* CHOOSE(CONTROL!$C$21, $C$9, 100%, $E$9)</f>
        <v>12.316800000000001</v>
      </c>
      <c r="J258" s="17">
        <f>CHOOSE(CONTROL!$C$42, 12.2563, 12.2563)* CHOOSE(CONTROL!$C$21, $C$9, 100%, $E$9)</f>
        <v>12.2563</v>
      </c>
      <c r="K258" s="53">
        <f>CHOOSE(CONTROL!$C$42, 12.3108, 12.3108) * CHOOSE(CONTROL!$C$21, $C$9, 100%, $E$9)</f>
        <v>12.3108</v>
      </c>
      <c r="L258" s="17">
        <f>CHOOSE(CONTROL!$C$42, 13.1226, 13.1226) * CHOOSE(CONTROL!$C$21, $C$9, 100%, $E$9)</f>
        <v>13.1226</v>
      </c>
      <c r="M258" s="17">
        <f>CHOOSE(CONTROL!$C$42, 12.1531, 12.1531) * CHOOSE(CONTROL!$C$21, $C$9, 100%, $E$9)</f>
        <v>12.1531</v>
      </c>
      <c r="N258" s="17">
        <f>CHOOSE(CONTROL!$C$42, 12.1692, 12.1692) * CHOOSE(CONTROL!$C$21, $C$9, 100%, $E$9)</f>
        <v>12.1692</v>
      </c>
      <c r="O258" s="17">
        <f>CHOOSE(CONTROL!$C$42, 12.4299, 12.4299) * CHOOSE(CONTROL!$C$21, $C$9, 100%, $E$9)</f>
        <v>12.4299</v>
      </c>
      <c r="P258" s="17">
        <f>CHOOSE(CONTROL!$C$42, 12.2128, 12.2128) * CHOOSE(CONTROL!$C$21, $C$9, 100%, $E$9)</f>
        <v>12.2128</v>
      </c>
      <c r="Q258" s="17">
        <f>CHOOSE(CONTROL!$C$42, 13.0246, 13.0246) * CHOOSE(CONTROL!$C$21, $C$9, 100%, $E$9)</f>
        <v>13.0246</v>
      </c>
      <c r="R258" s="17">
        <f>CHOOSE(CONTROL!$C$42, 13.6442, 13.6442) * CHOOSE(CONTROL!$C$21, $C$9, 100%, $E$9)</f>
        <v>13.6442</v>
      </c>
      <c r="S258" s="17">
        <f>CHOOSE(CONTROL!$C$42, 11.8755, 11.8755) * CHOOSE(CONTROL!$C$21, $C$9, 100%, $E$9)</f>
        <v>11.875500000000001</v>
      </c>
      <c r="T258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258" s="57">
        <f>(1000*CHOOSE(CONTROL!$C$42, 695, 695)*CHOOSE(CONTROL!$C$42, 0.5599, 0.5599)*CHOOSE(CONTROL!$C$42, 30, 30))/1000000</f>
        <v>11.673914999999997</v>
      </c>
      <c r="V258" s="57">
        <f>(1000*CHOOSE(CONTROL!$C$42, 500, 500)*CHOOSE(CONTROL!$C$42, 0.275, 0.275)*CHOOSE(CONTROL!$C$42, 30, 30))/1000000</f>
        <v>4.125</v>
      </c>
      <c r="W258" s="57">
        <f>(1000*CHOOSE(CONTROL!$C$42, 0.0916, 0.0916)*CHOOSE(CONTROL!$C$42, 121.5, 121.5)*CHOOSE(CONTROL!$C$42, 30, 30))/1000000</f>
        <v>0.33388200000000001</v>
      </c>
      <c r="X258" s="57">
        <f>(30*0.1790888*145000/1000000)+(30*0.2374*100000/1000000)</f>
        <v>1.4912362799999999</v>
      </c>
      <c r="Y258" s="57"/>
      <c r="Z258" s="17"/>
      <c r="AA258" s="56"/>
      <c r="AB258" s="49">
        <f>(B258*194.205+C258*267.466+D258*133.845+E258*153.484+F258*40+G258*85+H258*0+I258*100+J258*300)/(194.205+267.466+133.845+153.484+0+40+85+100+300)</f>
        <v>12.327684756043956</v>
      </c>
      <c r="AC258" s="46">
        <f>(M258*'RAP TEMPLATE-GAS AVAILABILITY'!O257+N258*'RAP TEMPLATE-GAS AVAILABILITY'!P257+O258*'RAP TEMPLATE-GAS AVAILABILITY'!Q257+P258*'RAP TEMPLATE-GAS AVAILABILITY'!R257)/('RAP TEMPLATE-GAS AVAILABILITY'!O257+'RAP TEMPLATE-GAS AVAILABILITY'!P257+'RAP TEMPLATE-GAS AVAILABILITY'!Q257+'RAP TEMPLATE-GAS AVAILABILITY'!R257)</f>
        <v>12.243059712230218</v>
      </c>
    </row>
    <row r="259" spans="1:29" ht="15.75" x14ac:dyDescent="0.25">
      <c r="A259" s="16">
        <v>48761</v>
      </c>
      <c r="B259" s="17">
        <f>CHOOSE(CONTROL!$C$42, 12.0236, 12.0236) * CHOOSE(CONTROL!$C$21, $C$9, 100%, $E$9)</f>
        <v>12.0236</v>
      </c>
      <c r="C259" s="17">
        <f>CHOOSE(CONTROL!$C$42, 12.0316, 12.0316) * CHOOSE(CONTROL!$C$21, $C$9, 100%, $E$9)</f>
        <v>12.031599999999999</v>
      </c>
      <c r="D259" s="17">
        <f>CHOOSE(CONTROL!$C$42, 12.2812, 12.2812) * CHOOSE(CONTROL!$C$21, $C$9, 100%, $E$9)</f>
        <v>12.2812</v>
      </c>
      <c r="E259" s="17">
        <f>CHOOSE(CONTROL!$C$42, 12.3124, 12.3124) * CHOOSE(CONTROL!$C$21, $C$9, 100%, $E$9)</f>
        <v>12.3124</v>
      </c>
      <c r="F259" s="17">
        <f>CHOOSE(CONTROL!$C$42, 12.0293, 12.0293)*CHOOSE(CONTROL!$C$21, $C$9, 100%, $E$9)</f>
        <v>12.029299999999999</v>
      </c>
      <c r="G259" s="17">
        <f>CHOOSE(CONTROL!$C$42, 12.0457, 12.0457)*CHOOSE(CONTROL!$C$21, $C$9, 100%, $E$9)</f>
        <v>12.0457</v>
      </c>
      <c r="H259" s="17">
        <f>CHOOSE(CONTROL!$C$42, 12.3007, 12.3007) * CHOOSE(CONTROL!$C$21, $C$9, 100%, $E$9)</f>
        <v>12.300700000000001</v>
      </c>
      <c r="I259" s="17">
        <f>CHOOSE(CONTROL!$C$42, 12.0811, 12.0811)* CHOOSE(CONTROL!$C$21, $C$9, 100%, $E$9)</f>
        <v>12.081099999999999</v>
      </c>
      <c r="J259" s="17">
        <f>CHOOSE(CONTROL!$C$42, 12.0219, 12.0219)* CHOOSE(CONTROL!$C$21, $C$9, 100%, $E$9)</f>
        <v>12.0219</v>
      </c>
      <c r="K259" s="53">
        <f>CHOOSE(CONTROL!$C$42, 12.0751, 12.0751) * CHOOSE(CONTROL!$C$21, $C$9, 100%, $E$9)</f>
        <v>12.075100000000001</v>
      </c>
      <c r="L259" s="17">
        <f>CHOOSE(CONTROL!$C$42, 12.8877, 12.8877) * CHOOSE(CONTROL!$C$21, $C$9, 100%, $E$9)</f>
        <v>12.887700000000001</v>
      </c>
      <c r="M259" s="17">
        <f>CHOOSE(CONTROL!$C$42, 11.9208, 11.9208) * CHOOSE(CONTROL!$C$21, $C$9, 100%, $E$9)</f>
        <v>11.9208</v>
      </c>
      <c r="N259" s="17">
        <f>CHOOSE(CONTROL!$C$42, 11.937, 11.937) * CHOOSE(CONTROL!$C$21, $C$9, 100%, $E$9)</f>
        <v>11.936999999999999</v>
      </c>
      <c r="O259" s="17">
        <f>CHOOSE(CONTROL!$C$42, 12.1971, 12.1971) * CHOOSE(CONTROL!$C$21, $C$9, 100%, $E$9)</f>
        <v>12.197100000000001</v>
      </c>
      <c r="P259" s="17">
        <f>CHOOSE(CONTROL!$C$42, 11.9792, 11.9792) * CHOOSE(CONTROL!$C$21, $C$9, 100%, $E$9)</f>
        <v>11.979200000000001</v>
      </c>
      <c r="Q259" s="17">
        <f>CHOOSE(CONTROL!$C$42, 12.7918, 12.7918) * CHOOSE(CONTROL!$C$21, $C$9, 100%, $E$9)</f>
        <v>12.7918</v>
      </c>
      <c r="R259" s="17">
        <f>CHOOSE(CONTROL!$C$42, 13.4108, 13.4108) * CHOOSE(CONTROL!$C$21, $C$9, 100%, $E$9)</f>
        <v>13.4108</v>
      </c>
      <c r="S259" s="17">
        <f>CHOOSE(CONTROL!$C$42, 11.6477, 11.6477) * CHOOSE(CONTROL!$C$21, $C$9, 100%, $E$9)</f>
        <v>11.6477</v>
      </c>
      <c r="T259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259" s="57">
        <f>(1000*CHOOSE(CONTROL!$C$42, 695, 695)*CHOOSE(CONTROL!$C$42, 0.5599, 0.5599)*CHOOSE(CONTROL!$C$42, 31, 31))/1000000</f>
        <v>12.063045499999998</v>
      </c>
      <c r="V259" s="57">
        <f>(1000*CHOOSE(CONTROL!$C$42, 500, 500)*CHOOSE(CONTROL!$C$42, 0.275, 0.275)*CHOOSE(CONTROL!$C$42, 31, 31))/1000000</f>
        <v>4.2625000000000002</v>
      </c>
      <c r="W259" s="57">
        <f>(1000*CHOOSE(CONTROL!$C$42, 0.0916, 0.0916)*CHOOSE(CONTROL!$C$42, 121.5, 121.5)*CHOOSE(CONTROL!$C$42, 31, 31))/1000000</f>
        <v>0.34501139999999997</v>
      </c>
      <c r="X259" s="57">
        <f>(31*0.1790888*145000/1000000)+(31*0.2374*100000/1000000)</f>
        <v>1.5409441560000001</v>
      </c>
      <c r="Y259" s="57"/>
      <c r="Z259" s="17"/>
      <c r="AA259" s="56"/>
      <c r="AB259" s="49">
        <f>(B259*194.205+C259*267.466+D259*133.845+E259*153.484+F259*40+G259*85+H259*0+I259*100+J259*300)/(194.205+267.466+133.845+153.484+0+40+85+100+300)</f>
        <v>12.092902102982732</v>
      </c>
      <c r="AC259" s="46">
        <f>(M259*'RAP TEMPLATE-GAS AVAILABILITY'!O258+N259*'RAP TEMPLATE-GAS AVAILABILITY'!P258+O259*'RAP TEMPLATE-GAS AVAILABILITY'!Q258+P259*'RAP TEMPLATE-GAS AVAILABILITY'!R258)/('RAP TEMPLATE-GAS AVAILABILITY'!O258+'RAP TEMPLATE-GAS AVAILABILITY'!P258+'RAP TEMPLATE-GAS AVAILABILITY'!Q258+'RAP TEMPLATE-GAS AVAILABILITY'!R258)</f>
        <v>12.010455395683456</v>
      </c>
    </row>
    <row r="260" spans="1:29" ht="15.75" x14ac:dyDescent="0.25">
      <c r="A260" s="16">
        <v>48792</v>
      </c>
      <c r="B260" s="17">
        <f>CHOOSE(CONTROL!$C$42, 11.4303, 11.4303) * CHOOSE(CONTROL!$C$21, $C$9, 100%, $E$9)</f>
        <v>11.430300000000001</v>
      </c>
      <c r="C260" s="17">
        <f>CHOOSE(CONTROL!$C$42, 11.4383, 11.4383) * CHOOSE(CONTROL!$C$21, $C$9, 100%, $E$9)</f>
        <v>11.4383</v>
      </c>
      <c r="D260" s="17">
        <f>CHOOSE(CONTROL!$C$42, 11.6879, 11.6879) * CHOOSE(CONTROL!$C$21, $C$9, 100%, $E$9)</f>
        <v>11.687900000000001</v>
      </c>
      <c r="E260" s="17">
        <f>CHOOSE(CONTROL!$C$42, 11.7191, 11.7191) * CHOOSE(CONTROL!$C$21, $C$9, 100%, $E$9)</f>
        <v>11.719099999999999</v>
      </c>
      <c r="F260" s="17">
        <f>CHOOSE(CONTROL!$C$42, 11.4363, 11.4363)*CHOOSE(CONTROL!$C$21, $C$9, 100%, $E$9)</f>
        <v>11.436299999999999</v>
      </c>
      <c r="G260" s="17">
        <f>CHOOSE(CONTROL!$C$42, 11.4527, 11.4527)*CHOOSE(CONTROL!$C$21, $C$9, 100%, $E$9)</f>
        <v>11.4527</v>
      </c>
      <c r="H260" s="17">
        <f>CHOOSE(CONTROL!$C$42, 11.7074, 11.7074) * CHOOSE(CONTROL!$C$21, $C$9, 100%, $E$9)</f>
        <v>11.7074</v>
      </c>
      <c r="I260" s="17">
        <f>CHOOSE(CONTROL!$C$42, 11.486, 11.486)* CHOOSE(CONTROL!$C$21, $C$9, 100%, $E$9)</f>
        <v>11.486000000000001</v>
      </c>
      <c r="J260" s="17">
        <f>CHOOSE(CONTROL!$C$42, 11.4289, 11.4289)* CHOOSE(CONTROL!$C$21, $C$9, 100%, $E$9)</f>
        <v>11.428900000000001</v>
      </c>
      <c r="K260" s="53">
        <f>CHOOSE(CONTROL!$C$42, 11.48, 11.48) * CHOOSE(CONTROL!$C$21, $C$9, 100%, $E$9)</f>
        <v>11.48</v>
      </c>
      <c r="L260" s="17">
        <f>CHOOSE(CONTROL!$C$42, 12.2944, 12.2944) * CHOOSE(CONTROL!$C$21, $C$9, 100%, $E$9)</f>
        <v>12.2944</v>
      </c>
      <c r="M260" s="17">
        <f>CHOOSE(CONTROL!$C$42, 11.3331, 11.3331) * CHOOSE(CONTROL!$C$21, $C$9, 100%, $E$9)</f>
        <v>11.3331</v>
      </c>
      <c r="N260" s="17">
        <f>CHOOSE(CONTROL!$C$42, 11.3494, 11.3494) * CHOOSE(CONTROL!$C$21, $C$9, 100%, $E$9)</f>
        <v>11.349399999999999</v>
      </c>
      <c r="O260" s="17">
        <f>CHOOSE(CONTROL!$C$42, 11.6092, 11.6092) * CHOOSE(CONTROL!$C$21, $C$9, 100%, $E$9)</f>
        <v>11.6092</v>
      </c>
      <c r="P260" s="17">
        <f>CHOOSE(CONTROL!$C$42, 11.3895, 11.3895) * CHOOSE(CONTROL!$C$21, $C$9, 100%, $E$9)</f>
        <v>11.3895</v>
      </c>
      <c r="Q260" s="17">
        <f>CHOOSE(CONTROL!$C$42, 12.2039, 12.2039) * CHOOSE(CONTROL!$C$21, $C$9, 100%, $E$9)</f>
        <v>12.203900000000001</v>
      </c>
      <c r="R260" s="17">
        <f>CHOOSE(CONTROL!$C$42, 12.8214, 12.8214) * CHOOSE(CONTROL!$C$21, $C$9, 100%, $E$9)</f>
        <v>12.821400000000001</v>
      </c>
      <c r="S260" s="17">
        <f>CHOOSE(CONTROL!$C$42, 11.0724, 11.0724) * CHOOSE(CONTROL!$C$21, $C$9, 100%, $E$9)</f>
        <v>11.0724</v>
      </c>
      <c r="T260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260" s="57">
        <f>(1000*CHOOSE(CONTROL!$C$42, 695, 695)*CHOOSE(CONTROL!$C$42, 0.5599, 0.5599)*CHOOSE(CONTROL!$C$42, 31, 31))/1000000</f>
        <v>12.063045499999998</v>
      </c>
      <c r="V260" s="57">
        <f>(1000*CHOOSE(CONTROL!$C$42, 500, 500)*CHOOSE(CONTROL!$C$42, 0.275, 0.275)*CHOOSE(CONTROL!$C$42, 31, 31))/1000000</f>
        <v>4.2625000000000002</v>
      </c>
      <c r="W260" s="57">
        <f>(1000*CHOOSE(CONTROL!$C$42, 0.0916, 0.0916)*CHOOSE(CONTROL!$C$42, 121.5, 121.5)*CHOOSE(CONTROL!$C$42, 31, 31))/1000000</f>
        <v>0.34501139999999997</v>
      </c>
      <c r="X260" s="57">
        <f>(31*0.1790888*145000/1000000)+(31*0.2374*100000/1000000)</f>
        <v>1.5409441560000001</v>
      </c>
      <c r="Y260" s="57"/>
      <c r="Z260" s="17"/>
      <c r="AA260" s="56"/>
      <c r="AB260" s="49">
        <f>(B260*194.205+C260*267.466+D260*133.845+E260*153.484+F260*40+G260*85+H260*0+I260*100+J260*300)/(194.205+267.466+133.845+153.484+0+40+85+100+300)</f>
        <v>11.499560894191523</v>
      </c>
      <c r="AC260" s="46">
        <f>(M260*'RAP TEMPLATE-GAS AVAILABILITY'!O259+N260*'RAP TEMPLATE-GAS AVAILABILITY'!P259+O260*'RAP TEMPLATE-GAS AVAILABILITY'!Q259+P260*'RAP TEMPLATE-GAS AVAILABILITY'!R259)/('RAP TEMPLATE-GAS AVAILABILITY'!O259+'RAP TEMPLATE-GAS AVAILABILITY'!P259+'RAP TEMPLATE-GAS AVAILABILITY'!Q259+'RAP TEMPLATE-GAS AVAILABILITY'!R259)</f>
        <v>11.422434532374099</v>
      </c>
    </row>
    <row r="261" spans="1:29" ht="15.75" x14ac:dyDescent="0.25">
      <c r="A261" s="16">
        <v>48823</v>
      </c>
      <c r="B261" s="17">
        <f>CHOOSE(CONTROL!$C$42, 10.7052, 10.7052) * CHOOSE(CONTROL!$C$21, $C$9, 100%, $E$9)</f>
        <v>10.7052</v>
      </c>
      <c r="C261" s="17">
        <f>CHOOSE(CONTROL!$C$42, 10.7132, 10.7132) * CHOOSE(CONTROL!$C$21, $C$9, 100%, $E$9)</f>
        <v>10.713200000000001</v>
      </c>
      <c r="D261" s="17">
        <f>CHOOSE(CONTROL!$C$42, 10.9628, 10.9628) * CHOOSE(CONTROL!$C$21, $C$9, 100%, $E$9)</f>
        <v>10.9628</v>
      </c>
      <c r="E261" s="17">
        <f>CHOOSE(CONTROL!$C$42, 10.994, 10.994) * CHOOSE(CONTROL!$C$21, $C$9, 100%, $E$9)</f>
        <v>10.994</v>
      </c>
      <c r="F261" s="17">
        <f>CHOOSE(CONTROL!$C$42, 10.7112, 10.7112)*CHOOSE(CONTROL!$C$21, $C$9, 100%, $E$9)</f>
        <v>10.7112</v>
      </c>
      <c r="G261" s="17">
        <f>CHOOSE(CONTROL!$C$42, 10.7277, 10.7277)*CHOOSE(CONTROL!$C$21, $C$9, 100%, $E$9)</f>
        <v>10.7277</v>
      </c>
      <c r="H261" s="17">
        <f>CHOOSE(CONTROL!$C$42, 10.9824, 10.9824) * CHOOSE(CONTROL!$C$21, $C$9, 100%, $E$9)</f>
        <v>10.9824</v>
      </c>
      <c r="I261" s="17">
        <f>CHOOSE(CONTROL!$C$42, 10.7587, 10.7587)* CHOOSE(CONTROL!$C$21, $C$9, 100%, $E$9)</f>
        <v>10.758699999999999</v>
      </c>
      <c r="J261" s="17">
        <f>CHOOSE(CONTROL!$C$42, 10.7038, 10.7038)* CHOOSE(CONTROL!$C$21, $C$9, 100%, $E$9)</f>
        <v>10.703799999999999</v>
      </c>
      <c r="K261" s="53">
        <f>CHOOSE(CONTROL!$C$42, 10.7526, 10.7526) * CHOOSE(CONTROL!$C$21, $C$9, 100%, $E$9)</f>
        <v>10.752599999999999</v>
      </c>
      <c r="L261" s="17">
        <f>CHOOSE(CONTROL!$C$42, 11.5694, 11.5694) * CHOOSE(CONTROL!$C$21, $C$9, 100%, $E$9)</f>
        <v>11.5694</v>
      </c>
      <c r="M261" s="17">
        <f>CHOOSE(CONTROL!$C$42, 10.6146, 10.6146) * CHOOSE(CONTROL!$C$21, $C$9, 100%, $E$9)</f>
        <v>10.614599999999999</v>
      </c>
      <c r="N261" s="17">
        <f>CHOOSE(CONTROL!$C$42, 10.6309, 10.6309) * CHOOSE(CONTROL!$C$21, $C$9, 100%, $E$9)</f>
        <v>10.6309</v>
      </c>
      <c r="O261" s="17">
        <f>CHOOSE(CONTROL!$C$42, 10.8906, 10.8906) * CHOOSE(CONTROL!$C$21, $C$9, 100%, $E$9)</f>
        <v>10.890599999999999</v>
      </c>
      <c r="P261" s="17">
        <f>CHOOSE(CONTROL!$C$42, 10.6687, 10.6687) * CHOOSE(CONTROL!$C$21, $C$9, 100%, $E$9)</f>
        <v>10.668699999999999</v>
      </c>
      <c r="Q261" s="17">
        <f>CHOOSE(CONTROL!$C$42, 11.4853, 11.4853) * CHOOSE(CONTROL!$C$21, $C$9, 100%, $E$9)</f>
        <v>11.485300000000001</v>
      </c>
      <c r="R261" s="17">
        <f>CHOOSE(CONTROL!$C$42, 12.101, 12.101) * CHOOSE(CONTROL!$C$21, $C$9, 100%, $E$9)</f>
        <v>12.101000000000001</v>
      </c>
      <c r="S261" s="17">
        <f>CHOOSE(CONTROL!$C$42, 10.3693, 10.3693) * CHOOSE(CONTROL!$C$21, $C$9, 100%, $E$9)</f>
        <v>10.369300000000001</v>
      </c>
      <c r="T261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261" s="57">
        <f>(1000*CHOOSE(CONTROL!$C$42, 695, 695)*CHOOSE(CONTROL!$C$42, 0.5599, 0.5599)*CHOOSE(CONTROL!$C$42, 30, 30))/1000000</f>
        <v>11.673914999999997</v>
      </c>
      <c r="V261" s="57">
        <f>(1000*CHOOSE(CONTROL!$C$42, 500, 500)*CHOOSE(CONTROL!$C$42, 0.275, 0.275)*CHOOSE(CONTROL!$C$42, 30, 30))/1000000</f>
        <v>4.125</v>
      </c>
      <c r="W261" s="57">
        <f>(1000*CHOOSE(CONTROL!$C$42, 0.0916, 0.0916)*CHOOSE(CONTROL!$C$42, 121.5, 121.5)*CHOOSE(CONTROL!$C$42, 30, 30))/1000000</f>
        <v>0.33388200000000001</v>
      </c>
      <c r="X261" s="57">
        <f>(30*0.1790888*145000/1000000)+(30*0.2374*100000/1000000)</f>
        <v>1.4912362799999999</v>
      </c>
      <c r="Y261" s="57"/>
      <c r="Z261" s="17"/>
      <c r="AA261" s="56"/>
      <c r="AB261" s="49">
        <f>(B261*194.205+C261*267.466+D261*133.845+E261*153.484+F261*40+G261*85+H261*0+I261*100+J261*300)/(194.205+267.466+133.845+153.484+0+40+85+100+300)</f>
        <v>10.774294881632652</v>
      </c>
      <c r="AC261" s="46">
        <f>(M261*'RAP TEMPLATE-GAS AVAILABILITY'!O260+N261*'RAP TEMPLATE-GAS AVAILABILITY'!P260+O261*'RAP TEMPLATE-GAS AVAILABILITY'!Q260+P261*'RAP TEMPLATE-GAS AVAILABILITY'!R260)/('RAP TEMPLATE-GAS AVAILABILITY'!O260+'RAP TEMPLATE-GAS AVAILABILITY'!P260+'RAP TEMPLATE-GAS AVAILABILITY'!Q260+'RAP TEMPLATE-GAS AVAILABILITY'!R260)</f>
        <v>10.703575539568345</v>
      </c>
    </row>
    <row r="262" spans="1:29" ht="15.75" x14ac:dyDescent="0.25">
      <c r="A262" s="16">
        <v>48853</v>
      </c>
      <c r="B262" s="17">
        <f>CHOOSE(CONTROL!$C$42, 10.4864, 10.4864) * CHOOSE(CONTROL!$C$21, $C$9, 100%, $E$9)</f>
        <v>10.4864</v>
      </c>
      <c r="C262" s="17">
        <f>CHOOSE(CONTROL!$C$42, 10.4918, 10.4918) * CHOOSE(CONTROL!$C$21, $C$9, 100%, $E$9)</f>
        <v>10.4918</v>
      </c>
      <c r="D262" s="17">
        <f>CHOOSE(CONTROL!$C$42, 10.7462, 10.7462) * CHOOSE(CONTROL!$C$21, $C$9, 100%, $E$9)</f>
        <v>10.7462</v>
      </c>
      <c r="E262" s="17">
        <f>CHOOSE(CONTROL!$C$42, 10.7751, 10.7751) * CHOOSE(CONTROL!$C$21, $C$9, 100%, $E$9)</f>
        <v>10.7751</v>
      </c>
      <c r="F262" s="17">
        <f>CHOOSE(CONTROL!$C$42, 10.4946, 10.4946)*CHOOSE(CONTROL!$C$21, $C$9, 100%, $E$9)</f>
        <v>10.4946</v>
      </c>
      <c r="G262" s="17">
        <f>CHOOSE(CONTROL!$C$42, 10.5109, 10.5109)*CHOOSE(CONTROL!$C$21, $C$9, 100%, $E$9)</f>
        <v>10.510899999999999</v>
      </c>
      <c r="H262" s="17">
        <f>CHOOSE(CONTROL!$C$42, 10.7652, 10.7652) * CHOOSE(CONTROL!$C$21, $C$9, 100%, $E$9)</f>
        <v>10.7652</v>
      </c>
      <c r="I262" s="17">
        <f>CHOOSE(CONTROL!$C$42, 10.5409, 10.5409)* CHOOSE(CONTROL!$C$21, $C$9, 100%, $E$9)</f>
        <v>10.540900000000001</v>
      </c>
      <c r="J262" s="17">
        <f>CHOOSE(CONTROL!$C$42, 10.4872, 10.4872)* CHOOSE(CONTROL!$C$21, $C$9, 100%, $E$9)</f>
        <v>10.4872</v>
      </c>
      <c r="K262" s="53">
        <f>CHOOSE(CONTROL!$C$42, 10.5349, 10.5349) * CHOOSE(CONTROL!$C$21, $C$9, 100%, $E$9)</f>
        <v>10.5349</v>
      </c>
      <c r="L262" s="17">
        <f>CHOOSE(CONTROL!$C$42, 11.3522, 11.3522) * CHOOSE(CONTROL!$C$21, $C$9, 100%, $E$9)</f>
        <v>11.3522</v>
      </c>
      <c r="M262" s="17">
        <f>CHOOSE(CONTROL!$C$42, 10.3999, 10.3999) * CHOOSE(CONTROL!$C$21, $C$9, 100%, $E$9)</f>
        <v>10.399900000000001</v>
      </c>
      <c r="N262" s="17">
        <f>CHOOSE(CONTROL!$C$42, 10.4161, 10.4161) * CHOOSE(CONTROL!$C$21, $C$9, 100%, $E$9)</f>
        <v>10.4161</v>
      </c>
      <c r="O262" s="17">
        <f>CHOOSE(CONTROL!$C$42, 10.6754, 10.6754) * CHOOSE(CONTROL!$C$21, $C$9, 100%, $E$9)</f>
        <v>10.6754</v>
      </c>
      <c r="P262" s="17">
        <f>CHOOSE(CONTROL!$C$42, 10.4529, 10.4529) * CHOOSE(CONTROL!$C$21, $C$9, 100%, $E$9)</f>
        <v>10.4529</v>
      </c>
      <c r="Q262" s="17">
        <f>CHOOSE(CONTROL!$C$42, 11.2701, 11.2701) * CHOOSE(CONTROL!$C$21, $C$9, 100%, $E$9)</f>
        <v>11.270099999999999</v>
      </c>
      <c r="R262" s="17">
        <f>CHOOSE(CONTROL!$C$42, 11.8853, 11.8853) * CHOOSE(CONTROL!$C$21, $C$9, 100%, $E$9)</f>
        <v>11.885300000000001</v>
      </c>
      <c r="S262" s="17">
        <f>CHOOSE(CONTROL!$C$42, 10.1588, 10.1588) * CHOOSE(CONTROL!$C$21, $C$9, 100%, $E$9)</f>
        <v>10.158799999999999</v>
      </c>
      <c r="T262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262" s="57">
        <f>(1000*CHOOSE(CONTROL!$C$42, 695, 695)*CHOOSE(CONTROL!$C$42, 0.5599, 0.5599)*CHOOSE(CONTROL!$C$42, 31, 31))/1000000</f>
        <v>12.063045499999998</v>
      </c>
      <c r="V262" s="57">
        <f>(1000*CHOOSE(CONTROL!$C$42, 500, 500)*CHOOSE(CONTROL!$C$42, 0.275, 0.275)*CHOOSE(CONTROL!$C$42, 31, 31))/1000000</f>
        <v>4.2625000000000002</v>
      </c>
      <c r="W262" s="57">
        <f>(1000*CHOOSE(CONTROL!$C$42, 0.0916, 0.0916)*CHOOSE(CONTROL!$C$42, 121.5, 121.5)*CHOOSE(CONTROL!$C$42, 31, 31))/1000000</f>
        <v>0.34501139999999997</v>
      </c>
      <c r="X262" s="57">
        <f>(31*0.1790888*145000/1000000)+(31*0.2374*100000/1000000)</f>
        <v>1.5409441560000001</v>
      </c>
      <c r="Y262" s="57"/>
      <c r="Z262" s="17"/>
      <c r="AA262" s="56"/>
      <c r="AB262" s="49">
        <f>(B262*131.881+C262*277.167+D262*79.08+E262*225.872+F262*40+G262*85+H262*0+I262*100+J262*300)/(131.881+277.167+79.08+225.872+0+40+85+100+300)</f>
        <v>10.563358379499597</v>
      </c>
      <c r="AC262" s="46">
        <f>(M262*'RAP TEMPLATE-GAS AVAILABILITY'!O261+N262*'RAP TEMPLATE-GAS AVAILABILITY'!P261+O262*'RAP TEMPLATE-GAS AVAILABILITY'!Q261+P262*'RAP TEMPLATE-GAS AVAILABILITY'!R261)/('RAP TEMPLATE-GAS AVAILABILITY'!O261+'RAP TEMPLATE-GAS AVAILABILITY'!P261+'RAP TEMPLATE-GAS AVAILABILITY'!Q261+'RAP TEMPLATE-GAS AVAILABILITY'!R261)</f>
        <v>10.488553956834531</v>
      </c>
    </row>
    <row r="263" spans="1:29" ht="15.75" x14ac:dyDescent="0.25">
      <c r="A263" s="16">
        <v>48884</v>
      </c>
      <c r="B263" s="17">
        <f>CHOOSE(CONTROL!$C$42, 10.762, 10.762) * CHOOSE(CONTROL!$C$21, $C$9, 100%, $E$9)</f>
        <v>10.762</v>
      </c>
      <c r="C263" s="17">
        <f>CHOOSE(CONTROL!$C$42, 10.7671, 10.7671) * CHOOSE(CONTROL!$C$21, $C$9, 100%, $E$9)</f>
        <v>10.767099999999999</v>
      </c>
      <c r="D263" s="17">
        <f>CHOOSE(CONTROL!$C$42, 10.8897, 10.8897) * CHOOSE(CONTROL!$C$21, $C$9, 100%, $E$9)</f>
        <v>10.889699999999999</v>
      </c>
      <c r="E263" s="17">
        <f>CHOOSE(CONTROL!$C$42, 10.9234, 10.9234) * CHOOSE(CONTROL!$C$21, $C$9, 100%, $E$9)</f>
        <v>10.923400000000001</v>
      </c>
      <c r="F263" s="17">
        <f>CHOOSE(CONTROL!$C$42, 10.777, 10.777)*CHOOSE(CONTROL!$C$21, $C$9, 100%, $E$9)</f>
        <v>10.776999999999999</v>
      </c>
      <c r="G263" s="17">
        <f>CHOOSE(CONTROL!$C$42, 10.7937, 10.7937)*CHOOSE(CONTROL!$C$21, $C$9, 100%, $E$9)</f>
        <v>10.793699999999999</v>
      </c>
      <c r="H263" s="17">
        <f>CHOOSE(CONTROL!$C$42, 10.9123, 10.9123) * CHOOSE(CONTROL!$C$21, $C$9, 100%, $E$9)</f>
        <v>10.9123</v>
      </c>
      <c r="I263" s="17">
        <f>CHOOSE(CONTROL!$C$42, 10.8203, 10.8203)* CHOOSE(CONTROL!$C$21, $C$9, 100%, $E$9)</f>
        <v>10.8203</v>
      </c>
      <c r="J263" s="17">
        <f>CHOOSE(CONTROL!$C$42, 10.7696, 10.7696)* CHOOSE(CONTROL!$C$21, $C$9, 100%, $E$9)</f>
        <v>10.769600000000001</v>
      </c>
      <c r="K263" s="53">
        <f>CHOOSE(CONTROL!$C$42, 10.8143, 10.8143) * CHOOSE(CONTROL!$C$21, $C$9, 100%, $E$9)</f>
        <v>10.814299999999999</v>
      </c>
      <c r="L263" s="17">
        <f>CHOOSE(CONTROL!$C$42, 11.4993, 11.4993) * CHOOSE(CONTROL!$C$21, $C$9, 100%, $E$9)</f>
        <v>11.4993</v>
      </c>
      <c r="M263" s="17">
        <f>CHOOSE(CONTROL!$C$42, 10.6797, 10.6797) * CHOOSE(CONTROL!$C$21, $C$9, 100%, $E$9)</f>
        <v>10.6797</v>
      </c>
      <c r="N263" s="17">
        <f>CHOOSE(CONTROL!$C$42, 10.6963, 10.6963) * CHOOSE(CONTROL!$C$21, $C$9, 100%, $E$9)</f>
        <v>10.696300000000001</v>
      </c>
      <c r="O263" s="17">
        <f>CHOOSE(CONTROL!$C$42, 10.8212, 10.8212) * CHOOSE(CONTROL!$C$21, $C$9, 100%, $E$9)</f>
        <v>10.821199999999999</v>
      </c>
      <c r="P263" s="17">
        <f>CHOOSE(CONTROL!$C$42, 10.7298, 10.7298) * CHOOSE(CONTROL!$C$21, $C$9, 100%, $E$9)</f>
        <v>10.729799999999999</v>
      </c>
      <c r="Q263" s="17">
        <f>CHOOSE(CONTROL!$C$42, 11.4159, 11.4159) * CHOOSE(CONTROL!$C$21, $C$9, 100%, $E$9)</f>
        <v>11.415900000000001</v>
      </c>
      <c r="R263" s="17">
        <f>CHOOSE(CONTROL!$C$42, 12.0314, 12.0314) * CHOOSE(CONTROL!$C$21, $C$9, 100%, $E$9)</f>
        <v>12.0314</v>
      </c>
      <c r="S263" s="17">
        <f>CHOOSE(CONTROL!$C$42, 10.4264, 10.4264) * CHOOSE(CONTROL!$C$21, $C$9, 100%, $E$9)</f>
        <v>10.426399999999999</v>
      </c>
      <c r="T263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263" s="57">
        <f>(1000*CHOOSE(CONTROL!$C$42, 695, 695)*CHOOSE(CONTROL!$C$42, 0.5599, 0.5599)*CHOOSE(CONTROL!$C$42, 30, 30))/1000000</f>
        <v>11.673914999999997</v>
      </c>
      <c r="V263" s="57">
        <f>(1000*CHOOSE(CONTROL!$C$42, 500, 500)*CHOOSE(CONTROL!$C$42, 0.275, 0.275)*CHOOSE(CONTROL!$C$42, 30, 30))/1000000</f>
        <v>4.125</v>
      </c>
      <c r="W263" s="57">
        <f>(1000*CHOOSE(CONTROL!$C$42, 0.0916, 0.0916)*CHOOSE(CONTROL!$C$42, 121.5, 121.5)*CHOOSE(CONTROL!$C$42, 30, 30))/1000000</f>
        <v>0.33388200000000001</v>
      </c>
      <c r="X263" s="57">
        <f>(30*0.2374*100000/1000000)</f>
        <v>0.71220000000000006</v>
      </c>
      <c r="Y263" s="57"/>
      <c r="Z263" s="17"/>
      <c r="AA263" s="56"/>
      <c r="AB263" s="49">
        <f>(B263*122.58+C263*297.941+D263*89.177+E263*140.302+F263*40+G263*60+H263*0+I263*100+J263*300)/(122.58+297.941+89.177+140.302+0+40+60+100+300)</f>
        <v>10.802142734608696</v>
      </c>
      <c r="AC263" s="46">
        <f>(M263*'RAP TEMPLATE-GAS AVAILABILITY'!O262+N263*'RAP TEMPLATE-GAS AVAILABILITY'!P262+O263*'RAP TEMPLATE-GAS AVAILABILITY'!Q262+P263*'RAP TEMPLATE-GAS AVAILABILITY'!R262)/('RAP TEMPLATE-GAS AVAILABILITY'!O262+'RAP TEMPLATE-GAS AVAILABILITY'!P262+'RAP TEMPLATE-GAS AVAILABILITY'!Q262+'RAP TEMPLATE-GAS AVAILABILITY'!R262)</f>
        <v>10.751997122302157</v>
      </c>
    </row>
    <row r="264" spans="1:29" ht="15.75" x14ac:dyDescent="0.25">
      <c r="A264" s="16">
        <v>48914</v>
      </c>
      <c r="B264" s="17">
        <f>CHOOSE(CONTROL!$C$42, 11.495, 11.495) * CHOOSE(CONTROL!$C$21, $C$9, 100%, $E$9)</f>
        <v>11.494999999999999</v>
      </c>
      <c r="C264" s="17">
        <f>CHOOSE(CONTROL!$C$42, 11.5001, 11.5001) * CHOOSE(CONTROL!$C$21, $C$9, 100%, $E$9)</f>
        <v>11.5001</v>
      </c>
      <c r="D264" s="17">
        <f>CHOOSE(CONTROL!$C$42, 11.6227, 11.6227) * CHOOSE(CONTROL!$C$21, $C$9, 100%, $E$9)</f>
        <v>11.6227</v>
      </c>
      <c r="E264" s="17">
        <f>CHOOSE(CONTROL!$C$42, 11.6565, 11.6565) * CHOOSE(CONTROL!$C$21, $C$9, 100%, $E$9)</f>
        <v>11.656499999999999</v>
      </c>
      <c r="F264" s="17">
        <f>CHOOSE(CONTROL!$C$42, 11.5124, 11.5124)*CHOOSE(CONTROL!$C$21, $C$9, 100%, $E$9)</f>
        <v>11.5124</v>
      </c>
      <c r="G264" s="17">
        <f>CHOOSE(CONTROL!$C$42, 11.5297, 11.5297)*CHOOSE(CONTROL!$C$21, $C$9, 100%, $E$9)</f>
        <v>11.5297</v>
      </c>
      <c r="H264" s="17">
        <f>CHOOSE(CONTROL!$C$42, 11.6453, 11.6453) * CHOOSE(CONTROL!$C$21, $C$9, 100%, $E$9)</f>
        <v>11.645300000000001</v>
      </c>
      <c r="I264" s="17">
        <f>CHOOSE(CONTROL!$C$42, 11.5556, 11.5556)* CHOOSE(CONTROL!$C$21, $C$9, 100%, $E$9)</f>
        <v>11.5556</v>
      </c>
      <c r="J264" s="17">
        <f>CHOOSE(CONTROL!$C$42, 11.505, 11.505)* CHOOSE(CONTROL!$C$21, $C$9, 100%, $E$9)</f>
        <v>11.505000000000001</v>
      </c>
      <c r="K264" s="53">
        <f>CHOOSE(CONTROL!$C$42, 11.5496, 11.5496) * CHOOSE(CONTROL!$C$21, $C$9, 100%, $E$9)</f>
        <v>11.5496</v>
      </c>
      <c r="L264" s="17">
        <f>CHOOSE(CONTROL!$C$42, 12.2323, 12.2323) * CHOOSE(CONTROL!$C$21, $C$9, 100%, $E$9)</f>
        <v>12.2323</v>
      </c>
      <c r="M264" s="17">
        <f>CHOOSE(CONTROL!$C$42, 11.4086, 11.4086) * CHOOSE(CONTROL!$C$21, $C$9, 100%, $E$9)</f>
        <v>11.4086</v>
      </c>
      <c r="N264" s="17">
        <f>CHOOSE(CONTROL!$C$42, 11.4257, 11.4257) * CHOOSE(CONTROL!$C$21, $C$9, 100%, $E$9)</f>
        <v>11.425700000000001</v>
      </c>
      <c r="O264" s="17">
        <f>CHOOSE(CONTROL!$C$42, 11.5476, 11.5476) * CHOOSE(CONTROL!$C$21, $C$9, 100%, $E$9)</f>
        <v>11.547599999999999</v>
      </c>
      <c r="P264" s="17">
        <f>CHOOSE(CONTROL!$C$42, 11.4584, 11.4584) * CHOOSE(CONTROL!$C$21, $C$9, 100%, $E$9)</f>
        <v>11.458399999999999</v>
      </c>
      <c r="Q264" s="17">
        <f>CHOOSE(CONTROL!$C$42, 12.1423, 12.1423) * CHOOSE(CONTROL!$C$21, $C$9, 100%, $E$9)</f>
        <v>12.142300000000001</v>
      </c>
      <c r="R264" s="17">
        <f>CHOOSE(CONTROL!$C$42, 12.7597, 12.7597) * CHOOSE(CONTROL!$C$21, $C$9, 100%, $E$9)</f>
        <v>12.7597</v>
      </c>
      <c r="S264" s="17">
        <f>CHOOSE(CONTROL!$C$42, 11.1372, 11.1372) * CHOOSE(CONTROL!$C$21, $C$9, 100%, $E$9)</f>
        <v>11.1372</v>
      </c>
      <c r="T264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264" s="57">
        <f>(1000*CHOOSE(CONTROL!$C$42, 695, 695)*CHOOSE(CONTROL!$C$42, 0.5599, 0.5599)*CHOOSE(CONTROL!$C$42, 31, 31))/1000000</f>
        <v>12.063045499999998</v>
      </c>
      <c r="V264" s="57">
        <f>(1000*CHOOSE(CONTROL!$C$42, 500, 500)*CHOOSE(CONTROL!$C$42, 0.275, 0.275)*CHOOSE(CONTROL!$C$42, 31, 31))/1000000</f>
        <v>4.2625000000000002</v>
      </c>
      <c r="W264" s="57">
        <f>(1000*CHOOSE(CONTROL!$C$42, 0.0916, 0.0916)*CHOOSE(CONTROL!$C$42, 121.5, 121.5)*CHOOSE(CONTROL!$C$42, 31, 31))/1000000</f>
        <v>0.34501139999999997</v>
      </c>
      <c r="X264" s="57">
        <f>(31*0.2374*100000/1000000)</f>
        <v>0.73594000000000004</v>
      </c>
      <c r="Y264" s="57"/>
      <c r="Z264" s="17"/>
      <c r="AA264" s="56"/>
      <c r="AB264" s="49">
        <f>(B264*122.58+C264*297.941+D264*89.177+E264*140.302+F264*40+G264*60+H264*0+I264*100+J264*300)/(122.58+297.941+89.177+140.302+0+40+60+100+300)</f>
        <v>11.536221021739129</v>
      </c>
      <c r="AC264" s="46">
        <f>(M264*'RAP TEMPLATE-GAS AVAILABILITY'!O263+N264*'RAP TEMPLATE-GAS AVAILABILITY'!P263+O264*'RAP TEMPLATE-GAS AVAILABILITY'!Q263+P264*'RAP TEMPLATE-GAS AVAILABILITY'!R263)/('RAP TEMPLATE-GAS AVAILABILITY'!O263+'RAP TEMPLATE-GAS AVAILABILITY'!P263+'RAP TEMPLATE-GAS AVAILABILITY'!Q263+'RAP TEMPLATE-GAS AVAILABILITY'!R263)</f>
        <v>11.479749640287769</v>
      </c>
    </row>
    <row r="265" spans="1:29" ht="15.75" x14ac:dyDescent="0.25">
      <c r="A265" s="16">
        <v>48945</v>
      </c>
      <c r="B265" s="17">
        <f>CHOOSE(CONTROL!$C$42, 12.4471, 12.4471) * CHOOSE(CONTROL!$C$21, $C$9, 100%, $E$9)</f>
        <v>12.447100000000001</v>
      </c>
      <c r="C265" s="17">
        <f>CHOOSE(CONTROL!$C$42, 12.4522, 12.4522) * CHOOSE(CONTROL!$C$21, $C$9, 100%, $E$9)</f>
        <v>12.452199999999999</v>
      </c>
      <c r="D265" s="17">
        <f>CHOOSE(CONTROL!$C$42, 12.5696, 12.5696) * CHOOSE(CONTROL!$C$21, $C$9, 100%, $E$9)</f>
        <v>12.569599999999999</v>
      </c>
      <c r="E265" s="17">
        <f>CHOOSE(CONTROL!$C$42, 12.6034, 12.6034) * CHOOSE(CONTROL!$C$21, $C$9, 100%, $E$9)</f>
        <v>12.603400000000001</v>
      </c>
      <c r="F265" s="17">
        <f>CHOOSE(CONTROL!$C$42, 12.4607, 12.4607)*CHOOSE(CONTROL!$C$21, $C$9, 100%, $E$9)</f>
        <v>12.460699999999999</v>
      </c>
      <c r="G265" s="17">
        <f>CHOOSE(CONTROL!$C$42, 12.477, 12.477)*CHOOSE(CONTROL!$C$21, $C$9, 100%, $E$9)</f>
        <v>12.477</v>
      </c>
      <c r="H265" s="17">
        <f>CHOOSE(CONTROL!$C$42, 12.5923, 12.5923) * CHOOSE(CONTROL!$C$21, $C$9, 100%, $E$9)</f>
        <v>12.5923</v>
      </c>
      <c r="I265" s="17">
        <f>CHOOSE(CONTROL!$C$42, 12.5091, 12.5091)* CHOOSE(CONTROL!$C$21, $C$9, 100%, $E$9)</f>
        <v>12.5091</v>
      </c>
      <c r="J265" s="17">
        <f>CHOOSE(CONTROL!$C$42, 12.4533, 12.4533)* CHOOSE(CONTROL!$C$21, $C$9, 100%, $E$9)</f>
        <v>12.4533</v>
      </c>
      <c r="K265" s="53">
        <f>CHOOSE(CONTROL!$C$42, 12.5031, 12.5031) * CHOOSE(CONTROL!$C$21, $C$9, 100%, $E$9)</f>
        <v>12.5031</v>
      </c>
      <c r="L265" s="17">
        <f>CHOOSE(CONTROL!$C$42, 13.1793, 13.1793) * CHOOSE(CONTROL!$C$21, $C$9, 100%, $E$9)</f>
        <v>13.1793</v>
      </c>
      <c r="M265" s="17">
        <f>CHOOSE(CONTROL!$C$42, 12.3483, 12.3483) * CHOOSE(CONTROL!$C$21, $C$9, 100%, $E$9)</f>
        <v>12.3483</v>
      </c>
      <c r="N265" s="17">
        <f>CHOOSE(CONTROL!$C$42, 12.3645, 12.3645) * CHOOSE(CONTROL!$C$21, $C$9, 100%, $E$9)</f>
        <v>12.3645</v>
      </c>
      <c r="O265" s="17">
        <f>CHOOSE(CONTROL!$C$42, 12.486, 12.486) * CHOOSE(CONTROL!$C$21, $C$9, 100%, $E$9)</f>
        <v>12.486000000000001</v>
      </c>
      <c r="P265" s="17">
        <f>CHOOSE(CONTROL!$C$42, 12.4033, 12.4033) * CHOOSE(CONTROL!$C$21, $C$9, 100%, $E$9)</f>
        <v>12.4033</v>
      </c>
      <c r="Q265" s="17">
        <f>CHOOSE(CONTROL!$C$42, 13.0807, 13.0807) * CHOOSE(CONTROL!$C$21, $C$9, 100%, $E$9)</f>
        <v>13.0807</v>
      </c>
      <c r="R265" s="17">
        <f>CHOOSE(CONTROL!$C$42, 13.7004, 13.7004) * CHOOSE(CONTROL!$C$21, $C$9, 100%, $E$9)</f>
        <v>13.7004</v>
      </c>
      <c r="S265" s="17">
        <f>CHOOSE(CONTROL!$C$42, 12.0604, 12.0604) * CHOOSE(CONTROL!$C$21, $C$9, 100%, $E$9)</f>
        <v>12.0604</v>
      </c>
      <c r="T265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265" s="57">
        <f>(1000*CHOOSE(CONTROL!$C$42, 695, 695)*CHOOSE(CONTROL!$C$42, 0.5599, 0.5599)*CHOOSE(CONTROL!$C$42, 31, 31))/1000000</f>
        <v>12.063045499999998</v>
      </c>
      <c r="V265" s="57">
        <f>(1000*CHOOSE(CONTROL!$C$42, 500, 500)*CHOOSE(CONTROL!$C$42, 0.275, 0.275)*CHOOSE(CONTROL!$C$42, 31, 31))/1000000</f>
        <v>4.2625000000000002</v>
      </c>
      <c r="W265" s="57">
        <f>(1000*CHOOSE(CONTROL!$C$42, 0.0916, 0.0916)*CHOOSE(CONTROL!$C$42, 121.5, 121.5)*CHOOSE(CONTROL!$C$42, 31, 31))/1000000</f>
        <v>0.34501139999999997</v>
      </c>
      <c r="X265" s="57">
        <f>(31*0.2374*100000/1000000)</f>
        <v>0.73594000000000004</v>
      </c>
      <c r="Y265" s="57"/>
      <c r="Z265" s="17"/>
      <c r="AA265" s="56"/>
      <c r="AB265" s="49">
        <f>(B265*122.58+C265*297.941+D265*89.177+E265*140.302+F265*40+G265*60+H265*0+I265*100+J265*300)/(122.58+297.941+89.177+140.302+0+40+60+100+300)</f>
        <v>12.486031203652175</v>
      </c>
      <c r="AC265" s="46">
        <f>(M265*'RAP TEMPLATE-GAS AVAILABILITY'!O264+N265*'RAP TEMPLATE-GAS AVAILABILITY'!P264+O265*'RAP TEMPLATE-GAS AVAILABILITY'!Q264+P265*'RAP TEMPLATE-GAS AVAILABILITY'!R264)/('RAP TEMPLATE-GAS AVAILABILITY'!O264+'RAP TEMPLATE-GAS AVAILABILITY'!P264+'RAP TEMPLATE-GAS AVAILABILITY'!Q264+'RAP TEMPLATE-GAS AVAILABILITY'!R264)</f>
        <v>12.419556834532376</v>
      </c>
    </row>
    <row r="266" spans="1:29" ht="15.75" x14ac:dyDescent="0.25">
      <c r="A266" s="16">
        <v>48976</v>
      </c>
      <c r="B266" s="17">
        <f>CHOOSE(CONTROL!$C$42, 12.6685, 12.6685) * CHOOSE(CONTROL!$C$21, $C$9, 100%, $E$9)</f>
        <v>12.6685</v>
      </c>
      <c r="C266" s="17">
        <f>CHOOSE(CONTROL!$C$42, 12.6735, 12.6735) * CHOOSE(CONTROL!$C$21, $C$9, 100%, $E$9)</f>
        <v>12.673500000000001</v>
      </c>
      <c r="D266" s="17">
        <f>CHOOSE(CONTROL!$C$42, 12.791, 12.791) * CHOOSE(CONTROL!$C$21, $C$9, 100%, $E$9)</f>
        <v>12.791</v>
      </c>
      <c r="E266" s="17">
        <f>CHOOSE(CONTROL!$C$42, 12.8248, 12.8248) * CHOOSE(CONTROL!$C$21, $C$9, 100%, $E$9)</f>
        <v>12.8248</v>
      </c>
      <c r="F266" s="17">
        <f>CHOOSE(CONTROL!$C$42, 12.6821, 12.6821)*CHOOSE(CONTROL!$C$21, $C$9, 100%, $E$9)</f>
        <v>12.6821</v>
      </c>
      <c r="G266" s="17">
        <f>CHOOSE(CONTROL!$C$42, 12.6984, 12.6984)*CHOOSE(CONTROL!$C$21, $C$9, 100%, $E$9)</f>
        <v>12.698399999999999</v>
      </c>
      <c r="H266" s="17">
        <f>CHOOSE(CONTROL!$C$42, 12.8136, 12.8136) * CHOOSE(CONTROL!$C$21, $C$9, 100%, $E$9)</f>
        <v>12.813599999999999</v>
      </c>
      <c r="I266" s="17">
        <f>CHOOSE(CONTROL!$C$42, 12.7312, 12.7312)* CHOOSE(CONTROL!$C$21, $C$9, 100%, $E$9)</f>
        <v>12.731199999999999</v>
      </c>
      <c r="J266" s="17">
        <f>CHOOSE(CONTROL!$C$42, 12.6747, 12.6747)* CHOOSE(CONTROL!$C$21, $C$9, 100%, $E$9)</f>
        <v>12.6747</v>
      </c>
      <c r="K266" s="53">
        <f>CHOOSE(CONTROL!$C$42, 12.7251, 12.7251) * CHOOSE(CONTROL!$C$21, $C$9, 100%, $E$9)</f>
        <v>12.725099999999999</v>
      </c>
      <c r="L266" s="17">
        <f>CHOOSE(CONTROL!$C$42, 13.4006, 13.4006) * CHOOSE(CONTROL!$C$21, $C$9, 100%, $E$9)</f>
        <v>13.400600000000001</v>
      </c>
      <c r="M266" s="17">
        <f>CHOOSE(CONTROL!$C$42, 12.5677, 12.5677) * CHOOSE(CONTROL!$C$21, $C$9, 100%, $E$9)</f>
        <v>12.5677</v>
      </c>
      <c r="N266" s="17">
        <f>CHOOSE(CONTROL!$C$42, 12.5839, 12.5839) * CHOOSE(CONTROL!$C$21, $C$9, 100%, $E$9)</f>
        <v>12.5839</v>
      </c>
      <c r="O266" s="17">
        <f>CHOOSE(CONTROL!$C$42, 12.7054, 12.7054) * CHOOSE(CONTROL!$C$21, $C$9, 100%, $E$9)</f>
        <v>12.705399999999999</v>
      </c>
      <c r="P266" s="17">
        <f>CHOOSE(CONTROL!$C$42, 12.6234, 12.6234) * CHOOSE(CONTROL!$C$21, $C$9, 100%, $E$9)</f>
        <v>12.6234</v>
      </c>
      <c r="Q266" s="17">
        <f>CHOOSE(CONTROL!$C$42, 13.3001, 13.3001) * CHOOSE(CONTROL!$C$21, $C$9, 100%, $E$9)</f>
        <v>13.3001</v>
      </c>
      <c r="R266" s="17">
        <f>CHOOSE(CONTROL!$C$42, 13.9204, 13.9204) * CHOOSE(CONTROL!$C$21, $C$9, 100%, $E$9)</f>
        <v>13.920400000000001</v>
      </c>
      <c r="S266" s="17">
        <f>CHOOSE(CONTROL!$C$42, 12.2751, 12.2751) * CHOOSE(CONTROL!$C$21, $C$9, 100%, $E$9)</f>
        <v>12.2751</v>
      </c>
      <c r="T266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266" s="57">
        <f>(1000*CHOOSE(CONTROL!$C$42, 695, 695)*CHOOSE(CONTROL!$C$42, 0.5599, 0.5599)*CHOOSE(CONTROL!$C$42, 28, 28))/1000000</f>
        <v>10.895653999999999</v>
      </c>
      <c r="V266" s="57">
        <f>(1000*CHOOSE(CONTROL!$C$42, 500, 500)*CHOOSE(CONTROL!$C$42, 0.275, 0.275)*CHOOSE(CONTROL!$C$42, 28, 28))/1000000</f>
        <v>3.85</v>
      </c>
      <c r="W266" s="57">
        <f>(1000*CHOOSE(CONTROL!$C$42, 0.0916, 0.0916)*CHOOSE(CONTROL!$C$42, 121.5, 121.5)*CHOOSE(CONTROL!$C$42, 28, 28))/1000000</f>
        <v>0.31162319999999999</v>
      </c>
      <c r="X266" s="57">
        <f>(28*0.2374*100000/1000000)</f>
        <v>0.66471999999999998</v>
      </c>
      <c r="Y266" s="57"/>
      <c r="Z266" s="17"/>
      <c r="AA266" s="56"/>
      <c r="AB266" s="49">
        <f>(B266*122.58+C266*297.941+D266*89.177+E266*140.302+F266*40+G266*60+H266*0+I266*100+J266*300)/(122.58+297.941+89.177+140.302+0+40+60+100+300)</f>
        <v>12.70746616530435</v>
      </c>
      <c r="AC266" s="46">
        <f>(M266*'RAP TEMPLATE-GAS AVAILABILITY'!O265+N266*'RAP TEMPLATE-GAS AVAILABILITY'!P265+O266*'RAP TEMPLATE-GAS AVAILABILITY'!Q265+P266*'RAP TEMPLATE-GAS AVAILABILITY'!R265)/('RAP TEMPLATE-GAS AVAILABILITY'!O265+'RAP TEMPLATE-GAS AVAILABILITY'!P265+'RAP TEMPLATE-GAS AVAILABILITY'!Q265+'RAP TEMPLATE-GAS AVAILABILITY'!R265)</f>
        <v>12.639057553956835</v>
      </c>
    </row>
    <row r="267" spans="1:29" ht="15.75" x14ac:dyDescent="0.25">
      <c r="A267" s="16">
        <v>49004</v>
      </c>
      <c r="B267" s="17">
        <f>CHOOSE(CONTROL!$C$42, 12.3091, 12.3091) * CHOOSE(CONTROL!$C$21, $C$9, 100%, $E$9)</f>
        <v>12.309100000000001</v>
      </c>
      <c r="C267" s="17">
        <f>CHOOSE(CONTROL!$C$42, 12.3142, 12.3142) * CHOOSE(CONTROL!$C$21, $C$9, 100%, $E$9)</f>
        <v>12.3142</v>
      </c>
      <c r="D267" s="17">
        <f>CHOOSE(CONTROL!$C$42, 12.4316, 12.4316) * CHOOSE(CONTROL!$C$21, $C$9, 100%, $E$9)</f>
        <v>12.4316</v>
      </c>
      <c r="E267" s="17">
        <f>CHOOSE(CONTROL!$C$42, 12.4654, 12.4654) * CHOOSE(CONTROL!$C$21, $C$9, 100%, $E$9)</f>
        <v>12.465400000000001</v>
      </c>
      <c r="F267" s="17">
        <f>CHOOSE(CONTROL!$C$42, 12.3221, 12.3221)*CHOOSE(CONTROL!$C$21, $C$9, 100%, $E$9)</f>
        <v>12.322100000000001</v>
      </c>
      <c r="G267" s="17">
        <f>CHOOSE(CONTROL!$C$42, 12.3382, 12.3382)*CHOOSE(CONTROL!$C$21, $C$9, 100%, $E$9)</f>
        <v>12.338200000000001</v>
      </c>
      <c r="H267" s="17">
        <f>CHOOSE(CONTROL!$C$42, 12.4543, 12.4543) * CHOOSE(CONTROL!$C$21, $C$9, 100%, $E$9)</f>
        <v>12.4543</v>
      </c>
      <c r="I267" s="17">
        <f>CHOOSE(CONTROL!$C$42, 12.3707, 12.3707)* CHOOSE(CONTROL!$C$21, $C$9, 100%, $E$9)</f>
        <v>12.370699999999999</v>
      </c>
      <c r="J267" s="17">
        <f>CHOOSE(CONTROL!$C$42, 12.3147, 12.3147)* CHOOSE(CONTROL!$C$21, $C$9, 100%, $E$9)</f>
        <v>12.3147</v>
      </c>
      <c r="K267" s="53">
        <f>CHOOSE(CONTROL!$C$42, 12.3647, 12.3647) * CHOOSE(CONTROL!$C$21, $C$9, 100%, $E$9)</f>
        <v>12.364699999999999</v>
      </c>
      <c r="L267" s="17">
        <f>CHOOSE(CONTROL!$C$42, 13.0413, 13.0413) * CHOOSE(CONTROL!$C$21, $C$9, 100%, $E$9)</f>
        <v>13.0413</v>
      </c>
      <c r="M267" s="17">
        <f>CHOOSE(CONTROL!$C$42, 12.211, 12.211) * CHOOSE(CONTROL!$C$21, $C$9, 100%, $E$9)</f>
        <v>12.211</v>
      </c>
      <c r="N267" s="17">
        <f>CHOOSE(CONTROL!$C$42, 12.2269, 12.2269) * CHOOSE(CONTROL!$C$21, $C$9, 100%, $E$9)</f>
        <v>12.226900000000001</v>
      </c>
      <c r="O267" s="17">
        <f>CHOOSE(CONTROL!$C$42, 12.3493, 12.3493) * CHOOSE(CONTROL!$C$21, $C$9, 100%, $E$9)</f>
        <v>12.349299999999999</v>
      </c>
      <c r="P267" s="17">
        <f>CHOOSE(CONTROL!$C$42, 12.2662, 12.2662) * CHOOSE(CONTROL!$C$21, $C$9, 100%, $E$9)</f>
        <v>12.2662</v>
      </c>
      <c r="Q267" s="17">
        <f>CHOOSE(CONTROL!$C$42, 12.944, 12.944) * CHOOSE(CONTROL!$C$21, $C$9, 100%, $E$9)</f>
        <v>12.944000000000001</v>
      </c>
      <c r="R267" s="17">
        <f>CHOOSE(CONTROL!$C$42, 13.5633, 13.5633) * CHOOSE(CONTROL!$C$21, $C$9, 100%, $E$9)</f>
        <v>13.5633</v>
      </c>
      <c r="S267" s="17">
        <f>CHOOSE(CONTROL!$C$42, 11.9266, 11.9266) * CHOOSE(CONTROL!$C$21, $C$9, 100%, $E$9)</f>
        <v>11.926600000000001</v>
      </c>
      <c r="T267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267" s="57">
        <f>(1000*CHOOSE(CONTROL!$C$42, 695, 695)*CHOOSE(CONTROL!$C$42, 0.5599, 0.5599)*CHOOSE(CONTROL!$C$42, 31, 31))/1000000</f>
        <v>12.063045499999998</v>
      </c>
      <c r="V267" s="57">
        <f>(1000*CHOOSE(CONTROL!$C$42, 500, 500)*CHOOSE(CONTROL!$C$42, 0.275, 0.275)*CHOOSE(CONTROL!$C$42, 31, 31))/1000000</f>
        <v>4.2625000000000002</v>
      </c>
      <c r="W267" s="57">
        <f>(1000*CHOOSE(CONTROL!$C$42, 0.0916, 0.0916)*CHOOSE(CONTROL!$C$42, 121.5, 121.5)*CHOOSE(CONTROL!$C$42, 31, 31))/1000000</f>
        <v>0.34501139999999997</v>
      </c>
      <c r="X267" s="57">
        <f>(31*0.2374*100000/1000000)</f>
        <v>0.73594000000000004</v>
      </c>
      <c r="Y267" s="57"/>
      <c r="Z267" s="17"/>
      <c r="AA267" s="56"/>
      <c r="AB267" s="49">
        <f>(B267*122.58+C267*297.941+D267*89.177+E267*140.302+F267*40+G267*60+H267*0+I267*100+J267*300)/(122.58+297.941+89.177+140.302+0+40+60+100+300)</f>
        <v>12.347777290608693</v>
      </c>
      <c r="AC267" s="46">
        <f>(M267*'RAP TEMPLATE-GAS AVAILABILITY'!O266+N267*'RAP TEMPLATE-GAS AVAILABILITY'!P266+O267*'RAP TEMPLATE-GAS AVAILABILITY'!Q266+P267*'RAP TEMPLATE-GAS AVAILABILITY'!R266)/('RAP TEMPLATE-GAS AVAILABILITY'!O266+'RAP TEMPLATE-GAS AVAILABILITY'!P266+'RAP TEMPLATE-GAS AVAILABILITY'!Q266+'RAP TEMPLATE-GAS AVAILABILITY'!R266)</f>
        <v>12.282540287769784</v>
      </c>
    </row>
    <row r="268" spans="1:29" ht="15.75" x14ac:dyDescent="0.25">
      <c r="A268" s="16">
        <v>49035</v>
      </c>
      <c r="B268" s="17">
        <f>CHOOSE(CONTROL!$C$42, 12.2733, 12.2733) * CHOOSE(CONTROL!$C$21, $C$9, 100%, $E$9)</f>
        <v>12.273300000000001</v>
      </c>
      <c r="C268" s="17">
        <f>CHOOSE(CONTROL!$C$42, 12.2778, 12.2778) * CHOOSE(CONTROL!$C$21, $C$9, 100%, $E$9)</f>
        <v>12.277799999999999</v>
      </c>
      <c r="D268" s="17">
        <f>CHOOSE(CONTROL!$C$42, 12.5305, 12.5305) * CHOOSE(CONTROL!$C$21, $C$9, 100%, $E$9)</f>
        <v>12.5305</v>
      </c>
      <c r="E268" s="17">
        <f>CHOOSE(CONTROL!$C$42, 12.5623, 12.5623) * CHOOSE(CONTROL!$C$21, $C$9, 100%, $E$9)</f>
        <v>12.5623</v>
      </c>
      <c r="F268" s="17">
        <f>CHOOSE(CONTROL!$C$42, 12.2792, 12.2792)*CHOOSE(CONTROL!$C$21, $C$9, 100%, $E$9)</f>
        <v>12.279199999999999</v>
      </c>
      <c r="G268" s="17">
        <f>CHOOSE(CONTROL!$C$42, 12.2951, 12.2951)*CHOOSE(CONTROL!$C$21, $C$9, 100%, $E$9)</f>
        <v>12.2951</v>
      </c>
      <c r="H268" s="17">
        <f>CHOOSE(CONTROL!$C$42, 12.5517, 12.5517) * CHOOSE(CONTROL!$C$21, $C$9, 100%, $E$9)</f>
        <v>12.5517</v>
      </c>
      <c r="I268" s="17">
        <f>CHOOSE(CONTROL!$C$42, 12.3329, 12.3329)* CHOOSE(CONTROL!$C$21, $C$9, 100%, $E$9)</f>
        <v>12.3329</v>
      </c>
      <c r="J268" s="17">
        <f>CHOOSE(CONTROL!$C$42, 12.2718, 12.2718)* CHOOSE(CONTROL!$C$21, $C$9, 100%, $E$9)</f>
        <v>12.271800000000001</v>
      </c>
      <c r="K268" s="53">
        <f>CHOOSE(CONTROL!$C$42, 12.3269, 12.3269) * CHOOSE(CONTROL!$C$21, $C$9, 100%, $E$9)</f>
        <v>12.3269</v>
      </c>
      <c r="L268" s="17">
        <f>CHOOSE(CONTROL!$C$42, 13.1387, 13.1387) * CHOOSE(CONTROL!$C$21, $C$9, 100%, $E$9)</f>
        <v>13.1387</v>
      </c>
      <c r="M268" s="17">
        <f>CHOOSE(CONTROL!$C$42, 12.1685, 12.1685) * CHOOSE(CONTROL!$C$21, $C$9, 100%, $E$9)</f>
        <v>12.1685</v>
      </c>
      <c r="N268" s="17">
        <f>CHOOSE(CONTROL!$C$42, 12.1842, 12.1842) * CHOOSE(CONTROL!$C$21, $C$9, 100%, $E$9)</f>
        <v>12.184200000000001</v>
      </c>
      <c r="O268" s="17">
        <f>CHOOSE(CONTROL!$C$42, 12.4459, 12.4459) * CHOOSE(CONTROL!$C$21, $C$9, 100%, $E$9)</f>
        <v>12.4459</v>
      </c>
      <c r="P268" s="17">
        <f>CHOOSE(CONTROL!$C$42, 12.2287, 12.2287) * CHOOSE(CONTROL!$C$21, $C$9, 100%, $E$9)</f>
        <v>12.2287</v>
      </c>
      <c r="Q268" s="17">
        <f>CHOOSE(CONTROL!$C$42, 13.0406, 13.0406) * CHOOSE(CONTROL!$C$21, $C$9, 100%, $E$9)</f>
        <v>13.0406</v>
      </c>
      <c r="R268" s="17">
        <f>CHOOSE(CONTROL!$C$42, 13.6602, 13.6602) * CHOOSE(CONTROL!$C$21, $C$9, 100%, $E$9)</f>
        <v>13.6602</v>
      </c>
      <c r="S268" s="17">
        <f>CHOOSE(CONTROL!$C$42, 11.8911, 11.8911) * CHOOSE(CONTROL!$C$21, $C$9, 100%, $E$9)</f>
        <v>11.8911</v>
      </c>
      <c r="T268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268" s="57">
        <f>(1000*CHOOSE(CONTROL!$C$42, 695, 695)*CHOOSE(CONTROL!$C$42, 0.5599, 0.5599)*CHOOSE(CONTROL!$C$42, 30, 30))/1000000</f>
        <v>11.673914999999997</v>
      </c>
      <c r="V268" s="57">
        <f>(1000*CHOOSE(CONTROL!$C$42, 500, 500)*CHOOSE(CONTROL!$C$42, 0.275, 0.275)*CHOOSE(CONTROL!$C$42, 30, 30))/1000000</f>
        <v>4.125</v>
      </c>
      <c r="W268" s="57">
        <f>(1000*CHOOSE(CONTROL!$C$42, 0.0916, 0.0916)*CHOOSE(CONTROL!$C$42, 121.5, 121.5)*CHOOSE(CONTROL!$C$42, 30, 30))/1000000</f>
        <v>0.33388200000000001</v>
      </c>
      <c r="X268" s="57">
        <f>(30*0.1790888*145000/1000000)+(30*0.2374*100000/1000000)</f>
        <v>1.4912362799999999</v>
      </c>
      <c r="Y268" s="57"/>
      <c r="Z268" s="17"/>
      <c r="AA268" s="56"/>
      <c r="AB268" s="49">
        <f>(B268*141.293+C268*267.993+D268*115.016+E268*189.698+F268*40+G268*85+H268*0+I268*100+J268*300)/(141.293+267.993+115.016+189.698+0+40+85+100+300)</f>
        <v>12.348529867393061</v>
      </c>
      <c r="AC268" s="46">
        <f>(M268*'RAP TEMPLATE-GAS AVAILABILITY'!O267+N268*'RAP TEMPLATE-GAS AVAILABILITY'!P267+O268*'RAP TEMPLATE-GAS AVAILABILITY'!Q267+P268*'RAP TEMPLATE-GAS AVAILABILITY'!R267)/('RAP TEMPLATE-GAS AVAILABILITY'!O267+'RAP TEMPLATE-GAS AVAILABILITY'!P267+'RAP TEMPLATE-GAS AVAILABILITY'!Q267+'RAP TEMPLATE-GAS AVAILABILITY'!R267)</f>
        <v>12.258607913669065</v>
      </c>
    </row>
    <row r="269" spans="1:29" ht="15.75" x14ac:dyDescent="0.25">
      <c r="A269" s="16">
        <v>49065</v>
      </c>
      <c r="B269" s="17">
        <f>CHOOSE(CONTROL!$C$42, 12.3829, 12.3829) * CHOOSE(CONTROL!$C$21, $C$9, 100%, $E$9)</f>
        <v>12.382899999999999</v>
      </c>
      <c r="C269" s="17">
        <f>CHOOSE(CONTROL!$C$42, 12.3908, 12.3908) * CHOOSE(CONTROL!$C$21, $C$9, 100%, $E$9)</f>
        <v>12.3908</v>
      </c>
      <c r="D269" s="17">
        <f>CHOOSE(CONTROL!$C$42, 12.6405, 12.6405) * CHOOSE(CONTROL!$C$21, $C$9, 100%, $E$9)</f>
        <v>12.640499999999999</v>
      </c>
      <c r="E269" s="17">
        <f>CHOOSE(CONTROL!$C$42, 12.6716, 12.6716) * CHOOSE(CONTROL!$C$21, $C$9, 100%, $E$9)</f>
        <v>12.6716</v>
      </c>
      <c r="F269" s="17">
        <f>CHOOSE(CONTROL!$C$42, 12.3877, 12.3877)*CHOOSE(CONTROL!$C$21, $C$9, 100%, $E$9)</f>
        <v>12.387700000000001</v>
      </c>
      <c r="G269" s="17">
        <f>CHOOSE(CONTROL!$C$42, 12.4038, 12.4038)*CHOOSE(CONTROL!$C$21, $C$9, 100%, $E$9)</f>
        <v>12.4038</v>
      </c>
      <c r="H269" s="17">
        <f>CHOOSE(CONTROL!$C$42, 12.66, 12.66) * CHOOSE(CONTROL!$C$21, $C$9, 100%, $E$9)</f>
        <v>12.66</v>
      </c>
      <c r="I269" s="17">
        <f>CHOOSE(CONTROL!$C$42, 12.4415, 12.4415)* CHOOSE(CONTROL!$C$21, $C$9, 100%, $E$9)</f>
        <v>12.4415</v>
      </c>
      <c r="J269" s="17">
        <f>CHOOSE(CONTROL!$C$42, 12.3803, 12.3803)* CHOOSE(CONTROL!$C$21, $C$9, 100%, $E$9)</f>
        <v>12.3803</v>
      </c>
      <c r="K269" s="53">
        <f>CHOOSE(CONTROL!$C$42, 12.4355, 12.4355) * CHOOSE(CONTROL!$C$21, $C$9, 100%, $E$9)</f>
        <v>12.435499999999999</v>
      </c>
      <c r="L269" s="17">
        <f>CHOOSE(CONTROL!$C$42, 13.247, 13.247) * CHOOSE(CONTROL!$C$21, $C$9, 100%, $E$9)</f>
        <v>13.247</v>
      </c>
      <c r="M269" s="17">
        <f>CHOOSE(CONTROL!$C$42, 12.276, 12.276) * CHOOSE(CONTROL!$C$21, $C$9, 100%, $E$9)</f>
        <v>12.276</v>
      </c>
      <c r="N269" s="17">
        <f>CHOOSE(CONTROL!$C$42, 12.2919, 12.2919) * CHOOSE(CONTROL!$C$21, $C$9, 100%, $E$9)</f>
        <v>12.2919</v>
      </c>
      <c r="O269" s="17">
        <f>CHOOSE(CONTROL!$C$42, 12.5531, 12.5531) * CHOOSE(CONTROL!$C$21, $C$9, 100%, $E$9)</f>
        <v>12.553100000000001</v>
      </c>
      <c r="P269" s="17">
        <f>CHOOSE(CONTROL!$C$42, 12.3363, 12.3363) * CHOOSE(CONTROL!$C$21, $C$9, 100%, $E$9)</f>
        <v>12.3363</v>
      </c>
      <c r="Q269" s="17">
        <f>CHOOSE(CONTROL!$C$42, 13.1478, 13.1478) * CHOOSE(CONTROL!$C$21, $C$9, 100%, $E$9)</f>
        <v>13.1478</v>
      </c>
      <c r="R269" s="17">
        <f>CHOOSE(CONTROL!$C$42, 13.7677, 13.7677) * CHOOSE(CONTROL!$C$21, $C$9, 100%, $E$9)</f>
        <v>13.7677</v>
      </c>
      <c r="S269" s="17">
        <f>CHOOSE(CONTROL!$C$42, 11.9961, 11.9961) * CHOOSE(CONTROL!$C$21, $C$9, 100%, $E$9)</f>
        <v>11.9961</v>
      </c>
      <c r="T269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269" s="57">
        <f>(1000*CHOOSE(CONTROL!$C$42, 695, 695)*CHOOSE(CONTROL!$C$42, 0.5599, 0.5599)*CHOOSE(CONTROL!$C$42, 31, 31))/1000000</f>
        <v>12.063045499999998</v>
      </c>
      <c r="V269" s="57">
        <f>(1000*CHOOSE(CONTROL!$C$42, 500, 500)*CHOOSE(CONTROL!$C$42, 0.275, 0.275)*CHOOSE(CONTROL!$C$42, 31, 31))/1000000</f>
        <v>4.2625000000000002</v>
      </c>
      <c r="W269" s="57">
        <f>(1000*CHOOSE(CONTROL!$C$42, 0.0916, 0.0916)*CHOOSE(CONTROL!$C$42, 121.5, 121.5)*CHOOSE(CONTROL!$C$42, 31, 31))/1000000</f>
        <v>0.34501139999999997</v>
      </c>
      <c r="X269" s="57">
        <f>(31*0.1790888*145000/1000000)+(31*0.2374*100000/1000000)</f>
        <v>1.5409441560000001</v>
      </c>
      <c r="Y269" s="57"/>
      <c r="Z269" s="17"/>
      <c r="AA269" s="56"/>
      <c r="AB269" s="49">
        <f>(B269*194.205+C269*267.466+D269*133.845+E269*153.484+F269*40+G269*85+H269*0+I269*100+J269*300)/(194.205+267.466+133.845+153.484+0+40+85+100+300)</f>
        <v>12.451935152433283</v>
      </c>
      <c r="AC269" s="46">
        <f>(M269*'RAP TEMPLATE-GAS AVAILABILITY'!O268+N269*'RAP TEMPLATE-GAS AVAILABILITY'!P268+O269*'RAP TEMPLATE-GAS AVAILABILITY'!Q268+P269*'RAP TEMPLATE-GAS AVAILABILITY'!R268)/('RAP TEMPLATE-GAS AVAILABILITY'!O268+'RAP TEMPLATE-GAS AVAILABILITY'!P268+'RAP TEMPLATE-GAS AVAILABILITY'!Q268+'RAP TEMPLATE-GAS AVAILABILITY'!R268)</f>
        <v>12.366084172661868</v>
      </c>
    </row>
    <row r="270" spans="1:29" ht="15.75" x14ac:dyDescent="0.25">
      <c r="A270" s="16">
        <v>49096</v>
      </c>
      <c r="B270" s="17">
        <f>CHOOSE(CONTROL!$C$42, 12.7337, 12.7337) * CHOOSE(CONTROL!$C$21, $C$9, 100%, $E$9)</f>
        <v>12.733700000000001</v>
      </c>
      <c r="C270" s="17">
        <f>CHOOSE(CONTROL!$C$42, 12.7417, 12.7417) * CHOOSE(CONTROL!$C$21, $C$9, 100%, $E$9)</f>
        <v>12.7417</v>
      </c>
      <c r="D270" s="17">
        <f>CHOOSE(CONTROL!$C$42, 12.9914, 12.9914) * CHOOSE(CONTROL!$C$21, $C$9, 100%, $E$9)</f>
        <v>12.991400000000001</v>
      </c>
      <c r="E270" s="17">
        <f>CHOOSE(CONTROL!$C$42, 13.0225, 13.0225) * CHOOSE(CONTROL!$C$21, $C$9, 100%, $E$9)</f>
        <v>13.022500000000001</v>
      </c>
      <c r="F270" s="17">
        <f>CHOOSE(CONTROL!$C$42, 12.7389, 12.7389)*CHOOSE(CONTROL!$C$21, $C$9, 100%, $E$9)</f>
        <v>12.738899999999999</v>
      </c>
      <c r="G270" s="17">
        <f>CHOOSE(CONTROL!$C$42, 12.7552, 12.7552)*CHOOSE(CONTROL!$C$21, $C$9, 100%, $E$9)</f>
        <v>12.7552</v>
      </c>
      <c r="H270" s="17">
        <f>CHOOSE(CONTROL!$C$42, 13.0109, 13.0109) * CHOOSE(CONTROL!$C$21, $C$9, 100%, $E$9)</f>
        <v>13.010899999999999</v>
      </c>
      <c r="I270" s="17">
        <f>CHOOSE(CONTROL!$C$42, 12.7935, 12.7935)* CHOOSE(CONTROL!$C$21, $C$9, 100%, $E$9)</f>
        <v>12.7935</v>
      </c>
      <c r="J270" s="17">
        <f>CHOOSE(CONTROL!$C$42, 12.7315, 12.7315)* CHOOSE(CONTROL!$C$21, $C$9, 100%, $E$9)</f>
        <v>12.7315</v>
      </c>
      <c r="K270" s="53">
        <f>CHOOSE(CONTROL!$C$42, 12.7874, 12.7874) * CHOOSE(CONTROL!$C$21, $C$9, 100%, $E$9)</f>
        <v>12.7874</v>
      </c>
      <c r="L270" s="17">
        <f>CHOOSE(CONTROL!$C$42, 13.5979, 13.5979) * CHOOSE(CONTROL!$C$21, $C$9, 100%, $E$9)</f>
        <v>13.597899999999999</v>
      </c>
      <c r="M270" s="17">
        <f>CHOOSE(CONTROL!$C$42, 12.624, 12.624) * CHOOSE(CONTROL!$C$21, $C$9, 100%, $E$9)</f>
        <v>12.624000000000001</v>
      </c>
      <c r="N270" s="17">
        <f>CHOOSE(CONTROL!$C$42, 12.6401, 12.6401) * CHOOSE(CONTROL!$C$21, $C$9, 100%, $E$9)</f>
        <v>12.6401</v>
      </c>
      <c r="O270" s="17">
        <f>CHOOSE(CONTROL!$C$42, 12.9008, 12.9008) * CHOOSE(CONTROL!$C$21, $C$9, 100%, $E$9)</f>
        <v>12.9008</v>
      </c>
      <c r="P270" s="17">
        <f>CHOOSE(CONTROL!$C$42, 12.6851, 12.6851) * CHOOSE(CONTROL!$C$21, $C$9, 100%, $E$9)</f>
        <v>12.6851</v>
      </c>
      <c r="Q270" s="17">
        <f>CHOOSE(CONTROL!$C$42, 13.4955, 13.4955) * CHOOSE(CONTROL!$C$21, $C$9, 100%, $E$9)</f>
        <v>13.4955</v>
      </c>
      <c r="R270" s="17">
        <f>CHOOSE(CONTROL!$C$42, 14.1163, 14.1163) * CHOOSE(CONTROL!$C$21, $C$9, 100%, $E$9)</f>
        <v>14.116300000000001</v>
      </c>
      <c r="S270" s="17">
        <f>CHOOSE(CONTROL!$C$42, 12.3363, 12.3363) * CHOOSE(CONTROL!$C$21, $C$9, 100%, $E$9)</f>
        <v>12.3363</v>
      </c>
      <c r="T270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270" s="57">
        <f>(1000*CHOOSE(CONTROL!$C$42, 695, 695)*CHOOSE(CONTROL!$C$42, 0.5599, 0.5599)*CHOOSE(CONTROL!$C$42, 30, 30))/1000000</f>
        <v>11.673914999999997</v>
      </c>
      <c r="V270" s="57">
        <f>(1000*CHOOSE(CONTROL!$C$42, 500, 500)*CHOOSE(CONTROL!$C$42, 0.275, 0.275)*CHOOSE(CONTROL!$C$42, 30, 30))/1000000</f>
        <v>4.125</v>
      </c>
      <c r="W270" s="57">
        <f>(1000*CHOOSE(CONTROL!$C$42, 0.0916, 0.0916)*CHOOSE(CONTROL!$C$42, 121.5, 121.5)*CHOOSE(CONTROL!$C$42, 30, 30))/1000000</f>
        <v>0.33388200000000001</v>
      </c>
      <c r="X270" s="57">
        <f>(30*0.1790888*145000/1000000)+(30*0.2374*100000/1000000)</f>
        <v>1.4912362799999999</v>
      </c>
      <c r="Y270" s="57"/>
      <c r="Z270" s="17"/>
      <c r="AA270" s="56"/>
      <c r="AB270" s="49">
        <f>(B270*194.205+C270*267.466+D270*133.845+E270*153.484+F270*40+G270*85+H270*0+I270*100+J270*300)/(194.205+267.466+133.845+153.484+0+40+85+100+300)</f>
        <v>12.80301967323391</v>
      </c>
      <c r="AC270" s="46">
        <f>(M270*'RAP TEMPLATE-GAS AVAILABILITY'!O269+N270*'RAP TEMPLATE-GAS AVAILABILITY'!P269+O270*'RAP TEMPLATE-GAS AVAILABILITY'!Q269+P270*'RAP TEMPLATE-GAS AVAILABILITY'!R269)/('RAP TEMPLATE-GAS AVAILABILITY'!O269+'RAP TEMPLATE-GAS AVAILABILITY'!P269+'RAP TEMPLATE-GAS AVAILABILITY'!Q269+'RAP TEMPLATE-GAS AVAILABILITY'!R269)</f>
        <v>12.714161151079137</v>
      </c>
    </row>
    <row r="271" spans="1:29" ht="15.75" x14ac:dyDescent="0.25">
      <c r="A271" s="16">
        <v>49126</v>
      </c>
      <c r="B271" s="17">
        <f>CHOOSE(CONTROL!$C$42, 12.4897, 12.4897) * CHOOSE(CONTROL!$C$21, $C$9, 100%, $E$9)</f>
        <v>12.489699999999999</v>
      </c>
      <c r="C271" s="17">
        <f>CHOOSE(CONTROL!$C$42, 12.4977, 12.4977) * CHOOSE(CONTROL!$C$21, $C$9, 100%, $E$9)</f>
        <v>12.4977</v>
      </c>
      <c r="D271" s="17">
        <f>CHOOSE(CONTROL!$C$42, 12.7473, 12.7473) * CHOOSE(CONTROL!$C$21, $C$9, 100%, $E$9)</f>
        <v>12.747299999999999</v>
      </c>
      <c r="E271" s="17">
        <f>CHOOSE(CONTROL!$C$42, 12.7785, 12.7785) * CHOOSE(CONTROL!$C$21, $C$9, 100%, $E$9)</f>
        <v>12.778499999999999</v>
      </c>
      <c r="F271" s="17">
        <f>CHOOSE(CONTROL!$C$42, 12.4954, 12.4954)*CHOOSE(CONTROL!$C$21, $C$9, 100%, $E$9)</f>
        <v>12.4954</v>
      </c>
      <c r="G271" s="17">
        <f>CHOOSE(CONTROL!$C$42, 12.5117, 12.5117)*CHOOSE(CONTROL!$C$21, $C$9, 100%, $E$9)</f>
        <v>12.511699999999999</v>
      </c>
      <c r="H271" s="17">
        <f>CHOOSE(CONTROL!$C$42, 12.7668, 12.7668) * CHOOSE(CONTROL!$C$21, $C$9, 100%, $E$9)</f>
        <v>12.7668</v>
      </c>
      <c r="I271" s="17">
        <f>CHOOSE(CONTROL!$C$42, 12.5487, 12.5487)* CHOOSE(CONTROL!$C$21, $C$9, 100%, $E$9)</f>
        <v>12.5487</v>
      </c>
      <c r="J271" s="17">
        <f>CHOOSE(CONTROL!$C$42, 12.488, 12.488)* CHOOSE(CONTROL!$C$21, $C$9, 100%, $E$9)</f>
        <v>12.488</v>
      </c>
      <c r="K271" s="53">
        <f>CHOOSE(CONTROL!$C$42, 12.5426, 12.5426) * CHOOSE(CONTROL!$C$21, $C$9, 100%, $E$9)</f>
        <v>12.5426</v>
      </c>
      <c r="L271" s="17">
        <f>CHOOSE(CONTROL!$C$42, 13.3538, 13.3538) * CHOOSE(CONTROL!$C$21, $C$9, 100%, $E$9)</f>
        <v>13.3538</v>
      </c>
      <c r="M271" s="17">
        <f>CHOOSE(CONTROL!$C$42, 12.3827, 12.3827) * CHOOSE(CONTROL!$C$21, $C$9, 100%, $E$9)</f>
        <v>12.3827</v>
      </c>
      <c r="N271" s="17">
        <f>CHOOSE(CONTROL!$C$42, 12.3989, 12.3989) * CHOOSE(CONTROL!$C$21, $C$9, 100%, $E$9)</f>
        <v>12.398899999999999</v>
      </c>
      <c r="O271" s="17">
        <f>CHOOSE(CONTROL!$C$42, 12.659, 12.659) * CHOOSE(CONTROL!$C$21, $C$9, 100%, $E$9)</f>
        <v>12.659000000000001</v>
      </c>
      <c r="P271" s="17">
        <f>CHOOSE(CONTROL!$C$42, 12.4425, 12.4425) * CHOOSE(CONTROL!$C$21, $C$9, 100%, $E$9)</f>
        <v>12.442500000000001</v>
      </c>
      <c r="Q271" s="17">
        <f>CHOOSE(CONTROL!$C$42, 13.2537, 13.2537) * CHOOSE(CONTROL!$C$21, $C$9, 100%, $E$9)</f>
        <v>13.2537</v>
      </c>
      <c r="R271" s="17">
        <f>CHOOSE(CONTROL!$C$42, 13.8738, 13.8738) * CHOOSE(CONTROL!$C$21, $C$9, 100%, $E$9)</f>
        <v>13.873799999999999</v>
      </c>
      <c r="S271" s="17">
        <f>CHOOSE(CONTROL!$C$42, 12.0997, 12.0997) * CHOOSE(CONTROL!$C$21, $C$9, 100%, $E$9)</f>
        <v>12.0997</v>
      </c>
      <c r="T271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271" s="57">
        <f>(1000*CHOOSE(CONTROL!$C$42, 695, 695)*CHOOSE(CONTROL!$C$42, 0.5599, 0.5599)*CHOOSE(CONTROL!$C$42, 31, 31))/1000000</f>
        <v>12.063045499999998</v>
      </c>
      <c r="V271" s="57">
        <f>(1000*CHOOSE(CONTROL!$C$42, 500, 500)*CHOOSE(CONTROL!$C$42, 0.275, 0.275)*CHOOSE(CONTROL!$C$42, 31, 31))/1000000</f>
        <v>4.2625000000000002</v>
      </c>
      <c r="W271" s="57">
        <f>(1000*CHOOSE(CONTROL!$C$42, 0.0916, 0.0916)*CHOOSE(CONTROL!$C$42, 121.5, 121.5)*CHOOSE(CONTROL!$C$42, 31, 31))/1000000</f>
        <v>0.34501139999999997</v>
      </c>
      <c r="X271" s="57">
        <f>(31*0.1790888*145000/1000000)+(31*0.2374*100000/1000000)</f>
        <v>1.5409441560000001</v>
      </c>
      <c r="Y271" s="57"/>
      <c r="Z271" s="17"/>
      <c r="AA271" s="56"/>
      <c r="AB271" s="49">
        <f>(B271*194.205+C271*267.466+D271*133.845+E271*153.484+F271*40+G271*85+H271*0+I271*100+J271*300)/(194.205+267.466+133.845+153.484+0+40+85+100+300)</f>
        <v>12.559113170486658</v>
      </c>
      <c r="AC271" s="46">
        <f>(M271*'RAP TEMPLATE-GAS AVAILABILITY'!O270+N271*'RAP TEMPLATE-GAS AVAILABILITY'!P270+O271*'RAP TEMPLATE-GAS AVAILABILITY'!Q270+P271*'RAP TEMPLATE-GAS AVAILABILITY'!R270)/('RAP TEMPLATE-GAS AVAILABILITY'!O270+'RAP TEMPLATE-GAS AVAILABILITY'!P270+'RAP TEMPLATE-GAS AVAILABILITY'!Q270+'RAP TEMPLATE-GAS AVAILABILITY'!R270)</f>
        <v>12.472556834532373</v>
      </c>
    </row>
    <row r="272" spans="1:29" ht="15.75" x14ac:dyDescent="0.25">
      <c r="A272" s="16">
        <v>49157</v>
      </c>
      <c r="B272" s="17">
        <f>CHOOSE(CONTROL!$C$42, 11.8734, 11.8734) * CHOOSE(CONTROL!$C$21, $C$9, 100%, $E$9)</f>
        <v>11.8734</v>
      </c>
      <c r="C272" s="17">
        <f>CHOOSE(CONTROL!$C$42, 11.8814, 11.8814) * CHOOSE(CONTROL!$C$21, $C$9, 100%, $E$9)</f>
        <v>11.881399999999999</v>
      </c>
      <c r="D272" s="17">
        <f>CHOOSE(CONTROL!$C$42, 12.131, 12.131) * CHOOSE(CONTROL!$C$21, $C$9, 100%, $E$9)</f>
        <v>12.131</v>
      </c>
      <c r="E272" s="17">
        <f>CHOOSE(CONTROL!$C$42, 12.1622, 12.1622) * CHOOSE(CONTROL!$C$21, $C$9, 100%, $E$9)</f>
        <v>12.1622</v>
      </c>
      <c r="F272" s="17">
        <f>CHOOSE(CONTROL!$C$42, 11.8794, 11.8794)*CHOOSE(CONTROL!$C$21, $C$9, 100%, $E$9)</f>
        <v>11.8794</v>
      </c>
      <c r="G272" s="17">
        <f>CHOOSE(CONTROL!$C$42, 11.8958, 11.8958)*CHOOSE(CONTROL!$C$21, $C$9, 100%, $E$9)</f>
        <v>11.895799999999999</v>
      </c>
      <c r="H272" s="17">
        <f>CHOOSE(CONTROL!$C$42, 12.1505, 12.1505) * CHOOSE(CONTROL!$C$21, $C$9, 100%, $E$9)</f>
        <v>12.150499999999999</v>
      </c>
      <c r="I272" s="17">
        <f>CHOOSE(CONTROL!$C$42, 11.9305, 11.9305)* CHOOSE(CONTROL!$C$21, $C$9, 100%, $E$9)</f>
        <v>11.9305</v>
      </c>
      <c r="J272" s="17">
        <f>CHOOSE(CONTROL!$C$42, 11.872, 11.872)* CHOOSE(CONTROL!$C$21, $C$9, 100%, $E$9)</f>
        <v>11.872</v>
      </c>
      <c r="K272" s="53">
        <f>CHOOSE(CONTROL!$C$42, 11.9244, 11.9244) * CHOOSE(CONTROL!$C$21, $C$9, 100%, $E$9)</f>
        <v>11.9244</v>
      </c>
      <c r="L272" s="17">
        <f>CHOOSE(CONTROL!$C$42, 12.7375, 12.7375) * CHOOSE(CONTROL!$C$21, $C$9, 100%, $E$9)</f>
        <v>12.737500000000001</v>
      </c>
      <c r="M272" s="17">
        <f>CHOOSE(CONTROL!$C$42, 11.7722, 11.7722) * CHOOSE(CONTROL!$C$21, $C$9, 100%, $E$9)</f>
        <v>11.7722</v>
      </c>
      <c r="N272" s="17">
        <f>CHOOSE(CONTROL!$C$42, 11.7885, 11.7885) * CHOOSE(CONTROL!$C$21, $C$9, 100%, $E$9)</f>
        <v>11.788500000000001</v>
      </c>
      <c r="O272" s="17">
        <f>CHOOSE(CONTROL!$C$42, 12.0482, 12.0482) * CHOOSE(CONTROL!$C$21, $C$9, 100%, $E$9)</f>
        <v>12.0482</v>
      </c>
      <c r="P272" s="17">
        <f>CHOOSE(CONTROL!$C$42, 11.8299, 11.8299) * CHOOSE(CONTROL!$C$21, $C$9, 100%, $E$9)</f>
        <v>11.8299</v>
      </c>
      <c r="Q272" s="17">
        <f>CHOOSE(CONTROL!$C$42, 12.6429, 12.6429) * CHOOSE(CONTROL!$C$21, $C$9, 100%, $E$9)</f>
        <v>12.642899999999999</v>
      </c>
      <c r="R272" s="17">
        <f>CHOOSE(CONTROL!$C$42, 13.2616, 13.2616) * CHOOSE(CONTROL!$C$21, $C$9, 100%, $E$9)</f>
        <v>13.2616</v>
      </c>
      <c r="S272" s="17">
        <f>CHOOSE(CONTROL!$C$42, 11.5021, 11.5021) * CHOOSE(CONTROL!$C$21, $C$9, 100%, $E$9)</f>
        <v>11.5021</v>
      </c>
      <c r="T272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272" s="57">
        <f>(1000*CHOOSE(CONTROL!$C$42, 695, 695)*CHOOSE(CONTROL!$C$42, 0.5599, 0.5599)*CHOOSE(CONTROL!$C$42, 31, 31))/1000000</f>
        <v>12.063045499999998</v>
      </c>
      <c r="V272" s="57">
        <f>(1000*CHOOSE(CONTROL!$C$42, 500, 500)*CHOOSE(CONTROL!$C$42, 0.275, 0.275)*CHOOSE(CONTROL!$C$42, 31, 31))/1000000</f>
        <v>4.2625000000000002</v>
      </c>
      <c r="W272" s="57">
        <f>(1000*CHOOSE(CONTROL!$C$42, 0.0916, 0.0916)*CHOOSE(CONTROL!$C$42, 121.5, 121.5)*CHOOSE(CONTROL!$C$42, 31, 31))/1000000</f>
        <v>0.34501139999999997</v>
      </c>
      <c r="X272" s="57">
        <f>(31*0.1790888*145000/1000000)+(31*0.2374*100000/1000000)</f>
        <v>1.5409441560000001</v>
      </c>
      <c r="Y272" s="57"/>
      <c r="Z272" s="17"/>
      <c r="AA272" s="56"/>
      <c r="AB272" s="49">
        <f>(B272*194.205+C272*267.466+D272*133.845+E272*153.484+F272*40+G272*85+H272*0+I272*100+J272*300)/(194.205+267.466+133.845+153.484+0+40+85+100+300)</f>
        <v>11.942770784301413</v>
      </c>
      <c r="AC272" s="46">
        <f>(M272*'RAP TEMPLATE-GAS AVAILABILITY'!O271+N272*'RAP TEMPLATE-GAS AVAILABILITY'!P271+O272*'RAP TEMPLATE-GAS AVAILABILITY'!Q271+P272*'RAP TEMPLATE-GAS AVAILABILITY'!R271)/('RAP TEMPLATE-GAS AVAILABILITY'!O271+'RAP TEMPLATE-GAS AVAILABILITY'!P271+'RAP TEMPLATE-GAS AVAILABILITY'!Q271+'RAP TEMPLATE-GAS AVAILABILITY'!R271)</f>
        <v>11.861693525179856</v>
      </c>
    </row>
    <row r="273" spans="1:29" ht="15.75" x14ac:dyDescent="0.25">
      <c r="A273" s="16">
        <v>49188</v>
      </c>
      <c r="B273" s="17">
        <f>CHOOSE(CONTROL!$C$42, 11.1202, 11.1202) * CHOOSE(CONTROL!$C$21, $C$9, 100%, $E$9)</f>
        <v>11.120200000000001</v>
      </c>
      <c r="C273" s="17">
        <f>CHOOSE(CONTROL!$C$42, 11.1282, 11.1282) * CHOOSE(CONTROL!$C$21, $C$9, 100%, $E$9)</f>
        <v>11.1282</v>
      </c>
      <c r="D273" s="17">
        <f>CHOOSE(CONTROL!$C$42, 11.3778, 11.3778) * CHOOSE(CONTROL!$C$21, $C$9, 100%, $E$9)</f>
        <v>11.377800000000001</v>
      </c>
      <c r="E273" s="17">
        <f>CHOOSE(CONTROL!$C$42, 11.409, 11.409) * CHOOSE(CONTROL!$C$21, $C$9, 100%, $E$9)</f>
        <v>11.409000000000001</v>
      </c>
      <c r="F273" s="17">
        <f>CHOOSE(CONTROL!$C$42, 11.1262, 11.1262)*CHOOSE(CONTROL!$C$21, $C$9, 100%, $E$9)</f>
        <v>11.126200000000001</v>
      </c>
      <c r="G273" s="17">
        <f>CHOOSE(CONTROL!$C$42, 11.1426, 11.1426)*CHOOSE(CONTROL!$C$21, $C$9, 100%, $E$9)</f>
        <v>11.1426</v>
      </c>
      <c r="H273" s="17">
        <f>CHOOSE(CONTROL!$C$42, 11.3973, 11.3973) * CHOOSE(CONTROL!$C$21, $C$9, 100%, $E$9)</f>
        <v>11.3973</v>
      </c>
      <c r="I273" s="17">
        <f>CHOOSE(CONTROL!$C$42, 11.1749, 11.1749)* CHOOSE(CONTROL!$C$21, $C$9, 100%, $E$9)</f>
        <v>11.174899999999999</v>
      </c>
      <c r="J273" s="17">
        <f>CHOOSE(CONTROL!$C$42, 11.1188, 11.1188)* CHOOSE(CONTROL!$C$21, $C$9, 100%, $E$9)</f>
        <v>11.1188</v>
      </c>
      <c r="K273" s="53">
        <f>CHOOSE(CONTROL!$C$42, 11.1689, 11.1689) * CHOOSE(CONTROL!$C$21, $C$9, 100%, $E$9)</f>
        <v>11.168900000000001</v>
      </c>
      <c r="L273" s="17">
        <f>CHOOSE(CONTROL!$C$42, 11.9843, 11.9843) * CHOOSE(CONTROL!$C$21, $C$9, 100%, $E$9)</f>
        <v>11.984299999999999</v>
      </c>
      <c r="M273" s="17">
        <f>CHOOSE(CONTROL!$C$42, 11.0258, 11.0258) * CHOOSE(CONTROL!$C$21, $C$9, 100%, $E$9)</f>
        <v>11.0258</v>
      </c>
      <c r="N273" s="17">
        <f>CHOOSE(CONTROL!$C$42, 11.0421, 11.0421) * CHOOSE(CONTROL!$C$21, $C$9, 100%, $E$9)</f>
        <v>11.0421</v>
      </c>
      <c r="O273" s="17">
        <f>CHOOSE(CONTROL!$C$42, 11.3018, 11.3018) * CHOOSE(CONTROL!$C$21, $C$9, 100%, $E$9)</f>
        <v>11.3018</v>
      </c>
      <c r="P273" s="17">
        <f>CHOOSE(CONTROL!$C$42, 11.0812, 11.0812) * CHOOSE(CONTROL!$C$21, $C$9, 100%, $E$9)</f>
        <v>11.081200000000001</v>
      </c>
      <c r="Q273" s="17">
        <f>CHOOSE(CONTROL!$C$42, 11.8965, 11.8965) * CHOOSE(CONTROL!$C$21, $C$9, 100%, $E$9)</f>
        <v>11.8965</v>
      </c>
      <c r="R273" s="17">
        <f>CHOOSE(CONTROL!$C$42, 12.5132, 12.5132) * CHOOSE(CONTROL!$C$21, $C$9, 100%, $E$9)</f>
        <v>12.513199999999999</v>
      </c>
      <c r="S273" s="17">
        <f>CHOOSE(CONTROL!$C$42, 10.7717, 10.7717) * CHOOSE(CONTROL!$C$21, $C$9, 100%, $E$9)</f>
        <v>10.771699999999999</v>
      </c>
      <c r="T273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273" s="57">
        <f>(1000*CHOOSE(CONTROL!$C$42, 695, 695)*CHOOSE(CONTROL!$C$42, 0.5599, 0.5599)*CHOOSE(CONTROL!$C$42, 30, 30))/1000000</f>
        <v>11.673914999999997</v>
      </c>
      <c r="V273" s="57">
        <f>(1000*CHOOSE(CONTROL!$C$42, 500, 500)*CHOOSE(CONTROL!$C$42, 0.275, 0.275)*CHOOSE(CONTROL!$C$42, 30, 30))/1000000</f>
        <v>4.125</v>
      </c>
      <c r="W273" s="57">
        <f>(1000*CHOOSE(CONTROL!$C$42, 0.0916, 0.0916)*CHOOSE(CONTROL!$C$42, 121.5, 121.5)*CHOOSE(CONTROL!$C$42, 30, 30))/1000000</f>
        <v>0.33388200000000001</v>
      </c>
      <c r="X273" s="57">
        <f>(30*0.1790888*145000/1000000)+(30*0.2374*100000/1000000)</f>
        <v>1.4912362799999999</v>
      </c>
      <c r="Y273" s="57"/>
      <c r="Z273" s="17"/>
      <c r="AA273" s="56"/>
      <c r="AB273" s="49">
        <f>(B273*194.205+C273*267.466+D273*133.845+E273*153.484+F273*40+G273*85+H273*0+I273*100+J273*300)/(194.205+267.466+133.845+153.484+0+40+85+100+300)</f>
        <v>11.189382401255887</v>
      </c>
      <c r="AC273" s="46">
        <f>(M273*'RAP TEMPLATE-GAS AVAILABILITY'!O272+N273*'RAP TEMPLATE-GAS AVAILABILITY'!P272+O273*'RAP TEMPLATE-GAS AVAILABILITY'!Q272+P273*'RAP TEMPLATE-GAS AVAILABILITY'!R272)/('RAP TEMPLATE-GAS AVAILABILITY'!O272+'RAP TEMPLATE-GAS AVAILABILITY'!P272+'RAP TEMPLATE-GAS AVAILABILITY'!Q272+'RAP TEMPLATE-GAS AVAILABILITY'!R272)</f>
        <v>11.114962589928059</v>
      </c>
    </row>
    <row r="274" spans="1:29" ht="15.75" x14ac:dyDescent="0.25">
      <c r="A274" s="16">
        <v>49218</v>
      </c>
      <c r="B274" s="17">
        <f>CHOOSE(CONTROL!$C$42, 10.8929, 10.8929) * CHOOSE(CONTROL!$C$21, $C$9, 100%, $E$9)</f>
        <v>10.892899999999999</v>
      </c>
      <c r="C274" s="17">
        <f>CHOOSE(CONTROL!$C$42, 10.8983, 10.8983) * CHOOSE(CONTROL!$C$21, $C$9, 100%, $E$9)</f>
        <v>10.898300000000001</v>
      </c>
      <c r="D274" s="17">
        <f>CHOOSE(CONTROL!$C$42, 11.1528, 11.1528) * CHOOSE(CONTROL!$C$21, $C$9, 100%, $E$9)</f>
        <v>11.152799999999999</v>
      </c>
      <c r="E274" s="17">
        <f>CHOOSE(CONTROL!$C$42, 11.1816, 11.1816) * CHOOSE(CONTROL!$C$21, $C$9, 100%, $E$9)</f>
        <v>11.1816</v>
      </c>
      <c r="F274" s="17">
        <f>CHOOSE(CONTROL!$C$42, 10.9011, 10.9011)*CHOOSE(CONTROL!$C$21, $C$9, 100%, $E$9)</f>
        <v>10.9011</v>
      </c>
      <c r="G274" s="17">
        <f>CHOOSE(CONTROL!$C$42, 10.9175, 10.9175)*CHOOSE(CONTROL!$C$21, $C$9, 100%, $E$9)</f>
        <v>10.9175</v>
      </c>
      <c r="H274" s="17">
        <f>CHOOSE(CONTROL!$C$42, 11.1718, 11.1718) * CHOOSE(CONTROL!$C$21, $C$9, 100%, $E$9)</f>
        <v>11.171799999999999</v>
      </c>
      <c r="I274" s="17">
        <f>CHOOSE(CONTROL!$C$42, 10.9487, 10.9487)* CHOOSE(CONTROL!$C$21, $C$9, 100%, $E$9)</f>
        <v>10.948700000000001</v>
      </c>
      <c r="J274" s="17">
        <f>CHOOSE(CONTROL!$C$42, 10.8937, 10.8937)* CHOOSE(CONTROL!$C$21, $C$9, 100%, $E$9)</f>
        <v>10.893700000000001</v>
      </c>
      <c r="K274" s="53">
        <f>CHOOSE(CONTROL!$C$42, 10.9426, 10.9426) * CHOOSE(CONTROL!$C$21, $C$9, 100%, $E$9)</f>
        <v>10.942600000000001</v>
      </c>
      <c r="L274" s="17">
        <f>CHOOSE(CONTROL!$C$42, 11.7588, 11.7588) * CHOOSE(CONTROL!$C$21, $C$9, 100%, $E$9)</f>
        <v>11.758800000000001</v>
      </c>
      <c r="M274" s="17">
        <f>CHOOSE(CONTROL!$C$42, 10.8028, 10.8028) * CHOOSE(CONTROL!$C$21, $C$9, 100%, $E$9)</f>
        <v>10.8028</v>
      </c>
      <c r="N274" s="17">
        <f>CHOOSE(CONTROL!$C$42, 10.8189, 10.8189) * CHOOSE(CONTROL!$C$21, $C$9, 100%, $E$9)</f>
        <v>10.818899999999999</v>
      </c>
      <c r="O274" s="17">
        <f>CHOOSE(CONTROL!$C$42, 11.0783, 11.0783) * CHOOSE(CONTROL!$C$21, $C$9, 100%, $E$9)</f>
        <v>11.0783</v>
      </c>
      <c r="P274" s="17">
        <f>CHOOSE(CONTROL!$C$42, 10.857, 10.857) * CHOOSE(CONTROL!$C$21, $C$9, 100%, $E$9)</f>
        <v>10.856999999999999</v>
      </c>
      <c r="Q274" s="17">
        <f>CHOOSE(CONTROL!$C$42, 11.673, 11.673) * CHOOSE(CONTROL!$C$21, $C$9, 100%, $E$9)</f>
        <v>11.673</v>
      </c>
      <c r="R274" s="17">
        <f>CHOOSE(CONTROL!$C$42, 12.2892, 12.2892) * CHOOSE(CONTROL!$C$21, $C$9, 100%, $E$9)</f>
        <v>12.289199999999999</v>
      </c>
      <c r="S274" s="17">
        <f>CHOOSE(CONTROL!$C$42, 10.553, 10.553) * CHOOSE(CONTROL!$C$21, $C$9, 100%, $E$9)</f>
        <v>10.553000000000001</v>
      </c>
      <c r="T274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274" s="57">
        <f>(1000*CHOOSE(CONTROL!$C$42, 695, 695)*CHOOSE(CONTROL!$C$42, 0.5599, 0.5599)*CHOOSE(CONTROL!$C$42, 31, 31))/1000000</f>
        <v>12.063045499999998</v>
      </c>
      <c r="V274" s="57">
        <f>(1000*CHOOSE(CONTROL!$C$42, 500, 500)*CHOOSE(CONTROL!$C$42, 0.275, 0.275)*CHOOSE(CONTROL!$C$42, 31, 31))/1000000</f>
        <v>4.2625000000000002</v>
      </c>
      <c r="W274" s="57">
        <f>(1000*CHOOSE(CONTROL!$C$42, 0.0916, 0.0916)*CHOOSE(CONTROL!$C$42, 121.5, 121.5)*CHOOSE(CONTROL!$C$42, 31, 31))/1000000</f>
        <v>0.34501139999999997</v>
      </c>
      <c r="X274" s="57">
        <f>(31*0.1790888*145000/1000000)+(31*0.2374*100000/1000000)</f>
        <v>1.5409441560000001</v>
      </c>
      <c r="Y274" s="57"/>
      <c r="Z274" s="17"/>
      <c r="AA274" s="56"/>
      <c r="AB274" s="49">
        <f>(B274*131.881+C274*277.167+D274*79.08+E274*225.872+F274*40+G274*85+H274*0+I274*100+J274*300)/(131.881+277.167+79.08+225.872+0+40+85+100+300)</f>
        <v>10.969976545762712</v>
      </c>
      <c r="AC274" s="46">
        <f>(M274*'RAP TEMPLATE-GAS AVAILABILITY'!O273+N274*'RAP TEMPLATE-GAS AVAILABILITY'!P273+O274*'RAP TEMPLATE-GAS AVAILABILITY'!Q273+P274*'RAP TEMPLATE-GAS AVAILABILITY'!R273)/('RAP TEMPLATE-GAS AVAILABILITY'!O273+'RAP TEMPLATE-GAS AVAILABILITY'!P273+'RAP TEMPLATE-GAS AVAILABILITY'!Q273+'RAP TEMPLATE-GAS AVAILABILITY'!R273)</f>
        <v>10.891603597122302</v>
      </c>
    </row>
    <row r="275" spans="1:29" ht="15.75" x14ac:dyDescent="0.25">
      <c r="A275" s="16">
        <v>49249</v>
      </c>
      <c r="B275" s="17">
        <f>CHOOSE(CONTROL!$C$42, 11.1792, 11.1792) * CHOOSE(CONTROL!$C$21, $C$9, 100%, $E$9)</f>
        <v>11.1792</v>
      </c>
      <c r="C275" s="17">
        <f>CHOOSE(CONTROL!$C$42, 11.1843, 11.1843) * CHOOSE(CONTROL!$C$21, $C$9, 100%, $E$9)</f>
        <v>11.1843</v>
      </c>
      <c r="D275" s="17">
        <f>CHOOSE(CONTROL!$C$42, 11.3069, 11.3069) * CHOOSE(CONTROL!$C$21, $C$9, 100%, $E$9)</f>
        <v>11.306900000000001</v>
      </c>
      <c r="E275" s="17">
        <f>CHOOSE(CONTROL!$C$42, 11.3407, 11.3407) * CHOOSE(CONTROL!$C$21, $C$9, 100%, $E$9)</f>
        <v>11.3407</v>
      </c>
      <c r="F275" s="17">
        <f>CHOOSE(CONTROL!$C$42, 11.1942, 11.1942)*CHOOSE(CONTROL!$C$21, $C$9, 100%, $E$9)</f>
        <v>11.1942</v>
      </c>
      <c r="G275" s="17">
        <f>CHOOSE(CONTROL!$C$42, 11.2109, 11.2109)*CHOOSE(CONTROL!$C$21, $C$9, 100%, $E$9)</f>
        <v>11.210900000000001</v>
      </c>
      <c r="H275" s="17">
        <f>CHOOSE(CONTROL!$C$42, 11.3295, 11.3295) * CHOOSE(CONTROL!$C$21, $C$9, 100%, $E$9)</f>
        <v>11.329499999999999</v>
      </c>
      <c r="I275" s="17">
        <f>CHOOSE(CONTROL!$C$42, 11.2388, 11.2388)* CHOOSE(CONTROL!$C$21, $C$9, 100%, $E$9)</f>
        <v>11.238799999999999</v>
      </c>
      <c r="J275" s="17">
        <f>CHOOSE(CONTROL!$C$42, 11.1868, 11.1868)* CHOOSE(CONTROL!$C$21, $C$9, 100%, $E$9)</f>
        <v>11.1868</v>
      </c>
      <c r="K275" s="53">
        <f>CHOOSE(CONTROL!$C$42, 11.2328, 11.2328) * CHOOSE(CONTROL!$C$21, $C$9, 100%, $E$9)</f>
        <v>11.232799999999999</v>
      </c>
      <c r="L275" s="17">
        <f>CHOOSE(CONTROL!$C$42, 11.9165, 11.9165) * CHOOSE(CONTROL!$C$21, $C$9, 100%, $E$9)</f>
        <v>11.916499999999999</v>
      </c>
      <c r="M275" s="17">
        <f>CHOOSE(CONTROL!$C$42, 11.0932, 11.0932) * CHOOSE(CONTROL!$C$21, $C$9, 100%, $E$9)</f>
        <v>11.0932</v>
      </c>
      <c r="N275" s="17">
        <f>CHOOSE(CONTROL!$C$42, 11.1097, 11.1097) * CHOOSE(CONTROL!$C$21, $C$9, 100%, $E$9)</f>
        <v>11.1097</v>
      </c>
      <c r="O275" s="17">
        <f>CHOOSE(CONTROL!$C$42, 11.2347, 11.2347) * CHOOSE(CONTROL!$C$21, $C$9, 100%, $E$9)</f>
        <v>11.2347</v>
      </c>
      <c r="P275" s="17">
        <f>CHOOSE(CONTROL!$C$42, 11.1445, 11.1445) * CHOOSE(CONTROL!$C$21, $C$9, 100%, $E$9)</f>
        <v>11.144500000000001</v>
      </c>
      <c r="Q275" s="17">
        <f>CHOOSE(CONTROL!$C$42, 11.8294, 11.8294) * CHOOSE(CONTROL!$C$21, $C$9, 100%, $E$9)</f>
        <v>11.8294</v>
      </c>
      <c r="R275" s="17">
        <f>CHOOSE(CONTROL!$C$42, 12.4459, 12.4459) * CHOOSE(CONTROL!$C$21, $C$9, 100%, $E$9)</f>
        <v>12.4459</v>
      </c>
      <c r="S275" s="17">
        <f>CHOOSE(CONTROL!$C$42, 10.831, 10.831) * CHOOSE(CONTROL!$C$21, $C$9, 100%, $E$9)</f>
        <v>10.831</v>
      </c>
      <c r="T275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275" s="57">
        <f>(1000*CHOOSE(CONTROL!$C$42, 695, 695)*CHOOSE(CONTROL!$C$42, 0.5599, 0.5599)*CHOOSE(CONTROL!$C$42, 30, 30))/1000000</f>
        <v>11.673914999999997</v>
      </c>
      <c r="V275" s="57">
        <f>(1000*CHOOSE(CONTROL!$C$42, 500, 500)*CHOOSE(CONTROL!$C$42, 0.275, 0.275)*CHOOSE(CONTROL!$C$42, 30, 30))/1000000</f>
        <v>4.125</v>
      </c>
      <c r="W275" s="57">
        <f>(1000*CHOOSE(CONTROL!$C$42, 0.0916, 0.0916)*CHOOSE(CONTROL!$C$42, 121.5, 121.5)*CHOOSE(CONTROL!$C$42, 30, 30))/1000000</f>
        <v>0.33388200000000001</v>
      </c>
      <c r="X275" s="57">
        <f>(30*0.2374*100000/1000000)</f>
        <v>0.71220000000000006</v>
      </c>
      <c r="Y275" s="57"/>
      <c r="Z275" s="17"/>
      <c r="AA275" s="56"/>
      <c r="AB275" s="49">
        <f>(B275*122.58+C275*297.941+D275*89.177+E275*140.302+F275*40+G275*60+H275*0+I275*100+J275*300)/(122.58+297.941+89.177+140.302+0+40+60+100+300)</f>
        <v>11.21946797826087</v>
      </c>
      <c r="AC275" s="46">
        <f>(M275*'RAP TEMPLATE-GAS AVAILABILITY'!O274+N275*'RAP TEMPLATE-GAS AVAILABILITY'!P274+O275*'RAP TEMPLATE-GAS AVAILABILITY'!Q274+P275*'RAP TEMPLATE-GAS AVAILABILITY'!R274)/('RAP TEMPLATE-GAS AVAILABILITY'!O274+'RAP TEMPLATE-GAS AVAILABILITY'!P274+'RAP TEMPLATE-GAS AVAILABILITY'!Q274+'RAP TEMPLATE-GAS AVAILABILITY'!R274)</f>
        <v>11.165664028776979</v>
      </c>
    </row>
    <row r="276" spans="1:29" ht="15.75" x14ac:dyDescent="0.25">
      <c r="A276" s="16">
        <v>49279</v>
      </c>
      <c r="B276" s="17">
        <f>CHOOSE(CONTROL!$C$42, 11.9407, 11.9407) * CHOOSE(CONTROL!$C$21, $C$9, 100%, $E$9)</f>
        <v>11.9407</v>
      </c>
      <c r="C276" s="17">
        <f>CHOOSE(CONTROL!$C$42, 11.9458, 11.9458) * CHOOSE(CONTROL!$C$21, $C$9, 100%, $E$9)</f>
        <v>11.9458</v>
      </c>
      <c r="D276" s="17">
        <f>CHOOSE(CONTROL!$C$42, 12.0684, 12.0684) * CHOOSE(CONTROL!$C$21, $C$9, 100%, $E$9)</f>
        <v>12.0684</v>
      </c>
      <c r="E276" s="17">
        <f>CHOOSE(CONTROL!$C$42, 12.1021, 12.1021) * CHOOSE(CONTROL!$C$21, $C$9, 100%, $E$9)</f>
        <v>12.1021</v>
      </c>
      <c r="F276" s="17">
        <f>CHOOSE(CONTROL!$C$42, 11.9581, 11.9581)*CHOOSE(CONTROL!$C$21, $C$9, 100%, $E$9)</f>
        <v>11.9581</v>
      </c>
      <c r="G276" s="17">
        <f>CHOOSE(CONTROL!$C$42, 11.9754, 11.9754)*CHOOSE(CONTROL!$C$21, $C$9, 100%, $E$9)</f>
        <v>11.9754</v>
      </c>
      <c r="H276" s="17">
        <f>CHOOSE(CONTROL!$C$42, 12.091, 12.091) * CHOOSE(CONTROL!$C$21, $C$9, 100%, $E$9)</f>
        <v>12.090999999999999</v>
      </c>
      <c r="I276" s="17">
        <f>CHOOSE(CONTROL!$C$42, 12.0027, 12.0027)* CHOOSE(CONTROL!$C$21, $C$9, 100%, $E$9)</f>
        <v>12.002700000000001</v>
      </c>
      <c r="J276" s="17">
        <f>CHOOSE(CONTROL!$C$42, 11.9507, 11.9507)* CHOOSE(CONTROL!$C$21, $C$9, 100%, $E$9)</f>
        <v>11.950699999999999</v>
      </c>
      <c r="K276" s="53">
        <f>CHOOSE(CONTROL!$C$42, 11.9966, 11.9966) * CHOOSE(CONTROL!$C$21, $C$9, 100%, $E$9)</f>
        <v>11.996600000000001</v>
      </c>
      <c r="L276" s="17">
        <f>CHOOSE(CONTROL!$C$42, 12.678, 12.678) * CHOOSE(CONTROL!$C$21, $C$9, 100%, $E$9)</f>
        <v>12.678000000000001</v>
      </c>
      <c r="M276" s="17">
        <f>CHOOSE(CONTROL!$C$42, 11.8502, 11.8502) * CHOOSE(CONTROL!$C$21, $C$9, 100%, $E$9)</f>
        <v>11.850199999999999</v>
      </c>
      <c r="N276" s="17">
        <f>CHOOSE(CONTROL!$C$42, 11.8674, 11.8674) * CHOOSE(CONTROL!$C$21, $C$9, 100%, $E$9)</f>
        <v>11.8674</v>
      </c>
      <c r="O276" s="17">
        <f>CHOOSE(CONTROL!$C$42, 11.9893, 11.9893) * CHOOSE(CONTROL!$C$21, $C$9, 100%, $E$9)</f>
        <v>11.9893</v>
      </c>
      <c r="P276" s="17">
        <f>CHOOSE(CONTROL!$C$42, 11.9015, 11.9015) * CHOOSE(CONTROL!$C$21, $C$9, 100%, $E$9)</f>
        <v>11.9015</v>
      </c>
      <c r="Q276" s="17">
        <f>CHOOSE(CONTROL!$C$42, 12.584, 12.584) * CHOOSE(CONTROL!$C$21, $C$9, 100%, $E$9)</f>
        <v>12.584</v>
      </c>
      <c r="R276" s="17">
        <f>CHOOSE(CONTROL!$C$42, 13.2024, 13.2024) * CHOOSE(CONTROL!$C$21, $C$9, 100%, $E$9)</f>
        <v>13.202400000000001</v>
      </c>
      <c r="S276" s="17">
        <f>CHOOSE(CONTROL!$C$42, 11.5694, 11.5694) * CHOOSE(CONTROL!$C$21, $C$9, 100%, $E$9)</f>
        <v>11.5694</v>
      </c>
      <c r="T276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276" s="57">
        <f>(1000*CHOOSE(CONTROL!$C$42, 695, 695)*CHOOSE(CONTROL!$C$42, 0.5599, 0.5599)*CHOOSE(CONTROL!$C$42, 31, 31))/1000000</f>
        <v>12.063045499999998</v>
      </c>
      <c r="V276" s="57">
        <f>(1000*CHOOSE(CONTROL!$C$42, 500, 500)*CHOOSE(CONTROL!$C$42, 0.275, 0.275)*CHOOSE(CONTROL!$C$42, 31, 31))/1000000</f>
        <v>4.2625000000000002</v>
      </c>
      <c r="W276" s="57">
        <f>(1000*CHOOSE(CONTROL!$C$42, 0.0916, 0.0916)*CHOOSE(CONTROL!$C$42, 121.5, 121.5)*CHOOSE(CONTROL!$C$42, 31, 31))/1000000</f>
        <v>0.34501139999999997</v>
      </c>
      <c r="X276" s="57">
        <f>(31*0.2374*100000/1000000)</f>
        <v>0.73594000000000004</v>
      </c>
      <c r="Y276" s="57"/>
      <c r="Z276" s="17"/>
      <c r="AA276" s="56"/>
      <c r="AB276" s="49">
        <f>(B276*122.58+C276*297.941+D276*89.177+E276*140.302+F276*40+G276*60+H276*0+I276*100+J276*300)/(122.58+297.941+89.177+140.302+0+40+60+100+300)</f>
        <v>11.982030560695652</v>
      </c>
      <c r="AC276" s="46">
        <f>(M276*'RAP TEMPLATE-GAS AVAILABILITY'!O275+N276*'RAP TEMPLATE-GAS AVAILABILITY'!P275+O276*'RAP TEMPLATE-GAS AVAILABILITY'!Q275+P276*'RAP TEMPLATE-GAS AVAILABILITY'!R275)/('RAP TEMPLATE-GAS AVAILABILITY'!O275+'RAP TEMPLATE-GAS AVAILABILITY'!P275+'RAP TEMPLATE-GAS AVAILABILITY'!Q275+'RAP TEMPLATE-GAS AVAILABILITY'!R275)</f>
        <v>11.921616546762589</v>
      </c>
    </row>
    <row r="277" spans="1:29" ht="15.75" x14ac:dyDescent="0.25">
      <c r="A277" s="16">
        <v>49310</v>
      </c>
      <c r="B277" s="17">
        <f>CHOOSE(CONTROL!$C$42, 12.9297, 12.9297) * CHOOSE(CONTROL!$C$21, $C$9, 100%, $E$9)</f>
        <v>12.9297</v>
      </c>
      <c r="C277" s="17">
        <f>CHOOSE(CONTROL!$C$42, 12.9348, 12.9348) * CHOOSE(CONTROL!$C$21, $C$9, 100%, $E$9)</f>
        <v>12.934799999999999</v>
      </c>
      <c r="D277" s="17">
        <f>CHOOSE(CONTROL!$C$42, 13.0522, 13.0522) * CHOOSE(CONTROL!$C$21, $C$9, 100%, $E$9)</f>
        <v>13.052199999999999</v>
      </c>
      <c r="E277" s="17">
        <f>CHOOSE(CONTROL!$C$42, 13.086, 13.086) * CHOOSE(CONTROL!$C$21, $C$9, 100%, $E$9)</f>
        <v>13.086</v>
      </c>
      <c r="F277" s="17">
        <f>CHOOSE(CONTROL!$C$42, 12.9433, 12.9433)*CHOOSE(CONTROL!$C$21, $C$9, 100%, $E$9)</f>
        <v>12.943300000000001</v>
      </c>
      <c r="G277" s="17">
        <f>CHOOSE(CONTROL!$C$42, 12.9596, 12.9596)*CHOOSE(CONTROL!$C$21, $C$9, 100%, $E$9)</f>
        <v>12.9596</v>
      </c>
      <c r="H277" s="17">
        <f>CHOOSE(CONTROL!$C$42, 13.0749, 13.0749) * CHOOSE(CONTROL!$C$21, $C$9, 100%, $E$9)</f>
        <v>13.0749</v>
      </c>
      <c r="I277" s="17">
        <f>CHOOSE(CONTROL!$C$42, 12.9932, 12.9932)* CHOOSE(CONTROL!$C$21, $C$9, 100%, $E$9)</f>
        <v>12.9932</v>
      </c>
      <c r="J277" s="17">
        <f>CHOOSE(CONTROL!$C$42, 12.9359, 12.9359)* CHOOSE(CONTROL!$C$21, $C$9, 100%, $E$9)</f>
        <v>12.9359</v>
      </c>
      <c r="K277" s="53">
        <f>CHOOSE(CONTROL!$C$42, 12.9872, 12.9872) * CHOOSE(CONTROL!$C$21, $C$9, 100%, $E$9)</f>
        <v>12.9872</v>
      </c>
      <c r="L277" s="17">
        <f>CHOOSE(CONTROL!$C$42, 13.6619, 13.6619) * CHOOSE(CONTROL!$C$21, $C$9, 100%, $E$9)</f>
        <v>13.661899999999999</v>
      </c>
      <c r="M277" s="17">
        <f>CHOOSE(CONTROL!$C$42, 12.8266, 12.8266) * CHOOSE(CONTROL!$C$21, $C$9, 100%, $E$9)</f>
        <v>12.826599999999999</v>
      </c>
      <c r="N277" s="17">
        <f>CHOOSE(CONTROL!$C$42, 12.8427, 12.8427) * CHOOSE(CONTROL!$C$21, $C$9, 100%, $E$9)</f>
        <v>12.842700000000001</v>
      </c>
      <c r="O277" s="17">
        <f>CHOOSE(CONTROL!$C$42, 12.9643, 12.9643) * CHOOSE(CONTROL!$C$21, $C$9, 100%, $E$9)</f>
        <v>12.9643</v>
      </c>
      <c r="P277" s="17">
        <f>CHOOSE(CONTROL!$C$42, 12.8831, 12.8831) * CHOOSE(CONTROL!$C$21, $C$9, 100%, $E$9)</f>
        <v>12.883100000000001</v>
      </c>
      <c r="Q277" s="17">
        <f>CHOOSE(CONTROL!$C$42, 13.559, 13.559) * CHOOSE(CONTROL!$C$21, $C$9, 100%, $E$9)</f>
        <v>13.558999999999999</v>
      </c>
      <c r="R277" s="17">
        <f>CHOOSE(CONTROL!$C$42, 14.1799, 14.1799) * CHOOSE(CONTROL!$C$21, $C$9, 100%, $E$9)</f>
        <v>14.1799</v>
      </c>
      <c r="S277" s="17">
        <f>CHOOSE(CONTROL!$C$42, 12.5284, 12.5284) * CHOOSE(CONTROL!$C$21, $C$9, 100%, $E$9)</f>
        <v>12.5284</v>
      </c>
      <c r="T277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277" s="57">
        <f>(1000*CHOOSE(CONTROL!$C$42, 695, 695)*CHOOSE(CONTROL!$C$42, 0.5599, 0.5599)*CHOOSE(CONTROL!$C$42, 31, 31))/1000000</f>
        <v>12.063045499999998</v>
      </c>
      <c r="V277" s="57">
        <f>(1000*CHOOSE(CONTROL!$C$42, 500, 500)*CHOOSE(CONTROL!$C$42, 0.275, 0.275)*CHOOSE(CONTROL!$C$42, 31, 31))/1000000</f>
        <v>4.2625000000000002</v>
      </c>
      <c r="W277" s="57">
        <f>(1000*CHOOSE(CONTROL!$C$42, 0.0916, 0.0916)*CHOOSE(CONTROL!$C$42, 121.5, 121.5)*CHOOSE(CONTROL!$C$42, 31, 31))/1000000</f>
        <v>0.34501139999999997</v>
      </c>
      <c r="X277" s="57">
        <f>(31*0.2374*100000/1000000)</f>
        <v>0.73594000000000004</v>
      </c>
      <c r="Y277" s="57"/>
      <c r="Z277" s="17"/>
      <c r="AA277" s="56"/>
      <c r="AB277" s="49">
        <f>(B277*122.58+C277*297.941+D277*89.177+E277*140.302+F277*40+G277*60+H277*0+I277*100+J277*300)/(122.58+297.941+89.177+140.302+0+40+60+100+300)</f>
        <v>12.968761638434783</v>
      </c>
      <c r="AC277" s="46">
        <f>(M277*'RAP TEMPLATE-GAS AVAILABILITY'!O276+N277*'RAP TEMPLATE-GAS AVAILABILITY'!P276+O277*'RAP TEMPLATE-GAS AVAILABILITY'!Q276+P277*'RAP TEMPLATE-GAS AVAILABILITY'!R276)/('RAP TEMPLATE-GAS AVAILABILITY'!O276+'RAP TEMPLATE-GAS AVAILABILITY'!P276+'RAP TEMPLATE-GAS AVAILABILITY'!Q276+'RAP TEMPLATE-GAS AVAILABILITY'!R276)</f>
        <v>12.898066906474819</v>
      </c>
    </row>
    <row r="278" spans="1:29" ht="15.75" x14ac:dyDescent="0.25">
      <c r="A278" s="16">
        <v>49341</v>
      </c>
      <c r="B278" s="17">
        <f>CHOOSE(CONTROL!$C$42, 13.1597, 13.1597) * CHOOSE(CONTROL!$C$21, $C$9, 100%, $E$9)</f>
        <v>13.159700000000001</v>
      </c>
      <c r="C278" s="17">
        <f>CHOOSE(CONTROL!$C$42, 13.1648, 13.1648) * CHOOSE(CONTROL!$C$21, $C$9, 100%, $E$9)</f>
        <v>13.1648</v>
      </c>
      <c r="D278" s="17">
        <f>CHOOSE(CONTROL!$C$42, 13.2822, 13.2822) * CHOOSE(CONTROL!$C$21, $C$9, 100%, $E$9)</f>
        <v>13.2822</v>
      </c>
      <c r="E278" s="17">
        <f>CHOOSE(CONTROL!$C$42, 13.316, 13.316) * CHOOSE(CONTROL!$C$21, $C$9, 100%, $E$9)</f>
        <v>13.316000000000001</v>
      </c>
      <c r="F278" s="17">
        <f>CHOOSE(CONTROL!$C$42, 13.1733, 13.1733)*CHOOSE(CONTROL!$C$21, $C$9, 100%, $E$9)</f>
        <v>13.173299999999999</v>
      </c>
      <c r="G278" s="17">
        <f>CHOOSE(CONTROL!$C$42, 13.1896, 13.1896)*CHOOSE(CONTROL!$C$21, $C$9, 100%, $E$9)</f>
        <v>13.1896</v>
      </c>
      <c r="H278" s="17">
        <f>CHOOSE(CONTROL!$C$42, 13.3049, 13.3049) * CHOOSE(CONTROL!$C$21, $C$9, 100%, $E$9)</f>
        <v>13.3049</v>
      </c>
      <c r="I278" s="17">
        <f>CHOOSE(CONTROL!$C$42, 13.2239, 13.2239)* CHOOSE(CONTROL!$C$21, $C$9, 100%, $E$9)</f>
        <v>13.2239</v>
      </c>
      <c r="J278" s="17">
        <f>CHOOSE(CONTROL!$C$42, 13.1659, 13.1659)* CHOOSE(CONTROL!$C$21, $C$9, 100%, $E$9)</f>
        <v>13.165900000000001</v>
      </c>
      <c r="K278" s="53">
        <f>CHOOSE(CONTROL!$C$42, 13.2179, 13.2179) * CHOOSE(CONTROL!$C$21, $C$9, 100%, $E$9)</f>
        <v>13.2179</v>
      </c>
      <c r="L278" s="17">
        <f>CHOOSE(CONTROL!$C$42, 13.8919, 13.8919) * CHOOSE(CONTROL!$C$21, $C$9, 100%, $E$9)</f>
        <v>13.8919</v>
      </c>
      <c r="M278" s="17">
        <f>CHOOSE(CONTROL!$C$42, 13.0545, 13.0545) * CHOOSE(CONTROL!$C$21, $C$9, 100%, $E$9)</f>
        <v>13.054500000000001</v>
      </c>
      <c r="N278" s="17">
        <f>CHOOSE(CONTROL!$C$42, 13.0707, 13.0707) * CHOOSE(CONTROL!$C$21, $C$9, 100%, $E$9)</f>
        <v>13.0707</v>
      </c>
      <c r="O278" s="17">
        <f>CHOOSE(CONTROL!$C$42, 13.1922, 13.1922) * CHOOSE(CONTROL!$C$21, $C$9, 100%, $E$9)</f>
        <v>13.1922</v>
      </c>
      <c r="P278" s="17">
        <f>CHOOSE(CONTROL!$C$42, 13.1117, 13.1117) * CHOOSE(CONTROL!$C$21, $C$9, 100%, $E$9)</f>
        <v>13.111700000000001</v>
      </c>
      <c r="Q278" s="17">
        <f>CHOOSE(CONTROL!$C$42, 13.7869, 13.7869) * CHOOSE(CONTROL!$C$21, $C$9, 100%, $E$9)</f>
        <v>13.786899999999999</v>
      </c>
      <c r="R278" s="17">
        <f>CHOOSE(CONTROL!$C$42, 14.4084, 14.4084) * CHOOSE(CONTROL!$C$21, $C$9, 100%, $E$9)</f>
        <v>14.4084</v>
      </c>
      <c r="S278" s="17">
        <f>CHOOSE(CONTROL!$C$42, 12.7514, 12.7514) * CHOOSE(CONTROL!$C$21, $C$9, 100%, $E$9)</f>
        <v>12.7514</v>
      </c>
      <c r="T278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278" s="57">
        <f>(1000*CHOOSE(CONTROL!$C$42, 695, 695)*CHOOSE(CONTROL!$C$42, 0.5599, 0.5599)*CHOOSE(CONTROL!$C$42, 28, 28))/1000000</f>
        <v>10.895653999999999</v>
      </c>
      <c r="V278" s="57">
        <f>(1000*CHOOSE(CONTROL!$C$42, 500, 500)*CHOOSE(CONTROL!$C$42, 0.275, 0.275)*CHOOSE(CONTROL!$C$42, 28, 28))/1000000</f>
        <v>3.85</v>
      </c>
      <c r="W278" s="57">
        <f>(1000*CHOOSE(CONTROL!$C$42, 0.0916, 0.0916)*CHOOSE(CONTROL!$C$42, 121.5, 121.5)*CHOOSE(CONTROL!$C$42, 28, 28))/1000000</f>
        <v>0.31162319999999999</v>
      </c>
      <c r="X278" s="57">
        <f>(28*0.2374*100000/1000000)</f>
        <v>0.66471999999999998</v>
      </c>
      <c r="Y278" s="57"/>
      <c r="Z278" s="17"/>
      <c r="AA278" s="56"/>
      <c r="AB278" s="49">
        <f>(B278*122.58+C278*297.941+D278*89.177+E278*140.302+F278*40+G278*60+H278*0+I278*100+J278*300)/(122.58+297.941+89.177+140.302+0+40+60+100+300)</f>
        <v>13.198822507999999</v>
      </c>
      <c r="AC278" s="46">
        <f>(M278*'RAP TEMPLATE-GAS AVAILABILITY'!O277+N278*'RAP TEMPLATE-GAS AVAILABILITY'!P277+O278*'RAP TEMPLATE-GAS AVAILABILITY'!Q277+P278*'RAP TEMPLATE-GAS AVAILABILITY'!R277)/('RAP TEMPLATE-GAS AVAILABILITY'!O277+'RAP TEMPLATE-GAS AVAILABILITY'!P277+'RAP TEMPLATE-GAS AVAILABILITY'!Q277+'RAP TEMPLATE-GAS AVAILABILITY'!R277)</f>
        <v>13.126073381294963</v>
      </c>
    </row>
    <row r="279" spans="1:29" ht="15.75" x14ac:dyDescent="0.25">
      <c r="A279" s="16">
        <v>49369</v>
      </c>
      <c r="B279" s="17">
        <f>CHOOSE(CONTROL!$C$42, 12.7864, 12.7864) * CHOOSE(CONTROL!$C$21, $C$9, 100%, $E$9)</f>
        <v>12.7864</v>
      </c>
      <c r="C279" s="17">
        <f>CHOOSE(CONTROL!$C$42, 12.7914, 12.7914) * CHOOSE(CONTROL!$C$21, $C$9, 100%, $E$9)</f>
        <v>12.791399999999999</v>
      </c>
      <c r="D279" s="17">
        <f>CHOOSE(CONTROL!$C$42, 12.9089, 12.9089) * CHOOSE(CONTROL!$C$21, $C$9, 100%, $E$9)</f>
        <v>12.908899999999999</v>
      </c>
      <c r="E279" s="17">
        <f>CHOOSE(CONTROL!$C$42, 12.9427, 12.9427) * CHOOSE(CONTROL!$C$21, $C$9, 100%, $E$9)</f>
        <v>12.9427</v>
      </c>
      <c r="F279" s="17">
        <f>CHOOSE(CONTROL!$C$42, 12.7994, 12.7994)*CHOOSE(CONTROL!$C$21, $C$9, 100%, $E$9)</f>
        <v>12.7994</v>
      </c>
      <c r="G279" s="17">
        <f>CHOOSE(CONTROL!$C$42, 12.8155, 12.8155)*CHOOSE(CONTROL!$C$21, $C$9, 100%, $E$9)</f>
        <v>12.8155</v>
      </c>
      <c r="H279" s="17">
        <f>CHOOSE(CONTROL!$C$42, 12.9315, 12.9315) * CHOOSE(CONTROL!$C$21, $C$9, 100%, $E$9)</f>
        <v>12.9315</v>
      </c>
      <c r="I279" s="17">
        <f>CHOOSE(CONTROL!$C$42, 12.8494, 12.8494)* CHOOSE(CONTROL!$C$21, $C$9, 100%, $E$9)</f>
        <v>12.849399999999999</v>
      </c>
      <c r="J279" s="17">
        <f>CHOOSE(CONTROL!$C$42, 12.792, 12.792)* CHOOSE(CONTROL!$C$21, $C$9, 100%, $E$9)</f>
        <v>12.792</v>
      </c>
      <c r="K279" s="53">
        <f>CHOOSE(CONTROL!$C$42, 12.8434, 12.8434) * CHOOSE(CONTROL!$C$21, $C$9, 100%, $E$9)</f>
        <v>12.843400000000001</v>
      </c>
      <c r="L279" s="17">
        <f>CHOOSE(CONTROL!$C$42, 13.5185, 13.5185) * CHOOSE(CONTROL!$C$21, $C$9, 100%, $E$9)</f>
        <v>13.5185</v>
      </c>
      <c r="M279" s="17">
        <f>CHOOSE(CONTROL!$C$42, 12.6839, 12.6839) * CHOOSE(CONTROL!$C$21, $C$9, 100%, $E$9)</f>
        <v>12.6839</v>
      </c>
      <c r="N279" s="17">
        <f>CHOOSE(CONTROL!$C$42, 12.6999, 12.6999) * CHOOSE(CONTROL!$C$21, $C$9, 100%, $E$9)</f>
        <v>12.6999</v>
      </c>
      <c r="O279" s="17">
        <f>CHOOSE(CONTROL!$C$42, 12.8222, 12.8222) * CHOOSE(CONTROL!$C$21, $C$9, 100%, $E$9)</f>
        <v>12.8222</v>
      </c>
      <c r="P279" s="17">
        <f>CHOOSE(CONTROL!$C$42, 12.7406, 12.7406) * CHOOSE(CONTROL!$C$21, $C$9, 100%, $E$9)</f>
        <v>12.740600000000001</v>
      </c>
      <c r="Q279" s="17">
        <f>CHOOSE(CONTROL!$C$42, 13.4169, 13.4169) * CHOOSE(CONTROL!$C$21, $C$9, 100%, $E$9)</f>
        <v>13.4169</v>
      </c>
      <c r="R279" s="17">
        <f>CHOOSE(CONTROL!$C$42, 14.0375, 14.0375) * CHOOSE(CONTROL!$C$21, $C$9, 100%, $E$9)</f>
        <v>14.0375</v>
      </c>
      <c r="S279" s="17">
        <f>CHOOSE(CONTROL!$C$42, 12.3894, 12.3894) * CHOOSE(CONTROL!$C$21, $C$9, 100%, $E$9)</f>
        <v>12.3894</v>
      </c>
      <c r="T279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279" s="57">
        <f>(1000*CHOOSE(CONTROL!$C$42, 695, 695)*CHOOSE(CONTROL!$C$42, 0.5599, 0.5599)*CHOOSE(CONTROL!$C$42, 31, 31))/1000000</f>
        <v>12.063045499999998</v>
      </c>
      <c r="V279" s="57">
        <f>(1000*CHOOSE(CONTROL!$C$42, 500, 500)*CHOOSE(CONTROL!$C$42, 0.275, 0.275)*CHOOSE(CONTROL!$C$42, 31, 31))/1000000</f>
        <v>4.2625000000000002</v>
      </c>
      <c r="W279" s="57">
        <f>(1000*CHOOSE(CONTROL!$C$42, 0.0916, 0.0916)*CHOOSE(CONTROL!$C$42, 121.5, 121.5)*CHOOSE(CONTROL!$C$42, 31, 31))/1000000</f>
        <v>0.34501139999999997</v>
      </c>
      <c r="X279" s="57">
        <f>(31*0.2374*100000/1000000)</f>
        <v>0.73594000000000004</v>
      </c>
      <c r="Y279" s="57"/>
      <c r="Z279" s="17"/>
      <c r="AA279" s="56"/>
      <c r="AB279" s="49">
        <f>(B279*122.58+C279*297.941+D279*89.177+E279*140.302+F279*40+G279*60+H279*0+I279*100+J279*300)/(122.58+297.941+89.177+140.302+0+40+60+100+300)</f>
        <v>12.825173121826088</v>
      </c>
      <c r="AC279" s="46">
        <f>(M279*'RAP TEMPLATE-GAS AVAILABILITY'!O278+N279*'RAP TEMPLATE-GAS AVAILABILITY'!P278+O279*'RAP TEMPLATE-GAS AVAILABILITY'!Q278+P279*'RAP TEMPLATE-GAS AVAILABILITY'!R278)/('RAP TEMPLATE-GAS AVAILABILITY'!O278+'RAP TEMPLATE-GAS AVAILABILITY'!P278+'RAP TEMPLATE-GAS AVAILABILITY'!Q278+'RAP TEMPLATE-GAS AVAILABILITY'!R278)</f>
        <v>12.755661870503596</v>
      </c>
    </row>
    <row r="280" spans="1:29" ht="15.75" x14ac:dyDescent="0.25">
      <c r="A280" s="16">
        <v>49400</v>
      </c>
      <c r="B280" s="17">
        <f>CHOOSE(CONTROL!$C$42, 12.7491, 12.7491) * CHOOSE(CONTROL!$C$21, $C$9, 100%, $E$9)</f>
        <v>12.7491</v>
      </c>
      <c r="C280" s="17">
        <f>CHOOSE(CONTROL!$C$42, 12.7536, 12.7536) * CHOOSE(CONTROL!$C$21, $C$9, 100%, $E$9)</f>
        <v>12.7536</v>
      </c>
      <c r="D280" s="17">
        <f>CHOOSE(CONTROL!$C$42, 13.0063, 13.0063) * CHOOSE(CONTROL!$C$21, $C$9, 100%, $E$9)</f>
        <v>13.0063</v>
      </c>
      <c r="E280" s="17">
        <f>CHOOSE(CONTROL!$C$42, 13.0381, 13.0381) * CHOOSE(CONTROL!$C$21, $C$9, 100%, $E$9)</f>
        <v>13.0381</v>
      </c>
      <c r="F280" s="17">
        <f>CHOOSE(CONTROL!$C$42, 12.7551, 12.7551)*CHOOSE(CONTROL!$C$21, $C$9, 100%, $E$9)</f>
        <v>12.755100000000001</v>
      </c>
      <c r="G280" s="17">
        <f>CHOOSE(CONTROL!$C$42, 12.7709, 12.7709)*CHOOSE(CONTROL!$C$21, $C$9, 100%, $E$9)</f>
        <v>12.770899999999999</v>
      </c>
      <c r="H280" s="17">
        <f>CHOOSE(CONTROL!$C$42, 13.0276, 13.0276) * CHOOSE(CONTROL!$C$21, $C$9, 100%, $E$9)</f>
        <v>13.0276</v>
      </c>
      <c r="I280" s="17">
        <f>CHOOSE(CONTROL!$C$42, 12.8103, 12.8103)* CHOOSE(CONTROL!$C$21, $C$9, 100%, $E$9)</f>
        <v>12.8103</v>
      </c>
      <c r="J280" s="17">
        <f>CHOOSE(CONTROL!$C$42, 12.7477, 12.7477)* CHOOSE(CONTROL!$C$21, $C$9, 100%, $E$9)</f>
        <v>12.7477</v>
      </c>
      <c r="K280" s="53">
        <f>CHOOSE(CONTROL!$C$42, 12.8042, 12.8042) * CHOOSE(CONTROL!$C$21, $C$9, 100%, $E$9)</f>
        <v>12.8042</v>
      </c>
      <c r="L280" s="17">
        <f>CHOOSE(CONTROL!$C$42, 13.6146, 13.6146) * CHOOSE(CONTROL!$C$21, $C$9, 100%, $E$9)</f>
        <v>13.614599999999999</v>
      </c>
      <c r="M280" s="17">
        <f>CHOOSE(CONTROL!$C$42, 12.64, 12.64) * CHOOSE(CONTROL!$C$21, $C$9, 100%, $E$9)</f>
        <v>12.64</v>
      </c>
      <c r="N280" s="17">
        <f>CHOOSE(CONTROL!$C$42, 12.6557, 12.6557) * CHOOSE(CONTROL!$C$21, $C$9, 100%, $E$9)</f>
        <v>12.6557</v>
      </c>
      <c r="O280" s="17">
        <f>CHOOSE(CONTROL!$C$42, 12.9174, 12.9174) * CHOOSE(CONTROL!$C$21, $C$9, 100%, $E$9)</f>
        <v>12.917400000000001</v>
      </c>
      <c r="P280" s="17">
        <f>CHOOSE(CONTROL!$C$42, 12.7018, 12.7018) * CHOOSE(CONTROL!$C$21, $C$9, 100%, $E$9)</f>
        <v>12.7018</v>
      </c>
      <c r="Q280" s="17">
        <f>CHOOSE(CONTROL!$C$42, 13.5121, 13.5121) * CHOOSE(CONTROL!$C$21, $C$9, 100%, $E$9)</f>
        <v>13.5121</v>
      </c>
      <c r="R280" s="17">
        <f>CHOOSE(CONTROL!$C$42, 14.1329, 14.1329) * CHOOSE(CONTROL!$C$21, $C$9, 100%, $E$9)</f>
        <v>14.132899999999999</v>
      </c>
      <c r="S280" s="17">
        <f>CHOOSE(CONTROL!$C$42, 12.3525, 12.3525) * CHOOSE(CONTROL!$C$21, $C$9, 100%, $E$9)</f>
        <v>12.352499999999999</v>
      </c>
      <c r="T280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280" s="57">
        <f>(1000*CHOOSE(CONTROL!$C$42, 695, 695)*CHOOSE(CONTROL!$C$42, 0.5599, 0.5599)*CHOOSE(CONTROL!$C$42, 30, 30))/1000000</f>
        <v>11.673914999999997</v>
      </c>
      <c r="V280" s="57">
        <f>(1000*CHOOSE(CONTROL!$C$42, 500, 500)*CHOOSE(CONTROL!$C$42, 0.275, 0.275)*CHOOSE(CONTROL!$C$42, 30, 30))/1000000</f>
        <v>4.125</v>
      </c>
      <c r="W280" s="57">
        <f>(1000*CHOOSE(CONTROL!$C$42, 0.0916, 0.0916)*CHOOSE(CONTROL!$C$42, 121.5, 121.5)*CHOOSE(CONTROL!$C$42, 30, 30))/1000000</f>
        <v>0.33388200000000001</v>
      </c>
      <c r="X280" s="57">
        <f>(30*0.1790888*145000/1000000)+(30*0.2374*100000/1000000)</f>
        <v>1.4912362799999999</v>
      </c>
      <c r="Y280" s="57"/>
      <c r="Z280" s="17"/>
      <c r="AA280" s="56"/>
      <c r="AB280" s="49">
        <f>(B280*141.293+C280*267.993+D280*115.016+E280*189.698+F280*40+G280*85+H280*0+I280*100+J280*300)/(141.293+267.993+115.016+189.698+0+40+85+100+300)</f>
        <v>12.824486445278451</v>
      </c>
      <c r="AC280" s="46">
        <f>(M280*'RAP TEMPLATE-GAS AVAILABILITY'!O279+N280*'RAP TEMPLATE-GAS AVAILABILITY'!P279+O280*'RAP TEMPLATE-GAS AVAILABILITY'!Q279+P280*'RAP TEMPLATE-GAS AVAILABILITY'!R279)/('RAP TEMPLATE-GAS AVAILABILITY'!O279+'RAP TEMPLATE-GAS AVAILABILITY'!P279+'RAP TEMPLATE-GAS AVAILABILITY'!Q279+'RAP TEMPLATE-GAS AVAILABILITY'!R279)</f>
        <v>12.730338129496404</v>
      </c>
    </row>
    <row r="281" spans="1:29" ht="15.75" x14ac:dyDescent="0.25">
      <c r="A281" s="16">
        <v>49430</v>
      </c>
      <c r="B281" s="17">
        <f>CHOOSE(CONTROL!$C$42, 12.8629, 12.8629) * CHOOSE(CONTROL!$C$21, $C$9, 100%, $E$9)</f>
        <v>12.8629</v>
      </c>
      <c r="C281" s="17">
        <f>CHOOSE(CONTROL!$C$42, 12.8709, 12.8709) * CHOOSE(CONTROL!$C$21, $C$9, 100%, $E$9)</f>
        <v>12.870900000000001</v>
      </c>
      <c r="D281" s="17">
        <f>CHOOSE(CONTROL!$C$42, 13.1205, 13.1205) * CHOOSE(CONTROL!$C$21, $C$9, 100%, $E$9)</f>
        <v>13.1205</v>
      </c>
      <c r="E281" s="17">
        <f>CHOOSE(CONTROL!$C$42, 13.1517, 13.1517) * CHOOSE(CONTROL!$C$21, $C$9, 100%, $E$9)</f>
        <v>13.1517</v>
      </c>
      <c r="F281" s="17">
        <f>CHOOSE(CONTROL!$C$42, 12.8677, 12.8677)*CHOOSE(CONTROL!$C$21, $C$9, 100%, $E$9)</f>
        <v>12.867699999999999</v>
      </c>
      <c r="G281" s="17">
        <f>CHOOSE(CONTROL!$C$42, 12.8839, 12.8839)*CHOOSE(CONTROL!$C$21, $C$9, 100%, $E$9)</f>
        <v>12.883900000000001</v>
      </c>
      <c r="H281" s="17">
        <f>CHOOSE(CONTROL!$C$42, 13.14, 13.14) * CHOOSE(CONTROL!$C$21, $C$9, 100%, $E$9)</f>
        <v>13.14</v>
      </c>
      <c r="I281" s="17">
        <f>CHOOSE(CONTROL!$C$42, 12.923, 12.923)* CHOOSE(CONTROL!$C$21, $C$9, 100%, $E$9)</f>
        <v>12.923</v>
      </c>
      <c r="J281" s="17">
        <f>CHOOSE(CONTROL!$C$42, 12.8603, 12.8603)* CHOOSE(CONTROL!$C$21, $C$9, 100%, $E$9)</f>
        <v>12.860300000000001</v>
      </c>
      <c r="K281" s="53">
        <f>CHOOSE(CONTROL!$C$42, 12.917, 12.917) * CHOOSE(CONTROL!$C$21, $C$9, 100%, $E$9)</f>
        <v>12.917</v>
      </c>
      <c r="L281" s="17">
        <f>CHOOSE(CONTROL!$C$42, 13.727, 13.727) * CHOOSE(CONTROL!$C$21, $C$9, 100%, $E$9)</f>
        <v>13.727</v>
      </c>
      <c r="M281" s="17">
        <f>CHOOSE(CONTROL!$C$42, 12.7517, 12.7517) * CHOOSE(CONTROL!$C$21, $C$9, 100%, $E$9)</f>
        <v>12.7517</v>
      </c>
      <c r="N281" s="17">
        <f>CHOOSE(CONTROL!$C$42, 12.7677, 12.7677) * CHOOSE(CONTROL!$C$21, $C$9, 100%, $E$9)</f>
        <v>12.7677</v>
      </c>
      <c r="O281" s="17">
        <f>CHOOSE(CONTROL!$C$42, 13.0288, 13.0288) * CHOOSE(CONTROL!$C$21, $C$9, 100%, $E$9)</f>
        <v>13.0288</v>
      </c>
      <c r="P281" s="17">
        <f>CHOOSE(CONTROL!$C$42, 12.8135, 12.8135) * CHOOSE(CONTROL!$C$21, $C$9, 100%, $E$9)</f>
        <v>12.813499999999999</v>
      </c>
      <c r="Q281" s="17">
        <f>CHOOSE(CONTROL!$C$42, 13.6235, 13.6235) * CHOOSE(CONTROL!$C$21, $C$9, 100%, $E$9)</f>
        <v>13.6235</v>
      </c>
      <c r="R281" s="17">
        <f>CHOOSE(CONTROL!$C$42, 14.2446, 14.2446) * CHOOSE(CONTROL!$C$21, $C$9, 100%, $E$9)</f>
        <v>14.2446</v>
      </c>
      <c r="S281" s="17">
        <f>CHOOSE(CONTROL!$C$42, 12.4616, 12.4616) * CHOOSE(CONTROL!$C$21, $C$9, 100%, $E$9)</f>
        <v>12.461600000000001</v>
      </c>
      <c r="T281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281" s="57">
        <f>(1000*CHOOSE(CONTROL!$C$42, 695, 695)*CHOOSE(CONTROL!$C$42, 0.5599, 0.5599)*CHOOSE(CONTROL!$C$42, 31, 31))/1000000</f>
        <v>12.063045499999998</v>
      </c>
      <c r="V281" s="57">
        <f>(1000*CHOOSE(CONTROL!$C$42, 500, 500)*CHOOSE(CONTROL!$C$42, 0.275, 0.275)*CHOOSE(CONTROL!$C$42, 31, 31))/1000000</f>
        <v>4.2625000000000002</v>
      </c>
      <c r="W281" s="57">
        <f>(1000*CHOOSE(CONTROL!$C$42, 0.0916, 0.0916)*CHOOSE(CONTROL!$C$42, 121.5, 121.5)*CHOOSE(CONTROL!$C$42, 31, 31))/1000000</f>
        <v>0.34501139999999997</v>
      </c>
      <c r="X281" s="57">
        <f>(31*0.1790888*145000/1000000)+(31*0.2374*100000/1000000)</f>
        <v>1.5409441560000001</v>
      </c>
      <c r="Y281" s="57"/>
      <c r="Z281" s="17"/>
      <c r="AA281" s="56"/>
      <c r="AB281" s="49">
        <f>(B281*194.205+C281*267.466+D281*133.845+E281*153.484+F281*40+G281*85+H281*0+I281*100+J281*300)/(194.205+267.466+133.845+153.484+0+40+85+100+300)</f>
        <v>12.93209260533752</v>
      </c>
      <c r="AC281" s="46">
        <f>(M281*'RAP TEMPLATE-GAS AVAILABILITY'!O280+N281*'RAP TEMPLATE-GAS AVAILABILITY'!P280+O281*'RAP TEMPLATE-GAS AVAILABILITY'!Q280+P281*'RAP TEMPLATE-GAS AVAILABILITY'!R280)/('RAP TEMPLATE-GAS AVAILABILITY'!O280+'RAP TEMPLATE-GAS AVAILABILITY'!P280+'RAP TEMPLATE-GAS AVAILABILITY'!Q280+'RAP TEMPLATE-GAS AVAILABILITY'!R280)</f>
        <v>12.842023021582733</v>
      </c>
    </row>
    <row r="282" spans="1:29" ht="15.75" x14ac:dyDescent="0.25">
      <c r="A282" s="15">
        <v>49461</v>
      </c>
      <c r="B282" s="17">
        <f>CHOOSE(CONTROL!$C$42, 13.2274, 13.2274) * CHOOSE(CONTROL!$C$21, $C$9, 100%, $E$9)</f>
        <v>13.227399999999999</v>
      </c>
      <c r="C282" s="17">
        <f>CHOOSE(CONTROL!$C$42, 13.2354, 13.2354) * CHOOSE(CONTROL!$C$21, $C$9, 100%, $E$9)</f>
        <v>13.2354</v>
      </c>
      <c r="D282" s="17">
        <f>CHOOSE(CONTROL!$C$42, 13.485, 13.485) * CHOOSE(CONTROL!$C$21, $C$9, 100%, $E$9)</f>
        <v>13.484999999999999</v>
      </c>
      <c r="E282" s="17">
        <f>CHOOSE(CONTROL!$C$42, 13.5162, 13.5162) * CHOOSE(CONTROL!$C$21, $C$9, 100%, $E$9)</f>
        <v>13.5162</v>
      </c>
      <c r="F282" s="17">
        <f>CHOOSE(CONTROL!$C$42, 13.2326, 13.2326)*CHOOSE(CONTROL!$C$21, $C$9, 100%, $E$9)</f>
        <v>13.2326</v>
      </c>
      <c r="G282" s="17">
        <f>CHOOSE(CONTROL!$C$42, 13.2488, 13.2488)*CHOOSE(CONTROL!$C$21, $C$9, 100%, $E$9)</f>
        <v>13.248799999999999</v>
      </c>
      <c r="H282" s="17">
        <f>CHOOSE(CONTROL!$C$42, 13.5045, 13.5045) * CHOOSE(CONTROL!$C$21, $C$9, 100%, $E$9)</f>
        <v>13.5045</v>
      </c>
      <c r="I282" s="17">
        <f>CHOOSE(CONTROL!$C$42, 13.2887, 13.2887)* CHOOSE(CONTROL!$C$21, $C$9, 100%, $E$9)</f>
        <v>13.2887</v>
      </c>
      <c r="J282" s="17">
        <f>CHOOSE(CONTROL!$C$42, 13.2252, 13.2252)* CHOOSE(CONTROL!$C$21, $C$9, 100%, $E$9)</f>
        <v>13.225199999999999</v>
      </c>
      <c r="K282" s="53">
        <f>CHOOSE(CONTROL!$C$42, 13.2826, 13.2826) * CHOOSE(CONTROL!$C$21, $C$9, 100%, $E$9)</f>
        <v>13.2826</v>
      </c>
      <c r="L282" s="17">
        <f>CHOOSE(CONTROL!$C$42, 14.0915, 14.0915) * CHOOSE(CONTROL!$C$21, $C$9, 100%, $E$9)</f>
        <v>14.0915</v>
      </c>
      <c r="M282" s="17">
        <f>CHOOSE(CONTROL!$C$42, 13.1132, 13.1132) * CHOOSE(CONTROL!$C$21, $C$9, 100%, $E$9)</f>
        <v>13.113200000000001</v>
      </c>
      <c r="N282" s="17">
        <f>CHOOSE(CONTROL!$C$42, 13.1293, 13.1293) * CHOOSE(CONTROL!$C$21, $C$9, 100%, $E$9)</f>
        <v>13.129300000000001</v>
      </c>
      <c r="O282" s="17">
        <f>CHOOSE(CONTROL!$C$42, 13.3901, 13.3901) * CHOOSE(CONTROL!$C$21, $C$9, 100%, $E$9)</f>
        <v>13.3901</v>
      </c>
      <c r="P282" s="17">
        <f>CHOOSE(CONTROL!$C$42, 13.1758, 13.1758) * CHOOSE(CONTROL!$C$21, $C$9, 100%, $E$9)</f>
        <v>13.175800000000001</v>
      </c>
      <c r="Q282" s="17">
        <f>CHOOSE(CONTROL!$C$42, 13.9848, 13.9848) * CHOOSE(CONTROL!$C$21, $C$9, 100%, $E$9)</f>
        <v>13.9848</v>
      </c>
      <c r="R282" s="17">
        <f>CHOOSE(CONTROL!$C$42, 14.6067, 14.6067) * CHOOSE(CONTROL!$C$21, $C$9, 100%, $E$9)</f>
        <v>14.6067</v>
      </c>
      <c r="S282" s="17">
        <f>CHOOSE(CONTROL!$C$42, 12.815, 12.815) * CHOOSE(CONTROL!$C$21, $C$9, 100%, $E$9)</f>
        <v>12.815</v>
      </c>
      <c r="T282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282" s="57">
        <f>(1000*CHOOSE(CONTROL!$C$42, 695, 695)*CHOOSE(CONTROL!$C$42, 0.5599, 0.5599)*CHOOSE(CONTROL!$C$42, 30, 30))/1000000</f>
        <v>11.673914999999997</v>
      </c>
      <c r="V282" s="57">
        <f>(1000*CHOOSE(CONTROL!$C$42, 500, 500)*CHOOSE(CONTROL!$C$42, 0.275, 0.275)*CHOOSE(CONTROL!$C$42, 30, 30))/1000000</f>
        <v>4.125</v>
      </c>
      <c r="W282" s="57">
        <f>(1000*CHOOSE(CONTROL!$C$42, 0.0916, 0.0916)*CHOOSE(CONTROL!$C$42, 121.5, 121.5)*CHOOSE(CONTROL!$C$42, 30, 30))/1000000</f>
        <v>0.33388200000000001</v>
      </c>
      <c r="X282" s="57">
        <f>(30*0.1790888*145000/1000000)+(30*0.2374*100000/1000000)</f>
        <v>1.4912362799999999</v>
      </c>
      <c r="Y282" s="57"/>
      <c r="Z282" s="17"/>
      <c r="AA282" s="56"/>
      <c r="AB282" s="49">
        <f>(B282*194.205+C282*267.466+D282*133.845+E282*153.484+F282*40+G282*85+H282*0+I282*100+J282*300)/(194.205+267.466+133.845+153.484+0+40+85+100+300)</f>
        <v>13.296820234850866</v>
      </c>
      <c r="AC282" s="46">
        <f>(M282*'RAP TEMPLATE-GAS AVAILABILITY'!O281+N282*'RAP TEMPLATE-GAS AVAILABILITY'!P281+O282*'RAP TEMPLATE-GAS AVAILABILITY'!Q281+P282*'RAP TEMPLATE-GAS AVAILABILITY'!R281)/('RAP TEMPLATE-GAS AVAILABILITY'!O281+'RAP TEMPLATE-GAS AVAILABILITY'!P281+'RAP TEMPLATE-GAS AVAILABILITY'!Q281+'RAP TEMPLATE-GAS AVAILABILITY'!R281)</f>
        <v>13.203605035971222</v>
      </c>
    </row>
    <row r="283" spans="1:29" ht="15.75" x14ac:dyDescent="0.25">
      <c r="A283" s="15">
        <v>49491</v>
      </c>
      <c r="B283" s="17">
        <f>CHOOSE(CONTROL!$C$42, 12.9739, 12.9739) * CHOOSE(CONTROL!$C$21, $C$9, 100%, $E$9)</f>
        <v>12.9739</v>
      </c>
      <c r="C283" s="17">
        <f>CHOOSE(CONTROL!$C$42, 12.9819, 12.9819) * CHOOSE(CONTROL!$C$21, $C$9, 100%, $E$9)</f>
        <v>12.9819</v>
      </c>
      <c r="D283" s="17">
        <f>CHOOSE(CONTROL!$C$42, 13.2315, 13.2315) * CHOOSE(CONTROL!$C$21, $C$9, 100%, $E$9)</f>
        <v>13.2315</v>
      </c>
      <c r="E283" s="17">
        <f>CHOOSE(CONTROL!$C$42, 13.2627, 13.2627) * CHOOSE(CONTROL!$C$21, $C$9, 100%, $E$9)</f>
        <v>13.262700000000001</v>
      </c>
      <c r="F283" s="17">
        <f>CHOOSE(CONTROL!$C$42, 12.9796, 12.9796)*CHOOSE(CONTROL!$C$21, $C$9, 100%, $E$9)</f>
        <v>12.9796</v>
      </c>
      <c r="G283" s="17">
        <f>CHOOSE(CONTROL!$C$42, 12.9959, 12.9959)*CHOOSE(CONTROL!$C$21, $C$9, 100%, $E$9)</f>
        <v>12.995900000000001</v>
      </c>
      <c r="H283" s="17">
        <f>CHOOSE(CONTROL!$C$42, 13.251, 13.251) * CHOOSE(CONTROL!$C$21, $C$9, 100%, $E$9)</f>
        <v>13.250999999999999</v>
      </c>
      <c r="I283" s="17">
        <f>CHOOSE(CONTROL!$C$42, 13.0344, 13.0344)* CHOOSE(CONTROL!$C$21, $C$9, 100%, $E$9)</f>
        <v>13.0344</v>
      </c>
      <c r="J283" s="17">
        <f>CHOOSE(CONTROL!$C$42, 12.9722, 12.9722)* CHOOSE(CONTROL!$C$21, $C$9, 100%, $E$9)</f>
        <v>12.972200000000001</v>
      </c>
      <c r="K283" s="53">
        <f>CHOOSE(CONTROL!$C$42, 13.0283, 13.0283) * CHOOSE(CONTROL!$C$21, $C$9, 100%, $E$9)</f>
        <v>13.0283</v>
      </c>
      <c r="L283" s="17">
        <f>CHOOSE(CONTROL!$C$42, 13.838, 13.838) * CHOOSE(CONTROL!$C$21, $C$9, 100%, $E$9)</f>
        <v>13.837999999999999</v>
      </c>
      <c r="M283" s="17">
        <f>CHOOSE(CONTROL!$C$42, 12.8625, 12.8625) * CHOOSE(CONTROL!$C$21, $C$9, 100%, $E$9)</f>
        <v>12.862500000000001</v>
      </c>
      <c r="N283" s="17">
        <f>CHOOSE(CONTROL!$C$42, 12.8787, 12.8787) * CHOOSE(CONTROL!$C$21, $C$9, 100%, $E$9)</f>
        <v>12.8787</v>
      </c>
      <c r="O283" s="17">
        <f>CHOOSE(CONTROL!$C$42, 13.1388, 13.1388) * CHOOSE(CONTROL!$C$21, $C$9, 100%, $E$9)</f>
        <v>13.1388</v>
      </c>
      <c r="P283" s="17">
        <f>CHOOSE(CONTROL!$C$42, 12.9238, 12.9238) * CHOOSE(CONTROL!$C$21, $C$9, 100%, $E$9)</f>
        <v>12.9238</v>
      </c>
      <c r="Q283" s="17">
        <f>CHOOSE(CONTROL!$C$42, 13.7335, 13.7335) * CHOOSE(CONTROL!$C$21, $C$9, 100%, $E$9)</f>
        <v>13.733499999999999</v>
      </c>
      <c r="R283" s="17">
        <f>CHOOSE(CONTROL!$C$42, 14.3549, 14.3549) * CHOOSE(CONTROL!$C$21, $C$9, 100%, $E$9)</f>
        <v>14.354900000000001</v>
      </c>
      <c r="S283" s="17">
        <f>CHOOSE(CONTROL!$C$42, 12.5692, 12.5692) * CHOOSE(CONTROL!$C$21, $C$9, 100%, $E$9)</f>
        <v>12.5692</v>
      </c>
      <c r="T283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283" s="57">
        <f>(1000*CHOOSE(CONTROL!$C$42, 695, 695)*CHOOSE(CONTROL!$C$42, 0.5599, 0.5599)*CHOOSE(CONTROL!$C$42, 31, 31))/1000000</f>
        <v>12.063045499999998</v>
      </c>
      <c r="V283" s="57">
        <f>(1000*CHOOSE(CONTROL!$C$42, 500, 500)*CHOOSE(CONTROL!$C$42, 0.275, 0.275)*CHOOSE(CONTROL!$C$42, 31, 31))/1000000</f>
        <v>4.2625000000000002</v>
      </c>
      <c r="W283" s="57">
        <f>(1000*CHOOSE(CONTROL!$C$42, 0.0916, 0.0916)*CHOOSE(CONTROL!$C$42, 121.5, 121.5)*CHOOSE(CONTROL!$C$42, 31, 31))/1000000</f>
        <v>0.34501139999999997</v>
      </c>
      <c r="X283" s="57">
        <f>(31*0.1790888*145000/1000000)+(31*0.2374*100000/1000000)</f>
        <v>1.5409441560000001</v>
      </c>
      <c r="Y283" s="57"/>
      <c r="Z283" s="17"/>
      <c r="AA283" s="56"/>
      <c r="AB283" s="49">
        <f>(B283*194.205+C283*267.466+D283*133.845+E283*153.484+F283*40+G283*85+H283*0+I283*100+J283*300)/(194.205+267.466+133.845+153.484+0+40+85+100+300)</f>
        <v>13.043430909890111</v>
      </c>
      <c r="AC283" s="46">
        <f>(M283*'RAP TEMPLATE-GAS AVAILABILITY'!O282+N283*'RAP TEMPLATE-GAS AVAILABILITY'!P282+O283*'RAP TEMPLATE-GAS AVAILABILITY'!Q282+P283*'RAP TEMPLATE-GAS AVAILABILITY'!R282)/('RAP TEMPLATE-GAS AVAILABILITY'!O282+'RAP TEMPLATE-GAS AVAILABILITY'!P282+'RAP TEMPLATE-GAS AVAILABILITY'!Q282+'RAP TEMPLATE-GAS AVAILABILITY'!R282)</f>
        <v>12.952572661870505</v>
      </c>
    </row>
    <row r="284" spans="1:29" ht="15.75" x14ac:dyDescent="0.25">
      <c r="A284" s="15">
        <v>49522</v>
      </c>
      <c r="B284" s="17">
        <f>CHOOSE(CONTROL!$C$42, 12.3337, 12.3337) * CHOOSE(CONTROL!$C$21, $C$9, 100%, $E$9)</f>
        <v>12.3337</v>
      </c>
      <c r="C284" s="17">
        <f>CHOOSE(CONTROL!$C$42, 12.3417, 12.3417) * CHOOSE(CONTROL!$C$21, $C$9, 100%, $E$9)</f>
        <v>12.341699999999999</v>
      </c>
      <c r="D284" s="17">
        <f>CHOOSE(CONTROL!$C$42, 12.5913, 12.5913) * CHOOSE(CONTROL!$C$21, $C$9, 100%, $E$9)</f>
        <v>12.5913</v>
      </c>
      <c r="E284" s="17">
        <f>CHOOSE(CONTROL!$C$42, 12.6225, 12.6225) * CHOOSE(CONTROL!$C$21, $C$9, 100%, $E$9)</f>
        <v>12.6225</v>
      </c>
      <c r="F284" s="17">
        <f>CHOOSE(CONTROL!$C$42, 12.3396, 12.3396)*CHOOSE(CONTROL!$C$21, $C$9, 100%, $E$9)</f>
        <v>12.339600000000001</v>
      </c>
      <c r="G284" s="17">
        <f>CHOOSE(CONTROL!$C$42, 12.3561, 12.3561)*CHOOSE(CONTROL!$C$21, $C$9, 100%, $E$9)</f>
        <v>12.3561</v>
      </c>
      <c r="H284" s="17">
        <f>CHOOSE(CONTROL!$C$42, 12.6108, 12.6108) * CHOOSE(CONTROL!$C$21, $C$9, 100%, $E$9)</f>
        <v>12.610799999999999</v>
      </c>
      <c r="I284" s="17">
        <f>CHOOSE(CONTROL!$C$42, 12.3922, 12.3922)* CHOOSE(CONTROL!$C$21, $C$9, 100%, $E$9)</f>
        <v>12.392200000000001</v>
      </c>
      <c r="J284" s="17">
        <f>CHOOSE(CONTROL!$C$42, 12.3322, 12.3322)* CHOOSE(CONTROL!$C$21, $C$9, 100%, $E$9)</f>
        <v>12.3322</v>
      </c>
      <c r="K284" s="53">
        <f>CHOOSE(CONTROL!$C$42, 12.3861, 12.3861) * CHOOSE(CONTROL!$C$21, $C$9, 100%, $E$9)</f>
        <v>12.386100000000001</v>
      </c>
      <c r="L284" s="17">
        <f>CHOOSE(CONTROL!$C$42, 13.1978, 13.1978) * CHOOSE(CONTROL!$C$21, $C$9, 100%, $E$9)</f>
        <v>13.197800000000001</v>
      </c>
      <c r="M284" s="17">
        <f>CHOOSE(CONTROL!$C$42, 12.2283, 12.2283) * CHOOSE(CONTROL!$C$21, $C$9, 100%, $E$9)</f>
        <v>12.228300000000001</v>
      </c>
      <c r="N284" s="17">
        <f>CHOOSE(CONTROL!$C$42, 12.2446, 12.2446) * CHOOSE(CONTROL!$C$21, $C$9, 100%, $E$9)</f>
        <v>12.2446</v>
      </c>
      <c r="O284" s="17">
        <f>CHOOSE(CONTROL!$C$42, 12.5044, 12.5044) * CHOOSE(CONTROL!$C$21, $C$9, 100%, $E$9)</f>
        <v>12.5044</v>
      </c>
      <c r="P284" s="17">
        <f>CHOOSE(CONTROL!$C$42, 12.2874, 12.2874) * CHOOSE(CONTROL!$C$21, $C$9, 100%, $E$9)</f>
        <v>12.2874</v>
      </c>
      <c r="Q284" s="17">
        <f>CHOOSE(CONTROL!$C$42, 13.0991, 13.0991) * CHOOSE(CONTROL!$C$21, $C$9, 100%, $E$9)</f>
        <v>13.0991</v>
      </c>
      <c r="R284" s="17">
        <f>CHOOSE(CONTROL!$C$42, 13.7188, 13.7188) * CHOOSE(CONTROL!$C$21, $C$9, 100%, $E$9)</f>
        <v>13.7188</v>
      </c>
      <c r="S284" s="17">
        <f>CHOOSE(CONTROL!$C$42, 11.9484, 11.9484) * CHOOSE(CONTROL!$C$21, $C$9, 100%, $E$9)</f>
        <v>11.948399999999999</v>
      </c>
      <c r="T284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284" s="57">
        <f>(1000*CHOOSE(CONTROL!$C$42, 695, 695)*CHOOSE(CONTROL!$C$42, 0.5599, 0.5599)*CHOOSE(CONTROL!$C$42, 31, 31))/1000000</f>
        <v>12.063045499999998</v>
      </c>
      <c r="V284" s="57">
        <f>(1000*CHOOSE(CONTROL!$C$42, 500, 500)*CHOOSE(CONTROL!$C$42, 0.275, 0.275)*CHOOSE(CONTROL!$C$42, 31, 31))/1000000</f>
        <v>4.2625000000000002</v>
      </c>
      <c r="W284" s="57">
        <f>(1000*CHOOSE(CONTROL!$C$42, 0.0916, 0.0916)*CHOOSE(CONTROL!$C$42, 121.5, 121.5)*CHOOSE(CONTROL!$C$42, 31, 31))/1000000</f>
        <v>0.34501139999999997</v>
      </c>
      <c r="X284" s="57">
        <f>(31*0.1790888*145000/1000000)+(31*0.2374*100000/1000000)</f>
        <v>1.5409441560000001</v>
      </c>
      <c r="Y284" s="57"/>
      <c r="Z284" s="17"/>
      <c r="AA284" s="56"/>
      <c r="AB284" s="49">
        <f>(B284*194.205+C284*267.466+D284*133.845+E284*153.484+F284*40+G284*85+H284*0+I284*100+J284*300)/(194.205+267.466+133.845+153.484+0+40+85+100+300)</f>
        <v>12.403153986813187</v>
      </c>
      <c r="AC284" s="46">
        <f>(M284*'RAP TEMPLATE-GAS AVAILABILITY'!O283+N284*'RAP TEMPLATE-GAS AVAILABILITY'!P283+O284*'RAP TEMPLATE-GAS AVAILABILITY'!Q283+P284*'RAP TEMPLATE-GAS AVAILABILITY'!R283)/('RAP TEMPLATE-GAS AVAILABILITY'!O283+'RAP TEMPLATE-GAS AVAILABILITY'!P283+'RAP TEMPLATE-GAS AVAILABILITY'!Q283+'RAP TEMPLATE-GAS AVAILABILITY'!R283)</f>
        <v>12.318023021582734</v>
      </c>
    </row>
    <row r="285" spans="1:29" ht="15.75" x14ac:dyDescent="0.25">
      <c r="A285" s="15">
        <v>49553</v>
      </c>
      <c r="B285" s="17">
        <f>CHOOSE(CONTROL!$C$42, 11.5512, 11.5512) * CHOOSE(CONTROL!$C$21, $C$9, 100%, $E$9)</f>
        <v>11.5512</v>
      </c>
      <c r="C285" s="17">
        <f>CHOOSE(CONTROL!$C$42, 11.5592, 11.5592) * CHOOSE(CONTROL!$C$21, $C$9, 100%, $E$9)</f>
        <v>11.559200000000001</v>
      </c>
      <c r="D285" s="17">
        <f>CHOOSE(CONTROL!$C$42, 11.8088, 11.8088) * CHOOSE(CONTROL!$C$21, $C$9, 100%, $E$9)</f>
        <v>11.8088</v>
      </c>
      <c r="E285" s="17">
        <f>CHOOSE(CONTROL!$C$42, 11.84, 11.84) * CHOOSE(CONTROL!$C$21, $C$9, 100%, $E$9)</f>
        <v>11.84</v>
      </c>
      <c r="F285" s="17">
        <f>CHOOSE(CONTROL!$C$42, 11.5572, 11.5572)*CHOOSE(CONTROL!$C$21, $C$9, 100%, $E$9)</f>
        <v>11.5572</v>
      </c>
      <c r="G285" s="17">
        <f>CHOOSE(CONTROL!$C$42, 11.5737, 11.5737)*CHOOSE(CONTROL!$C$21, $C$9, 100%, $E$9)</f>
        <v>11.573700000000001</v>
      </c>
      <c r="H285" s="17">
        <f>CHOOSE(CONTROL!$C$42, 11.8283, 11.8283) * CHOOSE(CONTROL!$C$21, $C$9, 100%, $E$9)</f>
        <v>11.8283</v>
      </c>
      <c r="I285" s="17">
        <f>CHOOSE(CONTROL!$C$42, 11.6073, 11.6073)* CHOOSE(CONTROL!$C$21, $C$9, 100%, $E$9)</f>
        <v>11.6073</v>
      </c>
      <c r="J285" s="17">
        <f>CHOOSE(CONTROL!$C$42, 11.5498, 11.5498)* CHOOSE(CONTROL!$C$21, $C$9, 100%, $E$9)</f>
        <v>11.549799999999999</v>
      </c>
      <c r="K285" s="53">
        <f>CHOOSE(CONTROL!$C$42, 11.6013, 11.6013) * CHOOSE(CONTROL!$C$21, $C$9, 100%, $E$9)</f>
        <v>11.6013</v>
      </c>
      <c r="L285" s="17">
        <f>CHOOSE(CONTROL!$C$42, 12.4153, 12.4153) * CHOOSE(CONTROL!$C$21, $C$9, 100%, $E$9)</f>
        <v>12.4153</v>
      </c>
      <c r="M285" s="17">
        <f>CHOOSE(CONTROL!$C$42, 11.4529, 11.4529) * CHOOSE(CONTROL!$C$21, $C$9, 100%, $E$9)</f>
        <v>11.4529</v>
      </c>
      <c r="N285" s="17">
        <f>CHOOSE(CONTROL!$C$42, 11.4692, 11.4692) * CHOOSE(CONTROL!$C$21, $C$9, 100%, $E$9)</f>
        <v>11.469200000000001</v>
      </c>
      <c r="O285" s="17">
        <f>CHOOSE(CONTROL!$C$42, 11.729, 11.729) * CHOOSE(CONTROL!$C$21, $C$9, 100%, $E$9)</f>
        <v>11.728999999999999</v>
      </c>
      <c r="P285" s="17">
        <f>CHOOSE(CONTROL!$C$42, 11.5096, 11.5096) * CHOOSE(CONTROL!$C$21, $C$9, 100%, $E$9)</f>
        <v>11.509600000000001</v>
      </c>
      <c r="Q285" s="17">
        <f>CHOOSE(CONTROL!$C$42, 12.3237, 12.3237) * CHOOSE(CONTROL!$C$21, $C$9, 100%, $E$9)</f>
        <v>12.323700000000001</v>
      </c>
      <c r="R285" s="17">
        <f>CHOOSE(CONTROL!$C$42, 12.9415, 12.9415) * CHOOSE(CONTROL!$C$21, $C$9, 100%, $E$9)</f>
        <v>12.9415</v>
      </c>
      <c r="S285" s="17">
        <f>CHOOSE(CONTROL!$C$42, 11.1896, 11.1896) * CHOOSE(CONTROL!$C$21, $C$9, 100%, $E$9)</f>
        <v>11.1896</v>
      </c>
      <c r="T285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285" s="57">
        <f>(1000*CHOOSE(CONTROL!$C$42, 695, 695)*CHOOSE(CONTROL!$C$42, 0.5599, 0.5599)*CHOOSE(CONTROL!$C$42, 30, 30))/1000000</f>
        <v>11.673914999999997</v>
      </c>
      <c r="V285" s="57">
        <f>(1000*CHOOSE(CONTROL!$C$42, 500, 500)*CHOOSE(CONTROL!$C$42, 0.275, 0.275)*CHOOSE(CONTROL!$C$42, 30, 30))/1000000</f>
        <v>4.125</v>
      </c>
      <c r="W285" s="57">
        <f>(1000*CHOOSE(CONTROL!$C$42, 0.0916, 0.0916)*CHOOSE(CONTROL!$C$42, 121.5, 121.5)*CHOOSE(CONTROL!$C$42, 30, 30))/1000000</f>
        <v>0.33388200000000001</v>
      </c>
      <c r="X285" s="57">
        <f>(30*0.1790888*145000/1000000)+(30*0.2374*100000/1000000)</f>
        <v>1.4912362799999999</v>
      </c>
      <c r="Y285" s="57"/>
      <c r="Z285" s="17"/>
      <c r="AA285" s="56"/>
      <c r="AB285" s="49">
        <f>(B285*194.205+C285*267.466+D285*133.845+E285*153.484+F285*40+G285*85+H285*0+I285*100+J285*300)/(194.205+267.466+133.845+153.484+0+40+85+100+300)</f>
        <v>11.620498963265305</v>
      </c>
      <c r="AC285" s="46">
        <f>(M285*'RAP TEMPLATE-GAS AVAILABILITY'!O284+N285*'RAP TEMPLATE-GAS AVAILABILITY'!P284+O285*'RAP TEMPLATE-GAS AVAILABILITY'!Q284+P285*'RAP TEMPLATE-GAS AVAILABILITY'!R284)/('RAP TEMPLATE-GAS AVAILABILITY'!O284+'RAP TEMPLATE-GAS AVAILABILITY'!P284+'RAP TEMPLATE-GAS AVAILABILITY'!Q284+'RAP TEMPLATE-GAS AVAILABILITY'!R284)</f>
        <v>11.542277697841726</v>
      </c>
    </row>
    <row r="286" spans="1:29" ht="15.75" x14ac:dyDescent="0.25">
      <c r="A286" s="15">
        <v>49583</v>
      </c>
      <c r="B286" s="17">
        <f>CHOOSE(CONTROL!$C$42, 11.3152, 11.3152) * CHOOSE(CONTROL!$C$21, $C$9, 100%, $E$9)</f>
        <v>11.315200000000001</v>
      </c>
      <c r="C286" s="17">
        <f>CHOOSE(CONTROL!$C$42, 11.3206, 11.3206) * CHOOSE(CONTROL!$C$21, $C$9, 100%, $E$9)</f>
        <v>11.320600000000001</v>
      </c>
      <c r="D286" s="17">
        <f>CHOOSE(CONTROL!$C$42, 11.575, 11.575) * CHOOSE(CONTROL!$C$21, $C$9, 100%, $E$9)</f>
        <v>11.574999999999999</v>
      </c>
      <c r="E286" s="17">
        <f>CHOOSE(CONTROL!$C$42, 11.6039, 11.6039) * CHOOSE(CONTROL!$C$21, $C$9, 100%, $E$9)</f>
        <v>11.603899999999999</v>
      </c>
      <c r="F286" s="17">
        <f>CHOOSE(CONTROL!$C$42, 11.3234, 11.3234)*CHOOSE(CONTROL!$C$21, $C$9, 100%, $E$9)</f>
        <v>11.323399999999999</v>
      </c>
      <c r="G286" s="17">
        <f>CHOOSE(CONTROL!$C$42, 11.3398, 11.3398)*CHOOSE(CONTROL!$C$21, $C$9, 100%, $E$9)</f>
        <v>11.3398</v>
      </c>
      <c r="H286" s="17">
        <f>CHOOSE(CONTROL!$C$42, 11.5941, 11.5941) * CHOOSE(CONTROL!$C$21, $C$9, 100%, $E$9)</f>
        <v>11.594099999999999</v>
      </c>
      <c r="I286" s="17">
        <f>CHOOSE(CONTROL!$C$42, 11.3723, 11.3723)* CHOOSE(CONTROL!$C$21, $C$9, 100%, $E$9)</f>
        <v>11.372299999999999</v>
      </c>
      <c r="J286" s="17">
        <f>CHOOSE(CONTROL!$C$42, 11.316, 11.316)* CHOOSE(CONTROL!$C$21, $C$9, 100%, $E$9)</f>
        <v>11.316000000000001</v>
      </c>
      <c r="K286" s="53">
        <f>CHOOSE(CONTROL!$C$42, 11.3662, 11.3662) * CHOOSE(CONTROL!$C$21, $C$9, 100%, $E$9)</f>
        <v>11.366199999999999</v>
      </c>
      <c r="L286" s="17">
        <f>CHOOSE(CONTROL!$C$42, 12.1811, 12.1811) * CHOOSE(CONTROL!$C$21, $C$9, 100%, $E$9)</f>
        <v>12.181100000000001</v>
      </c>
      <c r="M286" s="17">
        <f>CHOOSE(CONTROL!$C$42, 11.2212, 11.2212) * CHOOSE(CONTROL!$C$21, $C$9, 100%, $E$9)</f>
        <v>11.2212</v>
      </c>
      <c r="N286" s="17">
        <f>CHOOSE(CONTROL!$C$42, 11.2374, 11.2374) * CHOOSE(CONTROL!$C$21, $C$9, 100%, $E$9)</f>
        <v>11.237399999999999</v>
      </c>
      <c r="O286" s="17">
        <f>CHOOSE(CONTROL!$C$42, 11.4968, 11.4968) * CHOOSE(CONTROL!$C$21, $C$9, 100%, $E$9)</f>
        <v>11.4968</v>
      </c>
      <c r="P286" s="17">
        <f>CHOOSE(CONTROL!$C$42, 11.2768, 11.2768) * CHOOSE(CONTROL!$C$21, $C$9, 100%, $E$9)</f>
        <v>11.2768</v>
      </c>
      <c r="Q286" s="17">
        <f>CHOOSE(CONTROL!$C$42, 12.0915, 12.0915) * CHOOSE(CONTROL!$C$21, $C$9, 100%, $E$9)</f>
        <v>12.0915</v>
      </c>
      <c r="R286" s="17">
        <f>CHOOSE(CONTROL!$C$42, 12.7087, 12.7087) * CHOOSE(CONTROL!$C$21, $C$9, 100%, $E$9)</f>
        <v>12.7087</v>
      </c>
      <c r="S286" s="17">
        <f>CHOOSE(CONTROL!$C$42, 10.9625, 10.9625) * CHOOSE(CONTROL!$C$21, $C$9, 100%, $E$9)</f>
        <v>10.9625</v>
      </c>
      <c r="T286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286" s="57">
        <f>(1000*CHOOSE(CONTROL!$C$42, 695, 695)*CHOOSE(CONTROL!$C$42, 0.5599, 0.5599)*CHOOSE(CONTROL!$C$42, 31, 31))/1000000</f>
        <v>12.063045499999998</v>
      </c>
      <c r="V286" s="57">
        <f>(1000*CHOOSE(CONTROL!$C$42, 500, 500)*CHOOSE(CONTROL!$C$42, 0.275, 0.275)*CHOOSE(CONTROL!$C$42, 31, 31))/1000000</f>
        <v>4.2625000000000002</v>
      </c>
      <c r="W286" s="57">
        <f>(1000*CHOOSE(CONTROL!$C$42, 0.0916, 0.0916)*CHOOSE(CONTROL!$C$42, 121.5, 121.5)*CHOOSE(CONTROL!$C$42, 31, 31))/1000000</f>
        <v>0.34501139999999997</v>
      </c>
      <c r="X286" s="57">
        <f>(31*0.1790888*145000/1000000)+(31*0.2374*100000/1000000)</f>
        <v>1.5409441560000001</v>
      </c>
      <c r="Y286" s="57"/>
      <c r="Z286" s="17"/>
      <c r="AA286" s="56"/>
      <c r="AB286" s="49">
        <f>(B286*131.881+C286*277.167+D286*79.08+E286*225.872+F286*40+G286*85+H286*0+I286*100+J286*300)/(131.881+277.167+79.08+225.872+0+40+85+100+300)</f>
        <v>11.392375086521389</v>
      </c>
      <c r="AC286" s="46">
        <f>(M286*'RAP TEMPLATE-GAS AVAILABILITY'!O285+N286*'RAP TEMPLATE-GAS AVAILABILITY'!P285+O286*'RAP TEMPLATE-GAS AVAILABILITY'!Q285+P286*'RAP TEMPLATE-GAS AVAILABILITY'!R285)/('RAP TEMPLATE-GAS AVAILABILITY'!O285+'RAP TEMPLATE-GAS AVAILABILITY'!P285+'RAP TEMPLATE-GAS AVAILABILITY'!Q285+'RAP TEMPLATE-GAS AVAILABILITY'!R285)</f>
        <v>11.310256115107915</v>
      </c>
    </row>
    <row r="287" spans="1:29" ht="15.75" x14ac:dyDescent="0.25">
      <c r="A287" s="15">
        <v>49614</v>
      </c>
      <c r="B287" s="17">
        <f>CHOOSE(CONTROL!$C$42, 11.6126, 11.6126) * CHOOSE(CONTROL!$C$21, $C$9, 100%, $E$9)</f>
        <v>11.6126</v>
      </c>
      <c r="C287" s="17">
        <f>CHOOSE(CONTROL!$C$42, 11.6177, 11.6177) * CHOOSE(CONTROL!$C$21, $C$9, 100%, $E$9)</f>
        <v>11.617699999999999</v>
      </c>
      <c r="D287" s="17">
        <f>CHOOSE(CONTROL!$C$42, 11.7403, 11.7403) * CHOOSE(CONTROL!$C$21, $C$9, 100%, $E$9)</f>
        <v>11.7403</v>
      </c>
      <c r="E287" s="17">
        <f>CHOOSE(CONTROL!$C$42, 11.7741, 11.7741) * CHOOSE(CONTROL!$C$21, $C$9, 100%, $E$9)</f>
        <v>11.774100000000001</v>
      </c>
      <c r="F287" s="17">
        <f>CHOOSE(CONTROL!$C$42, 11.6276, 11.6276)*CHOOSE(CONTROL!$C$21, $C$9, 100%, $E$9)</f>
        <v>11.627599999999999</v>
      </c>
      <c r="G287" s="17">
        <f>CHOOSE(CONTROL!$C$42, 11.6443, 11.6443)*CHOOSE(CONTROL!$C$21, $C$9, 100%, $E$9)</f>
        <v>11.644299999999999</v>
      </c>
      <c r="H287" s="17">
        <f>CHOOSE(CONTROL!$C$42, 11.763, 11.763) * CHOOSE(CONTROL!$C$21, $C$9, 100%, $E$9)</f>
        <v>11.763</v>
      </c>
      <c r="I287" s="17">
        <f>CHOOSE(CONTROL!$C$42, 11.6736, 11.6736)* CHOOSE(CONTROL!$C$21, $C$9, 100%, $E$9)</f>
        <v>11.6736</v>
      </c>
      <c r="J287" s="17">
        <f>CHOOSE(CONTROL!$C$42, 11.6202, 11.6202)* CHOOSE(CONTROL!$C$21, $C$9, 100%, $E$9)</f>
        <v>11.620200000000001</v>
      </c>
      <c r="K287" s="53">
        <f>CHOOSE(CONTROL!$C$42, 11.6676, 11.6676) * CHOOSE(CONTROL!$C$21, $C$9, 100%, $E$9)</f>
        <v>11.6676</v>
      </c>
      <c r="L287" s="17">
        <f>CHOOSE(CONTROL!$C$42, 12.35, 12.35) * CHOOSE(CONTROL!$C$21, $C$9, 100%, $E$9)</f>
        <v>12.35</v>
      </c>
      <c r="M287" s="17">
        <f>CHOOSE(CONTROL!$C$42, 11.5227, 11.5227) * CHOOSE(CONTROL!$C$21, $C$9, 100%, $E$9)</f>
        <v>11.5227</v>
      </c>
      <c r="N287" s="17">
        <f>CHOOSE(CONTROL!$C$42, 11.5392, 11.5392) * CHOOSE(CONTROL!$C$21, $C$9, 100%, $E$9)</f>
        <v>11.539199999999999</v>
      </c>
      <c r="O287" s="17">
        <f>CHOOSE(CONTROL!$C$42, 11.6642, 11.6642) * CHOOSE(CONTROL!$C$21, $C$9, 100%, $E$9)</f>
        <v>11.664199999999999</v>
      </c>
      <c r="P287" s="17">
        <f>CHOOSE(CONTROL!$C$42, 11.5754, 11.5754) * CHOOSE(CONTROL!$C$21, $C$9, 100%, $E$9)</f>
        <v>11.5754</v>
      </c>
      <c r="Q287" s="17">
        <f>CHOOSE(CONTROL!$C$42, 12.2589, 12.2589) * CHOOSE(CONTROL!$C$21, $C$9, 100%, $E$9)</f>
        <v>12.258900000000001</v>
      </c>
      <c r="R287" s="17">
        <f>CHOOSE(CONTROL!$C$42, 12.8765, 12.8765) * CHOOSE(CONTROL!$C$21, $C$9, 100%, $E$9)</f>
        <v>12.8765</v>
      </c>
      <c r="S287" s="17">
        <f>CHOOSE(CONTROL!$C$42, 11.2512, 11.2512) * CHOOSE(CONTROL!$C$21, $C$9, 100%, $E$9)</f>
        <v>11.251200000000001</v>
      </c>
      <c r="T287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287" s="57">
        <f>(1000*CHOOSE(CONTROL!$C$42, 695, 695)*CHOOSE(CONTROL!$C$42, 0.5599, 0.5599)*CHOOSE(CONTROL!$C$42, 30, 30))/1000000</f>
        <v>11.673914999999997</v>
      </c>
      <c r="V287" s="57">
        <f>(1000*CHOOSE(CONTROL!$C$42, 500, 500)*CHOOSE(CONTROL!$C$42, 0.275, 0.275)*CHOOSE(CONTROL!$C$42, 30, 30))/1000000</f>
        <v>4.125</v>
      </c>
      <c r="W287" s="57">
        <f>(1000*CHOOSE(CONTROL!$C$42, 0.0916, 0.0916)*CHOOSE(CONTROL!$C$42, 121.5, 121.5)*CHOOSE(CONTROL!$C$42, 30, 30))/1000000</f>
        <v>0.33388200000000001</v>
      </c>
      <c r="X287" s="57">
        <f>(30*0.2374*100000/1000000)</f>
        <v>0.71220000000000006</v>
      </c>
      <c r="Y287" s="57"/>
      <c r="Z287" s="17"/>
      <c r="AA287" s="56"/>
      <c r="AB287" s="49">
        <f>(B287*122.58+C287*297.941+D287*89.177+E287*140.302+F287*40+G287*60+H287*0+I287*100+J287*300)/(122.58+297.941+89.177+140.302+0+40+60+100+300)</f>
        <v>11.652989717391304</v>
      </c>
      <c r="AC287" s="46">
        <f>(M287*'RAP TEMPLATE-GAS AVAILABILITY'!O286+N287*'RAP TEMPLATE-GAS AVAILABILITY'!P286+O287*'RAP TEMPLATE-GAS AVAILABILITY'!Q286+P287*'RAP TEMPLATE-GAS AVAILABILITY'!R286)/('RAP TEMPLATE-GAS AVAILABILITY'!O286+'RAP TEMPLATE-GAS AVAILABILITY'!P286+'RAP TEMPLATE-GAS AVAILABILITY'!Q286+'RAP TEMPLATE-GAS AVAILABILITY'!R286)</f>
        <v>11.5953654676259</v>
      </c>
    </row>
    <row r="288" spans="1:29" ht="15.75" x14ac:dyDescent="0.25">
      <c r="A288" s="15">
        <v>49644</v>
      </c>
      <c r="B288" s="17">
        <f>CHOOSE(CONTROL!$C$42, 12.4036, 12.4036) * CHOOSE(CONTROL!$C$21, $C$9, 100%, $E$9)</f>
        <v>12.403600000000001</v>
      </c>
      <c r="C288" s="17">
        <f>CHOOSE(CONTROL!$C$42, 12.4087, 12.4087) * CHOOSE(CONTROL!$C$21, $C$9, 100%, $E$9)</f>
        <v>12.4087</v>
      </c>
      <c r="D288" s="17">
        <f>CHOOSE(CONTROL!$C$42, 12.5313, 12.5313) * CHOOSE(CONTROL!$C$21, $C$9, 100%, $E$9)</f>
        <v>12.5313</v>
      </c>
      <c r="E288" s="17">
        <f>CHOOSE(CONTROL!$C$42, 12.5651, 12.5651) * CHOOSE(CONTROL!$C$21, $C$9, 100%, $E$9)</f>
        <v>12.565099999999999</v>
      </c>
      <c r="F288" s="17">
        <f>CHOOSE(CONTROL!$C$42, 12.4211, 12.4211)*CHOOSE(CONTROL!$C$21, $C$9, 100%, $E$9)</f>
        <v>12.421099999999999</v>
      </c>
      <c r="G288" s="17">
        <f>CHOOSE(CONTROL!$C$42, 12.4384, 12.4384)*CHOOSE(CONTROL!$C$21, $C$9, 100%, $E$9)</f>
        <v>12.4384</v>
      </c>
      <c r="H288" s="17">
        <f>CHOOSE(CONTROL!$C$42, 12.554, 12.554) * CHOOSE(CONTROL!$C$21, $C$9, 100%, $E$9)</f>
        <v>12.554</v>
      </c>
      <c r="I288" s="17">
        <f>CHOOSE(CONTROL!$C$42, 12.4671, 12.4671)* CHOOSE(CONTROL!$C$21, $C$9, 100%, $E$9)</f>
        <v>12.4671</v>
      </c>
      <c r="J288" s="17">
        <f>CHOOSE(CONTROL!$C$42, 12.4137, 12.4137)* CHOOSE(CONTROL!$C$21, $C$9, 100%, $E$9)</f>
        <v>12.4137</v>
      </c>
      <c r="K288" s="53">
        <f>CHOOSE(CONTROL!$C$42, 12.461, 12.461) * CHOOSE(CONTROL!$C$21, $C$9, 100%, $E$9)</f>
        <v>12.461</v>
      </c>
      <c r="L288" s="17">
        <f>CHOOSE(CONTROL!$C$42, 13.141, 13.141) * CHOOSE(CONTROL!$C$21, $C$9, 100%, $E$9)</f>
        <v>13.141</v>
      </c>
      <c r="M288" s="17">
        <f>CHOOSE(CONTROL!$C$42, 12.309, 12.309) * CHOOSE(CONTROL!$C$21, $C$9, 100%, $E$9)</f>
        <v>12.308999999999999</v>
      </c>
      <c r="N288" s="17">
        <f>CHOOSE(CONTROL!$C$42, 12.3262, 12.3262) * CHOOSE(CONTROL!$C$21, $C$9, 100%, $E$9)</f>
        <v>12.3262</v>
      </c>
      <c r="O288" s="17">
        <f>CHOOSE(CONTROL!$C$42, 12.4481, 12.4481) * CHOOSE(CONTROL!$C$21, $C$9, 100%, $E$9)</f>
        <v>12.4481</v>
      </c>
      <c r="P288" s="17">
        <f>CHOOSE(CONTROL!$C$42, 12.3617, 12.3617) * CHOOSE(CONTROL!$C$21, $C$9, 100%, $E$9)</f>
        <v>12.361700000000001</v>
      </c>
      <c r="Q288" s="17">
        <f>CHOOSE(CONTROL!$C$42, 13.0428, 13.0428) * CHOOSE(CONTROL!$C$21, $C$9, 100%, $E$9)</f>
        <v>13.0428</v>
      </c>
      <c r="R288" s="17">
        <f>CHOOSE(CONTROL!$C$42, 13.6624, 13.6624) * CHOOSE(CONTROL!$C$21, $C$9, 100%, $E$9)</f>
        <v>13.6624</v>
      </c>
      <c r="S288" s="17">
        <f>CHOOSE(CONTROL!$C$42, 12.0183, 12.0183) * CHOOSE(CONTROL!$C$21, $C$9, 100%, $E$9)</f>
        <v>12.0183</v>
      </c>
      <c r="T288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288" s="57">
        <f>(1000*CHOOSE(CONTROL!$C$42, 695, 695)*CHOOSE(CONTROL!$C$42, 0.5599, 0.5599)*CHOOSE(CONTROL!$C$42, 31, 31))/1000000</f>
        <v>12.063045499999998</v>
      </c>
      <c r="V288" s="57">
        <f>(1000*CHOOSE(CONTROL!$C$42, 500, 500)*CHOOSE(CONTROL!$C$42, 0.275, 0.275)*CHOOSE(CONTROL!$C$42, 31, 31))/1000000</f>
        <v>4.2625000000000002</v>
      </c>
      <c r="W288" s="57">
        <f>(1000*CHOOSE(CONTROL!$C$42, 0.0916, 0.0916)*CHOOSE(CONTROL!$C$42, 121.5, 121.5)*CHOOSE(CONTROL!$C$42, 31, 31))/1000000</f>
        <v>0.34501139999999997</v>
      </c>
      <c r="X288" s="57">
        <f>(31*0.2374*100000/1000000)</f>
        <v>0.73594000000000004</v>
      </c>
      <c r="Y288" s="57"/>
      <c r="Z288" s="17"/>
      <c r="AA288" s="56"/>
      <c r="AB288" s="49">
        <f>(B288*122.58+C288*297.941+D288*89.177+E288*140.302+F288*40+G288*60+H288*0+I288*100+J288*300)/(122.58+297.941+89.177+140.302+0+40+60+100+300)</f>
        <v>12.44510797826087</v>
      </c>
      <c r="AC288" s="46">
        <f>(M288*'RAP TEMPLATE-GAS AVAILABILITY'!O287+N288*'RAP TEMPLATE-GAS AVAILABILITY'!P287+O288*'RAP TEMPLATE-GAS AVAILABILITY'!Q287+P288*'RAP TEMPLATE-GAS AVAILABILITY'!R287)/('RAP TEMPLATE-GAS AVAILABILITY'!O287+'RAP TEMPLATE-GAS AVAILABILITY'!P287+'RAP TEMPLATE-GAS AVAILABILITY'!Q287+'RAP TEMPLATE-GAS AVAILABILITY'!R287)</f>
        <v>12.380617985611512</v>
      </c>
    </row>
    <row r="289" spans="1:29" ht="15.75" x14ac:dyDescent="0.25">
      <c r="A289" s="15">
        <v>49675</v>
      </c>
      <c r="B289" s="17">
        <f>CHOOSE(CONTROL!$C$42, 13.431, 13.431) * CHOOSE(CONTROL!$C$21, $C$9, 100%, $E$9)</f>
        <v>13.430999999999999</v>
      </c>
      <c r="C289" s="17">
        <f>CHOOSE(CONTROL!$C$42, 13.4361, 13.4361) * CHOOSE(CONTROL!$C$21, $C$9, 100%, $E$9)</f>
        <v>13.4361</v>
      </c>
      <c r="D289" s="17">
        <f>CHOOSE(CONTROL!$C$42, 13.5536, 13.5536) * CHOOSE(CONTROL!$C$21, $C$9, 100%, $E$9)</f>
        <v>13.553599999999999</v>
      </c>
      <c r="E289" s="17">
        <f>CHOOSE(CONTROL!$C$42, 13.5873, 13.5873) * CHOOSE(CONTROL!$C$21, $C$9, 100%, $E$9)</f>
        <v>13.587300000000001</v>
      </c>
      <c r="F289" s="17">
        <f>CHOOSE(CONTROL!$C$42, 13.4447, 13.4447)*CHOOSE(CONTROL!$C$21, $C$9, 100%, $E$9)</f>
        <v>13.444699999999999</v>
      </c>
      <c r="G289" s="17">
        <f>CHOOSE(CONTROL!$C$42, 13.461, 13.461)*CHOOSE(CONTROL!$C$21, $C$9, 100%, $E$9)</f>
        <v>13.461</v>
      </c>
      <c r="H289" s="17">
        <f>CHOOSE(CONTROL!$C$42, 13.5762, 13.5762) * CHOOSE(CONTROL!$C$21, $C$9, 100%, $E$9)</f>
        <v>13.5762</v>
      </c>
      <c r="I289" s="17">
        <f>CHOOSE(CONTROL!$C$42, 13.4961, 13.4961)* CHOOSE(CONTROL!$C$21, $C$9, 100%, $E$9)</f>
        <v>13.4961</v>
      </c>
      <c r="J289" s="17">
        <f>CHOOSE(CONTROL!$C$42, 13.4373, 13.4373)* CHOOSE(CONTROL!$C$21, $C$9, 100%, $E$9)</f>
        <v>13.4373</v>
      </c>
      <c r="K289" s="53">
        <f>CHOOSE(CONTROL!$C$42, 13.4901, 13.4901) * CHOOSE(CONTROL!$C$21, $C$9, 100%, $E$9)</f>
        <v>13.4901</v>
      </c>
      <c r="L289" s="17">
        <f>CHOOSE(CONTROL!$C$42, 14.1632, 14.1632) * CHOOSE(CONTROL!$C$21, $C$9, 100%, $E$9)</f>
        <v>14.1632</v>
      </c>
      <c r="M289" s="17">
        <f>CHOOSE(CONTROL!$C$42, 13.3234, 13.3234) * CHOOSE(CONTROL!$C$21, $C$9, 100%, $E$9)</f>
        <v>13.323399999999999</v>
      </c>
      <c r="N289" s="17">
        <f>CHOOSE(CONTROL!$C$42, 13.3396, 13.3396) * CHOOSE(CONTROL!$C$21, $C$9, 100%, $E$9)</f>
        <v>13.339600000000001</v>
      </c>
      <c r="O289" s="17">
        <f>CHOOSE(CONTROL!$C$42, 13.4611, 13.4611) * CHOOSE(CONTROL!$C$21, $C$9, 100%, $E$9)</f>
        <v>13.4611</v>
      </c>
      <c r="P289" s="17">
        <f>CHOOSE(CONTROL!$C$42, 13.3814, 13.3814) * CHOOSE(CONTROL!$C$21, $C$9, 100%, $E$9)</f>
        <v>13.381399999999999</v>
      </c>
      <c r="Q289" s="17">
        <f>CHOOSE(CONTROL!$C$42, 14.0558, 14.0558) * CHOOSE(CONTROL!$C$21, $C$9, 100%, $E$9)</f>
        <v>14.0558</v>
      </c>
      <c r="R289" s="17">
        <f>CHOOSE(CONTROL!$C$42, 14.678, 14.678) * CHOOSE(CONTROL!$C$21, $C$9, 100%, $E$9)</f>
        <v>14.678000000000001</v>
      </c>
      <c r="S289" s="17">
        <f>CHOOSE(CONTROL!$C$42, 13.0146, 13.0146) * CHOOSE(CONTROL!$C$21, $C$9, 100%, $E$9)</f>
        <v>13.0146</v>
      </c>
      <c r="T289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289" s="57">
        <f>(1000*CHOOSE(CONTROL!$C$42, 695, 695)*CHOOSE(CONTROL!$C$42, 0.5599, 0.5599)*CHOOSE(CONTROL!$C$42, 31, 31))/1000000</f>
        <v>12.063045499999998</v>
      </c>
      <c r="V289" s="57">
        <f>(1000*CHOOSE(CONTROL!$C$42, 500, 500)*CHOOSE(CONTROL!$C$42, 0.275, 0.275)*CHOOSE(CONTROL!$C$42, 31, 31))/1000000</f>
        <v>4.2625000000000002</v>
      </c>
      <c r="W289" s="57">
        <f>(1000*CHOOSE(CONTROL!$C$42, 0.0916, 0.0916)*CHOOSE(CONTROL!$C$42, 121.5, 121.5)*CHOOSE(CONTROL!$C$42, 31, 31))/1000000</f>
        <v>0.34501139999999997</v>
      </c>
      <c r="X289" s="57">
        <f>(31*0.2374*100000/1000000)</f>
        <v>0.73594000000000004</v>
      </c>
      <c r="Y289" s="57"/>
      <c r="Z289" s="17"/>
      <c r="AA289" s="56"/>
      <c r="AB289" s="49">
        <f>(B289*122.58+C289*297.941+D289*89.177+E289*140.302+F289*40+G289*60+H289*0+I289*100+J289*300)/(122.58+297.941+89.177+140.302+0+40+60+100+300)</f>
        <v>13.470243306</v>
      </c>
      <c r="AC289" s="46">
        <f>(M289*'RAP TEMPLATE-GAS AVAILABILITY'!O288+N289*'RAP TEMPLATE-GAS AVAILABILITY'!P288+O289*'RAP TEMPLATE-GAS AVAILABILITY'!Q288+P289*'RAP TEMPLATE-GAS AVAILABILITY'!R288)/('RAP TEMPLATE-GAS AVAILABILITY'!O288+'RAP TEMPLATE-GAS AVAILABILITY'!P288+'RAP TEMPLATE-GAS AVAILABILITY'!Q288+'RAP TEMPLATE-GAS AVAILABILITY'!R288)</f>
        <v>13.395088489208632</v>
      </c>
    </row>
    <row r="290" spans="1:29" ht="15.75" x14ac:dyDescent="0.25">
      <c r="A290" s="15">
        <v>49706</v>
      </c>
      <c r="B290" s="17">
        <f>CHOOSE(CONTROL!$C$42, 13.6699, 13.6699) * CHOOSE(CONTROL!$C$21, $C$9, 100%, $E$9)</f>
        <v>13.6699</v>
      </c>
      <c r="C290" s="17">
        <f>CHOOSE(CONTROL!$C$42, 13.675, 13.675) * CHOOSE(CONTROL!$C$21, $C$9, 100%, $E$9)</f>
        <v>13.675000000000001</v>
      </c>
      <c r="D290" s="17">
        <f>CHOOSE(CONTROL!$C$42, 13.7925, 13.7925) * CHOOSE(CONTROL!$C$21, $C$9, 100%, $E$9)</f>
        <v>13.7925</v>
      </c>
      <c r="E290" s="17">
        <f>CHOOSE(CONTROL!$C$42, 13.8262, 13.8262) * CHOOSE(CONTROL!$C$21, $C$9, 100%, $E$9)</f>
        <v>13.8262</v>
      </c>
      <c r="F290" s="17">
        <f>CHOOSE(CONTROL!$C$42, 13.6836, 13.6836)*CHOOSE(CONTROL!$C$21, $C$9, 100%, $E$9)</f>
        <v>13.6836</v>
      </c>
      <c r="G290" s="17">
        <f>CHOOSE(CONTROL!$C$42, 13.6999, 13.6999)*CHOOSE(CONTROL!$C$21, $C$9, 100%, $E$9)</f>
        <v>13.6999</v>
      </c>
      <c r="H290" s="17">
        <f>CHOOSE(CONTROL!$C$42, 13.8151, 13.8151) * CHOOSE(CONTROL!$C$21, $C$9, 100%, $E$9)</f>
        <v>13.815099999999999</v>
      </c>
      <c r="I290" s="17">
        <f>CHOOSE(CONTROL!$C$42, 13.7358, 13.7358)* CHOOSE(CONTROL!$C$21, $C$9, 100%, $E$9)</f>
        <v>13.735799999999999</v>
      </c>
      <c r="J290" s="17">
        <f>CHOOSE(CONTROL!$C$42, 13.6762, 13.6762)* CHOOSE(CONTROL!$C$21, $C$9, 100%, $E$9)</f>
        <v>13.6762</v>
      </c>
      <c r="K290" s="53">
        <f>CHOOSE(CONTROL!$C$42, 13.7297, 13.7297) * CHOOSE(CONTROL!$C$21, $C$9, 100%, $E$9)</f>
        <v>13.729699999999999</v>
      </c>
      <c r="L290" s="17">
        <f>CHOOSE(CONTROL!$C$42, 14.4021, 14.4021) * CHOOSE(CONTROL!$C$21, $C$9, 100%, $E$9)</f>
        <v>14.402100000000001</v>
      </c>
      <c r="M290" s="17">
        <f>CHOOSE(CONTROL!$C$42, 13.5602, 13.5602) * CHOOSE(CONTROL!$C$21, $C$9, 100%, $E$9)</f>
        <v>13.5602</v>
      </c>
      <c r="N290" s="17">
        <f>CHOOSE(CONTROL!$C$42, 13.5763, 13.5763) * CHOOSE(CONTROL!$C$21, $C$9, 100%, $E$9)</f>
        <v>13.5763</v>
      </c>
      <c r="O290" s="17">
        <f>CHOOSE(CONTROL!$C$42, 13.6979, 13.6979) * CHOOSE(CONTROL!$C$21, $C$9, 100%, $E$9)</f>
        <v>13.697900000000001</v>
      </c>
      <c r="P290" s="17">
        <f>CHOOSE(CONTROL!$C$42, 13.6189, 13.6189) * CHOOSE(CONTROL!$C$21, $C$9, 100%, $E$9)</f>
        <v>13.6189</v>
      </c>
      <c r="Q290" s="17">
        <f>CHOOSE(CONTROL!$C$42, 14.2926, 14.2926) * CHOOSE(CONTROL!$C$21, $C$9, 100%, $E$9)</f>
        <v>14.2926</v>
      </c>
      <c r="R290" s="17">
        <f>CHOOSE(CONTROL!$C$42, 14.9153, 14.9153) * CHOOSE(CONTROL!$C$21, $C$9, 100%, $E$9)</f>
        <v>14.9153</v>
      </c>
      <c r="S290" s="17">
        <f>CHOOSE(CONTROL!$C$42, 13.2462, 13.2462) * CHOOSE(CONTROL!$C$21, $C$9, 100%, $E$9)</f>
        <v>13.2462</v>
      </c>
      <c r="T290" s="57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290" s="57">
        <f>(1000*CHOOSE(CONTROL!$C$42, 695, 695)*CHOOSE(CONTROL!$C$42, 0.5599, 0.5599)*CHOOSE(CONTROL!$C$42, 29, 29))/1000000</f>
        <v>11.284784499999999</v>
      </c>
      <c r="V290" s="57">
        <f>(1000*CHOOSE(CONTROL!$C$42, 500, 500)*CHOOSE(CONTROL!$C$42, 0.275, 0.275)*CHOOSE(CONTROL!$C$42, 29, 29))/1000000</f>
        <v>3.9874999999999998</v>
      </c>
      <c r="W290" s="57">
        <f>(1000*CHOOSE(CONTROL!$C$42, 0.0916, 0.0916)*CHOOSE(CONTROL!$C$42, 121.5, 121.5)*CHOOSE(CONTROL!$C$42, 29, 29))/1000000</f>
        <v>0.3227526</v>
      </c>
      <c r="X290" s="57">
        <f>(29*0.2374*100000/1000000)</f>
        <v>0.68845999999999996</v>
      </c>
      <c r="Y290" s="57"/>
      <c r="Z290" s="17"/>
      <c r="AA290" s="56"/>
      <c r="AB290" s="49">
        <f>(B290*122.58+C290*297.941+D290*89.177+E290*140.302+F290*40+G290*60+H290*0+I290*100+J290*300)/(122.58+297.941+89.177+140.302+0+40+60+100+300)</f>
        <v>13.709212871217394</v>
      </c>
      <c r="AC290" s="46">
        <f>(M290*'RAP TEMPLATE-GAS AVAILABILITY'!O289+N290*'RAP TEMPLATE-GAS AVAILABILITY'!P289+O290*'RAP TEMPLATE-GAS AVAILABILITY'!Q289+P290*'RAP TEMPLATE-GAS AVAILABILITY'!R289)/('RAP TEMPLATE-GAS AVAILABILITY'!O289+'RAP TEMPLATE-GAS AVAILABILITY'!P289+'RAP TEMPLATE-GAS AVAILABILITY'!Q289+'RAP TEMPLATE-GAS AVAILABILITY'!R289)</f>
        <v>13.631983453237408</v>
      </c>
    </row>
    <row r="291" spans="1:29" ht="15.75" x14ac:dyDescent="0.25">
      <c r="A291" s="15">
        <v>49735</v>
      </c>
      <c r="B291" s="17">
        <f>CHOOSE(CONTROL!$C$42, 13.2821, 13.2821) * CHOOSE(CONTROL!$C$21, $C$9, 100%, $E$9)</f>
        <v>13.2821</v>
      </c>
      <c r="C291" s="17">
        <f>CHOOSE(CONTROL!$C$42, 13.2872, 13.2872) * CHOOSE(CONTROL!$C$21, $C$9, 100%, $E$9)</f>
        <v>13.2872</v>
      </c>
      <c r="D291" s="17">
        <f>CHOOSE(CONTROL!$C$42, 13.4047, 13.4047) * CHOOSE(CONTROL!$C$21, $C$9, 100%, $E$9)</f>
        <v>13.4047</v>
      </c>
      <c r="E291" s="17">
        <f>CHOOSE(CONTROL!$C$42, 13.4384, 13.4384) * CHOOSE(CONTROL!$C$21, $C$9, 100%, $E$9)</f>
        <v>13.4384</v>
      </c>
      <c r="F291" s="17">
        <f>CHOOSE(CONTROL!$C$42, 13.2951, 13.2951)*CHOOSE(CONTROL!$C$21, $C$9, 100%, $E$9)</f>
        <v>13.2951</v>
      </c>
      <c r="G291" s="17">
        <f>CHOOSE(CONTROL!$C$42, 13.3113, 13.3113)*CHOOSE(CONTROL!$C$21, $C$9, 100%, $E$9)</f>
        <v>13.311299999999999</v>
      </c>
      <c r="H291" s="17">
        <f>CHOOSE(CONTROL!$C$42, 13.4273, 13.4273) * CHOOSE(CONTROL!$C$21, $C$9, 100%, $E$9)</f>
        <v>13.427300000000001</v>
      </c>
      <c r="I291" s="17">
        <f>CHOOSE(CONTROL!$C$42, 13.3468, 13.3468)* CHOOSE(CONTROL!$C$21, $C$9, 100%, $E$9)</f>
        <v>13.3468</v>
      </c>
      <c r="J291" s="17">
        <f>CHOOSE(CONTROL!$C$42, 13.2877, 13.2877)* CHOOSE(CONTROL!$C$21, $C$9, 100%, $E$9)</f>
        <v>13.287699999999999</v>
      </c>
      <c r="K291" s="53">
        <f>CHOOSE(CONTROL!$C$42, 13.3407, 13.3407) * CHOOSE(CONTROL!$C$21, $C$9, 100%, $E$9)</f>
        <v>13.3407</v>
      </c>
      <c r="L291" s="17">
        <f>CHOOSE(CONTROL!$C$42, 14.0143, 14.0143) * CHOOSE(CONTROL!$C$21, $C$9, 100%, $E$9)</f>
        <v>14.0143</v>
      </c>
      <c r="M291" s="17">
        <f>CHOOSE(CONTROL!$C$42, 13.1752, 13.1752) * CHOOSE(CONTROL!$C$21, $C$9, 100%, $E$9)</f>
        <v>13.1752</v>
      </c>
      <c r="N291" s="17">
        <f>CHOOSE(CONTROL!$C$42, 13.1912, 13.1912) * CHOOSE(CONTROL!$C$21, $C$9, 100%, $E$9)</f>
        <v>13.1912</v>
      </c>
      <c r="O291" s="17">
        <f>CHOOSE(CONTROL!$C$42, 13.3136, 13.3136) * CHOOSE(CONTROL!$C$21, $C$9, 100%, $E$9)</f>
        <v>13.313599999999999</v>
      </c>
      <c r="P291" s="17">
        <f>CHOOSE(CONTROL!$C$42, 13.2334, 13.2334) * CHOOSE(CONTROL!$C$21, $C$9, 100%, $E$9)</f>
        <v>13.2334</v>
      </c>
      <c r="Q291" s="17">
        <f>CHOOSE(CONTROL!$C$42, 13.9083, 13.9083) * CHOOSE(CONTROL!$C$21, $C$9, 100%, $E$9)</f>
        <v>13.908300000000001</v>
      </c>
      <c r="R291" s="17">
        <f>CHOOSE(CONTROL!$C$42, 14.53, 14.53) * CHOOSE(CONTROL!$C$21, $C$9, 100%, $E$9)</f>
        <v>14.53</v>
      </c>
      <c r="S291" s="17">
        <f>CHOOSE(CONTROL!$C$42, 12.8702, 12.8702) * CHOOSE(CONTROL!$C$21, $C$9, 100%, $E$9)</f>
        <v>12.870200000000001</v>
      </c>
      <c r="T291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291" s="57">
        <f>(1000*CHOOSE(CONTROL!$C$42, 695, 695)*CHOOSE(CONTROL!$C$42, 0.5599, 0.5599)*CHOOSE(CONTROL!$C$42, 31, 31))/1000000</f>
        <v>12.063045499999998</v>
      </c>
      <c r="V291" s="57">
        <f>(1000*CHOOSE(CONTROL!$C$42, 500, 500)*CHOOSE(CONTROL!$C$42, 0.275, 0.275)*CHOOSE(CONTROL!$C$42, 31, 31))/1000000</f>
        <v>4.2625000000000002</v>
      </c>
      <c r="W291" s="57">
        <f>(1000*CHOOSE(CONTROL!$C$42, 0.0916, 0.0916)*CHOOSE(CONTROL!$C$42, 121.5, 121.5)*CHOOSE(CONTROL!$C$42, 31, 31))/1000000</f>
        <v>0.34501139999999997</v>
      </c>
      <c r="X291" s="57">
        <f>(31*0.2374*100000/1000000)</f>
        <v>0.73594000000000004</v>
      </c>
      <c r="Y291" s="57"/>
      <c r="Z291" s="17"/>
      <c r="AA291" s="56"/>
      <c r="AB291" s="49">
        <f>(B291*122.58+C291*297.941+D291*89.177+E291*140.302+F291*40+G291*60+H291*0+I291*100+J291*300)/(122.58+297.941+89.177+140.302+0+40+60+100+300)</f>
        <v>13.321059827739131</v>
      </c>
      <c r="AC291" s="46">
        <f>(M291*'RAP TEMPLATE-GAS AVAILABILITY'!O290+N291*'RAP TEMPLATE-GAS AVAILABILITY'!P290+O291*'RAP TEMPLATE-GAS AVAILABILITY'!Q290+P291*'RAP TEMPLATE-GAS AVAILABILITY'!R290)/('RAP TEMPLATE-GAS AVAILABILITY'!O290+'RAP TEMPLATE-GAS AVAILABILITY'!P290+'RAP TEMPLATE-GAS AVAILABILITY'!Q290+'RAP TEMPLATE-GAS AVAILABILITY'!R290)</f>
        <v>13.247223021582734</v>
      </c>
    </row>
    <row r="292" spans="1:29" ht="15.75" x14ac:dyDescent="0.25">
      <c r="A292" s="15">
        <v>49766</v>
      </c>
      <c r="B292" s="17">
        <f>CHOOSE(CONTROL!$C$42, 13.2434, 13.2434) * CHOOSE(CONTROL!$C$21, $C$9, 100%, $E$9)</f>
        <v>13.243399999999999</v>
      </c>
      <c r="C292" s="17">
        <f>CHOOSE(CONTROL!$C$42, 13.2479, 13.2479) * CHOOSE(CONTROL!$C$21, $C$9, 100%, $E$9)</f>
        <v>13.2479</v>
      </c>
      <c r="D292" s="17">
        <f>CHOOSE(CONTROL!$C$42, 13.5006, 13.5006) * CHOOSE(CONTROL!$C$21, $C$9, 100%, $E$9)</f>
        <v>13.5006</v>
      </c>
      <c r="E292" s="17">
        <f>CHOOSE(CONTROL!$C$42, 13.5324, 13.5324) * CHOOSE(CONTROL!$C$21, $C$9, 100%, $E$9)</f>
        <v>13.532400000000001</v>
      </c>
      <c r="F292" s="17">
        <f>CHOOSE(CONTROL!$C$42, 13.2494, 13.2494)*CHOOSE(CONTROL!$C$21, $C$9, 100%, $E$9)</f>
        <v>13.2494</v>
      </c>
      <c r="G292" s="17">
        <f>CHOOSE(CONTROL!$C$42, 13.2652, 13.2652)*CHOOSE(CONTROL!$C$21, $C$9, 100%, $E$9)</f>
        <v>13.2652</v>
      </c>
      <c r="H292" s="17">
        <f>CHOOSE(CONTROL!$C$42, 13.5219, 13.5219) * CHOOSE(CONTROL!$C$21, $C$9, 100%, $E$9)</f>
        <v>13.5219</v>
      </c>
      <c r="I292" s="17">
        <f>CHOOSE(CONTROL!$C$42, 13.3061, 13.3061)* CHOOSE(CONTROL!$C$21, $C$9, 100%, $E$9)</f>
        <v>13.306100000000001</v>
      </c>
      <c r="J292" s="17">
        <f>CHOOSE(CONTROL!$C$42, 13.242, 13.242)* CHOOSE(CONTROL!$C$21, $C$9, 100%, $E$9)</f>
        <v>13.242000000000001</v>
      </c>
      <c r="K292" s="53">
        <f>CHOOSE(CONTROL!$C$42, 13.3001, 13.3001) * CHOOSE(CONTROL!$C$21, $C$9, 100%, $E$9)</f>
        <v>13.3001</v>
      </c>
      <c r="L292" s="17">
        <f>CHOOSE(CONTROL!$C$42, 14.1089, 14.1089) * CHOOSE(CONTROL!$C$21, $C$9, 100%, $E$9)</f>
        <v>14.1089</v>
      </c>
      <c r="M292" s="17">
        <f>CHOOSE(CONTROL!$C$42, 13.1299, 13.1299) * CHOOSE(CONTROL!$C$21, $C$9, 100%, $E$9)</f>
        <v>13.129899999999999</v>
      </c>
      <c r="N292" s="17">
        <f>CHOOSE(CONTROL!$C$42, 13.1456, 13.1456) * CHOOSE(CONTROL!$C$21, $C$9, 100%, $E$9)</f>
        <v>13.1456</v>
      </c>
      <c r="O292" s="17">
        <f>CHOOSE(CONTROL!$C$42, 13.4073, 13.4073) * CHOOSE(CONTROL!$C$21, $C$9, 100%, $E$9)</f>
        <v>13.407299999999999</v>
      </c>
      <c r="P292" s="17">
        <f>CHOOSE(CONTROL!$C$42, 13.1931, 13.1931) * CHOOSE(CONTROL!$C$21, $C$9, 100%, $E$9)</f>
        <v>13.193099999999999</v>
      </c>
      <c r="Q292" s="17">
        <f>CHOOSE(CONTROL!$C$42, 14.002, 14.002) * CHOOSE(CONTROL!$C$21, $C$9, 100%, $E$9)</f>
        <v>14.002000000000001</v>
      </c>
      <c r="R292" s="17">
        <f>CHOOSE(CONTROL!$C$42, 14.624, 14.624) * CHOOSE(CONTROL!$C$21, $C$9, 100%, $E$9)</f>
        <v>14.624000000000001</v>
      </c>
      <c r="S292" s="17">
        <f>CHOOSE(CONTROL!$C$42, 12.8319, 12.8319) * CHOOSE(CONTROL!$C$21, $C$9, 100%, $E$9)</f>
        <v>12.831899999999999</v>
      </c>
      <c r="T292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292" s="57">
        <f>(1000*CHOOSE(CONTROL!$C$42, 695, 695)*CHOOSE(CONTROL!$C$42, 0.5599, 0.5599)*CHOOSE(CONTROL!$C$42, 30, 30))/1000000</f>
        <v>11.673914999999997</v>
      </c>
      <c r="V292" s="57">
        <f>(1000*CHOOSE(CONTROL!$C$42, 500, 500)*CHOOSE(CONTROL!$C$42, 0.275, 0.275)*CHOOSE(CONTROL!$C$42, 30, 30))/1000000</f>
        <v>4.125</v>
      </c>
      <c r="W292" s="57">
        <f>(1000*CHOOSE(CONTROL!$C$42, 0.0916, 0.0916)*CHOOSE(CONTROL!$C$42, 121.5, 121.5)*CHOOSE(CONTROL!$C$42, 30, 30))/1000000</f>
        <v>0.33388200000000001</v>
      </c>
      <c r="X292" s="57">
        <f>(30*0.1790888*145000/1000000)+(30*0.2374*100000/1000000)</f>
        <v>1.4912362799999999</v>
      </c>
      <c r="Y292" s="57"/>
      <c r="Z292" s="17"/>
      <c r="AA292" s="56"/>
      <c r="AB292" s="49">
        <f>(B292*141.293+C292*267.993+D292*115.016+E292*189.698+F292*40+G292*85+H292*0+I292*100+J292*300)/(141.293+267.993+115.016+189.698+0+40+85+100+300)</f>
        <v>13.318907510653753</v>
      </c>
      <c r="AC292" s="46">
        <f>(M292*'RAP TEMPLATE-GAS AVAILABILITY'!O291+N292*'RAP TEMPLATE-GAS AVAILABILITY'!P291+O292*'RAP TEMPLATE-GAS AVAILABILITY'!Q291+P292*'RAP TEMPLATE-GAS AVAILABILITY'!R291)/('RAP TEMPLATE-GAS AVAILABILITY'!O291+'RAP TEMPLATE-GAS AVAILABILITY'!P291+'RAP TEMPLATE-GAS AVAILABILITY'!Q291+'RAP TEMPLATE-GAS AVAILABILITY'!R291)</f>
        <v>13.220439568345324</v>
      </c>
    </row>
    <row r="293" spans="1:29" ht="15.75" x14ac:dyDescent="0.25">
      <c r="A293" s="15">
        <v>49796</v>
      </c>
      <c r="B293" s="17">
        <f>CHOOSE(CONTROL!$C$42, 13.3616, 13.3616) * CHOOSE(CONTROL!$C$21, $C$9, 100%, $E$9)</f>
        <v>13.361599999999999</v>
      </c>
      <c r="C293" s="17">
        <f>CHOOSE(CONTROL!$C$42, 13.3695, 13.3695) * CHOOSE(CONTROL!$C$21, $C$9, 100%, $E$9)</f>
        <v>13.3695</v>
      </c>
      <c r="D293" s="17">
        <f>CHOOSE(CONTROL!$C$42, 13.6192, 13.6192) * CHOOSE(CONTROL!$C$21, $C$9, 100%, $E$9)</f>
        <v>13.619199999999999</v>
      </c>
      <c r="E293" s="17">
        <f>CHOOSE(CONTROL!$C$42, 13.6503, 13.6503) * CHOOSE(CONTROL!$C$21, $C$9, 100%, $E$9)</f>
        <v>13.6503</v>
      </c>
      <c r="F293" s="17">
        <f>CHOOSE(CONTROL!$C$42, 13.3664, 13.3664)*CHOOSE(CONTROL!$C$21, $C$9, 100%, $E$9)</f>
        <v>13.366400000000001</v>
      </c>
      <c r="G293" s="17">
        <f>CHOOSE(CONTROL!$C$42, 13.3825, 13.3825)*CHOOSE(CONTROL!$C$21, $C$9, 100%, $E$9)</f>
        <v>13.3825</v>
      </c>
      <c r="H293" s="17">
        <f>CHOOSE(CONTROL!$C$42, 13.6387, 13.6387) * CHOOSE(CONTROL!$C$21, $C$9, 100%, $E$9)</f>
        <v>13.6387</v>
      </c>
      <c r="I293" s="17">
        <f>CHOOSE(CONTROL!$C$42, 13.4232, 13.4232)* CHOOSE(CONTROL!$C$21, $C$9, 100%, $E$9)</f>
        <v>13.4232</v>
      </c>
      <c r="J293" s="17">
        <f>CHOOSE(CONTROL!$C$42, 13.359, 13.359)* CHOOSE(CONTROL!$C$21, $C$9, 100%, $E$9)</f>
        <v>13.359</v>
      </c>
      <c r="K293" s="53">
        <f>CHOOSE(CONTROL!$C$42, 13.4172, 13.4172) * CHOOSE(CONTROL!$C$21, $C$9, 100%, $E$9)</f>
        <v>13.417199999999999</v>
      </c>
      <c r="L293" s="17">
        <f>CHOOSE(CONTROL!$C$42, 14.2257, 14.2257) * CHOOSE(CONTROL!$C$21, $C$9, 100%, $E$9)</f>
        <v>14.2257</v>
      </c>
      <c r="M293" s="17">
        <f>CHOOSE(CONTROL!$C$42, 13.2459, 13.2459) * CHOOSE(CONTROL!$C$21, $C$9, 100%, $E$9)</f>
        <v>13.245900000000001</v>
      </c>
      <c r="N293" s="17">
        <f>CHOOSE(CONTROL!$C$42, 13.2618, 13.2618) * CHOOSE(CONTROL!$C$21, $C$9, 100%, $E$9)</f>
        <v>13.261799999999999</v>
      </c>
      <c r="O293" s="17">
        <f>CHOOSE(CONTROL!$C$42, 13.523, 13.523) * CHOOSE(CONTROL!$C$21, $C$9, 100%, $E$9)</f>
        <v>13.523</v>
      </c>
      <c r="P293" s="17">
        <f>CHOOSE(CONTROL!$C$42, 13.3092, 13.3092) * CHOOSE(CONTROL!$C$21, $C$9, 100%, $E$9)</f>
        <v>13.309200000000001</v>
      </c>
      <c r="Q293" s="17">
        <f>CHOOSE(CONTROL!$C$42, 14.1177, 14.1177) * CHOOSE(CONTROL!$C$21, $C$9, 100%, $E$9)</f>
        <v>14.117699999999999</v>
      </c>
      <c r="R293" s="17">
        <f>CHOOSE(CONTROL!$C$42, 14.74, 14.74) * CHOOSE(CONTROL!$C$21, $C$9, 100%, $E$9)</f>
        <v>14.74</v>
      </c>
      <c r="S293" s="17">
        <f>CHOOSE(CONTROL!$C$42, 12.9451, 12.9451) * CHOOSE(CONTROL!$C$21, $C$9, 100%, $E$9)</f>
        <v>12.9451</v>
      </c>
      <c r="T293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293" s="57">
        <f>(1000*CHOOSE(CONTROL!$C$42, 695, 695)*CHOOSE(CONTROL!$C$42, 0.5599, 0.5599)*CHOOSE(CONTROL!$C$42, 31, 31))/1000000</f>
        <v>12.063045499999998</v>
      </c>
      <c r="V293" s="57">
        <f>(1000*CHOOSE(CONTROL!$C$42, 500, 500)*CHOOSE(CONTROL!$C$42, 0.275, 0.275)*CHOOSE(CONTROL!$C$42, 31, 31))/1000000</f>
        <v>4.2625000000000002</v>
      </c>
      <c r="W293" s="57">
        <f>(1000*CHOOSE(CONTROL!$C$42, 0.0916, 0.0916)*CHOOSE(CONTROL!$C$42, 121.5, 121.5)*CHOOSE(CONTROL!$C$42, 31, 31))/1000000</f>
        <v>0.34501139999999997</v>
      </c>
      <c r="X293" s="57">
        <f>(31*0.1790888*145000/1000000)+(31*0.2374*100000/1000000)</f>
        <v>1.5409441560000001</v>
      </c>
      <c r="Y293" s="57"/>
      <c r="Z293" s="17"/>
      <c r="AA293" s="56"/>
      <c r="AB293" s="49">
        <f>(B293*194.205+C293*267.466+D293*133.845+E293*153.484+F293*40+G293*85+H293*0+I293*100+J293*300)/(194.205+267.466+133.845+153.484+0+40+85+100+300)</f>
        <v>13.43087063124019</v>
      </c>
      <c r="AC293" s="46">
        <f>(M293*'RAP TEMPLATE-GAS AVAILABILITY'!O292+N293*'RAP TEMPLATE-GAS AVAILABILITY'!P292+O293*'RAP TEMPLATE-GAS AVAILABILITY'!Q292+P293*'RAP TEMPLATE-GAS AVAILABILITY'!R292)/('RAP TEMPLATE-GAS AVAILABILITY'!O292+'RAP TEMPLATE-GAS AVAILABILITY'!P292+'RAP TEMPLATE-GAS AVAILABILITY'!Q292+'RAP TEMPLATE-GAS AVAILABILITY'!R292)</f>
        <v>13.336415827338131</v>
      </c>
    </row>
    <row r="294" spans="1:29" ht="15.75" x14ac:dyDescent="0.25">
      <c r="A294" s="15">
        <v>49827</v>
      </c>
      <c r="B294" s="17">
        <f>CHOOSE(CONTROL!$C$42, 13.7402, 13.7402) * CHOOSE(CONTROL!$C$21, $C$9, 100%, $E$9)</f>
        <v>13.7402</v>
      </c>
      <c r="C294" s="17">
        <f>CHOOSE(CONTROL!$C$42, 13.7482, 13.7482) * CHOOSE(CONTROL!$C$21, $C$9, 100%, $E$9)</f>
        <v>13.748200000000001</v>
      </c>
      <c r="D294" s="17">
        <f>CHOOSE(CONTROL!$C$42, 13.9978, 13.9978) * CHOOSE(CONTROL!$C$21, $C$9, 100%, $E$9)</f>
        <v>13.9978</v>
      </c>
      <c r="E294" s="17">
        <f>CHOOSE(CONTROL!$C$42, 14.029, 14.029) * CHOOSE(CONTROL!$C$21, $C$9, 100%, $E$9)</f>
        <v>14.029</v>
      </c>
      <c r="F294" s="17">
        <f>CHOOSE(CONTROL!$C$42, 13.7454, 13.7454)*CHOOSE(CONTROL!$C$21, $C$9, 100%, $E$9)</f>
        <v>13.7454</v>
      </c>
      <c r="G294" s="17">
        <f>CHOOSE(CONTROL!$C$42, 13.7616, 13.7616)*CHOOSE(CONTROL!$C$21, $C$9, 100%, $E$9)</f>
        <v>13.7616</v>
      </c>
      <c r="H294" s="17">
        <f>CHOOSE(CONTROL!$C$42, 14.0173, 14.0173) * CHOOSE(CONTROL!$C$21, $C$9, 100%, $E$9)</f>
        <v>14.017300000000001</v>
      </c>
      <c r="I294" s="17">
        <f>CHOOSE(CONTROL!$C$42, 13.8031, 13.8031)* CHOOSE(CONTROL!$C$21, $C$9, 100%, $E$9)</f>
        <v>13.803100000000001</v>
      </c>
      <c r="J294" s="17">
        <f>CHOOSE(CONTROL!$C$42, 13.738, 13.738)* CHOOSE(CONTROL!$C$21, $C$9, 100%, $E$9)</f>
        <v>13.738</v>
      </c>
      <c r="K294" s="53">
        <f>CHOOSE(CONTROL!$C$42, 13.797, 13.797) * CHOOSE(CONTROL!$C$21, $C$9, 100%, $E$9)</f>
        <v>13.797000000000001</v>
      </c>
      <c r="L294" s="17">
        <f>CHOOSE(CONTROL!$C$42, 14.6043, 14.6043) * CHOOSE(CONTROL!$C$21, $C$9, 100%, $E$9)</f>
        <v>14.6043</v>
      </c>
      <c r="M294" s="17">
        <f>CHOOSE(CONTROL!$C$42, 13.6214, 13.6214) * CHOOSE(CONTROL!$C$21, $C$9, 100%, $E$9)</f>
        <v>13.6214</v>
      </c>
      <c r="N294" s="17">
        <f>CHOOSE(CONTROL!$C$42, 13.6375, 13.6375) * CHOOSE(CONTROL!$C$21, $C$9, 100%, $E$9)</f>
        <v>13.637499999999999</v>
      </c>
      <c r="O294" s="17">
        <f>CHOOSE(CONTROL!$C$42, 13.8983, 13.8983) * CHOOSE(CONTROL!$C$21, $C$9, 100%, $E$9)</f>
        <v>13.898300000000001</v>
      </c>
      <c r="P294" s="17">
        <f>CHOOSE(CONTROL!$C$42, 13.6856, 13.6856) * CHOOSE(CONTROL!$C$21, $C$9, 100%, $E$9)</f>
        <v>13.685600000000001</v>
      </c>
      <c r="Q294" s="17">
        <f>CHOOSE(CONTROL!$C$42, 14.493, 14.493) * CHOOSE(CONTROL!$C$21, $C$9, 100%, $E$9)</f>
        <v>14.493</v>
      </c>
      <c r="R294" s="17">
        <f>CHOOSE(CONTROL!$C$42, 15.1162, 15.1162) * CHOOSE(CONTROL!$C$21, $C$9, 100%, $E$9)</f>
        <v>15.116199999999999</v>
      </c>
      <c r="S294" s="17">
        <f>CHOOSE(CONTROL!$C$42, 13.3123, 13.3123) * CHOOSE(CONTROL!$C$21, $C$9, 100%, $E$9)</f>
        <v>13.3123</v>
      </c>
      <c r="T294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294" s="57">
        <f>(1000*CHOOSE(CONTROL!$C$42, 695, 695)*CHOOSE(CONTROL!$C$42, 0.5599, 0.5599)*CHOOSE(CONTROL!$C$42, 30, 30))/1000000</f>
        <v>11.673914999999997</v>
      </c>
      <c r="V294" s="57">
        <f>(1000*CHOOSE(CONTROL!$C$42, 500, 500)*CHOOSE(CONTROL!$C$42, 0.275, 0.275)*CHOOSE(CONTROL!$C$42, 30, 30))/1000000</f>
        <v>4.125</v>
      </c>
      <c r="W294" s="57">
        <f>(1000*CHOOSE(CONTROL!$C$42, 0.0916, 0.0916)*CHOOSE(CONTROL!$C$42, 121.5, 121.5)*CHOOSE(CONTROL!$C$42, 30, 30))/1000000</f>
        <v>0.33388200000000001</v>
      </c>
      <c r="X294" s="57">
        <f>(30*0.1790888*145000/1000000)+(30*0.2374*100000/1000000)</f>
        <v>1.4912362799999999</v>
      </c>
      <c r="Y294" s="57"/>
      <c r="Z294" s="17"/>
      <c r="AA294" s="56"/>
      <c r="AB294" s="49">
        <f>(B294*194.205+C294*267.466+D294*133.845+E294*153.484+F294*40+G294*85+H294*0+I294*100+J294*300)/(194.205+267.466+133.845+153.484+0+40+85+100+300)</f>
        <v>13.80974582354788</v>
      </c>
      <c r="AC294" s="46">
        <f>(M294*'RAP TEMPLATE-GAS AVAILABILITY'!O293+N294*'RAP TEMPLATE-GAS AVAILABILITY'!P293+O294*'RAP TEMPLATE-GAS AVAILABILITY'!Q293+P294*'RAP TEMPLATE-GAS AVAILABILITY'!R293)/('RAP TEMPLATE-GAS AVAILABILITY'!O293+'RAP TEMPLATE-GAS AVAILABILITY'!P293+'RAP TEMPLATE-GAS AVAILABILITY'!Q293+'RAP TEMPLATE-GAS AVAILABILITY'!R293)</f>
        <v>13.712035251798561</v>
      </c>
    </row>
    <row r="295" spans="1:29" ht="15.75" x14ac:dyDescent="0.25">
      <c r="A295" s="15">
        <v>49857</v>
      </c>
      <c r="B295" s="17">
        <f>CHOOSE(CONTROL!$C$42, 13.4768, 13.4768) * CHOOSE(CONTROL!$C$21, $C$9, 100%, $E$9)</f>
        <v>13.476800000000001</v>
      </c>
      <c r="C295" s="17">
        <f>CHOOSE(CONTROL!$C$42, 13.4848, 13.4848) * CHOOSE(CONTROL!$C$21, $C$9, 100%, $E$9)</f>
        <v>13.4848</v>
      </c>
      <c r="D295" s="17">
        <f>CHOOSE(CONTROL!$C$42, 13.7345, 13.7345) * CHOOSE(CONTROL!$C$21, $C$9, 100%, $E$9)</f>
        <v>13.734500000000001</v>
      </c>
      <c r="E295" s="17">
        <f>CHOOSE(CONTROL!$C$42, 13.7656, 13.7656) * CHOOSE(CONTROL!$C$21, $C$9, 100%, $E$9)</f>
        <v>13.765599999999999</v>
      </c>
      <c r="F295" s="17">
        <f>CHOOSE(CONTROL!$C$42, 13.4825, 13.4825)*CHOOSE(CONTROL!$C$21, $C$9, 100%, $E$9)</f>
        <v>13.4825</v>
      </c>
      <c r="G295" s="17">
        <f>CHOOSE(CONTROL!$C$42, 13.4989, 13.4989)*CHOOSE(CONTROL!$C$21, $C$9, 100%, $E$9)</f>
        <v>13.498900000000001</v>
      </c>
      <c r="H295" s="17">
        <f>CHOOSE(CONTROL!$C$42, 13.754, 13.754) * CHOOSE(CONTROL!$C$21, $C$9, 100%, $E$9)</f>
        <v>13.754</v>
      </c>
      <c r="I295" s="17">
        <f>CHOOSE(CONTROL!$C$42, 13.5389, 13.5389)* CHOOSE(CONTROL!$C$21, $C$9, 100%, $E$9)</f>
        <v>13.5389</v>
      </c>
      <c r="J295" s="17">
        <f>CHOOSE(CONTROL!$C$42, 13.4751, 13.4751)* CHOOSE(CONTROL!$C$21, $C$9, 100%, $E$9)</f>
        <v>13.475099999999999</v>
      </c>
      <c r="K295" s="53">
        <f>CHOOSE(CONTROL!$C$42, 13.5329, 13.5329) * CHOOSE(CONTROL!$C$21, $C$9, 100%, $E$9)</f>
        <v>13.5329</v>
      </c>
      <c r="L295" s="17">
        <f>CHOOSE(CONTROL!$C$42, 14.341, 14.341) * CHOOSE(CONTROL!$C$21, $C$9, 100%, $E$9)</f>
        <v>14.340999999999999</v>
      </c>
      <c r="M295" s="17">
        <f>CHOOSE(CONTROL!$C$42, 13.361, 13.361) * CHOOSE(CONTROL!$C$21, $C$9, 100%, $E$9)</f>
        <v>13.361000000000001</v>
      </c>
      <c r="N295" s="17">
        <f>CHOOSE(CONTROL!$C$42, 13.3772, 13.3772) * CHOOSE(CONTROL!$C$21, $C$9, 100%, $E$9)</f>
        <v>13.3772</v>
      </c>
      <c r="O295" s="17">
        <f>CHOOSE(CONTROL!$C$42, 13.6373, 13.6373) * CHOOSE(CONTROL!$C$21, $C$9, 100%, $E$9)</f>
        <v>13.6373</v>
      </c>
      <c r="P295" s="17">
        <f>CHOOSE(CONTROL!$C$42, 13.4238, 13.4238) * CHOOSE(CONTROL!$C$21, $C$9, 100%, $E$9)</f>
        <v>13.4238</v>
      </c>
      <c r="Q295" s="17">
        <f>CHOOSE(CONTROL!$C$42, 14.232, 14.232) * CHOOSE(CONTROL!$C$21, $C$9, 100%, $E$9)</f>
        <v>14.231999999999999</v>
      </c>
      <c r="R295" s="17">
        <f>CHOOSE(CONTROL!$C$42, 14.8545, 14.8545) * CHOOSE(CONTROL!$C$21, $C$9, 100%, $E$9)</f>
        <v>14.8545</v>
      </c>
      <c r="S295" s="17">
        <f>CHOOSE(CONTROL!$C$42, 13.0569, 13.0569) * CHOOSE(CONTROL!$C$21, $C$9, 100%, $E$9)</f>
        <v>13.056900000000001</v>
      </c>
      <c r="T295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295" s="57">
        <f>(1000*CHOOSE(CONTROL!$C$42, 695, 695)*CHOOSE(CONTROL!$C$42, 0.5599, 0.5599)*CHOOSE(CONTROL!$C$42, 31, 31))/1000000</f>
        <v>12.063045499999998</v>
      </c>
      <c r="V295" s="57">
        <f>(1000*CHOOSE(CONTROL!$C$42, 500, 500)*CHOOSE(CONTROL!$C$42, 0.275, 0.275)*CHOOSE(CONTROL!$C$42, 31, 31))/1000000</f>
        <v>4.2625000000000002</v>
      </c>
      <c r="W295" s="57">
        <f>(1000*CHOOSE(CONTROL!$C$42, 0.0916, 0.0916)*CHOOSE(CONTROL!$C$42, 121.5, 121.5)*CHOOSE(CONTROL!$C$42, 31, 31))/1000000</f>
        <v>0.34501139999999997</v>
      </c>
      <c r="X295" s="57">
        <f>(31*0.1790888*145000/1000000)+(31*0.2374*100000/1000000)</f>
        <v>1.5409441560000001</v>
      </c>
      <c r="Y295" s="57"/>
      <c r="Z295" s="17"/>
      <c r="AA295" s="56"/>
      <c r="AB295" s="49">
        <f>(B295*194.205+C295*267.466+D295*133.845+E295*153.484+F295*40+G295*85+H295*0+I295*100+J295*300)/(194.205+267.466+133.845+153.484+0+40+85+100+300)</f>
        <v>13.546473676373626</v>
      </c>
      <c r="AC295" s="46">
        <f>(M295*'RAP TEMPLATE-GAS AVAILABILITY'!O294+N295*'RAP TEMPLATE-GAS AVAILABILITY'!P294+O295*'RAP TEMPLATE-GAS AVAILABILITY'!Q294+P295*'RAP TEMPLATE-GAS AVAILABILITY'!R294)/('RAP TEMPLATE-GAS AVAILABILITY'!O294+'RAP TEMPLATE-GAS AVAILABILITY'!P294+'RAP TEMPLATE-GAS AVAILABILITY'!Q294+'RAP TEMPLATE-GAS AVAILABILITY'!R294)</f>
        <v>13.451288489208631</v>
      </c>
    </row>
    <row r="296" spans="1:29" ht="15.75" x14ac:dyDescent="0.25">
      <c r="A296" s="15">
        <v>49888</v>
      </c>
      <c r="B296" s="17">
        <f>CHOOSE(CONTROL!$C$42, 12.8118, 12.8118) * CHOOSE(CONTROL!$C$21, $C$9, 100%, $E$9)</f>
        <v>12.8118</v>
      </c>
      <c r="C296" s="17">
        <f>CHOOSE(CONTROL!$C$42, 12.8198, 12.8198) * CHOOSE(CONTROL!$C$21, $C$9, 100%, $E$9)</f>
        <v>12.819800000000001</v>
      </c>
      <c r="D296" s="17">
        <f>CHOOSE(CONTROL!$C$42, 13.0694, 13.0694) * CHOOSE(CONTROL!$C$21, $C$9, 100%, $E$9)</f>
        <v>13.0694</v>
      </c>
      <c r="E296" s="17">
        <f>CHOOSE(CONTROL!$C$42, 13.1006, 13.1006) * CHOOSE(CONTROL!$C$21, $C$9, 100%, $E$9)</f>
        <v>13.1006</v>
      </c>
      <c r="F296" s="17">
        <f>CHOOSE(CONTROL!$C$42, 12.8177, 12.8177)*CHOOSE(CONTROL!$C$21, $C$9, 100%, $E$9)</f>
        <v>12.8177</v>
      </c>
      <c r="G296" s="17">
        <f>CHOOSE(CONTROL!$C$42, 12.8342, 12.8342)*CHOOSE(CONTROL!$C$21, $C$9, 100%, $E$9)</f>
        <v>12.834199999999999</v>
      </c>
      <c r="H296" s="17">
        <f>CHOOSE(CONTROL!$C$42, 13.0889, 13.0889) * CHOOSE(CONTROL!$C$21, $C$9, 100%, $E$9)</f>
        <v>13.088900000000001</v>
      </c>
      <c r="I296" s="17">
        <f>CHOOSE(CONTROL!$C$42, 12.8718, 12.8718)* CHOOSE(CONTROL!$C$21, $C$9, 100%, $E$9)</f>
        <v>12.8718</v>
      </c>
      <c r="J296" s="17">
        <f>CHOOSE(CONTROL!$C$42, 12.8103, 12.8103)* CHOOSE(CONTROL!$C$21, $C$9, 100%, $E$9)</f>
        <v>12.8103</v>
      </c>
      <c r="K296" s="53">
        <f>CHOOSE(CONTROL!$C$42, 12.8657, 12.8657) * CHOOSE(CONTROL!$C$21, $C$9, 100%, $E$9)</f>
        <v>12.8657</v>
      </c>
      <c r="L296" s="17">
        <f>CHOOSE(CONTROL!$C$42, 13.6759, 13.6759) * CHOOSE(CONTROL!$C$21, $C$9, 100%, $E$9)</f>
        <v>13.6759</v>
      </c>
      <c r="M296" s="17">
        <f>CHOOSE(CONTROL!$C$42, 12.7021, 12.7021) * CHOOSE(CONTROL!$C$21, $C$9, 100%, $E$9)</f>
        <v>12.7021</v>
      </c>
      <c r="N296" s="17">
        <f>CHOOSE(CONTROL!$C$42, 12.7184, 12.7184) * CHOOSE(CONTROL!$C$21, $C$9, 100%, $E$9)</f>
        <v>12.718400000000001</v>
      </c>
      <c r="O296" s="17">
        <f>CHOOSE(CONTROL!$C$42, 12.9782, 12.9782) * CHOOSE(CONTROL!$C$21, $C$9, 100%, $E$9)</f>
        <v>12.978199999999999</v>
      </c>
      <c r="P296" s="17">
        <f>CHOOSE(CONTROL!$C$42, 12.7627, 12.7627) * CHOOSE(CONTROL!$C$21, $C$9, 100%, $E$9)</f>
        <v>12.762700000000001</v>
      </c>
      <c r="Q296" s="17">
        <f>CHOOSE(CONTROL!$C$42, 13.5729, 13.5729) * CHOOSE(CONTROL!$C$21, $C$9, 100%, $E$9)</f>
        <v>13.572900000000001</v>
      </c>
      <c r="R296" s="17">
        <f>CHOOSE(CONTROL!$C$42, 14.1938, 14.1938) * CHOOSE(CONTROL!$C$21, $C$9, 100%, $E$9)</f>
        <v>14.1938</v>
      </c>
      <c r="S296" s="17">
        <f>CHOOSE(CONTROL!$C$42, 12.412, 12.412) * CHOOSE(CONTROL!$C$21, $C$9, 100%, $E$9)</f>
        <v>12.412000000000001</v>
      </c>
      <c r="T296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296" s="57">
        <f>(1000*CHOOSE(CONTROL!$C$42, 695, 695)*CHOOSE(CONTROL!$C$42, 0.5599, 0.5599)*CHOOSE(CONTROL!$C$42, 31, 31))/1000000</f>
        <v>12.063045499999998</v>
      </c>
      <c r="V296" s="57">
        <f>(1000*CHOOSE(CONTROL!$C$42, 500, 500)*CHOOSE(CONTROL!$C$42, 0.275, 0.275)*CHOOSE(CONTROL!$C$42, 31, 31))/1000000</f>
        <v>4.2625000000000002</v>
      </c>
      <c r="W296" s="57">
        <f>(1000*CHOOSE(CONTROL!$C$42, 0.0916, 0.0916)*CHOOSE(CONTROL!$C$42, 121.5, 121.5)*CHOOSE(CONTROL!$C$42, 31, 31))/1000000</f>
        <v>0.34501139999999997</v>
      </c>
      <c r="X296" s="57">
        <f>(31*0.1790888*145000/1000000)+(31*0.2374*100000/1000000)</f>
        <v>1.5409441560000001</v>
      </c>
      <c r="Y296" s="57"/>
      <c r="Z296" s="17"/>
      <c r="AA296" s="56"/>
      <c r="AB296" s="49">
        <f>(B296*194.205+C296*267.466+D296*133.845+E296*153.484+F296*40+G296*85+H296*0+I296*100+J296*300)/(194.205+267.466+133.845+153.484+0+40+85+100+300)</f>
        <v>12.88137172621664</v>
      </c>
      <c r="AC296" s="46">
        <f>(M296*'RAP TEMPLATE-GAS AVAILABILITY'!O295+N296*'RAP TEMPLATE-GAS AVAILABILITY'!P295+O296*'RAP TEMPLATE-GAS AVAILABILITY'!Q295+P296*'RAP TEMPLATE-GAS AVAILABILITY'!R295)/('RAP TEMPLATE-GAS AVAILABILITY'!O295+'RAP TEMPLATE-GAS AVAILABILITY'!P295+'RAP TEMPLATE-GAS AVAILABILITY'!Q295+'RAP TEMPLATE-GAS AVAILABILITY'!R295)</f>
        <v>12.792038848920864</v>
      </c>
    </row>
    <row r="297" spans="1:29" ht="15.75" x14ac:dyDescent="0.25">
      <c r="A297" s="15">
        <v>49919</v>
      </c>
      <c r="B297" s="17">
        <f>CHOOSE(CONTROL!$C$42, 11.999, 11.999) * CHOOSE(CONTROL!$C$21, $C$9, 100%, $E$9)</f>
        <v>11.999000000000001</v>
      </c>
      <c r="C297" s="17">
        <f>CHOOSE(CONTROL!$C$42, 12.007, 12.007) * CHOOSE(CONTROL!$C$21, $C$9, 100%, $E$9)</f>
        <v>12.007</v>
      </c>
      <c r="D297" s="17">
        <f>CHOOSE(CONTROL!$C$42, 12.2566, 12.2566) * CHOOSE(CONTROL!$C$21, $C$9, 100%, $E$9)</f>
        <v>12.256600000000001</v>
      </c>
      <c r="E297" s="17">
        <f>CHOOSE(CONTROL!$C$42, 12.2878, 12.2878) * CHOOSE(CONTROL!$C$21, $C$9, 100%, $E$9)</f>
        <v>12.287800000000001</v>
      </c>
      <c r="F297" s="17">
        <f>CHOOSE(CONTROL!$C$42, 12.005, 12.005)*CHOOSE(CONTROL!$C$21, $C$9, 100%, $E$9)</f>
        <v>12.005000000000001</v>
      </c>
      <c r="G297" s="17">
        <f>CHOOSE(CONTROL!$C$42, 12.0214, 12.0214)*CHOOSE(CONTROL!$C$21, $C$9, 100%, $E$9)</f>
        <v>12.0214</v>
      </c>
      <c r="H297" s="17">
        <f>CHOOSE(CONTROL!$C$42, 12.2761, 12.2761) * CHOOSE(CONTROL!$C$21, $C$9, 100%, $E$9)</f>
        <v>12.2761</v>
      </c>
      <c r="I297" s="17">
        <f>CHOOSE(CONTROL!$C$42, 12.0565, 12.0565)* CHOOSE(CONTROL!$C$21, $C$9, 100%, $E$9)</f>
        <v>12.0565</v>
      </c>
      <c r="J297" s="17">
        <f>CHOOSE(CONTROL!$C$42, 11.9976, 11.9976)* CHOOSE(CONTROL!$C$21, $C$9, 100%, $E$9)</f>
        <v>11.9976</v>
      </c>
      <c r="K297" s="53">
        <f>CHOOSE(CONTROL!$C$42, 12.0504, 12.0504) * CHOOSE(CONTROL!$C$21, $C$9, 100%, $E$9)</f>
        <v>12.0504</v>
      </c>
      <c r="L297" s="17">
        <f>CHOOSE(CONTROL!$C$42, 12.8631, 12.8631) * CHOOSE(CONTROL!$C$21, $C$9, 100%, $E$9)</f>
        <v>12.863099999999999</v>
      </c>
      <c r="M297" s="17">
        <f>CHOOSE(CONTROL!$C$42, 11.8967, 11.8967) * CHOOSE(CONTROL!$C$21, $C$9, 100%, $E$9)</f>
        <v>11.896699999999999</v>
      </c>
      <c r="N297" s="17">
        <f>CHOOSE(CONTROL!$C$42, 11.913, 11.913) * CHOOSE(CONTROL!$C$21, $C$9, 100%, $E$9)</f>
        <v>11.913</v>
      </c>
      <c r="O297" s="17">
        <f>CHOOSE(CONTROL!$C$42, 12.1727, 12.1727) * CHOOSE(CONTROL!$C$21, $C$9, 100%, $E$9)</f>
        <v>12.172700000000001</v>
      </c>
      <c r="P297" s="17">
        <f>CHOOSE(CONTROL!$C$42, 11.9547, 11.9547) * CHOOSE(CONTROL!$C$21, $C$9, 100%, $E$9)</f>
        <v>11.954700000000001</v>
      </c>
      <c r="Q297" s="17">
        <f>CHOOSE(CONTROL!$C$42, 12.7674, 12.7674) * CHOOSE(CONTROL!$C$21, $C$9, 100%, $E$9)</f>
        <v>12.7674</v>
      </c>
      <c r="R297" s="17">
        <f>CHOOSE(CONTROL!$C$42, 13.3863, 13.3863) * CHOOSE(CONTROL!$C$21, $C$9, 100%, $E$9)</f>
        <v>13.3863</v>
      </c>
      <c r="S297" s="17">
        <f>CHOOSE(CONTROL!$C$42, 11.6238, 11.6238) * CHOOSE(CONTROL!$C$21, $C$9, 100%, $E$9)</f>
        <v>11.623799999999999</v>
      </c>
      <c r="T297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297" s="57">
        <f>(1000*CHOOSE(CONTROL!$C$42, 695, 695)*CHOOSE(CONTROL!$C$42, 0.5599, 0.5599)*CHOOSE(CONTROL!$C$42, 30, 30))/1000000</f>
        <v>11.673914999999997</v>
      </c>
      <c r="V297" s="57">
        <f>(1000*CHOOSE(CONTROL!$C$42, 500, 500)*CHOOSE(CONTROL!$C$42, 0.275, 0.275)*CHOOSE(CONTROL!$C$42, 30, 30))/1000000</f>
        <v>4.125</v>
      </c>
      <c r="W297" s="57">
        <f>(1000*CHOOSE(CONTROL!$C$42, 0.0916, 0.0916)*CHOOSE(CONTROL!$C$42, 121.5, 121.5)*CHOOSE(CONTROL!$C$42, 30, 30))/1000000</f>
        <v>0.33388200000000001</v>
      </c>
      <c r="X297" s="57">
        <f>(30*0.1790888*145000/1000000)+(30*0.2374*100000/1000000)</f>
        <v>1.4912362799999999</v>
      </c>
      <c r="Y297" s="57"/>
      <c r="Z297" s="17"/>
      <c r="AA297" s="56"/>
      <c r="AB297" s="49">
        <f>(B297*194.205+C297*267.466+D297*133.845+E297*153.484+F297*40+G297*85+H297*0+I297*100+J297*300)/(194.205+267.466+133.845+153.484+0+40+85+100+300)</f>
        <v>12.068402181475667</v>
      </c>
      <c r="AC297" s="46">
        <f>(M297*'RAP TEMPLATE-GAS AVAILABILITY'!O296+N297*'RAP TEMPLATE-GAS AVAILABILITY'!P296+O297*'RAP TEMPLATE-GAS AVAILABILITY'!Q296+P297*'RAP TEMPLATE-GAS AVAILABILITY'!R296)/('RAP TEMPLATE-GAS AVAILABILITY'!O296+'RAP TEMPLATE-GAS AVAILABILITY'!P296+'RAP TEMPLATE-GAS AVAILABILITY'!Q296+'RAP TEMPLATE-GAS AVAILABILITY'!R296)</f>
        <v>11.98623669064748</v>
      </c>
    </row>
    <row r="298" spans="1:29" ht="15.75" x14ac:dyDescent="0.25">
      <c r="A298" s="15">
        <v>49949</v>
      </c>
      <c r="B298" s="17">
        <f>CHOOSE(CONTROL!$C$42, 11.7539, 11.7539) * CHOOSE(CONTROL!$C$21, $C$9, 100%, $E$9)</f>
        <v>11.7539</v>
      </c>
      <c r="C298" s="17">
        <f>CHOOSE(CONTROL!$C$42, 11.7592, 11.7592) * CHOOSE(CONTROL!$C$21, $C$9, 100%, $E$9)</f>
        <v>11.7592</v>
      </c>
      <c r="D298" s="17">
        <f>CHOOSE(CONTROL!$C$42, 12.0137, 12.0137) * CHOOSE(CONTROL!$C$21, $C$9, 100%, $E$9)</f>
        <v>12.0137</v>
      </c>
      <c r="E298" s="17">
        <f>CHOOSE(CONTROL!$C$42, 12.0426, 12.0426) * CHOOSE(CONTROL!$C$21, $C$9, 100%, $E$9)</f>
        <v>12.0426</v>
      </c>
      <c r="F298" s="17">
        <f>CHOOSE(CONTROL!$C$42, 11.7621, 11.7621)*CHOOSE(CONTROL!$C$21, $C$9, 100%, $E$9)</f>
        <v>11.7621</v>
      </c>
      <c r="G298" s="17">
        <f>CHOOSE(CONTROL!$C$42, 11.7784, 11.7784)*CHOOSE(CONTROL!$C$21, $C$9, 100%, $E$9)</f>
        <v>11.7784</v>
      </c>
      <c r="H298" s="17">
        <f>CHOOSE(CONTROL!$C$42, 12.0327, 12.0327) * CHOOSE(CONTROL!$C$21, $C$9, 100%, $E$9)</f>
        <v>12.0327</v>
      </c>
      <c r="I298" s="17">
        <f>CHOOSE(CONTROL!$C$42, 11.8123, 11.8123)* CHOOSE(CONTROL!$C$21, $C$9, 100%, $E$9)</f>
        <v>11.8123</v>
      </c>
      <c r="J298" s="17">
        <f>CHOOSE(CONTROL!$C$42, 11.7547, 11.7547)* CHOOSE(CONTROL!$C$21, $C$9, 100%, $E$9)</f>
        <v>11.7547</v>
      </c>
      <c r="K298" s="53">
        <f>CHOOSE(CONTROL!$C$42, 11.8063, 11.8063) * CHOOSE(CONTROL!$C$21, $C$9, 100%, $E$9)</f>
        <v>11.8063</v>
      </c>
      <c r="L298" s="17">
        <f>CHOOSE(CONTROL!$C$42, 12.6197, 12.6197) * CHOOSE(CONTROL!$C$21, $C$9, 100%, $E$9)</f>
        <v>12.6197</v>
      </c>
      <c r="M298" s="17">
        <f>CHOOSE(CONTROL!$C$42, 11.656, 11.656) * CHOOSE(CONTROL!$C$21, $C$9, 100%, $E$9)</f>
        <v>11.656000000000001</v>
      </c>
      <c r="N298" s="17">
        <f>CHOOSE(CONTROL!$C$42, 11.6722, 11.6722) * CHOOSE(CONTROL!$C$21, $C$9, 100%, $E$9)</f>
        <v>11.6722</v>
      </c>
      <c r="O298" s="17">
        <f>CHOOSE(CONTROL!$C$42, 11.9315, 11.9315) * CHOOSE(CONTROL!$C$21, $C$9, 100%, $E$9)</f>
        <v>11.9315</v>
      </c>
      <c r="P298" s="17">
        <f>CHOOSE(CONTROL!$C$42, 11.7128, 11.7128) * CHOOSE(CONTROL!$C$21, $C$9, 100%, $E$9)</f>
        <v>11.7128</v>
      </c>
      <c r="Q298" s="17">
        <f>CHOOSE(CONTROL!$C$42, 12.5262, 12.5262) * CHOOSE(CONTROL!$C$21, $C$9, 100%, $E$9)</f>
        <v>12.526199999999999</v>
      </c>
      <c r="R298" s="17">
        <f>CHOOSE(CONTROL!$C$42, 13.1445, 13.1445) * CHOOSE(CONTROL!$C$21, $C$9, 100%, $E$9)</f>
        <v>13.144500000000001</v>
      </c>
      <c r="S298" s="17">
        <f>CHOOSE(CONTROL!$C$42, 11.3878, 11.3878) * CHOOSE(CONTROL!$C$21, $C$9, 100%, $E$9)</f>
        <v>11.3878</v>
      </c>
      <c r="T298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298" s="57">
        <f>(1000*CHOOSE(CONTROL!$C$42, 695, 695)*CHOOSE(CONTROL!$C$42, 0.5599, 0.5599)*CHOOSE(CONTROL!$C$42, 31, 31))/1000000</f>
        <v>12.063045499999998</v>
      </c>
      <c r="V298" s="57">
        <f>(1000*CHOOSE(CONTROL!$C$42, 500, 500)*CHOOSE(CONTROL!$C$42, 0.275, 0.275)*CHOOSE(CONTROL!$C$42, 31, 31))/1000000</f>
        <v>4.2625000000000002</v>
      </c>
      <c r="W298" s="57">
        <f>(1000*CHOOSE(CONTROL!$C$42, 0.0916, 0.0916)*CHOOSE(CONTROL!$C$42, 121.5, 121.5)*CHOOSE(CONTROL!$C$42, 31, 31))/1000000</f>
        <v>0.34501139999999997</v>
      </c>
      <c r="X298" s="57">
        <f>(31*0.1790888*145000/1000000)+(31*0.2374*100000/1000000)</f>
        <v>1.5409441560000001</v>
      </c>
      <c r="Y298" s="57"/>
      <c r="Z298" s="17"/>
      <c r="AA298" s="56"/>
      <c r="AB298" s="49">
        <f>(B298*131.881+C298*277.167+D298*79.08+E298*225.872+F298*40+G298*85+H298*0+I298*100+J298*300)/(131.881+277.167+79.08+225.872+0+40+85+100+300)</f>
        <v>11.831150779257465</v>
      </c>
      <c r="AC298" s="46">
        <f>(M298*'RAP TEMPLATE-GAS AVAILABILITY'!O297+N298*'RAP TEMPLATE-GAS AVAILABILITY'!P297+O298*'RAP TEMPLATE-GAS AVAILABILITY'!Q297+P298*'RAP TEMPLATE-GAS AVAILABILITY'!R297)/('RAP TEMPLATE-GAS AVAILABILITY'!O297+'RAP TEMPLATE-GAS AVAILABILITY'!P297+'RAP TEMPLATE-GAS AVAILABILITY'!Q297+'RAP TEMPLATE-GAS AVAILABILITY'!R297)</f>
        <v>11.74520071942446</v>
      </c>
    </row>
    <row r="299" spans="1:29" ht="15.75" x14ac:dyDescent="0.25">
      <c r="A299" s="15">
        <v>49980</v>
      </c>
      <c r="B299" s="17">
        <f>CHOOSE(CONTROL!$C$42, 12.0629, 12.0629) * CHOOSE(CONTROL!$C$21, $C$9, 100%, $E$9)</f>
        <v>12.062900000000001</v>
      </c>
      <c r="C299" s="17">
        <f>CHOOSE(CONTROL!$C$42, 12.0679, 12.0679) * CHOOSE(CONTROL!$C$21, $C$9, 100%, $E$9)</f>
        <v>12.0679</v>
      </c>
      <c r="D299" s="17">
        <f>CHOOSE(CONTROL!$C$42, 12.1906, 12.1906) * CHOOSE(CONTROL!$C$21, $C$9, 100%, $E$9)</f>
        <v>12.1906</v>
      </c>
      <c r="E299" s="17">
        <f>CHOOSE(CONTROL!$C$42, 12.2243, 12.2243) * CHOOSE(CONTROL!$C$21, $C$9, 100%, $E$9)</f>
        <v>12.224299999999999</v>
      </c>
      <c r="F299" s="17">
        <f>CHOOSE(CONTROL!$C$42, 12.0779, 12.0779)*CHOOSE(CONTROL!$C$21, $C$9, 100%, $E$9)</f>
        <v>12.0779</v>
      </c>
      <c r="G299" s="17">
        <f>CHOOSE(CONTROL!$C$42, 12.0945, 12.0945)*CHOOSE(CONTROL!$C$21, $C$9, 100%, $E$9)</f>
        <v>12.0945</v>
      </c>
      <c r="H299" s="17">
        <f>CHOOSE(CONTROL!$C$42, 12.2132, 12.2132) * CHOOSE(CONTROL!$C$21, $C$9, 100%, $E$9)</f>
        <v>12.213200000000001</v>
      </c>
      <c r="I299" s="17">
        <f>CHOOSE(CONTROL!$C$42, 12.1252, 12.1252)* CHOOSE(CONTROL!$C$21, $C$9, 100%, $E$9)</f>
        <v>12.1252</v>
      </c>
      <c r="J299" s="17">
        <f>CHOOSE(CONTROL!$C$42, 12.0705, 12.0705)* CHOOSE(CONTROL!$C$21, $C$9, 100%, $E$9)</f>
        <v>12.070499999999999</v>
      </c>
      <c r="K299" s="53">
        <f>CHOOSE(CONTROL!$C$42, 12.1192, 12.1192) * CHOOSE(CONTROL!$C$21, $C$9, 100%, $E$9)</f>
        <v>12.119199999999999</v>
      </c>
      <c r="L299" s="17">
        <f>CHOOSE(CONTROL!$C$42, 12.8002, 12.8002) * CHOOSE(CONTROL!$C$21, $C$9, 100%, $E$9)</f>
        <v>12.8002</v>
      </c>
      <c r="M299" s="17">
        <f>CHOOSE(CONTROL!$C$42, 11.9689, 11.9689) * CHOOSE(CONTROL!$C$21, $C$9, 100%, $E$9)</f>
        <v>11.9689</v>
      </c>
      <c r="N299" s="17">
        <f>CHOOSE(CONTROL!$C$42, 11.9854, 11.9854) * CHOOSE(CONTROL!$C$21, $C$9, 100%, $E$9)</f>
        <v>11.9854</v>
      </c>
      <c r="O299" s="17">
        <f>CHOOSE(CONTROL!$C$42, 12.1104, 12.1104) * CHOOSE(CONTROL!$C$21, $C$9, 100%, $E$9)</f>
        <v>12.1104</v>
      </c>
      <c r="P299" s="17">
        <f>CHOOSE(CONTROL!$C$42, 12.0229, 12.0229) * CHOOSE(CONTROL!$C$21, $C$9, 100%, $E$9)</f>
        <v>12.0229</v>
      </c>
      <c r="Q299" s="17">
        <f>CHOOSE(CONTROL!$C$42, 12.7051, 12.7051) * CHOOSE(CONTROL!$C$21, $C$9, 100%, $E$9)</f>
        <v>12.7051</v>
      </c>
      <c r="R299" s="17">
        <f>CHOOSE(CONTROL!$C$42, 13.3238, 13.3238) * CHOOSE(CONTROL!$C$21, $C$9, 100%, $E$9)</f>
        <v>13.3238</v>
      </c>
      <c r="S299" s="17">
        <f>CHOOSE(CONTROL!$C$42, 11.6878, 11.6878) * CHOOSE(CONTROL!$C$21, $C$9, 100%, $E$9)</f>
        <v>11.687799999999999</v>
      </c>
      <c r="T299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299" s="57">
        <f>(1000*CHOOSE(CONTROL!$C$42, 695, 695)*CHOOSE(CONTROL!$C$42, 0.5599, 0.5599)*CHOOSE(CONTROL!$C$42, 30, 30))/1000000</f>
        <v>11.673914999999997</v>
      </c>
      <c r="V299" s="57">
        <f>(1000*CHOOSE(CONTROL!$C$42, 500, 500)*CHOOSE(CONTROL!$C$42, 0.275, 0.275)*CHOOSE(CONTROL!$C$42, 30, 30))/1000000</f>
        <v>4.125</v>
      </c>
      <c r="W299" s="57">
        <f>(1000*CHOOSE(CONTROL!$C$42, 0.0916, 0.0916)*CHOOSE(CONTROL!$C$42, 121.5, 121.5)*CHOOSE(CONTROL!$C$42, 30, 30))/1000000</f>
        <v>0.33388200000000001</v>
      </c>
      <c r="X299" s="57">
        <f>(30*0.2374*100000/1000000)</f>
        <v>0.71220000000000006</v>
      </c>
      <c r="Y299" s="57"/>
      <c r="Z299" s="17"/>
      <c r="AA299" s="56"/>
      <c r="AB299" s="49">
        <f>(B299*122.58+C299*297.941+D299*89.177+E299*140.302+F299*40+G299*60+H299*0+I299*100+J299*300)/(122.58+297.941+89.177+140.302+0+40+60+100+300)</f>
        <v>12.103359435391305</v>
      </c>
      <c r="AC299" s="46">
        <f>(M299*'RAP TEMPLATE-GAS AVAILABILITY'!O298+N299*'RAP TEMPLATE-GAS AVAILABILITY'!P298+O299*'RAP TEMPLATE-GAS AVAILABILITY'!Q298+P299*'RAP TEMPLATE-GAS AVAILABILITY'!R298)/('RAP TEMPLATE-GAS AVAILABILITY'!O298+'RAP TEMPLATE-GAS AVAILABILITY'!P298+'RAP TEMPLATE-GAS AVAILABILITY'!Q298+'RAP TEMPLATE-GAS AVAILABILITY'!R298)</f>
        <v>12.041752517985612</v>
      </c>
    </row>
    <row r="300" spans="1:29" ht="15.75" x14ac:dyDescent="0.25">
      <c r="A300" s="15">
        <v>50010</v>
      </c>
      <c r="B300" s="17">
        <f>CHOOSE(CONTROL!$C$42, 12.8846, 12.8846) * CHOOSE(CONTROL!$C$21, $C$9, 100%, $E$9)</f>
        <v>12.884600000000001</v>
      </c>
      <c r="C300" s="17">
        <f>CHOOSE(CONTROL!$C$42, 12.8897, 12.8897) * CHOOSE(CONTROL!$C$21, $C$9, 100%, $E$9)</f>
        <v>12.889699999999999</v>
      </c>
      <c r="D300" s="17">
        <f>CHOOSE(CONTROL!$C$42, 13.0123, 13.0123) * CHOOSE(CONTROL!$C$21, $C$9, 100%, $E$9)</f>
        <v>13.0123</v>
      </c>
      <c r="E300" s="17">
        <f>CHOOSE(CONTROL!$C$42, 13.046, 13.046) * CHOOSE(CONTROL!$C$21, $C$9, 100%, $E$9)</f>
        <v>13.045999999999999</v>
      </c>
      <c r="F300" s="17">
        <f>CHOOSE(CONTROL!$C$42, 12.902, 12.902)*CHOOSE(CONTROL!$C$21, $C$9, 100%, $E$9)</f>
        <v>12.901999999999999</v>
      </c>
      <c r="G300" s="17">
        <f>CHOOSE(CONTROL!$C$42, 12.9193, 12.9193)*CHOOSE(CONTROL!$C$21, $C$9, 100%, $E$9)</f>
        <v>12.9193</v>
      </c>
      <c r="H300" s="17">
        <f>CHOOSE(CONTROL!$C$42, 13.0349, 13.0349) * CHOOSE(CONTROL!$C$21, $C$9, 100%, $E$9)</f>
        <v>13.0349</v>
      </c>
      <c r="I300" s="17">
        <f>CHOOSE(CONTROL!$C$42, 12.9495, 12.9495)* CHOOSE(CONTROL!$C$21, $C$9, 100%, $E$9)</f>
        <v>12.9495</v>
      </c>
      <c r="J300" s="17">
        <f>CHOOSE(CONTROL!$C$42, 12.8946, 12.8946)* CHOOSE(CONTROL!$C$21, $C$9, 100%, $E$9)</f>
        <v>12.894600000000001</v>
      </c>
      <c r="K300" s="53">
        <f>CHOOSE(CONTROL!$C$42, 12.9435, 12.9435) * CHOOSE(CONTROL!$C$21, $C$9, 100%, $E$9)</f>
        <v>12.9435</v>
      </c>
      <c r="L300" s="17">
        <f>CHOOSE(CONTROL!$C$42, 13.6219, 13.6219) * CHOOSE(CONTROL!$C$21, $C$9, 100%, $E$9)</f>
        <v>13.6219</v>
      </c>
      <c r="M300" s="17">
        <f>CHOOSE(CONTROL!$C$42, 12.7856, 12.7856) * CHOOSE(CONTROL!$C$21, $C$9, 100%, $E$9)</f>
        <v>12.785600000000001</v>
      </c>
      <c r="N300" s="17">
        <f>CHOOSE(CONTROL!$C$42, 12.8028, 12.8028) * CHOOSE(CONTROL!$C$21, $C$9, 100%, $E$9)</f>
        <v>12.8028</v>
      </c>
      <c r="O300" s="17">
        <f>CHOOSE(CONTROL!$C$42, 12.9247, 12.9247) * CHOOSE(CONTROL!$C$21, $C$9, 100%, $E$9)</f>
        <v>12.9247</v>
      </c>
      <c r="P300" s="17">
        <f>CHOOSE(CONTROL!$C$42, 12.8397, 12.8397) * CHOOSE(CONTROL!$C$21, $C$9, 100%, $E$9)</f>
        <v>12.839700000000001</v>
      </c>
      <c r="Q300" s="17">
        <f>CHOOSE(CONTROL!$C$42, 13.5194, 13.5194) * CHOOSE(CONTROL!$C$21, $C$9, 100%, $E$9)</f>
        <v>13.519399999999999</v>
      </c>
      <c r="R300" s="17">
        <f>CHOOSE(CONTROL!$C$42, 14.1402, 14.1402) * CHOOSE(CONTROL!$C$21, $C$9, 100%, $E$9)</f>
        <v>14.1402</v>
      </c>
      <c r="S300" s="17">
        <f>CHOOSE(CONTROL!$C$42, 12.4847, 12.4847) * CHOOSE(CONTROL!$C$21, $C$9, 100%, $E$9)</f>
        <v>12.4847</v>
      </c>
      <c r="T300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300" s="57">
        <f>(1000*CHOOSE(CONTROL!$C$42, 695, 695)*CHOOSE(CONTROL!$C$42, 0.5599, 0.5599)*CHOOSE(CONTROL!$C$42, 31, 31))/1000000</f>
        <v>12.063045499999998</v>
      </c>
      <c r="V300" s="57">
        <f>(1000*CHOOSE(CONTROL!$C$42, 500, 500)*CHOOSE(CONTROL!$C$42, 0.275, 0.275)*CHOOSE(CONTROL!$C$42, 31, 31))/1000000</f>
        <v>4.2625000000000002</v>
      </c>
      <c r="W300" s="57">
        <f>(1000*CHOOSE(CONTROL!$C$42, 0.0916, 0.0916)*CHOOSE(CONTROL!$C$42, 121.5, 121.5)*CHOOSE(CONTROL!$C$42, 31, 31))/1000000</f>
        <v>0.34501139999999997</v>
      </c>
      <c r="X300" s="57">
        <f>(31*0.2374*100000/1000000)</f>
        <v>0.73594000000000004</v>
      </c>
      <c r="Y300" s="57"/>
      <c r="Z300" s="17"/>
      <c r="AA300" s="56"/>
      <c r="AB300" s="49">
        <f>(B300*122.58+C300*297.941+D300*89.177+E300*140.302+F300*40+G300*60+H300*0+I300*100+J300*300)/(122.58+297.941+89.177+140.302+0+40+60+100+300)</f>
        <v>12.926182734608696</v>
      </c>
      <c r="AC300" s="46">
        <f>(M300*'RAP TEMPLATE-GAS AVAILABILITY'!O299+N300*'RAP TEMPLATE-GAS AVAILABILITY'!P299+O300*'RAP TEMPLATE-GAS AVAILABILITY'!Q299+P300*'RAP TEMPLATE-GAS AVAILABILITY'!R299)/('RAP TEMPLATE-GAS AVAILABILITY'!O299+'RAP TEMPLATE-GAS AVAILABILITY'!P299+'RAP TEMPLATE-GAS AVAILABILITY'!Q299+'RAP TEMPLATE-GAS AVAILABILITY'!R299)</f>
        <v>12.85741942446043</v>
      </c>
    </row>
    <row r="301" spans="1:29" ht="15.75" x14ac:dyDescent="0.25">
      <c r="A301" s="15">
        <v>50041</v>
      </c>
      <c r="B301" s="17">
        <f>CHOOSE(CONTROL!$C$42, 13.9518, 13.9518) * CHOOSE(CONTROL!$C$21, $C$9, 100%, $E$9)</f>
        <v>13.9518</v>
      </c>
      <c r="C301" s="17">
        <f>CHOOSE(CONTROL!$C$42, 13.9569, 13.9569) * CHOOSE(CONTROL!$C$21, $C$9, 100%, $E$9)</f>
        <v>13.956899999999999</v>
      </c>
      <c r="D301" s="17">
        <f>CHOOSE(CONTROL!$C$42, 14.0744, 14.0744) * CHOOSE(CONTROL!$C$21, $C$9, 100%, $E$9)</f>
        <v>14.074400000000001</v>
      </c>
      <c r="E301" s="17">
        <f>CHOOSE(CONTROL!$C$42, 14.1081, 14.1081) * CHOOSE(CONTROL!$C$21, $C$9, 100%, $E$9)</f>
        <v>14.1081</v>
      </c>
      <c r="F301" s="17">
        <f>CHOOSE(CONTROL!$C$42, 13.9655, 13.9655)*CHOOSE(CONTROL!$C$21, $C$9, 100%, $E$9)</f>
        <v>13.9655</v>
      </c>
      <c r="G301" s="17">
        <f>CHOOSE(CONTROL!$C$42, 13.9818, 13.9818)*CHOOSE(CONTROL!$C$21, $C$9, 100%, $E$9)</f>
        <v>13.9818</v>
      </c>
      <c r="H301" s="17">
        <f>CHOOSE(CONTROL!$C$42, 14.097, 14.097) * CHOOSE(CONTROL!$C$21, $C$9, 100%, $E$9)</f>
        <v>14.097</v>
      </c>
      <c r="I301" s="17">
        <f>CHOOSE(CONTROL!$C$42, 14.0185, 14.0185)* CHOOSE(CONTROL!$C$21, $C$9, 100%, $E$9)</f>
        <v>14.0185</v>
      </c>
      <c r="J301" s="17">
        <f>CHOOSE(CONTROL!$C$42, 13.9581, 13.9581)* CHOOSE(CONTROL!$C$21, $C$9, 100%, $E$9)</f>
        <v>13.9581</v>
      </c>
      <c r="K301" s="53">
        <f>CHOOSE(CONTROL!$C$42, 14.0125, 14.0125) * CHOOSE(CONTROL!$C$21, $C$9, 100%, $E$9)</f>
        <v>14.012499999999999</v>
      </c>
      <c r="L301" s="17">
        <f>CHOOSE(CONTROL!$C$42, 14.684, 14.684) * CHOOSE(CONTROL!$C$21, $C$9, 100%, $E$9)</f>
        <v>14.683999999999999</v>
      </c>
      <c r="M301" s="17">
        <f>CHOOSE(CONTROL!$C$42, 13.8395, 13.8395) * CHOOSE(CONTROL!$C$21, $C$9, 100%, $E$9)</f>
        <v>13.839499999999999</v>
      </c>
      <c r="N301" s="17">
        <f>CHOOSE(CONTROL!$C$42, 13.8557, 13.8557) * CHOOSE(CONTROL!$C$21, $C$9, 100%, $E$9)</f>
        <v>13.855700000000001</v>
      </c>
      <c r="O301" s="17">
        <f>CHOOSE(CONTROL!$C$42, 13.9772, 13.9772) * CHOOSE(CONTROL!$C$21, $C$9, 100%, $E$9)</f>
        <v>13.9772</v>
      </c>
      <c r="P301" s="17">
        <f>CHOOSE(CONTROL!$C$42, 13.8991, 13.8991) * CHOOSE(CONTROL!$C$21, $C$9, 100%, $E$9)</f>
        <v>13.899100000000001</v>
      </c>
      <c r="Q301" s="17">
        <f>CHOOSE(CONTROL!$C$42, 14.5719, 14.5719) * CHOOSE(CONTROL!$C$21, $C$9, 100%, $E$9)</f>
        <v>14.571899999999999</v>
      </c>
      <c r="R301" s="17">
        <f>CHOOSE(CONTROL!$C$42, 15.1954, 15.1954) * CHOOSE(CONTROL!$C$21, $C$9, 100%, $E$9)</f>
        <v>15.195399999999999</v>
      </c>
      <c r="S301" s="17">
        <f>CHOOSE(CONTROL!$C$42, 13.5196, 13.5196) * CHOOSE(CONTROL!$C$21, $C$9, 100%, $E$9)</f>
        <v>13.519600000000001</v>
      </c>
      <c r="T301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301" s="57">
        <f>(1000*CHOOSE(CONTROL!$C$42, 695, 695)*CHOOSE(CONTROL!$C$42, 0.5599, 0.5599)*CHOOSE(CONTROL!$C$42, 31, 31))/1000000</f>
        <v>12.063045499999998</v>
      </c>
      <c r="V301" s="57">
        <f>(1000*CHOOSE(CONTROL!$C$42, 500, 500)*CHOOSE(CONTROL!$C$42, 0.275, 0.275)*CHOOSE(CONTROL!$C$42, 31, 31))/1000000</f>
        <v>4.2625000000000002</v>
      </c>
      <c r="W301" s="57">
        <f>(1000*CHOOSE(CONTROL!$C$42, 0.0916, 0.0916)*CHOOSE(CONTROL!$C$42, 121.5, 121.5)*CHOOSE(CONTROL!$C$42, 31, 31))/1000000</f>
        <v>0.34501139999999997</v>
      </c>
      <c r="X301" s="57">
        <f>(31*0.2374*100000/1000000)</f>
        <v>0.73594000000000004</v>
      </c>
      <c r="Y301" s="57"/>
      <c r="Z301" s="17"/>
      <c r="AA301" s="56"/>
      <c r="AB301" s="49">
        <f>(B301*122.58+C301*297.941+D301*89.177+E301*140.302+F301*40+G301*60+H301*0+I301*100+J301*300)/(122.58+297.941+89.177+140.302+0+40+60+100+300)</f>
        <v>13.991182436434782</v>
      </c>
      <c r="AC301" s="46">
        <f>(M301*'RAP TEMPLATE-GAS AVAILABILITY'!O300+N301*'RAP TEMPLATE-GAS AVAILABILITY'!P300+O301*'RAP TEMPLATE-GAS AVAILABILITY'!Q300+P301*'RAP TEMPLATE-GAS AVAILABILITY'!R300)/('RAP TEMPLATE-GAS AVAILABILITY'!O300+'RAP TEMPLATE-GAS AVAILABILITY'!P300+'RAP TEMPLATE-GAS AVAILABILITY'!Q300+'RAP TEMPLATE-GAS AVAILABILITY'!R300)</f>
        <v>13.91141870503597</v>
      </c>
    </row>
    <row r="302" spans="1:29" ht="15.75" x14ac:dyDescent="0.25">
      <c r="A302" s="15">
        <v>50072</v>
      </c>
      <c r="B302" s="17">
        <f>CHOOSE(CONTROL!$C$42, 14.2, 14.2) * CHOOSE(CONTROL!$C$21, $C$9, 100%, $E$9)</f>
        <v>14.2</v>
      </c>
      <c r="C302" s="17">
        <f>CHOOSE(CONTROL!$C$42, 14.2051, 14.2051) * CHOOSE(CONTROL!$C$21, $C$9, 100%, $E$9)</f>
        <v>14.2051</v>
      </c>
      <c r="D302" s="17">
        <f>CHOOSE(CONTROL!$C$42, 14.3226, 14.3226) * CHOOSE(CONTROL!$C$21, $C$9, 100%, $E$9)</f>
        <v>14.3226</v>
      </c>
      <c r="E302" s="17">
        <f>CHOOSE(CONTROL!$C$42, 14.3563, 14.3563) * CHOOSE(CONTROL!$C$21, $C$9, 100%, $E$9)</f>
        <v>14.356299999999999</v>
      </c>
      <c r="F302" s="17">
        <f>CHOOSE(CONTROL!$C$42, 14.2137, 14.2137)*CHOOSE(CONTROL!$C$21, $C$9, 100%, $E$9)</f>
        <v>14.213699999999999</v>
      </c>
      <c r="G302" s="17">
        <f>CHOOSE(CONTROL!$C$42, 14.23, 14.23)*CHOOSE(CONTROL!$C$21, $C$9, 100%, $E$9)</f>
        <v>14.23</v>
      </c>
      <c r="H302" s="17">
        <f>CHOOSE(CONTROL!$C$42, 14.3452, 14.3452) * CHOOSE(CONTROL!$C$21, $C$9, 100%, $E$9)</f>
        <v>14.3452</v>
      </c>
      <c r="I302" s="17">
        <f>CHOOSE(CONTROL!$C$42, 14.2675, 14.2675)* CHOOSE(CONTROL!$C$21, $C$9, 100%, $E$9)</f>
        <v>14.2675</v>
      </c>
      <c r="J302" s="17">
        <f>CHOOSE(CONTROL!$C$42, 14.2063, 14.2063)* CHOOSE(CONTROL!$C$21, $C$9, 100%, $E$9)</f>
        <v>14.206300000000001</v>
      </c>
      <c r="K302" s="53">
        <f>CHOOSE(CONTROL!$C$42, 14.2614, 14.2614) * CHOOSE(CONTROL!$C$21, $C$9, 100%, $E$9)</f>
        <v>14.2614</v>
      </c>
      <c r="L302" s="17">
        <f>CHOOSE(CONTROL!$C$42, 14.9322, 14.9322) * CHOOSE(CONTROL!$C$21, $C$9, 100%, $E$9)</f>
        <v>14.9322</v>
      </c>
      <c r="M302" s="17">
        <f>CHOOSE(CONTROL!$C$42, 14.0855, 14.0855) * CHOOSE(CONTROL!$C$21, $C$9, 100%, $E$9)</f>
        <v>14.0855</v>
      </c>
      <c r="N302" s="17">
        <f>CHOOSE(CONTROL!$C$42, 14.1017, 14.1017) * CHOOSE(CONTROL!$C$21, $C$9, 100%, $E$9)</f>
        <v>14.101699999999999</v>
      </c>
      <c r="O302" s="17">
        <f>CHOOSE(CONTROL!$C$42, 14.2232, 14.2232) * CHOOSE(CONTROL!$C$21, $C$9, 100%, $E$9)</f>
        <v>14.2232</v>
      </c>
      <c r="P302" s="17">
        <f>CHOOSE(CONTROL!$C$42, 14.1458, 14.1458) * CHOOSE(CONTROL!$C$21, $C$9, 100%, $E$9)</f>
        <v>14.145799999999999</v>
      </c>
      <c r="Q302" s="17">
        <f>CHOOSE(CONTROL!$C$42, 14.8179, 14.8179) * CHOOSE(CONTROL!$C$21, $C$9, 100%, $E$9)</f>
        <v>14.8179</v>
      </c>
      <c r="R302" s="17">
        <f>CHOOSE(CONTROL!$C$42, 15.4419, 15.4419) * CHOOSE(CONTROL!$C$21, $C$9, 100%, $E$9)</f>
        <v>15.4419</v>
      </c>
      <c r="S302" s="17">
        <f>CHOOSE(CONTROL!$C$42, 13.7602, 13.7602) * CHOOSE(CONTROL!$C$21, $C$9, 100%, $E$9)</f>
        <v>13.760199999999999</v>
      </c>
      <c r="T302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302" s="57">
        <f>(1000*CHOOSE(CONTROL!$C$42, 695, 695)*CHOOSE(CONTROL!$C$42, 0.5599, 0.5599)*CHOOSE(CONTROL!$C$42, 28, 28))/1000000</f>
        <v>10.895653999999999</v>
      </c>
      <c r="V302" s="57">
        <f>(1000*CHOOSE(CONTROL!$C$42, 500, 500)*CHOOSE(CONTROL!$C$42, 0.275, 0.275)*CHOOSE(CONTROL!$C$42, 28, 28))/1000000</f>
        <v>3.85</v>
      </c>
      <c r="W302" s="57">
        <f>(1000*CHOOSE(CONTROL!$C$42, 0.0916, 0.0916)*CHOOSE(CONTROL!$C$42, 121.5, 121.5)*CHOOSE(CONTROL!$C$42, 28, 28))/1000000</f>
        <v>0.31162319999999999</v>
      </c>
      <c r="X302" s="57">
        <f>(28*0.2374*100000/1000000)</f>
        <v>0.66471999999999998</v>
      </c>
      <c r="Y302" s="57"/>
      <c r="Z302" s="17"/>
      <c r="AA302" s="56"/>
      <c r="AB302" s="49">
        <f>(B302*122.58+C302*297.941+D302*89.177+E302*140.302+F302*40+G302*60+H302*0+I302*100+J302*300)/(122.58+297.941+89.177+140.302+0+40+60+100+300)</f>
        <v>14.239452001652174</v>
      </c>
      <c r="AC302" s="46">
        <f>(M302*'RAP TEMPLATE-GAS AVAILABILITY'!O301+N302*'RAP TEMPLATE-GAS AVAILABILITY'!P301+O302*'RAP TEMPLATE-GAS AVAILABILITY'!Q301+P302*'RAP TEMPLATE-GAS AVAILABILITY'!R301)/('RAP TEMPLATE-GAS AVAILABILITY'!O301+'RAP TEMPLATE-GAS AVAILABILITY'!P301+'RAP TEMPLATE-GAS AVAILABILITY'!Q301+'RAP TEMPLATE-GAS AVAILABILITY'!R301)</f>
        <v>14.157519424460432</v>
      </c>
    </row>
    <row r="303" spans="1:29" ht="15.75" x14ac:dyDescent="0.25">
      <c r="A303" s="15">
        <v>50100</v>
      </c>
      <c r="B303" s="17">
        <f>CHOOSE(CONTROL!$C$42, 13.7972, 13.7972) * CHOOSE(CONTROL!$C$21, $C$9, 100%, $E$9)</f>
        <v>13.7972</v>
      </c>
      <c r="C303" s="17">
        <f>CHOOSE(CONTROL!$C$42, 13.8023, 13.8023) * CHOOSE(CONTROL!$C$21, $C$9, 100%, $E$9)</f>
        <v>13.802300000000001</v>
      </c>
      <c r="D303" s="17">
        <f>CHOOSE(CONTROL!$C$42, 13.9197, 13.9197) * CHOOSE(CONTROL!$C$21, $C$9, 100%, $E$9)</f>
        <v>13.919700000000001</v>
      </c>
      <c r="E303" s="17">
        <f>CHOOSE(CONTROL!$C$42, 13.9535, 13.9535) * CHOOSE(CONTROL!$C$21, $C$9, 100%, $E$9)</f>
        <v>13.9535</v>
      </c>
      <c r="F303" s="17">
        <f>CHOOSE(CONTROL!$C$42, 13.8102, 13.8102)*CHOOSE(CONTROL!$C$21, $C$9, 100%, $E$9)</f>
        <v>13.8102</v>
      </c>
      <c r="G303" s="17">
        <f>CHOOSE(CONTROL!$C$42, 13.8263, 13.8263)*CHOOSE(CONTROL!$C$21, $C$9, 100%, $E$9)</f>
        <v>13.8263</v>
      </c>
      <c r="H303" s="17">
        <f>CHOOSE(CONTROL!$C$42, 13.9423, 13.9423) * CHOOSE(CONTROL!$C$21, $C$9, 100%, $E$9)</f>
        <v>13.942299999999999</v>
      </c>
      <c r="I303" s="17">
        <f>CHOOSE(CONTROL!$C$42, 13.8634, 13.8634)* CHOOSE(CONTROL!$C$21, $C$9, 100%, $E$9)</f>
        <v>13.8634</v>
      </c>
      <c r="J303" s="17">
        <f>CHOOSE(CONTROL!$C$42, 13.8028, 13.8028)* CHOOSE(CONTROL!$C$21, $C$9, 100%, $E$9)</f>
        <v>13.8028</v>
      </c>
      <c r="K303" s="53">
        <f>CHOOSE(CONTROL!$C$42, 13.8573, 13.8573) * CHOOSE(CONTROL!$C$21, $C$9, 100%, $E$9)</f>
        <v>13.8573</v>
      </c>
      <c r="L303" s="17">
        <f>CHOOSE(CONTROL!$C$42, 14.5293, 14.5293) * CHOOSE(CONTROL!$C$21, $C$9, 100%, $E$9)</f>
        <v>14.529299999999999</v>
      </c>
      <c r="M303" s="17">
        <f>CHOOSE(CONTROL!$C$42, 13.6856, 13.6856) * CHOOSE(CONTROL!$C$21, $C$9, 100%, $E$9)</f>
        <v>13.685600000000001</v>
      </c>
      <c r="N303" s="17">
        <f>CHOOSE(CONTROL!$C$42, 13.7016, 13.7016) * CHOOSE(CONTROL!$C$21, $C$9, 100%, $E$9)</f>
        <v>13.701599999999999</v>
      </c>
      <c r="O303" s="17">
        <f>CHOOSE(CONTROL!$C$42, 13.824, 13.824) * CHOOSE(CONTROL!$C$21, $C$9, 100%, $E$9)</f>
        <v>13.824</v>
      </c>
      <c r="P303" s="17">
        <f>CHOOSE(CONTROL!$C$42, 13.7454, 13.7454) * CHOOSE(CONTROL!$C$21, $C$9, 100%, $E$9)</f>
        <v>13.7454</v>
      </c>
      <c r="Q303" s="17">
        <f>CHOOSE(CONTROL!$C$42, 14.4187, 14.4187) * CHOOSE(CONTROL!$C$21, $C$9, 100%, $E$9)</f>
        <v>14.418699999999999</v>
      </c>
      <c r="R303" s="17">
        <f>CHOOSE(CONTROL!$C$42, 15.0417, 15.0417) * CHOOSE(CONTROL!$C$21, $C$9, 100%, $E$9)</f>
        <v>15.041700000000001</v>
      </c>
      <c r="S303" s="17">
        <f>CHOOSE(CONTROL!$C$42, 13.3696, 13.3696) * CHOOSE(CONTROL!$C$21, $C$9, 100%, $E$9)</f>
        <v>13.3696</v>
      </c>
      <c r="T303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303" s="57">
        <f>(1000*CHOOSE(CONTROL!$C$42, 695, 695)*CHOOSE(CONTROL!$C$42, 0.5599, 0.5599)*CHOOSE(CONTROL!$C$42, 31, 31))/1000000</f>
        <v>12.063045499999998</v>
      </c>
      <c r="V303" s="57">
        <f>(1000*CHOOSE(CONTROL!$C$42, 500, 500)*CHOOSE(CONTROL!$C$42, 0.275, 0.275)*CHOOSE(CONTROL!$C$42, 31, 31))/1000000</f>
        <v>4.2625000000000002</v>
      </c>
      <c r="W303" s="57">
        <f>(1000*CHOOSE(CONTROL!$C$42, 0.0916, 0.0916)*CHOOSE(CONTROL!$C$42, 121.5, 121.5)*CHOOSE(CONTROL!$C$42, 31, 31))/1000000</f>
        <v>0.34501139999999997</v>
      </c>
      <c r="X303" s="57">
        <f>(31*0.2374*100000/1000000)</f>
        <v>0.73594000000000004</v>
      </c>
      <c r="Y303" s="57"/>
      <c r="Z303" s="17"/>
      <c r="AA303" s="56"/>
      <c r="AB303" s="49">
        <f>(B303*122.58+C303*297.941+D303*89.177+E303*140.302+F303*40+G303*60+H303*0+I303*100+J303*300)/(122.58+297.941+89.177+140.302+0+40+60+100+300)</f>
        <v>13.836277290608695</v>
      </c>
      <c r="AC303" s="46">
        <f>(M303*'RAP TEMPLATE-GAS AVAILABILITY'!O302+N303*'RAP TEMPLATE-GAS AVAILABILITY'!P302+O303*'RAP TEMPLATE-GAS AVAILABILITY'!Q302+P303*'RAP TEMPLATE-GAS AVAILABILITY'!R302)/('RAP TEMPLATE-GAS AVAILABILITY'!O302+'RAP TEMPLATE-GAS AVAILABILITY'!P302+'RAP TEMPLATE-GAS AVAILABILITY'!Q302+'RAP TEMPLATE-GAS AVAILABILITY'!R302)</f>
        <v>13.757853237410073</v>
      </c>
    </row>
    <row r="304" spans="1:29" ht="15.75" x14ac:dyDescent="0.25">
      <c r="A304" s="15">
        <v>50131</v>
      </c>
      <c r="B304" s="17">
        <f>CHOOSE(CONTROL!$C$42, 13.7569, 13.7569) * CHOOSE(CONTROL!$C$21, $C$9, 100%, $E$9)</f>
        <v>13.7569</v>
      </c>
      <c r="C304" s="17">
        <f>CHOOSE(CONTROL!$C$42, 13.7614, 13.7614) * CHOOSE(CONTROL!$C$21, $C$9, 100%, $E$9)</f>
        <v>13.7614</v>
      </c>
      <c r="D304" s="17">
        <f>CHOOSE(CONTROL!$C$42, 14.0141, 14.0141) * CHOOSE(CONTROL!$C$21, $C$9, 100%, $E$9)</f>
        <v>14.014099999999999</v>
      </c>
      <c r="E304" s="17">
        <f>CHOOSE(CONTROL!$C$42, 14.0459, 14.0459) * CHOOSE(CONTROL!$C$21, $C$9, 100%, $E$9)</f>
        <v>14.0459</v>
      </c>
      <c r="F304" s="17">
        <f>CHOOSE(CONTROL!$C$42, 13.7628, 13.7628)*CHOOSE(CONTROL!$C$21, $C$9, 100%, $E$9)</f>
        <v>13.7628</v>
      </c>
      <c r="G304" s="17">
        <f>CHOOSE(CONTROL!$C$42, 13.7787, 13.7787)*CHOOSE(CONTROL!$C$21, $C$9, 100%, $E$9)</f>
        <v>13.778700000000001</v>
      </c>
      <c r="H304" s="17">
        <f>CHOOSE(CONTROL!$C$42, 14.0354, 14.0354) * CHOOSE(CONTROL!$C$21, $C$9, 100%, $E$9)</f>
        <v>14.035399999999999</v>
      </c>
      <c r="I304" s="17">
        <f>CHOOSE(CONTROL!$C$42, 13.8212, 13.8212)* CHOOSE(CONTROL!$C$21, $C$9, 100%, $E$9)</f>
        <v>13.821199999999999</v>
      </c>
      <c r="J304" s="17">
        <f>CHOOSE(CONTROL!$C$42, 13.7554, 13.7554)* CHOOSE(CONTROL!$C$21, $C$9, 100%, $E$9)</f>
        <v>13.7554</v>
      </c>
      <c r="K304" s="53">
        <f>CHOOSE(CONTROL!$C$42, 13.8151, 13.8151) * CHOOSE(CONTROL!$C$21, $C$9, 100%, $E$9)</f>
        <v>13.815099999999999</v>
      </c>
      <c r="L304" s="17">
        <f>CHOOSE(CONTROL!$C$42, 14.6224, 14.6224) * CHOOSE(CONTROL!$C$21, $C$9, 100%, $E$9)</f>
        <v>14.622400000000001</v>
      </c>
      <c r="M304" s="17">
        <f>CHOOSE(CONTROL!$C$42, 13.6387, 13.6387) * CHOOSE(CONTROL!$C$21, $C$9, 100%, $E$9)</f>
        <v>13.6387</v>
      </c>
      <c r="N304" s="17">
        <f>CHOOSE(CONTROL!$C$42, 13.6544, 13.6544) * CHOOSE(CONTROL!$C$21, $C$9, 100%, $E$9)</f>
        <v>13.654400000000001</v>
      </c>
      <c r="O304" s="17">
        <f>CHOOSE(CONTROL!$C$42, 13.9161, 13.9161) * CHOOSE(CONTROL!$C$21, $C$9, 100%, $E$9)</f>
        <v>13.9161</v>
      </c>
      <c r="P304" s="17">
        <f>CHOOSE(CONTROL!$C$42, 13.7035, 13.7035) * CHOOSE(CONTROL!$C$21, $C$9, 100%, $E$9)</f>
        <v>13.7035</v>
      </c>
      <c r="Q304" s="17">
        <f>CHOOSE(CONTROL!$C$42, 14.5108, 14.5108) * CHOOSE(CONTROL!$C$21, $C$9, 100%, $E$9)</f>
        <v>14.5108</v>
      </c>
      <c r="R304" s="17">
        <f>CHOOSE(CONTROL!$C$42, 15.1341, 15.1341) * CHOOSE(CONTROL!$C$21, $C$9, 100%, $E$9)</f>
        <v>15.1341</v>
      </c>
      <c r="S304" s="17">
        <f>CHOOSE(CONTROL!$C$42, 13.3298, 13.3298) * CHOOSE(CONTROL!$C$21, $C$9, 100%, $E$9)</f>
        <v>13.329800000000001</v>
      </c>
      <c r="T304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304" s="57">
        <f>(1000*CHOOSE(CONTROL!$C$42, 695, 695)*CHOOSE(CONTROL!$C$42, 0.5599, 0.5599)*CHOOSE(CONTROL!$C$42, 30, 30))/1000000</f>
        <v>11.673914999999997</v>
      </c>
      <c r="V304" s="57">
        <f>(1000*CHOOSE(CONTROL!$C$42, 500, 500)*CHOOSE(CONTROL!$C$42, 0.275, 0.275)*CHOOSE(CONTROL!$C$42, 30, 30))/1000000</f>
        <v>4.125</v>
      </c>
      <c r="W304" s="57">
        <f>(1000*CHOOSE(CONTROL!$C$42, 0.0916, 0.0916)*CHOOSE(CONTROL!$C$42, 121.5, 121.5)*CHOOSE(CONTROL!$C$42, 30, 30))/1000000</f>
        <v>0.33388200000000001</v>
      </c>
      <c r="X304" s="57">
        <f>(30*0.1790888*145000/1000000)+(30*0.2374*100000/1000000)</f>
        <v>1.4912362799999999</v>
      </c>
      <c r="Y304" s="57"/>
      <c r="Z304" s="17"/>
      <c r="AA304" s="56"/>
      <c r="AB304" s="49">
        <f>(B304*141.293+C304*267.993+D304*115.016+E304*189.698+F304*40+G304*85+H304*0+I304*100+J304*300)/(141.293+267.993+115.016+189.698+0+40+85+100+300)</f>
        <v>13.832509205569009</v>
      </c>
      <c r="AC304" s="46">
        <f>(M304*'RAP TEMPLATE-GAS AVAILABILITY'!O303+N304*'RAP TEMPLATE-GAS AVAILABILITY'!P303+O304*'RAP TEMPLATE-GAS AVAILABILITY'!Q303+P304*'RAP TEMPLATE-GAS AVAILABILITY'!R303)/('RAP TEMPLATE-GAS AVAILABILITY'!O303+'RAP TEMPLATE-GAS AVAILABILITY'!P303+'RAP TEMPLATE-GAS AVAILABILITY'!Q303+'RAP TEMPLATE-GAS AVAILABILITY'!R303)</f>
        <v>13.729469784172661</v>
      </c>
    </row>
    <row r="305" spans="1:29" ht="15.75" x14ac:dyDescent="0.25">
      <c r="A305" s="15">
        <v>50161</v>
      </c>
      <c r="B305" s="17">
        <f>CHOOSE(CONTROL!$C$42, 13.8796, 13.8796) * CHOOSE(CONTROL!$C$21, $C$9, 100%, $E$9)</f>
        <v>13.8796</v>
      </c>
      <c r="C305" s="17">
        <f>CHOOSE(CONTROL!$C$42, 13.8875, 13.8875) * CHOOSE(CONTROL!$C$21, $C$9, 100%, $E$9)</f>
        <v>13.887499999999999</v>
      </c>
      <c r="D305" s="17">
        <f>CHOOSE(CONTROL!$C$42, 14.1372, 14.1372) * CHOOSE(CONTROL!$C$21, $C$9, 100%, $E$9)</f>
        <v>14.1372</v>
      </c>
      <c r="E305" s="17">
        <f>CHOOSE(CONTROL!$C$42, 14.1683, 14.1683) * CHOOSE(CONTROL!$C$21, $C$9, 100%, $E$9)</f>
        <v>14.1683</v>
      </c>
      <c r="F305" s="17">
        <f>CHOOSE(CONTROL!$C$42, 13.8844, 13.8844)*CHOOSE(CONTROL!$C$21, $C$9, 100%, $E$9)</f>
        <v>13.884399999999999</v>
      </c>
      <c r="G305" s="17">
        <f>CHOOSE(CONTROL!$C$42, 13.9005, 13.9005)*CHOOSE(CONTROL!$C$21, $C$9, 100%, $E$9)</f>
        <v>13.900499999999999</v>
      </c>
      <c r="H305" s="17">
        <f>CHOOSE(CONTROL!$C$42, 14.1567, 14.1567) * CHOOSE(CONTROL!$C$21, $C$9, 100%, $E$9)</f>
        <v>14.156700000000001</v>
      </c>
      <c r="I305" s="17">
        <f>CHOOSE(CONTROL!$C$42, 13.9429, 13.9429)* CHOOSE(CONTROL!$C$21, $C$9, 100%, $E$9)</f>
        <v>13.9429</v>
      </c>
      <c r="J305" s="17">
        <f>CHOOSE(CONTROL!$C$42, 13.877, 13.877)* CHOOSE(CONTROL!$C$21, $C$9, 100%, $E$9)</f>
        <v>13.877000000000001</v>
      </c>
      <c r="K305" s="53">
        <f>CHOOSE(CONTROL!$C$42, 13.9368, 13.9368) * CHOOSE(CONTROL!$C$21, $C$9, 100%, $E$9)</f>
        <v>13.9368</v>
      </c>
      <c r="L305" s="17">
        <f>CHOOSE(CONTROL!$C$42, 14.7437, 14.7437) * CHOOSE(CONTROL!$C$21, $C$9, 100%, $E$9)</f>
        <v>14.7437</v>
      </c>
      <c r="M305" s="17">
        <f>CHOOSE(CONTROL!$C$42, 13.7592, 13.7592) * CHOOSE(CONTROL!$C$21, $C$9, 100%, $E$9)</f>
        <v>13.7592</v>
      </c>
      <c r="N305" s="17">
        <f>CHOOSE(CONTROL!$C$42, 13.7752, 13.7752) * CHOOSE(CONTROL!$C$21, $C$9, 100%, $E$9)</f>
        <v>13.7752</v>
      </c>
      <c r="O305" s="17">
        <f>CHOOSE(CONTROL!$C$42, 14.0364, 14.0364) * CHOOSE(CONTROL!$C$21, $C$9, 100%, $E$9)</f>
        <v>14.0364</v>
      </c>
      <c r="P305" s="17">
        <f>CHOOSE(CONTROL!$C$42, 13.8241, 13.8241) * CHOOSE(CONTROL!$C$21, $C$9, 100%, $E$9)</f>
        <v>13.8241</v>
      </c>
      <c r="Q305" s="17">
        <f>CHOOSE(CONTROL!$C$42, 14.6311, 14.6311) * CHOOSE(CONTROL!$C$21, $C$9, 100%, $E$9)</f>
        <v>14.6311</v>
      </c>
      <c r="R305" s="17">
        <f>CHOOSE(CONTROL!$C$42, 15.2546, 15.2546) * CHOOSE(CONTROL!$C$21, $C$9, 100%, $E$9)</f>
        <v>15.2546</v>
      </c>
      <c r="S305" s="17">
        <f>CHOOSE(CONTROL!$C$42, 13.4474, 13.4474) * CHOOSE(CONTROL!$C$21, $C$9, 100%, $E$9)</f>
        <v>13.4474</v>
      </c>
      <c r="T305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305" s="57">
        <f>(1000*CHOOSE(CONTROL!$C$42, 695, 695)*CHOOSE(CONTROL!$C$42, 0.5599, 0.5599)*CHOOSE(CONTROL!$C$42, 31, 31))/1000000</f>
        <v>12.063045499999998</v>
      </c>
      <c r="V305" s="57">
        <f>(1000*CHOOSE(CONTROL!$C$42, 500, 500)*CHOOSE(CONTROL!$C$42, 0.275, 0.275)*CHOOSE(CONTROL!$C$42, 31, 31))/1000000</f>
        <v>4.2625000000000002</v>
      </c>
      <c r="W305" s="57">
        <f>(1000*CHOOSE(CONTROL!$C$42, 0.0916, 0.0916)*CHOOSE(CONTROL!$C$42, 121.5, 121.5)*CHOOSE(CONTROL!$C$42, 31, 31))/1000000</f>
        <v>0.34501139999999997</v>
      </c>
      <c r="X305" s="57">
        <f>(31*0.1790888*145000/1000000)+(31*0.2374*100000/1000000)</f>
        <v>1.5409441560000001</v>
      </c>
      <c r="Y305" s="57"/>
      <c r="Z305" s="17"/>
      <c r="AA305" s="56"/>
      <c r="AB305" s="49">
        <f>(B305*194.205+C305*267.466+D305*133.845+E305*153.484+F305*40+G305*85+H305*0+I305*100+J305*300)/(194.205+267.466+133.845+153.484+0+40+85+100+300)</f>
        <v>13.949004069230771</v>
      </c>
      <c r="AC305" s="46">
        <f>(M305*'RAP TEMPLATE-GAS AVAILABILITY'!O304+N305*'RAP TEMPLATE-GAS AVAILABILITY'!P304+O305*'RAP TEMPLATE-GAS AVAILABILITY'!Q304+P305*'RAP TEMPLATE-GAS AVAILABILITY'!R304)/('RAP TEMPLATE-GAS AVAILABILITY'!O304+'RAP TEMPLATE-GAS AVAILABILITY'!P304+'RAP TEMPLATE-GAS AVAILABILITY'!Q304+'RAP TEMPLATE-GAS AVAILABILITY'!R304)</f>
        <v>13.849997122302158</v>
      </c>
    </row>
    <row r="306" spans="1:29" ht="15.75" x14ac:dyDescent="0.25">
      <c r="A306" s="15">
        <v>50192</v>
      </c>
      <c r="B306" s="17">
        <f>CHOOSE(CONTROL!$C$42, 14.2729, 14.2729) * CHOOSE(CONTROL!$C$21, $C$9, 100%, $E$9)</f>
        <v>14.2729</v>
      </c>
      <c r="C306" s="17">
        <f>CHOOSE(CONTROL!$C$42, 14.2809, 14.2809) * CHOOSE(CONTROL!$C$21, $C$9, 100%, $E$9)</f>
        <v>14.280900000000001</v>
      </c>
      <c r="D306" s="17">
        <f>CHOOSE(CONTROL!$C$42, 14.5305, 14.5305) * CHOOSE(CONTROL!$C$21, $C$9, 100%, $E$9)</f>
        <v>14.5305</v>
      </c>
      <c r="E306" s="17">
        <f>CHOOSE(CONTROL!$C$42, 14.5617, 14.5617) * CHOOSE(CONTROL!$C$21, $C$9, 100%, $E$9)</f>
        <v>14.5617</v>
      </c>
      <c r="F306" s="17">
        <f>CHOOSE(CONTROL!$C$42, 14.2781, 14.2781)*CHOOSE(CONTROL!$C$21, $C$9, 100%, $E$9)</f>
        <v>14.2781</v>
      </c>
      <c r="G306" s="17">
        <f>CHOOSE(CONTROL!$C$42, 14.2943, 14.2943)*CHOOSE(CONTROL!$C$21, $C$9, 100%, $E$9)</f>
        <v>14.2943</v>
      </c>
      <c r="H306" s="17">
        <f>CHOOSE(CONTROL!$C$42, 14.55, 14.55) * CHOOSE(CONTROL!$C$21, $C$9, 100%, $E$9)</f>
        <v>14.55</v>
      </c>
      <c r="I306" s="17">
        <f>CHOOSE(CONTROL!$C$42, 14.3374, 14.3374)* CHOOSE(CONTROL!$C$21, $C$9, 100%, $E$9)</f>
        <v>14.337400000000001</v>
      </c>
      <c r="J306" s="17">
        <f>CHOOSE(CONTROL!$C$42, 14.2707, 14.2707)* CHOOSE(CONTROL!$C$21, $C$9, 100%, $E$9)</f>
        <v>14.2707</v>
      </c>
      <c r="K306" s="53">
        <f>CHOOSE(CONTROL!$C$42, 14.3314, 14.3314) * CHOOSE(CONTROL!$C$21, $C$9, 100%, $E$9)</f>
        <v>14.3314</v>
      </c>
      <c r="L306" s="17">
        <f>CHOOSE(CONTROL!$C$42, 15.137, 15.137) * CHOOSE(CONTROL!$C$21, $C$9, 100%, $E$9)</f>
        <v>15.137</v>
      </c>
      <c r="M306" s="17">
        <f>CHOOSE(CONTROL!$C$42, 14.1494, 14.1494) * CHOOSE(CONTROL!$C$21, $C$9, 100%, $E$9)</f>
        <v>14.1494</v>
      </c>
      <c r="N306" s="17">
        <f>CHOOSE(CONTROL!$C$42, 14.1654, 14.1654) * CHOOSE(CONTROL!$C$21, $C$9, 100%, $E$9)</f>
        <v>14.1654</v>
      </c>
      <c r="O306" s="17">
        <f>CHOOSE(CONTROL!$C$42, 14.4262, 14.4262) * CHOOSE(CONTROL!$C$21, $C$9, 100%, $E$9)</f>
        <v>14.4262</v>
      </c>
      <c r="P306" s="17">
        <f>CHOOSE(CONTROL!$C$42, 14.2151, 14.2151) * CHOOSE(CONTROL!$C$21, $C$9, 100%, $E$9)</f>
        <v>14.2151</v>
      </c>
      <c r="Q306" s="17">
        <f>CHOOSE(CONTROL!$C$42, 15.0209, 15.0209) * CHOOSE(CONTROL!$C$21, $C$9, 100%, $E$9)</f>
        <v>15.020899999999999</v>
      </c>
      <c r="R306" s="17">
        <f>CHOOSE(CONTROL!$C$42, 15.6454, 15.6454) * CHOOSE(CONTROL!$C$21, $C$9, 100%, $E$9)</f>
        <v>15.6454</v>
      </c>
      <c r="S306" s="17">
        <f>CHOOSE(CONTROL!$C$42, 13.8289, 13.8289) * CHOOSE(CONTROL!$C$21, $C$9, 100%, $E$9)</f>
        <v>13.828900000000001</v>
      </c>
      <c r="T306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306" s="57">
        <f>(1000*CHOOSE(CONTROL!$C$42, 695, 695)*CHOOSE(CONTROL!$C$42, 0.5599, 0.5599)*CHOOSE(CONTROL!$C$42, 30, 30))/1000000</f>
        <v>11.673914999999997</v>
      </c>
      <c r="V306" s="57">
        <f>(1000*CHOOSE(CONTROL!$C$42, 500, 500)*CHOOSE(CONTROL!$C$42, 0.275, 0.275)*CHOOSE(CONTROL!$C$42, 30, 30))/1000000</f>
        <v>4.125</v>
      </c>
      <c r="W306" s="57">
        <f>(1000*CHOOSE(CONTROL!$C$42, 0.0916, 0.0916)*CHOOSE(CONTROL!$C$42, 121.5, 121.5)*CHOOSE(CONTROL!$C$42, 30, 30))/1000000</f>
        <v>0.33388200000000001</v>
      </c>
      <c r="X306" s="57">
        <f>(30*0.1790888*145000/1000000)+(30*0.2374*100000/1000000)</f>
        <v>1.4912362799999999</v>
      </c>
      <c r="Y306" s="57"/>
      <c r="Z306" s="17"/>
      <c r="AA306" s="56"/>
      <c r="AB306" s="49">
        <f>(B306*194.205+C306*267.466+D306*133.845+E306*153.484+F306*40+G306*85+H306*0+I306*100+J306*300)/(194.205+267.466+133.845+153.484+0+40+85+100+300)</f>
        <v>14.342571412244897</v>
      </c>
      <c r="AC306" s="46">
        <f>(M306*'RAP TEMPLATE-GAS AVAILABILITY'!O305+N306*'RAP TEMPLATE-GAS AVAILABILITY'!P305+O306*'RAP TEMPLATE-GAS AVAILABILITY'!Q305+P306*'RAP TEMPLATE-GAS AVAILABILITY'!R305)/('RAP TEMPLATE-GAS AVAILABILITY'!O305+'RAP TEMPLATE-GAS AVAILABILITY'!P305+'RAP TEMPLATE-GAS AVAILABILITY'!Q305+'RAP TEMPLATE-GAS AVAILABILITY'!R305)</f>
        <v>14.2402</v>
      </c>
    </row>
    <row r="307" spans="1:29" ht="15.75" x14ac:dyDescent="0.25">
      <c r="A307" s="15">
        <v>50222</v>
      </c>
      <c r="B307" s="17">
        <f>CHOOSE(CONTROL!$C$42, 13.9993, 13.9993) * CHOOSE(CONTROL!$C$21, $C$9, 100%, $E$9)</f>
        <v>13.9993</v>
      </c>
      <c r="C307" s="17">
        <f>CHOOSE(CONTROL!$C$42, 14.0073, 14.0073) * CHOOSE(CONTROL!$C$21, $C$9, 100%, $E$9)</f>
        <v>14.007300000000001</v>
      </c>
      <c r="D307" s="17">
        <f>CHOOSE(CONTROL!$C$42, 14.2569, 14.2569) * CHOOSE(CONTROL!$C$21, $C$9, 100%, $E$9)</f>
        <v>14.2569</v>
      </c>
      <c r="E307" s="17">
        <f>CHOOSE(CONTROL!$C$42, 14.2881, 14.2881) * CHOOSE(CONTROL!$C$21, $C$9, 100%, $E$9)</f>
        <v>14.2881</v>
      </c>
      <c r="F307" s="17">
        <f>CHOOSE(CONTROL!$C$42, 14.005, 14.005)*CHOOSE(CONTROL!$C$21, $C$9, 100%, $E$9)</f>
        <v>14.005000000000001</v>
      </c>
      <c r="G307" s="17">
        <f>CHOOSE(CONTROL!$C$42, 14.0214, 14.0214)*CHOOSE(CONTROL!$C$21, $C$9, 100%, $E$9)</f>
        <v>14.0214</v>
      </c>
      <c r="H307" s="17">
        <f>CHOOSE(CONTROL!$C$42, 14.2764, 14.2764) * CHOOSE(CONTROL!$C$21, $C$9, 100%, $E$9)</f>
        <v>14.276400000000001</v>
      </c>
      <c r="I307" s="17">
        <f>CHOOSE(CONTROL!$C$42, 14.063, 14.063)* CHOOSE(CONTROL!$C$21, $C$9, 100%, $E$9)</f>
        <v>14.063000000000001</v>
      </c>
      <c r="J307" s="17">
        <f>CHOOSE(CONTROL!$C$42, 13.9976, 13.9976)* CHOOSE(CONTROL!$C$21, $C$9, 100%, $E$9)</f>
        <v>13.9976</v>
      </c>
      <c r="K307" s="53">
        <f>CHOOSE(CONTROL!$C$42, 14.057, 14.057) * CHOOSE(CONTROL!$C$21, $C$9, 100%, $E$9)</f>
        <v>14.057</v>
      </c>
      <c r="L307" s="17">
        <f>CHOOSE(CONTROL!$C$42, 14.8634, 14.8634) * CHOOSE(CONTROL!$C$21, $C$9, 100%, $E$9)</f>
        <v>14.8634</v>
      </c>
      <c r="M307" s="17">
        <f>CHOOSE(CONTROL!$C$42, 13.8787, 13.8787) * CHOOSE(CONTROL!$C$21, $C$9, 100%, $E$9)</f>
        <v>13.8787</v>
      </c>
      <c r="N307" s="17">
        <f>CHOOSE(CONTROL!$C$42, 13.895, 13.895) * CHOOSE(CONTROL!$C$21, $C$9, 100%, $E$9)</f>
        <v>13.895</v>
      </c>
      <c r="O307" s="17">
        <f>CHOOSE(CONTROL!$C$42, 14.1551, 14.1551) * CHOOSE(CONTROL!$C$21, $C$9, 100%, $E$9)</f>
        <v>14.155099999999999</v>
      </c>
      <c r="P307" s="17">
        <f>CHOOSE(CONTROL!$C$42, 13.9432, 13.9432) * CHOOSE(CONTROL!$C$21, $C$9, 100%, $E$9)</f>
        <v>13.943199999999999</v>
      </c>
      <c r="Q307" s="17">
        <f>CHOOSE(CONTROL!$C$42, 14.7498, 14.7498) * CHOOSE(CONTROL!$C$21, $C$9, 100%, $E$9)</f>
        <v>14.7498</v>
      </c>
      <c r="R307" s="17">
        <f>CHOOSE(CONTROL!$C$42, 15.3736, 15.3736) * CHOOSE(CONTROL!$C$21, $C$9, 100%, $E$9)</f>
        <v>15.3736</v>
      </c>
      <c r="S307" s="17">
        <f>CHOOSE(CONTROL!$C$42, 13.5636, 13.5636) * CHOOSE(CONTROL!$C$21, $C$9, 100%, $E$9)</f>
        <v>13.563599999999999</v>
      </c>
      <c r="T307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307" s="57">
        <f>(1000*CHOOSE(CONTROL!$C$42, 695, 695)*CHOOSE(CONTROL!$C$42, 0.5599, 0.5599)*CHOOSE(CONTROL!$C$42, 31, 31))/1000000</f>
        <v>12.063045499999998</v>
      </c>
      <c r="V307" s="57">
        <f>(1000*CHOOSE(CONTROL!$C$42, 500, 500)*CHOOSE(CONTROL!$C$42, 0.275, 0.275)*CHOOSE(CONTROL!$C$42, 31, 31))/1000000</f>
        <v>4.2625000000000002</v>
      </c>
      <c r="W307" s="57">
        <f>(1000*CHOOSE(CONTROL!$C$42, 0.0916, 0.0916)*CHOOSE(CONTROL!$C$42, 121.5, 121.5)*CHOOSE(CONTROL!$C$42, 31, 31))/1000000</f>
        <v>0.34501139999999997</v>
      </c>
      <c r="X307" s="57">
        <f>(31*0.1790888*145000/1000000)+(31*0.2374*100000/1000000)</f>
        <v>1.5409441560000001</v>
      </c>
      <c r="Y307" s="57"/>
      <c r="Z307" s="17"/>
      <c r="AA307" s="56"/>
      <c r="AB307" s="49">
        <f>(B307*194.205+C307*267.466+D307*133.845+E307*153.484+F307*40+G307*85+H307*0+I307*100+J307*300)/(194.205+267.466+133.845+153.484+0+40+85+100+300)</f>
        <v>14.069088759183673</v>
      </c>
      <c r="AC307" s="46">
        <f>(M307*'RAP TEMPLATE-GAS AVAILABILITY'!O306+N307*'RAP TEMPLATE-GAS AVAILABILITY'!P306+O307*'RAP TEMPLATE-GAS AVAILABILITY'!Q306+P307*'RAP TEMPLATE-GAS AVAILABILITY'!R306)/('RAP TEMPLATE-GAS AVAILABILITY'!O306+'RAP TEMPLATE-GAS AVAILABILITY'!P306+'RAP TEMPLATE-GAS AVAILABILITY'!Q306+'RAP TEMPLATE-GAS AVAILABILITY'!R306)</f>
        <v>13.969284172661871</v>
      </c>
    </row>
    <row r="308" spans="1:29" ht="15.75" x14ac:dyDescent="0.25">
      <c r="A308" s="15">
        <v>50253</v>
      </c>
      <c r="B308" s="17">
        <f>CHOOSE(CONTROL!$C$42, 13.3085, 13.3085) * CHOOSE(CONTROL!$C$21, $C$9, 100%, $E$9)</f>
        <v>13.3085</v>
      </c>
      <c r="C308" s="17">
        <f>CHOOSE(CONTROL!$C$42, 13.3165, 13.3165) * CHOOSE(CONTROL!$C$21, $C$9, 100%, $E$9)</f>
        <v>13.3165</v>
      </c>
      <c r="D308" s="17">
        <f>CHOOSE(CONTROL!$C$42, 13.5661, 13.5661) * CHOOSE(CONTROL!$C$21, $C$9, 100%, $E$9)</f>
        <v>13.5661</v>
      </c>
      <c r="E308" s="17">
        <f>CHOOSE(CONTROL!$C$42, 13.5973, 13.5973) * CHOOSE(CONTROL!$C$21, $C$9, 100%, $E$9)</f>
        <v>13.597300000000001</v>
      </c>
      <c r="F308" s="17">
        <f>CHOOSE(CONTROL!$C$42, 13.3144, 13.3144)*CHOOSE(CONTROL!$C$21, $C$9, 100%, $E$9)</f>
        <v>13.314399999999999</v>
      </c>
      <c r="G308" s="17">
        <f>CHOOSE(CONTROL!$C$42, 13.3309, 13.3309)*CHOOSE(CONTROL!$C$21, $C$9, 100%, $E$9)</f>
        <v>13.3309</v>
      </c>
      <c r="H308" s="17">
        <f>CHOOSE(CONTROL!$C$42, 13.5856, 13.5856) * CHOOSE(CONTROL!$C$21, $C$9, 100%, $E$9)</f>
        <v>13.585599999999999</v>
      </c>
      <c r="I308" s="17">
        <f>CHOOSE(CONTROL!$C$42, 13.37, 13.37)* CHOOSE(CONTROL!$C$21, $C$9, 100%, $E$9)</f>
        <v>13.37</v>
      </c>
      <c r="J308" s="17">
        <f>CHOOSE(CONTROL!$C$42, 13.307, 13.307)* CHOOSE(CONTROL!$C$21, $C$9, 100%, $E$9)</f>
        <v>13.307</v>
      </c>
      <c r="K308" s="53">
        <f>CHOOSE(CONTROL!$C$42, 13.364, 13.364) * CHOOSE(CONTROL!$C$21, $C$9, 100%, $E$9)</f>
        <v>13.364000000000001</v>
      </c>
      <c r="L308" s="17">
        <f>CHOOSE(CONTROL!$C$42, 14.1726, 14.1726) * CHOOSE(CONTROL!$C$21, $C$9, 100%, $E$9)</f>
        <v>14.172599999999999</v>
      </c>
      <c r="M308" s="17">
        <f>CHOOSE(CONTROL!$C$42, 13.1944, 13.1944) * CHOOSE(CONTROL!$C$21, $C$9, 100%, $E$9)</f>
        <v>13.1944</v>
      </c>
      <c r="N308" s="17">
        <f>CHOOSE(CONTROL!$C$42, 13.2106, 13.2106) * CHOOSE(CONTROL!$C$21, $C$9, 100%, $E$9)</f>
        <v>13.210599999999999</v>
      </c>
      <c r="O308" s="17">
        <f>CHOOSE(CONTROL!$C$42, 13.4704, 13.4704) * CHOOSE(CONTROL!$C$21, $C$9, 100%, $E$9)</f>
        <v>13.4704</v>
      </c>
      <c r="P308" s="17">
        <f>CHOOSE(CONTROL!$C$42, 13.2564, 13.2564) * CHOOSE(CONTROL!$C$21, $C$9, 100%, $E$9)</f>
        <v>13.256399999999999</v>
      </c>
      <c r="Q308" s="17">
        <f>CHOOSE(CONTROL!$C$42, 14.0651, 14.0651) * CHOOSE(CONTROL!$C$21, $C$9, 100%, $E$9)</f>
        <v>14.065099999999999</v>
      </c>
      <c r="R308" s="17">
        <f>CHOOSE(CONTROL!$C$42, 14.6873, 14.6873) * CHOOSE(CONTROL!$C$21, $C$9, 100%, $E$9)</f>
        <v>14.6873</v>
      </c>
      <c r="S308" s="17">
        <f>CHOOSE(CONTROL!$C$42, 12.8936, 12.8936) * CHOOSE(CONTROL!$C$21, $C$9, 100%, $E$9)</f>
        <v>12.893599999999999</v>
      </c>
      <c r="T308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308" s="57">
        <f>(1000*CHOOSE(CONTROL!$C$42, 695, 695)*CHOOSE(CONTROL!$C$42, 0.5599, 0.5599)*CHOOSE(CONTROL!$C$42, 31, 31))/1000000</f>
        <v>12.063045499999998</v>
      </c>
      <c r="V308" s="57">
        <f>(1000*CHOOSE(CONTROL!$C$42, 500, 500)*CHOOSE(CONTROL!$C$42, 0.275, 0.275)*CHOOSE(CONTROL!$C$42, 31, 31))/1000000</f>
        <v>4.2625000000000002</v>
      </c>
      <c r="W308" s="57">
        <f>(1000*CHOOSE(CONTROL!$C$42, 0.0916, 0.0916)*CHOOSE(CONTROL!$C$42, 121.5, 121.5)*CHOOSE(CONTROL!$C$42, 31, 31))/1000000</f>
        <v>0.34501139999999997</v>
      </c>
      <c r="X308" s="57">
        <f>(31*0.1790888*145000/1000000)+(31*0.2374*100000/1000000)</f>
        <v>1.5409441560000001</v>
      </c>
      <c r="Y308" s="57"/>
      <c r="Z308" s="17"/>
      <c r="AA308" s="56"/>
      <c r="AB308" s="49">
        <f>(B308*194.205+C308*267.466+D308*133.845+E308*153.484+F308*40+G308*85+H308*0+I308*100+J308*300)/(194.205+267.466+133.845+153.484+0+40+85+100+300)</f>
        <v>13.378189465620094</v>
      </c>
      <c r="AC308" s="46">
        <f>(M308*'RAP TEMPLATE-GAS AVAILABILITY'!O307+N308*'RAP TEMPLATE-GAS AVAILABILITY'!P307+O308*'RAP TEMPLATE-GAS AVAILABILITY'!Q307+P308*'RAP TEMPLATE-GAS AVAILABILITY'!R307)/('RAP TEMPLATE-GAS AVAILABILITY'!O307+'RAP TEMPLATE-GAS AVAILABILITY'!P307+'RAP TEMPLATE-GAS AVAILABILITY'!Q307+'RAP TEMPLATE-GAS AVAILABILITY'!R307)</f>
        <v>13.284489208633092</v>
      </c>
    </row>
    <row r="309" spans="1:29" ht="15.75" x14ac:dyDescent="0.25">
      <c r="A309" s="15">
        <v>50284</v>
      </c>
      <c r="B309" s="17">
        <f>CHOOSE(CONTROL!$C$42, 12.4641, 12.4641) * CHOOSE(CONTROL!$C$21, $C$9, 100%, $E$9)</f>
        <v>12.4641</v>
      </c>
      <c r="C309" s="17">
        <f>CHOOSE(CONTROL!$C$42, 12.4721, 12.4721) * CHOOSE(CONTROL!$C$21, $C$9, 100%, $E$9)</f>
        <v>12.472099999999999</v>
      </c>
      <c r="D309" s="17">
        <f>CHOOSE(CONTROL!$C$42, 12.7217, 12.7217) * CHOOSE(CONTROL!$C$21, $C$9, 100%, $E$9)</f>
        <v>12.7217</v>
      </c>
      <c r="E309" s="17">
        <f>CHOOSE(CONTROL!$C$42, 12.7529, 12.7529) * CHOOSE(CONTROL!$C$21, $C$9, 100%, $E$9)</f>
        <v>12.7529</v>
      </c>
      <c r="F309" s="17">
        <f>CHOOSE(CONTROL!$C$42, 12.4701, 12.4701)*CHOOSE(CONTROL!$C$21, $C$9, 100%, $E$9)</f>
        <v>12.4701</v>
      </c>
      <c r="G309" s="17">
        <f>CHOOSE(CONTROL!$C$42, 12.4866, 12.4866)*CHOOSE(CONTROL!$C$21, $C$9, 100%, $E$9)</f>
        <v>12.486599999999999</v>
      </c>
      <c r="H309" s="17">
        <f>CHOOSE(CONTROL!$C$42, 12.7412, 12.7412) * CHOOSE(CONTROL!$C$21, $C$9, 100%, $E$9)</f>
        <v>12.741199999999999</v>
      </c>
      <c r="I309" s="17">
        <f>CHOOSE(CONTROL!$C$42, 12.523, 12.523)* CHOOSE(CONTROL!$C$21, $C$9, 100%, $E$9)</f>
        <v>12.523</v>
      </c>
      <c r="J309" s="17">
        <f>CHOOSE(CONTROL!$C$42, 12.4627, 12.4627)* CHOOSE(CONTROL!$C$21, $C$9, 100%, $E$9)</f>
        <v>12.4627</v>
      </c>
      <c r="K309" s="53">
        <f>CHOOSE(CONTROL!$C$42, 12.517, 12.517) * CHOOSE(CONTROL!$C$21, $C$9, 100%, $E$9)</f>
        <v>12.516999999999999</v>
      </c>
      <c r="L309" s="17">
        <f>CHOOSE(CONTROL!$C$42, 13.3282, 13.3282) * CHOOSE(CONTROL!$C$21, $C$9, 100%, $E$9)</f>
        <v>13.328200000000001</v>
      </c>
      <c r="M309" s="17">
        <f>CHOOSE(CONTROL!$C$42, 12.3577, 12.3577) * CHOOSE(CONTROL!$C$21, $C$9, 100%, $E$9)</f>
        <v>12.357699999999999</v>
      </c>
      <c r="N309" s="17">
        <f>CHOOSE(CONTROL!$C$42, 12.3739, 12.3739) * CHOOSE(CONTROL!$C$21, $C$9, 100%, $E$9)</f>
        <v>12.373900000000001</v>
      </c>
      <c r="O309" s="17">
        <f>CHOOSE(CONTROL!$C$42, 12.6337, 12.6337) * CHOOSE(CONTROL!$C$21, $C$9, 100%, $E$9)</f>
        <v>12.633699999999999</v>
      </c>
      <c r="P309" s="17">
        <f>CHOOSE(CONTROL!$C$42, 12.4171, 12.4171) * CHOOSE(CONTROL!$C$21, $C$9, 100%, $E$9)</f>
        <v>12.4171</v>
      </c>
      <c r="Q309" s="17">
        <f>CHOOSE(CONTROL!$C$42, 13.2284, 13.2284) * CHOOSE(CONTROL!$C$21, $C$9, 100%, $E$9)</f>
        <v>13.228400000000001</v>
      </c>
      <c r="R309" s="17">
        <f>CHOOSE(CONTROL!$C$42, 13.8484, 13.8484) * CHOOSE(CONTROL!$C$21, $C$9, 100%, $E$9)</f>
        <v>13.8484</v>
      </c>
      <c r="S309" s="17">
        <f>CHOOSE(CONTROL!$C$42, 12.0749, 12.0749) * CHOOSE(CONTROL!$C$21, $C$9, 100%, $E$9)</f>
        <v>12.0749</v>
      </c>
      <c r="T309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309" s="57">
        <f>(1000*CHOOSE(CONTROL!$C$42, 695, 695)*CHOOSE(CONTROL!$C$42, 0.5599, 0.5599)*CHOOSE(CONTROL!$C$42, 30, 30))/1000000</f>
        <v>11.673914999999997</v>
      </c>
      <c r="V309" s="57">
        <f>(1000*CHOOSE(CONTROL!$C$42, 500, 500)*CHOOSE(CONTROL!$C$42, 0.275, 0.275)*CHOOSE(CONTROL!$C$42, 30, 30))/1000000</f>
        <v>4.125</v>
      </c>
      <c r="W309" s="57">
        <f>(1000*CHOOSE(CONTROL!$C$42, 0.0916, 0.0916)*CHOOSE(CONTROL!$C$42, 121.5, 121.5)*CHOOSE(CONTROL!$C$42, 30, 30))/1000000</f>
        <v>0.33388200000000001</v>
      </c>
      <c r="X309" s="57">
        <f>(30*0.1790888*145000/1000000)+(30*0.2374*100000/1000000)</f>
        <v>1.4912362799999999</v>
      </c>
      <c r="Y309" s="57"/>
      <c r="Z309" s="17"/>
      <c r="AA309" s="56"/>
      <c r="AB309" s="49">
        <f>(B309*194.205+C309*267.466+D309*133.845+E309*153.484+F309*40+G309*85+H309*0+I309*100+J309*300)/(194.205+267.466+133.845+153.484+0+40+85+100+300)</f>
        <v>12.533618743485084</v>
      </c>
      <c r="AC309" s="46">
        <f>(M309*'RAP TEMPLATE-GAS AVAILABILITY'!O308+N309*'RAP TEMPLATE-GAS AVAILABILITY'!P308+O309*'RAP TEMPLATE-GAS AVAILABILITY'!Q308+P309*'RAP TEMPLATE-GAS AVAILABILITY'!R308)/('RAP TEMPLATE-GAS AVAILABILITY'!O308+'RAP TEMPLATE-GAS AVAILABILITY'!P308+'RAP TEMPLATE-GAS AVAILABILITY'!Q308+'RAP TEMPLATE-GAS AVAILABILITY'!R308)</f>
        <v>12.447415107913669</v>
      </c>
    </row>
    <row r="310" spans="1:29" ht="15.75" x14ac:dyDescent="0.25">
      <c r="A310" s="15">
        <v>50314</v>
      </c>
      <c r="B310" s="17">
        <f>CHOOSE(CONTROL!$C$42, 12.2096, 12.2096) * CHOOSE(CONTROL!$C$21, $C$9, 100%, $E$9)</f>
        <v>12.2096</v>
      </c>
      <c r="C310" s="17">
        <f>CHOOSE(CONTROL!$C$42, 12.2149, 12.2149) * CHOOSE(CONTROL!$C$21, $C$9, 100%, $E$9)</f>
        <v>12.2149</v>
      </c>
      <c r="D310" s="17">
        <f>CHOOSE(CONTROL!$C$42, 12.4694, 12.4694) * CHOOSE(CONTROL!$C$21, $C$9, 100%, $E$9)</f>
        <v>12.4694</v>
      </c>
      <c r="E310" s="17">
        <f>CHOOSE(CONTROL!$C$42, 12.4983, 12.4983) * CHOOSE(CONTROL!$C$21, $C$9, 100%, $E$9)</f>
        <v>12.4983</v>
      </c>
      <c r="F310" s="17">
        <f>CHOOSE(CONTROL!$C$42, 12.2178, 12.2178)*CHOOSE(CONTROL!$C$21, $C$9, 100%, $E$9)</f>
        <v>12.2178</v>
      </c>
      <c r="G310" s="17">
        <f>CHOOSE(CONTROL!$C$42, 12.2341, 12.2341)*CHOOSE(CONTROL!$C$21, $C$9, 100%, $E$9)</f>
        <v>12.2341</v>
      </c>
      <c r="H310" s="17">
        <f>CHOOSE(CONTROL!$C$42, 12.4884, 12.4884) * CHOOSE(CONTROL!$C$21, $C$9, 100%, $E$9)</f>
        <v>12.4884</v>
      </c>
      <c r="I310" s="17">
        <f>CHOOSE(CONTROL!$C$42, 12.2694, 12.2694)* CHOOSE(CONTROL!$C$21, $C$9, 100%, $E$9)</f>
        <v>12.269399999999999</v>
      </c>
      <c r="J310" s="17">
        <f>CHOOSE(CONTROL!$C$42, 12.2104, 12.2104)* CHOOSE(CONTROL!$C$21, $C$9, 100%, $E$9)</f>
        <v>12.2104</v>
      </c>
      <c r="K310" s="53">
        <f>CHOOSE(CONTROL!$C$42, 12.2634, 12.2634) * CHOOSE(CONTROL!$C$21, $C$9, 100%, $E$9)</f>
        <v>12.263400000000001</v>
      </c>
      <c r="L310" s="17">
        <f>CHOOSE(CONTROL!$C$42, 13.0754, 13.0754) * CHOOSE(CONTROL!$C$21, $C$9, 100%, $E$9)</f>
        <v>13.0754</v>
      </c>
      <c r="M310" s="17">
        <f>CHOOSE(CONTROL!$C$42, 12.1076, 12.1076) * CHOOSE(CONTROL!$C$21, $C$9, 100%, $E$9)</f>
        <v>12.1076</v>
      </c>
      <c r="N310" s="17">
        <f>CHOOSE(CONTROL!$C$42, 12.1238, 12.1238) * CHOOSE(CONTROL!$C$21, $C$9, 100%, $E$9)</f>
        <v>12.123799999999999</v>
      </c>
      <c r="O310" s="17">
        <f>CHOOSE(CONTROL!$C$42, 12.3831, 12.3831) * CHOOSE(CONTROL!$C$21, $C$9, 100%, $E$9)</f>
        <v>12.383100000000001</v>
      </c>
      <c r="P310" s="17">
        <f>CHOOSE(CONTROL!$C$42, 12.1658, 12.1658) * CHOOSE(CONTROL!$C$21, $C$9, 100%, $E$9)</f>
        <v>12.165800000000001</v>
      </c>
      <c r="Q310" s="17">
        <f>CHOOSE(CONTROL!$C$42, 12.9778, 12.9778) * CHOOSE(CONTROL!$C$21, $C$9, 100%, $E$9)</f>
        <v>12.9778</v>
      </c>
      <c r="R310" s="17">
        <f>CHOOSE(CONTROL!$C$42, 13.5973, 13.5973) * CHOOSE(CONTROL!$C$21, $C$9, 100%, $E$9)</f>
        <v>13.597300000000001</v>
      </c>
      <c r="S310" s="17">
        <f>CHOOSE(CONTROL!$C$42, 11.8297, 11.8297) * CHOOSE(CONTROL!$C$21, $C$9, 100%, $E$9)</f>
        <v>11.829700000000001</v>
      </c>
      <c r="T310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310" s="57">
        <f>(1000*CHOOSE(CONTROL!$C$42, 695, 695)*CHOOSE(CONTROL!$C$42, 0.5599, 0.5599)*CHOOSE(CONTROL!$C$42, 31, 31))/1000000</f>
        <v>12.063045499999998</v>
      </c>
      <c r="V310" s="57">
        <f>(1000*CHOOSE(CONTROL!$C$42, 500, 500)*CHOOSE(CONTROL!$C$42, 0.275, 0.275)*CHOOSE(CONTROL!$C$42, 31, 31))/1000000</f>
        <v>4.2625000000000002</v>
      </c>
      <c r="W310" s="57">
        <f>(1000*CHOOSE(CONTROL!$C$42, 0.0916, 0.0916)*CHOOSE(CONTROL!$C$42, 121.5, 121.5)*CHOOSE(CONTROL!$C$42, 31, 31))/1000000</f>
        <v>0.34501139999999997</v>
      </c>
      <c r="X310" s="57">
        <f>(31*0.1790888*145000/1000000)+(31*0.2374*100000/1000000)</f>
        <v>1.5409441560000001</v>
      </c>
      <c r="Y310" s="57"/>
      <c r="Z310" s="17"/>
      <c r="AA310" s="56"/>
      <c r="AB310" s="49">
        <f>(B310*131.881+C310*277.167+D310*79.08+E310*225.872+F310*40+G310*85+H310*0+I310*100+J310*300)/(131.881+277.167+79.08+225.872+0+40+85+100+300)</f>
        <v>12.286963773607749</v>
      </c>
      <c r="AC310" s="46">
        <f>(M310*'RAP TEMPLATE-GAS AVAILABILITY'!O309+N310*'RAP TEMPLATE-GAS AVAILABILITY'!P309+O310*'RAP TEMPLATE-GAS AVAILABILITY'!Q309+P310*'RAP TEMPLATE-GAS AVAILABILITY'!R309)/('RAP TEMPLATE-GAS AVAILABILITY'!O309+'RAP TEMPLATE-GAS AVAILABILITY'!P309+'RAP TEMPLATE-GAS AVAILABILITY'!Q309+'RAP TEMPLATE-GAS AVAILABILITY'!R309)</f>
        <v>12.19700215827338</v>
      </c>
    </row>
    <row r="311" spans="1:29" ht="15.75" x14ac:dyDescent="0.25">
      <c r="A311" s="15">
        <v>50345</v>
      </c>
      <c r="B311" s="17">
        <f>CHOOSE(CONTROL!$C$42, 12.5306, 12.5306) * CHOOSE(CONTROL!$C$21, $C$9, 100%, $E$9)</f>
        <v>12.5306</v>
      </c>
      <c r="C311" s="17">
        <f>CHOOSE(CONTROL!$C$42, 12.5356, 12.5356) * CHOOSE(CONTROL!$C$21, $C$9, 100%, $E$9)</f>
        <v>12.535600000000001</v>
      </c>
      <c r="D311" s="17">
        <f>CHOOSE(CONTROL!$C$42, 12.6583, 12.6583) * CHOOSE(CONTROL!$C$21, $C$9, 100%, $E$9)</f>
        <v>12.658300000000001</v>
      </c>
      <c r="E311" s="17">
        <f>CHOOSE(CONTROL!$C$42, 12.692, 12.692) * CHOOSE(CONTROL!$C$21, $C$9, 100%, $E$9)</f>
        <v>12.692</v>
      </c>
      <c r="F311" s="17">
        <f>CHOOSE(CONTROL!$C$42, 12.5456, 12.5456)*CHOOSE(CONTROL!$C$21, $C$9, 100%, $E$9)</f>
        <v>12.5456</v>
      </c>
      <c r="G311" s="17">
        <f>CHOOSE(CONTROL!$C$42, 12.5622, 12.5622)*CHOOSE(CONTROL!$C$21, $C$9, 100%, $E$9)</f>
        <v>12.562200000000001</v>
      </c>
      <c r="H311" s="17">
        <f>CHOOSE(CONTROL!$C$42, 12.6809, 12.6809) * CHOOSE(CONTROL!$C$21, $C$9, 100%, $E$9)</f>
        <v>12.680899999999999</v>
      </c>
      <c r="I311" s="17">
        <f>CHOOSE(CONTROL!$C$42, 12.5944, 12.5944)* CHOOSE(CONTROL!$C$21, $C$9, 100%, $E$9)</f>
        <v>12.5944</v>
      </c>
      <c r="J311" s="17">
        <f>CHOOSE(CONTROL!$C$42, 12.5382, 12.5382)* CHOOSE(CONTROL!$C$21, $C$9, 100%, $E$9)</f>
        <v>12.5382</v>
      </c>
      <c r="K311" s="53">
        <f>CHOOSE(CONTROL!$C$42, 12.5884, 12.5884) * CHOOSE(CONTROL!$C$21, $C$9, 100%, $E$9)</f>
        <v>12.5884</v>
      </c>
      <c r="L311" s="17">
        <f>CHOOSE(CONTROL!$C$42, 13.2679, 13.2679) * CHOOSE(CONTROL!$C$21, $C$9, 100%, $E$9)</f>
        <v>13.267899999999999</v>
      </c>
      <c r="M311" s="17">
        <f>CHOOSE(CONTROL!$C$42, 12.4324, 12.4324) * CHOOSE(CONTROL!$C$21, $C$9, 100%, $E$9)</f>
        <v>12.432399999999999</v>
      </c>
      <c r="N311" s="17">
        <f>CHOOSE(CONTROL!$C$42, 12.4489, 12.4489) * CHOOSE(CONTROL!$C$21, $C$9, 100%, $E$9)</f>
        <v>12.4489</v>
      </c>
      <c r="O311" s="17">
        <f>CHOOSE(CONTROL!$C$42, 12.5739, 12.5739) * CHOOSE(CONTROL!$C$21, $C$9, 100%, $E$9)</f>
        <v>12.5739</v>
      </c>
      <c r="P311" s="17">
        <f>CHOOSE(CONTROL!$C$42, 12.4878, 12.4878) * CHOOSE(CONTROL!$C$21, $C$9, 100%, $E$9)</f>
        <v>12.4878</v>
      </c>
      <c r="Q311" s="17">
        <f>CHOOSE(CONTROL!$C$42, 13.1686, 13.1686) * CHOOSE(CONTROL!$C$21, $C$9, 100%, $E$9)</f>
        <v>13.1686</v>
      </c>
      <c r="R311" s="17">
        <f>CHOOSE(CONTROL!$C$42, 13.7885, 13.7885) * CHOOSE(CONTROL!$C$21, $C$9, 100%, $E$9)</f>
        <v>13.788500000000001</v>
      </c>
      <c r="S311" s="17">
        <f>CHOOSE(CONTROL!$C$42, 12.1414, 12.1414) * CHOOSE(CONTROL!$C$21, $C$9, 100%, $E$9)</f>
        <v>12.141400000000001</v>
      </c>
      <c r="T311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311" s="57">
        <f>(1000*CHOOSE(CONTROL!$C$42, 695, 695)*CHOOSE(CONTROL!$C$42, 0.5599, 0.5599)*CHOOSE(CONTROL!$C$42, 30, 30))/1000000</f>
        <v>11.673914999999997</v>
      </c>
      <c r="V311" s="57">
        <f>(1000*CHOOSE(CONTROL!$C$42, 500, 500)*CHOOSE(CONTROL!$C$42, 0.275, 0.275)*CHOOSE(CONTROL!$C$42, 30, 30))/1000000</f>
        <v>4.125</v>
      </c>
      <c r="W311" s="57">
        <f>(1000*CHOOSE(CONTROL!$C$42, 0.0916, 0.0916)*CHOOSE(CONTROL!$C$42, 121.5, 121.5)*CHOOSE(CONTROL!$C$42, 30, 30))/1000000</f>
        <v>0.33388200000000001</v>
      </c>
      <c r="X311" s="57">
        <f>(30*0.2374*100000/1000000)</f>
        <v>0.71220000000000006</v>
      </c>
      <c r="Y311" s="57"/>
      <c r="Z311" s="17"/>
      <c r="AA311" s="56"/>
      <c r="AB311" s="49">
        <f>(B311*122.58+C311*297.941+D311*89.177+E311*140.302+F311*40+G311*60+H311*0+I311*100+J311*300)/(122.58+297.941+89.177+140.302+0+40+60+100+300)</f>
        <v>12.571189870173912</v>
      </c>
      <c r="AC311" s="46">
        <f>(M311*'RAP TEMPLATE-GAS AVAILABILITY'!O310+N311*'RAP TEMPLATE-GAS AVAILABILITY'!P310+O311*'RAP TEMPLATE-GAS AVAILABILITY'!Q310+P311*'RAP TEMPLATE-GAS AVAILABILITY'!R310)/('RAP TEMPLATE-GAS AVAILABILITY'!O310+'RAP TEMPLATE-GAS AVAILABILITY'!P310+'RAP TEMPLATE-GAS AVAILABILITY'!Q310+'RAP TEMPLATE-GAS AVAILABILITY'!R310)</f>
        <v>12.505453956834534</v>
      </c>
    </row>
    <row r="312" spans="1:29" ht="15.75" x14ac:dyDescent="0.25">
      <c r="A312" s="15">
        <v>50375</v>
      </c>
      <c r="B312" s="17">
        <f>CHOOSE(CONTROL!$C$42, 13.3842, 13.3842) * CHOOSE(CONTROL!$C$21, $C$9, 100%, $E$9)</f>
        <v>13.3842</v>
      </c>
      <c r="C312" s="17">
        <f>CHOOSE(CONTROL!$C$42, 13.3893, 13.3893) * CHOOSE(CONTROL!$C$21, $C$9, 100%, $E$9)</f>
        <v>13.3893</v>
      </c>
      <c r="D312" s="17">
        <f>CHOOSE(CONTROL!$C$42, 13.5119, 13.5119) * CHOOSE(CONTROL!$C$21, $C$9, 100%, $E$9)</f>
        <v>13.511900000000001</v>
      </c>
      <c r="E312" s="17">
        <f>CHOOSE(CONTROL!$C$42, 13.5456, 13.5456) * CHOOSE(CONTROL!$C$21, $C$9, 100%, $E$9)</f>
        <v>13.5456</v>
      </c>
      <c r="F312" s="17">
        <f>CHOOSE(CONTROL!$C$42, 13.4016, 13.4016)*CHOOSE(CONTROL!$C$21, $C$9, 100%, $E$9)</f>
        <v>13.4016</v>
      </c>
      <c r="G312" s="17">
        <f>CHOOSE(CONTROL!$C$42, 13.4189, 13.4189)*CHOOSE(CONTROL!$C$21, $C$9, 100%, $E$9)</f>
        <v>13.418900000000001</v>
      </c>
      <c r="H312" s="17">
        <f>CHOOSE(CONTROL!$C$42, 13.5345, 13.5345) * CHOOSE(CONTROL!$C$21, $C$9, 100%, $E$9)</f>
        <v>13.5345</v>
      </c>
      <c r="I312" s="17">
        <f>CHOOSE(CONTROL!$C$42, 13.4507, 13.4507)* CHOOSE(CONTROL!$C$21, $C$9, 100%, $E$9)</f>
        <v>13.450699999999999</v>
      </c>
      <c r="J312" s="17">
        <f>CHOOSE(CONTROL!$C$42, 13.3942, 13.3942)* CHOOSE(CONTROL!$C$21, $C$9, 100%, $E$9)</f>
        <v>13.3942</v>
      </c>
      <c r="K312" s="53">
        <f>CHOOSE(CONTROL!$C$42, 13.4446, 13.4446) * CHOOSE(CONTROL!$C$21, $C$9, 100%, $E$9)</f>
        <v>13.444599999999999</v>
      </c>
      <c r="L312" s="17">
        <f>CHOOSE(CONTROL!$C$42, 14.1215, 14.1215) * CHOOSE(CONTROL!$C$21, $C$9, 100%, $E$9)</f>
        <v>14.121499999999999</v>
      </c>
      <c r="M312" s="17">
        <f>CHOOSE(CONTROL!$C$42, 13.2807, 13.2807) * CHOOSE(CONTROL!$C$21, $C$9, 100%, $E$9)</f>
        <v>13.2807</v>
      </c>
      <c r="N312" s="17">
        <f>CHOOSE(CONTROL!$C$42, 13.2979, 13.2979) * CHOOSE(CONTROL!$C$21, $C$9, 100%, $E$9)</f>
        <v>13.2979</v>
      </c>
      <c r="O312" s="17">
        <f>CHOOSE(CONTROL!$C$42, 13.4198, 13.4198) * CHOOSE(CONTROL!$C$21, $C$9, 100%, $E$9)</f>
        <v>13.4198</v>
      </c>
      <c r="P312" s="17">
        <f>CHOOSE(CONTROL!$C$42, 13.3364, 13.3364) * CHOOSE(CONTROL!$C$21, $C$9, 100%, $E$9)</f>
        <v>13.336399999999999</v>
      </c>
      <c r="Q312" s="17">
        <f>CHOOSE(CONTROL!$C$42, 14.0145, 14.0145) * CHOOSE(CONTROL!$C$21, $C$9, 100%, $E$9)</f>
        <v>14.0145</v>
      </c>
      <c r="R312" s="17">
        <f>CHOOSE(CONTROL!$C$42, 14.6365, 14.6365) * CHOOSE(CONTROL!$C$21, $C$9, 100%, $E$9)</f>
        <v>14.6365</v>
      </c>
      <c r="S312" s="17">
        <f>CHOOSE(CONTROL!$C$42, 12.9691, 12.9691) * CHOOSE(CONTROL!$C$21, $C$9, 100%, $E$9)</f>
        <v>12.969099999999999</v>
      </c>
      <c r="T312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312" s="57">
        <f>(1000*CHOOSE(CONTROL!$C$42, 695, 695)*CHOOSE(CONTROL!$C$42, 0.5599, 0.5599)*CHOOSE(CONTROL!$C$42, 31, 31))/1000000</f>
        <v>12.063045499999998</v>
      </c>
      <c r="V312" s="57">
        <f>(1000*CHOOSE(CONTROL!$C$42, 500, 500)*CHOOSE(CONTROL!$C$42, 0.275, 0.275)*CHOOSE(CONTROL!$C$42, 31, 31))/1000000</f>
        <v>4.2625000000000002</v>
      </c>
      <c r="W312" s="57">
        <f>(1000*CHOOSE(CONTROL!$C$42, 0.0916, 0.0916)*CHOOSE(CONTROL!$C$42, 121.5, 121.5)*CHOOSE(CONTROL!$C$42, 31, 31))/1000000</f>
        <v>0.34501139999999997</v>
      </c>
      <c r="X312" s="57">
        <f>(31*0.2374*100000/1000000)</f>
        <v>0.73594000000000004</v>
      </c>
      <c r="Y312" s="57"/>
      <c r="Z312" s="17"/>
      <c r="AA312" s="56"/>
      <c r="AB312" s="49">
        <f>(B312*122.58+C312*297.941+D312*89.177+E312*140.302+F312*40+G312*60+H312*0+I312*100+J312*300)/(122.58+297.941+89.177+140.302+0+40+60+100+300)</f>
        <v>13.425921865043478</v>
      </c>
      <c r="AC312" s="46">
        <f>(M312*'RAP TEMPLATE-GAS AVAILABILITY'!O311+N312*'RAP TEMPLATE-GAS AVAILABILITY'!P311+O312*'RAP TEMPLATE-GAS AVAILABILITY'!Q311+P312*'RAP TEMPLATE-GAS AVAILABILITY'!R311)/('RAP TEMPLATE-GAS AVAILABILITY'!O311+'RAP TEMPLATE-GAS AVAILABILITY'!P311+'RAP TEMPLATE-GAS AVAILABILITY'!Q311+'RAP TEMPLATE-GAS AVAILABILITY'!R311)</f>
        <v>13.352749640287771</v>
      </c>
    </row>
    <row r="313" spans="1:29" ht="15.75" x14ac:dyDescent="0.25">
      <c r="A313" s="14">
        <v>50436</v>
      </c>
      <c r="B313" s="17">
        <f>CHOOSE(CONTROL!$C$42, 14.4929, 14.4929) * CHOOSE(CONTROL!$C$21, $C$9, 100%, $E$9)</f>
        <v>14.492900000000001</v>
      </c>
      <c r="C313" s="17">
        <f>CHOOSE(CONTROL!$C$42, 14.4979, 14.4979) * CHOOSE(CONTROL!$C$21, $C$9, 100%, $E$9)</f>
        <v>14.4979</v>
      </c>
      <c r="D313" s="17">
        <f>CHOOSE(CONTROL!$C$42, 14.6154, 14.6154) * CHOOSE(CONTROL!$C$21, $C$9, 100%, $E$9)</f>
        <v>14.615399999999999</v>
      </c>
      <c r="E313" s="17">
        <f>CHOOSE(CONTROL!$C$42, 14.6492, 14.6492) * CHOOSE(CONTROL!$C$21, $C$9, 100%, $E$9)</f>
        <v>14.6492</v>
      </c>
      <c r="F313" s="17">
        <f>CHOOSE(CONTROL!$C$42, 14.5065, 14.5065)*CHOOSE(CONTROL!$C$21, $C$9, 100%, $E$9)</f>
        <v>14.506500000000001</v>
      </c>
      <c r="G313" s="17">
        <f>CHOOSE(CONTROL!$C$42, 14.5228, 14.5228)*CHOOSE(CONTROL!$C$21, $C$9, 100%, $E$9)</f>
        <v>14.5228</v>
      </c>
      <c r="H313" s="17">
        <f>CHOOSE(CONTROL!$C$42, 14.638, 14.638) * CHOOSE(CONTROL!$C$21, $C$9, 100%, $E$9)</f>
        <v>14.638</v>
      </c>
      <c r="I313" s="17">
        <f>CHOOSE(CONTROL!$C$42, 14.5612, 14.5612)* CHOOSE(CONTROL!$C$21, $C$9, 100%, $E$9)</f>
        <v>14.561199999999999</v>
      </c>
      <c r="J313" s="17">
        <f>CHOOSE(CONTROL!$C$42, 14.4991, 14.4991)* CHOOSE(CONTROL!$C$21, $C$9, 100%, $E$9)</f>
        <v>14.4991</v>
      </c>
      <c r="K313" s="53">
        <f>CHOOSE(CONTROL!$C$42, 14.5552, 14.5552) * CHOOSE(CONTROL!$C$21, $C$9, 100%, $E$9)</f>
        <v>14.555199999999999</v>
      </c>
      <c r="L313" s="17">
        <f>CHOOSE(CONTROL!$C$42, 15.225, 15.225) * CHOOSE(CONTROL!$C$21, $C$9, 100%, $E$9)</f>
        <v>15.225</v>
      </c>
      <c r="M313" s="17">
        <f>CHOOSE(CONTROL!$C$42, 14.3757, 14.3757) * CHOOSE(CONTROL!$C$21, $C$9, 100%, $E$9)</f>
        <v>14.3757</v>
      </c>
      <c r="N313" s="17">
        <f>CHOOSE(CONTROL!$C$42, 14.3918, 14.3918) * CHOOSE(CONTROL!$C$21, $C$9, 100%, $E$9)</f>
        <v>14.3918</v>
      </c>
      <c r="O313" s="17">
        <f>CHOOSE(CONTROL!$C$42, 14.5134, 14.5134) * CHOOSE(CONTROL!$C$21, $C$9, 100%, $E$9)</f>
        <v>14.513400000000001</v>
      </c>
      <c r="P313" s="17">
        <f>CHOOSE(CONTROL!$C$42, 14.4369, 14.4369) * CHOOSE(CONTROL!$C$21, $C$9, 100%, $E$9)</f>
        <v>14.4369</v>
      </c>
      <c r="Q313" s="17">
        <f>CHOOSE(CONTROL!$C$42, 15.1081, 15.1081) * CHOOSE(CONTROL!$C$21, $C$9, 100%, $E$9)</f>
        <v>15.1081</v>
      </c>
      <c r="R313" s="17">
        <f>CHOOSE(CONTROL!$C$42, 15.7329, 15.7329) * CHOOSE(CONTROL!$C$21, $C$9, 100%, $E$9)</f>
        <v>15.732900000000001</v>
      </c>
      <c r="S313" s="17">
        <f>CHOOSE(CONTROL!$C$42, 14.0442, 14.0442) * CHOOSE(CONTROL!$C$21, $C$9, 100%, $E$9)</f>
        <v>14.0442</v>
      </c>
      <c r="T313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313" s="57">
        <f>(1000*CHOOSE(CONTROL!$C$42, 695, 695)*CHOOSE(CONTROL!$C$42, 0.5599, 0.5599)*CHOOSE(CONTROL!$C$42, 31, 31))/1000000</f>
        <v>12.063045499999998</v>
      </c>
      <c r="V313" s="57">
        <f>(1000*CHOOSE(CONTROL!$C$42, 500, 500)*CHOOSE(CONTROL!$C$42, 0.275, 0.275)*CHOOSE(CONTROL!$C$42, 31, 31))/1000000</f>
        <v>4.2625000000000002</v>
      </c>
      <c r="W313" s="57">
        <f>(1000*CHOOSE(CONTROL!$C$42, 0.0916, 0.0916)*CHOOSE(CONTROL!$C$42, 121.5, 121.5)*CHOOSE(CONTROL!$C$42, 31, 31))/1000000</f>
        <v>0.34501139999999997</v>
      </c>
      <c r="X313" s="57">
        <f>(31*0.2374*100000/1000000)</f>
        <v>0.73594000000000004</v>
      </c>
      <c r="Y313" s="57"/>
      <c r="Z313" s="17"/>
      <c r="AA313" s="56"/>
      <c r="AB313" s="49">
        <f>(B313*122.58+C313*297.941+D313*89.177+E313*140.302+F313*40+G313*60+H313*0+I313*100+J313*300)/(122.58+297.941+89.177+140.302+0+40+60+100+300)</f>
        <v>14.532353121826088</v>
      </c>
      <c r="AC313" s="46">
        <f>(M313*'RAP TEMPLATE-GAS AVAILABILITY'!O312+N313*'RAP TEMPLATE-GAS AVAILABILITY'!P312+O313*'RAP TEMPLATE-GAS AVAILABILITY'!Q312+P313*'RAP TEMPLATE-GAS AVAILABILITY'!R312)/('RAP TEMPLATE-GAS AVAILABILITY'!O312+'RAP TEMPLATE-GAS AVAILABILITY'!P312+'RAP TEMPLATE-GAS AVAILABILITY'!Q312+'RAP TEMPLATE-GAS AVAILABILITY'!R312)</f>
        <v>14.44784316546763</v>
      </c>
    </row>
    <row r="314" spans="1:29" ht="15.75" x14ac:dyDescent="0.25">
      <c r="A314" s="14">
        <v>50464</v>
      </c>
      <c r="B314" s="17">
        <f>CHOOSE(CONTROL!$C$42, 14.7507, 14.7507) * CHOOSE(CONTROL!$C$21, $C$9, 100%, $E$9)</f>
        <v>14.7507</v>
      </c>
      <c r="C314" s="17">
        <f>CHOOSE(CONTROL!$C$42, 14.7557, 14.7557) * CHOOSE(CONTROL!$C$21, $C$9, 100%, $E$9)</f>
        <v>14.755699999999999</v>
      </c>
      <c r="D314" s="17">
        <f>CHOOSE(CONTROL!$C$42, 14.8732, 14.8732) * CHOOSE(CONTROL!$C$21, $C$9, 100%, $E$9)</f>
        <v>14.873200000000001</v>
      </c>
      <c r="E314" s="17">
        <f>CHOOSE(CONTROL!$C$42, 14.907, 14.907) * CHOOSE(CONTROL!$C$21, $C$9, 100%, $E$9)</f>
        <v>14.907</v>
      </c>
      <c r="F314" s="17">
        <f>CHOOSE(CONTROL!$C$42, 14.7643, 14.7643)*CHOOSE(CONTROL!$C$21, $C$9, 100%, $E$9)</f>
        <v>14.7643</v>
      </c>
      <c r="G314" s="17">
        <f>CHOOSE(CONTROL!$C$42, 14.7806, 14.7806)*CHOOSE(CONTROL!$C$21, $C$9, 100%, $E$9)</f>
        <v>14.7806</v>
      </c>
      <c r="H314" s="17">
        <f>CHOOSE(CONTROL!$C$42, 14.8958, 14.8958) * CHOOSE(CONTROL!$C$21, $C$9, 100%, $E$9)</f>
        <v>14.895799999999999</v>
      </c>
      <c r="I314" s="17">
        <f>CHOOSE(CONTROL!$C$42, 14.8198, 14.8198)* CHOOSE(CONTROL!$C$21, $C$9, 100%, $E$9)</f>
        <v>14.819800000000001</v>
      </c>
      <c r="J314" s="17">
        <f>CHOOSE(CONTROL!$C$42, 14.7569, 14.7569)* CHOOSE(CONTROL!$C$21, $C$9, 100%, $E$9)</f>
        <v>14.7569</v>
      </c>
      <c r="K314" s="53">
        <f>CHOOSE(CONTROL!$C$42, 14.8138, 14.8138) * CHOOSE(CONTROL!$C$21, $C$9, 100%, $E$9)</f>
        <v>14.813800000000001</v>
      </c>
      <c r="L314" s="17">
        <f>CHOOSE(CONTROL!$C$42, 15.4828, 15.4828) * CHOOSE(CONTROL!$C$21, $C$9, 100%, $E$9)</f>
        <v>15.482799999999999</v>
      </c>
      <c r="M314" s="17">
        <f>CHOOSE(CONTROL!$C$42, 14.6312, 14.6312) * CHOOSE(CONTROL!$C$21, $C$9, 100%, $E$9)</f>
        <v>14.6312</v>
      </c>
      <c r="N314" s="17">
        <f>CHOOSE(CONTROL!$C$42, 14.6473, 14.6473) * CHOOSE(CONTROL!$C$21, $C$9, 100%, $E$9)</f>
        <v>14.6473</v>
      </c>
      <c r="O314" s="17">
        <f>CHOOSE(CONTROL!$C$42, 14.7689, 14.7689) * CHOOSE(CONTROL!$C$21, $C$9, 100%, $E$9)</f>
        <v>14.7689</v>
      </c>
      <c r="P314" s="17">
        <f>CHOOSE(CONTROL!$C$42, 14.6932, 14.6932) * CHOOSE(CONTROL!$C$21, $C$9, 100%, $E$9)</f>
        <v>14.693199999999999</v>
      </c>
      <c r="Q314" s="17">
        <f>CHOOSE(CONTROL!$C$42, 15.3636, 15.3636) * CHOOSE(CONTROL!$C$21, $C$9, 100%, $E$9)</f>
        <v>15.3636</v>
      </c>
      <c r="R314" s="17">
        <f>CHOOSE(CONTROL!$C$42, 15.989, 15.989) * CHOOSE(CONTROL!$C$21, $C$9, 100%, $E$9)</f>
        <v>15.989000000000001</v>
      </c>
      <c r="S314" s="17">
        <f>CHOOSE(CONTROL!$C$42, 14.2942, 14.2942) * CHOOSE(CONTROL!$C$21, $C$9, 100%, $E$9)</f>
        <v>14.2942</v>
      </c>
      <c r="T314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314" s="57">
        <f>(1000*CHOOSE(CONTROL!$C$42, 695, 695)*CHOOSE(CONTROL!$C$42, 0.5599, 0.5599)*CHOOSE(CONTROL!$C$42, 28, 28))/1000000</f>
        <v>10.895653999999999</v>
      </c>
      <c r="V314" s="57">
        <f>(1000*CHOOSE(CONTROL!$C$42, 500, 500)*CHOOSE(CONTROL!$C$42, 0.275, 0.275)*CHOOSE(CONTROL!$C$42, 28, 28))/1000000</f>
        <v>3.85</v>
      </c>
      <c r="W314" s="57">
        <f>(1000*CHOOSE(CONTROL!$C$42, 0.0916, 0.0916)*CHOOSE(CONTROL!$C$42, 121.5, 121.5)*CHOOSE(CONTROL!$C$42, 28, 28))/1000000</f>
        <v>0.31162319999999999</v>
      </c>
      <c r="X314" s="57">
        <f>(28*0.2374*100000/1000000)</f>
        <v>0.66471999999999998</v>
      </c>
      <c r="Y314" s="57"/>
      <c r="Z314" s="17"/>
      <c r="AA314" s="56"/>
      <c r="AB314" s="49">
        <f>(B314*122.58+C314*297.941+D314*89.177+E314*140.302+F314*40+G314*60+H314*0+I314*100+J314*300)/(122.58+297.941+89.177+140.302+0+40+60+100+300)</f>
        <v>14.790222687043475</v>
      </c>
      <c r="AC314" s="46">
        <f>(M314*'RAP TEMPLATE-GAS AVAILABILITY'!O313+N314*'RAP TEMPLATE-GAS AVAILABILITY'!P313+O314*'RAP TEMPLATE-GAS AVAILABILITY'!Q313+P314*'RAP TEMPLATE-GAS AVAILABILITY'!R313)/('RAP TEMPLATE-GAS AVAILABILITY'!O313+'RAP TEMPLATE-GAS AVAILABILITY'!P313+'RAP TEMPLATE-GAS AVAILABILITY'!Q313+'RAP TEMPLATE-GAS AVAILABILITY'!R313)</f>
        <v>14.703458273381296</v>
      </c>
    </row>
    <row r="315" spans="1:29" ht="15.75" x14ac:dyDescent="0.25">
      <c r="A315" s="14">
        <v>50495</v>
      </c>
      <c r="B315" s="17">
        <f>CHOOSE(CONTROL!$C$42, 14.3322, 14.3322) * CHOOSE(CONTROL!$C$21, $C$9, 100%, $E$9)</f>
        <v>14.3322</v>
      </c>
      <c r="C315" s="17">
        <f>CHOOSE(CONTROL!$C$42, 14.3373, 14.3373) * CHOOSE(CONTROL!$C$21, $C$9, 100%, $E$9)</f>
        <v>14.337300000000001</v>
      </c>
      <c r="D315" s="17">
        <f>CHOOSE(CONTROL!$C$42, 14.4547, 14.4547) * CHOOSE(CONTROL!$C$21, $C$9, 100%, $E$9)</f>
        <v>14.454700000000001</v>
      </c>
      <c r="E315" s="17">
        <f>CHOOSE(CONTROL!$C$42, 14.4885, 14.4885) * CHOOSE(CONTROL!$C$21, $C$9, 100%, $E$9)</f>
        <v>14.4885</v>
      </c>
      <c r="F315" s="17">
        <f>CHOOSE(CONTROL!$C$42, 14.3452, 14.3452)*CHOOSE(CONTROL!$C$21, $C$9, 100%, $E$9)</f>
        <v>14.3452</v>
      </c>
      <c r="G315" s="17">
        <f>CHOOSE(CONTROL!$C$42, 14.3613, 14.3613)*CHOOSE(CONTROL!$C$21, $C$9, 100%, $E$9)</f>
        <v>14.3613</v>
      </c>
      <c r="H315" s="17">
        <f>CHOOSE(CONTROL!$C$42, 14.4774, 14.4774) * CHOOSE(CONTROL!$C$21, $C$9, 100%, $E$9)</f>
        <v>14.477399999999999</v>
      </c>
      <c r="I315" s="17">
        <f>CHOOSE(CONTROL!$C$42, 14.4, 14.4)* CHOOSE(CONTROL!$C$21, $C$9, 100%, $E$9)</f>
        <v>14.4</v>
      </c>
      <c r="J315" s="17">
        <f>CHOOSE(CONTROL!$C$42, 14.3378, 14.3378)* CHOOSE(CONTROL!$C$21, $C$9, 100%, $E$9)</f>
        <v>14.3378</v>
      </c>
      <c r="K315" s="53">
        <f>CHOOSE(CONTROL!$C$42, 14.394, 14.394) * CHOOSE(CONTROL!$C$21, $C$9, 100%, $E$9)</f>
        <v>14.394</v>
      </c>
      <c r="L315" s="17">
        <f>CHOOSE(CONTROL!$C$42, 15.0644, 15.0644) * CHOOSE(CONTROL!$C$21, $C$9, 100%, $E$9)</f>
        <v>15.064399999999999</v>
      </c>
      <c r="M315" s="17">
        <f>CHOOSE(CONTROL!$C$42, 14.2158, 14.2158) * CHOOSE(CONTROL!$C$21, $C$9, 100%, $E$9)</f>
        <v>14.2158</v>
      </c>
      <c r="N315" s="17">
        <f>CHOOSE(CONTROL!$C$42, 14.2318, 14.2318) * CHOOSE(CONTROL!$C$21, $C$9, 100%, $E$9)</f>
        <v>14.2318</v>
      </c>
      <c r="O315" s="17">
        <f>CHOOSE(CONTROL!$C$42, 14.3542, 14.3542) * CHOOSE(CONTROL!$C$21, $C$9, 100%, $E$9)</f>
        <v>14.354200000000001</v>
      </c>
      <c r="P315" s="17">
        <f>CHOOSE(CONTROL!$C$42, 14.2772, 14.2772) * CHOOSE(CONTROL!$C$21, $C$9, 100%, $E$9)</f>
        <v>14.277200000000001</v>
      </c>
      <c r="Q315" s="17">
        <f>CHOOSE(CONTROL!$C$42, 14.9489, 14.9489) * CHOOSE(CONTROL!$C$21, $C$9, 100%, $E$9)</f>
        <v>14.9489</v>
      </c>
      <c r="R315" s="17">
        <f>CHOOSE(CONTROL!$C$42, 15.5732, 15.5732) * CHOOSE(CONTROL!$C$21, $C$9, 100%, $E$9)</f>
        <v>15.5732</v>
      </c>
      <c r="S315" s="17">
        <f>CHOOSE(CONTROL!$C$42, 13.8884, 13.8884) * CHOOSE(CONTROL!$C$21, $C$9, 100%, $E$9)</f>
        <v>13.888400000000001</v>
      </c>
      <c r="T315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315" s="57">
        <f>(1000*CHOOSE(CONTROL!$C$42, 695, 695)*CHOOSE(CONTROL!$C$42, 0.5599, 0.5599)*CHOOSE(CONTROL!$C$42, 31, 31))/1000000</f>
        <v>12.063045499999998</v>
      </c>
      <c r="V315" s="57">
        <f>(1000*CHOOSE(CONTROL!$C$42, 500, 500)*CHOOSE(CONTROL!$C$42, 0.275, 0.275)*CHOOSE(CONTROL!$C$42, 31, 31))/1000000</f>
        <v>4.2625000000000002</v>
      </c>
      <c r="W315" s="57">
        <f>(1000*CHOOSE(CONTROL!$C$42, 0.0916, 0.0916)*CHOOSE(CONTROL!$C$42, 121.5, 121.5)*CHOOSE(CONTROL!$C$42, 31, 31))/1000000</f>
        <v>0.34501139999999997</v>
      </c>
      <c r="X315" s="57">
        <f>(31*0.2374*100000/1000000)</f>
        <v>0.73594000000000004</v>
      </c>
      <c r="Y315" s="57"/>
      <c r="Z315" s="17"/>
      <c r="AA315" s="56"/>
      <c r="AB315" s="49">
        <f>(B315*122.58+C315*297.941+D315*89.177+E315*140.302+F315*40+G315*60+H315*0+I315*100+J315*300)/(122.58+297.941+89.177+140.302+0+40+60+100+300)</f>
        <v>14.371416421043477</v>
      </c>
      <c r="AC315" s="46">
        <f>(M315*'RAP TEMPLATE-GAS AVAILABILITY'!O314+N315*'RAP TEMPLATE-GAS AVAILABILITY'!P314+O315*'RAP TEMPLATE-GAS AVAILABILITY'!Q314+P315*'RAP TEMPLATE-GAS AVAILABILITY'!R314)/('RAP TEMPLATE-GAS AVAILABILITY'!O314+'RAP TEMPLATE-GAS AVAILABILITY'!P314+'RAP TEMPLATE-GAS AVAILABILITY'!Q314+'RAP TEMPLATE-GAS AVAILABILITY'!R314)</f>
        <v>14.28828345323741</v>
      </c>
    </row>
    <row r="316" spans="1:29" ht="15.75" x14ac:dyDescent="0.25">
      <c r="A316" s="14">
        <v>50525</v>
      </c>
      <c r="B316" s="17">
        <f>CHOOSE(CONTROL!$C$42, 14.2903, 14.2903) * CHOOSE(CONTROL!$C$21, $C$9, 100%, $E$9)</f>
        <v>14.2903</v>
      </c>
      <c r="C316" s="17">
        <f>CHOOSE(CONTROL!$C$42, 14.2948, 14.2948) * CHOOSE(CONTROL!$C$21, $C$9, 100%, $E$9)</f>
        <v>14.2948</v>
      </c>
      <c r="D316" s="17">
        <f>CHOOSE(CONTROL!$C$42, 14.5475, 14.5475) * CHOOSE(CONTROL!$C$21, $C$9, 100%, $E$9)</f>
        <v>14.547499999999999</v>
      </c>
      <c r="E316" s="17">
        <f>CHOOSE(CONTROL!$C$42, 14.5793, 14.5793) * CHOOSE(CONTROL!$C$21, $C$9, 100%, $E$9)</f>
        <v>14.5793</v>
      </c>
      <c r="F316" s="17">
        <f>CHOOSE(CONTROL!$C$42, 14.2963, 14.2963)*CHOOSE(CONTROL!$C$21, $C$9, 100%, $E$9)</f>
        <v>14.2963</v>
      </c>
      <c r="G316" s="17">
        <f>CHOOSE(CONTROL!$C$42, 14.3121, 14.3121)*CHOOSE(CONTROL!$C$21, $C$9, 100%, $E$9)</f>
        <v>14.312099999999999</v>
      </c>
      <c r="H316" s="17">
        <f>CHOOSE(CONTROL!$C$42, 14.5688, 14.5688) * CHOOSE(CONTROL!$C$21, $C$9, 100%, $E$9)</f>
        <v>14.5688</v>
      </c>
      <c r="I316" s="17">
        <f>CHOOSE(CONTROL!$C$42, 14.3562, 14.3562)* CHOOSE(CONTROL!$C$21, $C$9, 100%, $E$9)</f>
        <v>14.356199999999999</v>
      </c>
      <c r="J316" s="17">
        <f>CHOOSE(CONTROL!$C$42, 14.2889, 14.2889)* CHOOSE(CONTROL!$C$21, $C$9, 100%, $E$9)</f>
        <v>14.2889</v>
      </c>
      <c r="K316" s="53">
        <f>CHOOSE(CONTROL!$C$42, 14.3502, 14.3502) * CHOOSE(CONTROL!$C$21, $C$9, 100%, $E$9)</f>
        <v>14.350199999999999</v>
      </c>
      <c r="L316" s="17">
        <f>CHOOSE(CONTROL!$C$42, 15.1558, 15.1558) * CHOOSE(CONTROL!$C$21, $C$9, 100%, $E$9)</f>
        <v>15.155799999999999</v>
      </c>
      <c r="M316" s="17">
        <f>CHOOSE(CONTROL!$C$42, 14.1674, 14.1674) * CHOOSE(CONTROL!$C$21, $C$9, 100%, $E$9)</f>
        <v>14.167400000000001</v>
      </c>
      <c r="N316" s="17">
        <f>CHOOSE(CONTROL!$C$42, 14.1831, 14.1831) * CHOOSE(CONTROL!$C$21, $C$9, 100%, $E$9)</f>
        <v>14.1831</v>
      </c>
      <c r="O316" s="17">
        <f>CHOOSE(CONTROL!$C$42, 14.4447, 14.4447) * CHOOSE(CONTROL!$C$21, $C$9, 100%, $E$9)</f>
        <v>14.444699999999999</v>
      </c>
      <c r="P316" s="17">
        <f>CHOOSE(CONTROL!$C$42, 14.2338, 14.2338) * CHOOSE(CONTROL!$C$21, $C$9, 100%, $E$9)</f>
        <v>14.2338</v>
      </c>
      <c r="Q316" s="17">
        <f>CHOOSE(CONTROL!$C$42, 15.0394, 15.0394) * CHOOSE(CONTROL!$C$21, $C$9, 100%, $E$9)</f>
        <v>15.039400000000001</v>
      </c>
      <c r="R316" s="17">
        <f>CHOOSE(CONTROL!$C$42, 15.664, 15.664) * CHOOSE(CONTROL!$C$21, $C$9, 100%, $E$9)</f>
        <v>15.664</v>
      </c>
      <c r="S316" s="17">
        <f>CHOOSE(CONTROL!$C$42, 13.847, 13.847) * CHOOSE(CONTROL!$C$21, $C$9, 100%, $E$9)</f>
        <v>13.847</v>
      </c>
      <c r="T316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316" s="57">
        <f>(1000*CHOOSE(CONTROL!$C$42, 695, 695)*CHOOSE(CONTROL!$C$42, 0.5599, 0.5599)*CHOOSE(CONTROL!$C$42, 30, 30))/1000000</f>
        <v>11.673914999999997</v>
      </c>
      <c r="V316" s="57">
        <f>(1000*CHOOSE(CONTROL!$C$42, 500, 500)*CHOOSE(CONTROL!$C$42, 0.275, 0.275)*CHOOSE(CONTROL!$C$42, 30, 30))/1000000</f>
        <v>4.125</v>
      </c>
      <c r="W316" s="57">
        <f>(1000*CHOOSE(CONTROL!$C$42, 0.0916, 0.0916)*CHOOSE(CONTROL!$C$42, 121.5, 121.5)*CHOOSE(CONTROL!$C$42, 30, 30))/1000000</f>
        <v>0.33388200000000001</v>
      </c>
      <c r="X316" s="57">
        <f>(30*0.1790888*145000/1000000)+(30*0.2374*100000/1000000)</f>
        <v>1.4912362799999999</v>
      </c>
      <c r="Y316" s="57"/>
      <c r="Z316" s="17"/>
      <c r="AA316" s="56"/>
      <c r="AB316" s="49">
        <f>(B316*141.293+C316*267.993+D316*115.016+E316*189.698+F316*40+G316*85+H316*0+I316*100+J316*300)/(141.293+267.993+115.016+189.698+0+40+85+100+300)</f>
        <v>14.366065783454401</v>
      </c>
      <c r="AC316" s="46">
        <f>(M316*'RAP TEMPLATE-GAS AVAILABILITY'!O315+N316*'RAP TEMPLATE-GAS AVAILABILITY'!P315+O316*'RAP TEMPLATE-GAS AVAILABILITY'!Q315+P316*'RAP TEMPLATE-GAS AVAILABILITY'!R315)/('RAP TEMPLATE-GAS AVAILABILITY'!O315+'RAP TEMPLATE-GAS AVAILABILITY'!P315+'RAP TEMPLATE-GAS AVAILABILITY'!Q315+'RAP TEMPLATE-GAS AVAILABILITY'!R315)</f>
        <v>14.258371942446045</v>
      </c>
    </row>
    <row r="317" spans="1:29" ht="15.75" x14ac:dyDescent="0.25">
      <c r="A317" s="14">
        <v>50556</v>
      </c>
      <c r="B317" s="17">
        <f>CHOOSE(CONTROL!$C$42, 14.4177, 14.4177) * CHOOSE(CONTROL!$C$21, $C$9, 100%, $E$9)</f>
        <v>14.4177</v>
      </c>
      <c r="C317" s="17">
        <f>CHOOSE(CONTROL!$C$42, 14.4257, 14.4257) * CHOOSE(CONTROL!$C$21, $C$9, 100%, $E$9)</f>
        <v>14.425700000000001</v>
      </c>
      <c r="D317" s="17">
        <f>CHOOSE(CONTROL!$C$42, 14.6753, 14.6753) * CHOOSE(CONTROL!$C$21, $C$9, 100%, $E$9)</f>
        <v>14.6753</v>
      </c>
      <c r="E317" s="17">
        <f>CHOOSE(CONTROL!$C$42, 14.7065, 14.7065) * CHOOSE(CONTROL!$C$21, $C$9, 100%, $E$9)</f>
        <v>14.7065</v>
      </c>
      <c r="F317" s="17">
        <f>CHOOSE(CONTROL!$C$42, 14.4225, 14.4225)*CHOOSE(CONTROL!$C$21, $C$9, 100%, $E$9)</f>
        <v>14.422499999999999</v>
      </c>
      <c r="G317" s="17">
        <f>CHOOSE(CONTROL!$C$42, 14.4387, 14.4387)*CHOOSE(CONTROL!$C$21, $C$9, 100%, $E$9)</f>
        <v>14.438700000000001</v>
      </c>
      <c r="H317" s="17">
        <f>CHOOSE(CONTROL!$C$42, 14.6948, 14.6948) * CHOOSE(CONTROL!$C$21, $C$9, 100%, $E$9)</f>
        <v>14.694800000000001</v>
      </c>
      <c r="I317" s="17">
        <f>CHOOSE(CONTROL!$C$42, 14.4826, 14.4826)* CHOOSE(CONTROL!$C$21, $C$9, 100%, $E$9)</f>
        <v>14.4826</v>
      </c>
      <c r="J317" s="17">
        <f>CHOOSE(CONTROL!$C$42, 14.4151, 14.4151)* CHOOSE(CONTROL!$C$21, $C$9, 100%, $E$9)</f>
        <v>14.415100000000001</v>
      </c>
      <c r="K317" s="53">
        <f>CHOOSE(CONTROL!$C$42, 14.4766, 14.4766) * CHOOSE(CONTROL!$C$21, $C$9, 100%, $E$9)</f>
        <v>14.476599999999999</v>
      </c>
      <c r="L317" s="17">
        <f>CHOOSE(CONTROL!$C$42, 15.2818, 15.2818) * CHOOSE(CONTROL!$C$21, $C$9, 100%, $E$9)</f>
        <v>15.2818</v>
      </c>
      <c r="M317" s="17">
        <f>CHOOSE(CONTROL!$C$42, 14.2925, 14.2925) * CHOOSE(CONTROL!$C$21, $C$9, 100%, $E$9)</f>
        <v>14.2925</v>
      </c>
      <c r="N317" s="17">
        <f>CHOOSE(CONTROL!$C$42, 14.3085, 14.3085) * CHOOSE(CONTROL!$C$21, $C$9, 100%, $E$9)</f>
        <v>14.3085</v>
      </c>
      <c r="O317" s="17">
        <f>CHOOSE(CONTROL!$C$42, 14.5696, 14.5696) * CHOOSE(CONTROL!$C$21, $C$9, 100%, $E$9)</f>
        <v>14.569599999999999</v>
      </c>
      <c r="P317" s="17">
        <f>CHOOSE(CONTROL!$C$42, 14.3591, 14.3591) * CHOOSE(CONTROL!$C$21, $C$9, 100%, $E$9)</f>
        <v>14.3591</v>
      </c>
      <c r="Q317" s="17">
        <f>CHOOSE(CONTROL!$C$42, 15.1643, 15.1643) * CHOOSE(CONTROL!$C$21, $C$9, 100%, $E$9)</f>
        <v>15.164300000000001</v>
      </c>
      <c r="R317" s="17">
        <f>CHOOSE(CONTROL!$C$42, 15.7892, 15.7892) * CHOOSE(CONTROL!$C$21, $C$9, 100%, $E$9)</f>
        <v>15.789199999999999</v>
      </c>
      <c r="S317" s="17">
        <f>CHOOSE(CONTROL!$C$42, 13.9692, 13.9692) * CHOOSE(CONTROL!$C$21, $C$9, 100%, $E$9)</f>
        <v>13.969200000000001</v>
      </c>
      <c r="T317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317" s="57">
        <f>(1000*CHOOSE(CONTROL!$C$42, 695, 695)*CHOOSE(CONTROL!$C$42, 0.5599, 0.5599)*CHOOSE(CONTROL!$C$42, 31, 31))/1000000</f>
        <v>12.063045499999998</v>
      </c>
      <c r="V317" s="57">
        <f>(1000*CHOOSE(CONTROL!$C$42, 500, 500)*CHOOSE(CONTROL!$C$42, 0.275, 0.275)*CHOOSE(CONTROL!$C$42, 31, 31))/1000000</f>
        <v>4.2625000000000002</v>
      </c>
      <c r="W317" s="57">
        <f>(1000*CHOOSE(CONTROL!$C$42, 0.0916, 0.0916)*CHOOSE(CONTROL!$C$42, 121.5, 121.5)*CHOOSE(CONTROL!$C$42, 31, 31))/1000000</f>
        <v>0.34501139999999997</v>
      </c>
      <c r="X317" s="57">
        <f>(31*0.1790888*145000/1000000)+(31*0.2374*100000/1000000)</f>
        <v>1.5409441560000001</v>
      </c>
      <c r="Y317" s="57"/>
      <c r="Z317" s="17"/>
      <c r="AA317" s="56"/>
      <c r="AB317" s="49">
        <f>(B317*194.205+C317*267.466+D317*133.845+E317*153.484+F317*40+G317*85+H317*0+I317*100+J317*300)/(194.205+267.466+133.845+153.484+0+40+85+100+300)</f>
        <v>14.487269371428571</v>
      </c>
      <c r="AC317" s="46">
        <f>(M317*'RAP TEMPLATE-GAS AVAILABILITY'!O316+N317*'RAP TEMPLATE-GAS AVAILABILITY'!P316+O317*'RAP TEMPLATE-GAS AVAILABILITY'!Q316+P317*'RAP TEMPLATE-GAS AVAILABILITY'!R316)/('RAP TEMPLATE-GAS AVAILABILITY'!O316+'RAP TEMPLATE-GAS AVAILABILITY'!P316+'RAP TEMPLATE-GAS AVAILABILITY'!Q316+'RAP TEMPLATE-GAS AVAILABILITY'!R316)</f>
        <v>14.383513669064751</v>
      </c>
    </row>
    <row r="318" spans="1:29" ht="15.75" x14ac:dyDescent="0.25">
      <c r="A318" s="14">
        <v>50586</v>
      </c>
      <c r="B318" s="17">
        <f>CHOOSE(CONTROL!$C$42, 14.8263, 14.8263) * CHOOSE(CONTROL!$C$21, $C$9, 100%, $E$9)</f>
        <v>14.8263</v>
      </c>
      <c r="C318" s="17">
        <f>CHOOSE(CONTROL!$C$42, 14.8343, 14.8343) * CHOOSE(CONTROL!$C$21, $C$9, 100%, $E$9)</f>
        <v>14.834300000000001</v>
      </c>
      <c r="D318" s="17">
        <f>CHOOSE(CONTROL!$C$42, 15.0839, 15.0839) * CHOOSE(CONTROL!$C$21, $C$9, 100%, $E$9)</f>
        <v>15.0839</v>
      </c>
      <c r="E318" s="17">
        <f>CHOOSE(CONTROL!$C$42, 15.1151, 15.1151) * CHOOSE(CONTROL!$C$21, $C$9, 100%, $E$9)</f>
        <v>15.1151</v>
      </c>
      <c r="F318" s="17">
        <f>CHOOSE(CONTROL!$C$42, 14.8315, 14.8315)*CHOOSE(CONTROL!$C$21, $C$9, 100%, $E$9)</f>
        <v>14.8315</v>
      </c>
      <c r="G318" s="17">
        <f>CHOOSE(CONTROL!$C$42, 14.8477, 14.8477)*CHOOSE(CONTROL!$C$21, $C$9, 100%, $E$9)</f>
        <v>14.8477</v>
      </c>
      <c r="H318" s="17">
        <f>CHOOSE(CONTROL!$C$42, 15.1034, 15.1034) * CHOOSE(CONTROL!$C$21, $C$9, 100%, $E$9)</f>
        <v>15.103400000000001</v>
      </c>
      <c r="I318" s="17">
        <f>CHOOSE(CONTROL!$C$42, 14.8925, 14.8925)* CHOOSE(CONTROL!$C$21, $C$9, 100%, $E$9)</f>
        <v>14.8925</v>
      </c>
      <c r="J318" s="17">
        <f>CHOOSE(CONTROL!$C$42, 14.8241, 14.8241)* CHOOSE(CONTROL!$C$21, $C$9, 100%, $E$9)</f>
        <v>14.8241</v>
      </c>
      <c r="K318" s="53">
        <f>CHOOSE(CONTROL!$C$42, 14.8865, 14.8865) * CHOOSE(CONTROL!$C$21, $C$9, 100%, $E$9)</f>
        <v>14.8865</v>
      </c>
      <c r="L318" s="17">
        <f>CHOOSE(CONTROL!$C$42, 15.6904, 15.6904) * CHOOSE(CONTROL!$C$21, $C$9, 100%, $E$9)</f>
        <v>15.6904</v>
      </c>
      <c r="M318" s="17">
        <f>CHOOSE(CONTROL!$C$42, 14.6978, 14.6978) * CHOOSE(CONTROL!$C$21, $C$9, 100%, $E$9)</f>
        <v>14.697800000000001</v>
      </c>
      <c r="N318" s="17">
        <f>CHOOSE(CONTROL!$C$42, 14.7138, 14.7138) * CHOOSE(CONTROL!$C$21, $C$9, 100%, $E$9)</f>
        <v>14.713800000000001</v>
      </c>
      <c r="O318" s="17">
        <f>CHOOSE(CONTROL!$C$42, 14.9746, 14.9746) * CHOOSE(CONTROL!$C$21, $C$9, 100%, $E$9)</f>
        <v>14.974600000000001</v>
      </c>
      <c r="P318" s="17">
        <f>CHOOSE(CONTROL!$C$42, 14.7652, 14.7652) * CHOOSE(CONTROL!$C$21, $C$9, 100%, $E$9)</f>
        <v>14.7652</v>
      </c>
      <c r="Q318" s="17">
        <f>CHOOSE(CONTROL!$C$42, 15.5693, 15.5693) * CHOOSE(CONTROL!$C$21, $C$9, 100%, $E$9)</f>
        <v>15.5693</v>
      </c>
      <c r="R318" s="17">
        <f>CHOOSE(CONTROL!$C$42, 16.1952, 16.1952) * CHOOSE(CONTROL!$C$21, $C$9, 100%, $E$9)</f>
        <v>16.1952</v>
      </c>
      <c r="S318" s="17">
        <f>CHOOSE(CONTROL!$C$42, 14.3655, 14.3655) * CHOOSE(CONTROL!$C$21, $C$9, 100%, $E$9)</f>
        <v>14.365500000000001</v>
      </c>
      <c r="T318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318" s="57">
        <f>(1000*CHOOSE(CONTROL!$C$42, 695, 695)*CHOOSE(CONTROL!$C$42, 0.5599, 0.5599)*CHOOSE(CONTROL!$C$42, 30, 30))/1000000</f>
        <v>11.673914999999997</v>
      </c>
      <c r="V318" s="57">
        <f>(1000*CHOOSE(CONTROL!$C$42, 500, 500)*CHOOSE(CONTROL!$C$42, 0.275, 0.275)*CHOOSE(CONTROL!$C$42, 30, 30))/1000000</f>
        <v>4.125</v>
      </c>
      <c r="W318" s="57">
        <f>(1000*CHOOSE(CONTROL!$C$42, 0.0916, 0.0916)*CHOOSE(CONTROL!$C$42, 121.5, 121.5)*CHOOSE(CONTROL!$C$42, 30, 30))/1000000</f>
        <v>0.33388200000000001</v>
      </c>
      <c r="X318" s="57">
        <f>(30*0.1790888*145000/1000000)+(30*0.2374*100000/1000000)</f>
        <v>1.4912362799999999</v>
      </c>
      <c r="Y318" s="57"/>
      <c r="Z318" s="17"/>
      <c r="AA318" s="56"/>
      <c r="AB318" s="49">
        <f>(B318*194.205+C318*267.466+D318*133.845+E318*153.484+F318*40+G318*85+H318*0+I318*100+J318*300)/(194.205+267.466+133.845+153.484+0+40+85+100+300)</f>
        <v>14.89610485023548</v>
      </c>
      <c r="AC318" s="46">
        <f>(M318*'RAP TEMPLATE-GAS AVAILABILITY'!O317+N318*'RAP TEMPLATE-GAS AVAILABILITY'!P317+O318*'RAP TEMPLATE-GAS AVAILABILITY'!Q317+P318*'RAP TEMPLATE-GAS AVAILABILITY'!R317)/('RAP TEMPLATE-GAS AVAILABILITY'!O317+'RAP TEMPLATE-GAS AVAILABILITY'!P317+'RAP TEMPLATE-GAS AVAILABILITY'!Q317+'RAP TEMPLATE-GAS AVAILABILITY'!R317)</f>
        <v>14.788844604316548</v>
      </c>
    </row>
    <row r="319" spans="1:29" ht="15.75" x14ac:dyDescent="0.25">
      <c r="A319" s="14">
        <v>50617</v>
      </c>
      <c r="B319" s="17">
        <f>CHOOSE(CONTROL!$C$42, 14.5421, 14.5421) * CHOOSE(CONTROL!$C$21, $C$9, 100%, $E$9)</f>
        <v>14.5421</v>
      </c>
      <c r="C319" s="17">
        <f>CHOOSE(CONTROL!$C$42, 14.5501, 14.5501) * CHOOSE(CONTROL!$C$21, $C$9, 100%, $E$9)</f>
        <v>14.5501</v>
      </c>
      <c r="D319" s="17">
        <f>CHOOSE(CONTROL!$C$42, 14.7997, 14.7997) * CHOOSE(CONTROL!$C$21, $C$9, 100%, $E$9)</f>
        <v>14.7997</v>
      </c>
      <c r="E319" s="17">
        <f>CHOOSE(CONTROL!$C$42, 14.8309, 14.8309) * CHOOSE(CONTROL!$C$21, $C$9, 100%, $E$9)</f>
        <v>14.8309</v>
      </c>
      <c r="F319" s="17">
        <f>CHOOSE(CONTROL!$C$42, 14.5478, 14.5478)*CHOOSE(CONTROL!$C$21, $C$9, 100%, $E$9)</f>
        <v>14.547800000000001</v>
      </c>
      <c r="G319" s="17">
        <f>CHOOSE(CONTROL!$C$42, 14.5641, 14.5641)*CHOOSE(CONTROL!$C$21, $C$9, 100%, $E$9)</f>
        <v>14.5641</v>
      </c>
      <c r="H319" s="17">
        <f>CHOOSE(CONTROL!$C$42, 14.8192, 14.8192) * CHOOSE(CONTROL!$C$21, $C$9, 100%, $E$9)</f>
        <v>14.8192</v>
      </c>
      <c r="I319" s="17">
        <f>CHOOSE(CONTROL!$C$42, 14.6075, 14.6075)* CHOOSE(CONTROL!$C$21, $C$9, 100%, $E$9)</f>
        <v>14.6075</v>
      </c>
      <c r="J319" s="17">
        <f>CHOOSE(CONTROL!$C$42, 14.5404, 14.5404)* CHOOSE(CONTROL!$C$21, $C$9, 100%, $E$9)</f>
        <v>14.5404</v>
      </c>
      <c r="K319" s="53">
        <f>CHOOSE(CONTROL!$C$42, 14.6014, 14.6014) * CHOOSE(CONTROL!$C$21, $C$9, 100%, $E$9)</f>
        <v>14.6014</v>
      </c>
      <c r="L319" s="17">
        <f>CHOOSE(CONTROL!$C$42, 15.4062, 15.4062) * CHOOSE(CONTROL!$C$21, $C$9, 100%, $E$9)</f>
        <v>15.4062</v>
      </c>
      <c r="M319" s="17">
        <f>CHOOSE(CONTROL!$C$42, 14.4166, 14.4166) * CHOOSE(CONTROL!$C$21, $C$9, 100%, $E$9)</f>
        <v>14.416600000000001</v>
      </c>
      <c r="N319" s="17">
        <f>CHOOSE(CONTROL!$C$42, 14.4328, 14.4328) * CHOOSE(CONTROL!$C$21, $C$9, 100%, $E$9)</f>
        <v>14.4328</v>
      </c>
      <c r="O319" s="17">
        <f>CHOOSE(CONTROL!$C$42, 14.6929, 14.6929) * CHOOSE(CONTROL!$C$21, $C$9, 100%, $E$9)</f>
        <v>14.6929</v>
      </c>
      <c r="P319" s="17">
        <f>CHOOSE(CONTROL!$C$42, 14.4827, 14.4827) * CHOOSE(CONTROL!$C$21, $C$9, 100%, $E$9)</f>
        <v>14.482699999999999</v>
      </c>
      <c r="Q319" s="17">
        <f>CHOOSE(CONTROL!$C$42, 15.2876, 15.2876) * CHOOSE(CONTROL!$C$21, $C$9, 100%, $E$9)</f>
        <v>15.287599999999999</v>
      </c>
      <c r="R319" s="17">
        <f>CHOOSE(CONTROL!$C$42, 15.9129, 15.9129) * CHOOSE(CONTROL!$C$21, $C$9, 100%, $E$9)</f>
        <v>15.9129</v>
      </c>
      <c r="S319" s="17">
        <f>CHOOSE(CONTROL!$C$42, 14.0899, 14.0899) * CHOOSE(CONTROL!$C$21, $C$9, 100%, $E$9)</f>
        <v>14.0899</v>
      </c>
      <c r="T319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319" s="57">
        <f>(1000*CHOOSE(CONTROL!$C$42, 695, 695)*CHOOSE(CONTROL!$C$42, 0.5599, 0.5599)*CHOOSE(CONTROL!$C$42, 31, 31))/1000000</f>
        <v>12.063045499999998</v>
      </c>
      <c r="V319" s="57">
        <f>(1000*CHOOSE(CONTROL!$C$42, 500, 500)*CHOOSE(CONTROL!$C$42, 0.275, 0.275)*CHOOSE(CONTROL!$C$42, 31, 31))/1000000</f>
        <v>4.2625000000000002</v>
      </c>
      <c r="W319" s="57">
        <f>(1000*CHOOSE(CONTROL!$C$42, 0.0916, 0.0916)*CHOOSE(CONTROL!$C$42, 121.5, 121.5)*CHOOSE(CONTROL!$C$42, 31, 31))/1000000</f>
        <v>0.34501139999999997</v>
      </c>
      <c r="X319" s="57">
        <f>(31*0.1790888*145000/1000000)+(31*0.2374*100000/1000000)</f>
        <v>1.5409441560000001</v>
      </c>
      <c r="Y319" s="57"/>
      <c r="Z319" s="17"/>
      <c r="AA319" s="56"/>
      <c r="AB319" s="49">
        <f>(B319*194.205+C319*267.466+D319*133.845+E319*153.484+F319*40+G319*85+H319*0+I319*100+J319*300)/(194.205+267.466+133.845+153.484+0+40+85+100+300)</f>
        <v>14.612015525274726</v>
      </c>
      <c r="AC319" s="46">
        <f>(M319*'RAP TEMPLATE-GAS AVAILABILITY'!O318+N319*'RAP TEMPLATE-GAS AVAILABILITY'!P318+O319*'RAP TEMPLATE-GAS AVAILABILITY'!Q318+P319*'RAP TEMPLATE-GAS AVAILABILITY'!R318)/('RAP TEMPLATE-GAS AVAILABILITY'!O318+'RAP TEMPLATE-GAS AVAILABILITY'!P318+'RAP TEMPLATE-GAS AVAILABILITY'!Q318+'RAP TEMPLATE-GAS AVAILABILITY'!R318)</f>
        <v>14.507363309352518</v>
      </c>
    </row>
    <row r="320" spans="1:29" ht="15.75" x14ac:dyDescent="0.25">
      <c r="A320" s="14">
        <v>50648</v>
      </c>
      <c r="B320" s="17">
        <f>CHOOSE(CONTROL!$C$42, 13.8244, 13.8244) * CHOOSE(CONTROL!$C$21, $C$9, 100%, $E$9)</f>
        <v>13.824400000000001</v>
      </c>
      <c r="C320" s="17">
        <f>CHOOSE(CONTROL!$C$42, 13.8324, 13.8324) * CHOOSE(CONTROL!$C$21, $C$9, 100%, $E$9)</f>
        <v>13.8324</v>
      </c>
      <c r="D320" s="17">
        <f>CHOOSE(CONTROL!$C$42, 14.082, 14.082) * CHOOSE(CONTROL!$C$21, $C$9, 100%, $E$9)</f>
        <v>14.082000000000001</v>
      </c>
      <c r="E320" s="17">
        <f>CHOOSE(CONTROL!$C$42, 14.1132, 14.1132) * CHOOSE(CONTROL!$C$21, $C$9, 100%, $E$9)</f>
        <v>14.113200000000001</v>
      </c>
      <c r="F320" s="17">
        <f>CHOOSE(CONTROL!$C$42, 13.8304, 13.8304)*CHOOSE(CONTROL!$C$21, $C$9, 100%, $E$9)</f>
        <v>13.830399999999999</v>
      </c>
      <c r="G320" s="17">
        <f>CHOOSE(CONTROL!$C$42, 13.8468, 13.8468)*CHOOSE(CONTROL!$C$21, $C$9, 100%, $E$9)</f>
        <v>13.8468</v>
      </c>
      <c r="H320" s="17">
        <f>CHOOSE(CONTROL!$C$42, 14.1015, 14.1015) * CHOOSE(CONTROL!$C$21, $C$9, 100%, $E$9)</f>
        <v>14.1015</v>
      </c>
      <c r="I320" s="17">
        <f>CHOOSE(CONTROL!$C$42, 13.8876, 13.8876)* CHOOSE(CONTROL!$C$21, $C$9, 100%, $E$9)</f>
        <v>13.887600000000001</v>
      </c>
      <c r="J320" s="17">
        <f>CHOOSE(CONTROL!$C$42, 13.823, 13.823)* CHOOSE(CONTROL!$C$21, $C$9, 100%, $E$9)</f>
        <v>13.823</v>
      </c>
      <c r="K320" s="53">
        <f>CHOOSE(CONTROL!$C$42, 13.8815, 13.8815) * CHOOSE(CONTROL!$C$21, $C$9, 100%, $E$9)</f>
        <v>13.881500000000001</v>
      </c>
      <c r="L320" s="17">
        <f>CHOOSE(CONTROL!$C$42, 14.6885, 14.6885) * CHOOSE(CONTROL!$C$21, $C$9, 100%, $E$9)</f>
        <v>14.688499999999999</v>
      </c>
      <c r="M320" s="17">
        <f>CHOOSE(CONTROL!$C$42, 13.7057, 13.7057) * CHOOSE(CONTROL!$C$21, $C$9, 100%, $E$9)</f>
        <v>13.7057</v>
      </c>
      <c r="N320" s="17">
        <f>CHOOSE(CONTROL!$C$42, 13.7219, 13.7219) * CHOOSE(CONTROL!$C$21, $C$9, 100%, $E$9)</f>
        <v>13.7219</v>
      </c>
      <c r="O320" s="17">
        <f>CHOOSE(CONTROL!$C$42, 13.9817, 13.9817) * CHOOSE(CONTROL!$C$21, $C$9, 100%, $E$9)</f>
        <v>13.9817</v>
      </c>
      <c r="P320" s="17">
        <f>CHOOSE(CONTROL!$C$42, 13.7693, 13.7693) * CHOOSE(CONTROL!$C$21, $C$9, 100%, $E$9)</f>
        <v>13.769299999999999</v>
      </c>
      <c r="Q320" s="17">
        <f>CHOOSE(CONTROL!$C$42, 14.5764, 14.5764) * CHOOSE(CONTROL!$C$21, $C$9, 100%, $E$9)</f>
        <v>14.5764</v>
      </c>
      <c r="R320" s="17">
        <f>CHOOSE(CONTROL!$C$42, 15.1999, 15.1999) * CHOOSE(CONTROL!$C$21, $C$9, 100%, $E$9)</f>
        <v>15.1999</v>
      </c>
      <c r="S320" s="17">
        <f>CHOOSE(CONTROL!$C$42, 13.394, 13.394) * CHOOSE(CONTROL!$C$21, $C$9, 100%, $E$9)</f>
        <v>13.394</v>
      </c>
      <c r="T320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320" s="57">
        <f>(1000*CHOOSE(CONTROL!$C$42, 695, 695)*CHOOSE(CONTROL!$C$42, 0.5599, 0.5599)*CHOOSE(CONTROL!$C$42, 31, 31))/1000000</f>
        <v>12.063045499999998</v>
      </c>
      <c r="V320" s="57">
        <f>(1000*CHOOSE(CONTROL!$C$42, 500, 500)*CHOOSE(CONTROL!$C$42, 0.275, 0.275)*CHOOSE(CONTROL!$C$42, 31, 31))/1000000</f>
        <v>4.2625000000000002</v>
      </c>
      <c r="W320" s="57">
        <f>(1000*CHOOSE(CONTROL!$C$42, 0.0916, 0.0916)*CHOOSE(CONTROL!$C$42, 121.5, 121.5)*CHOOSE(CONTROL!$C$42, 31, 31))/1000000</f>
        <v>0.34501139999999997</v>
      </c>
      <c r="X320" s="57">
        <f>(31*0.1790888*145000/1000000)+(31*0.2374*100000/1000000)</f>
        <v>1.5409441560000001</v>
      </c>
      <c r="Y320" s="57"/>
      <c r="Z320" s="17"/>
      <c r="AA320" s="56"/>
      <c r="AB320" s="49">
        <f>(B320*194.205+C320*267.466+D320*133.845+E320*153.484+F320*40+G320*85+H320*0+I320*100+J320*300)/(194.205+267.466+133.845+153.484+0+40+85+100+300)</f>
        <v>13.894249591208794</v>
      </c>
      <c r="AC320" s="46">
        <f>(M320*'RAP TEMPLATE-GAS AVAILABILITY'!O319+N320*'RAP TEMPLATE-GAS AVAILABILITY'!P319+O320*'RAP TEMPLATE-GAS AVAILABILITY'!Q319+P320*'RAP TEMPLATE-GAS AVAILABILITY'!R319)/('RAP TEMPLATE-GAS AVAILABILITY'!O319+'RAP TEMPLATE-GAS AVAILABILITY'!P319+'RAP TEMPLATE-GAS AVAILABILITY'!Q319+'RAP TEMPLATE-GAS AVAILABILITY'!R319)</f>
        <v>13.796019424460432</v>
      </c>
    </row>
    <row r="321" spans="1:29" ht="15.75" x14ac:dyDescent="0.25">
      <c r="A321" s="14">
        <v>50678</v>
      </c>
      <c r="B321" s="17">
        <f>CHOOSE(CONTROL!$C$42, 12.9473, 12.9473) * CHOOSE(CONTROL!$C$21, $C$9, 100%, $E$9)</f>
        <v>12.9473</v>
      </c>
      <c r="C321" s="17">
        <f>CHOOSE(CONTROL!$C$42, 12.9553, 12.9553) * CHOOSE(CONTROL!$C$21, $C$9, 100%, $E$9)</f>
        <v>12.955299999999999</v>
      </c>
      <c r="D321" s="17">
        <f>CHOOSE(CONTROL!$C$42, 13.2049, 13.2049) * CHOOSE(CONTROL!$C$21, $C$9, 100%, $E$9)</f>
        <v>13.2049</v>
      </c>
      <c r="E321" s="17">
        <f>CHOOSE(CONTROL!$C$42, 13.2361, 13.2361) * CHOOSE(CONTROL!$C$21, $C$9, 100%, $E$9)</f>
        <v>13.2361</v>
      </c>
      <c r="F321" s="17">
        <f>CHOOSE(CONTROL!$C$42, 12.9533, 12.9533)*CHOOSE(CONTROL!$C$21, $C$9, 100%, $E$9)</f>
        <v>12.9533</v>
      </c>
      <c r="G321" s="17">
        <f>CHOOSE(CONTROL!$C$42, 12.9698, 12.9698)*CHOOSE(CONTROL!$C$21, $C$9, 100%, $E$9)</f>
        <v>12.969799999999999</v>
      </c>
      <c r="H321" s="17">
        <f>CHOOSE(CONTROL!$C$42, 13.2244, 13.2244) * CHOOSE(CONTROL!$C$21, $C$9, 100%, $E$9)</f>
        <v>13.224399999999999</v>
      </c>
      <c r="I321" s="17">
        <f>CHOOSE(CONTROL!$C$42, 13.0077, 13.0077)* CHOOSE(CONTROL!$C$21, $C$9, 100%, $E$9)</f>
        <v>13.0077</v>
      </c>
      <c r="J321" s="17">
        <f>CHOOSE(CONTROL!$C$42, 12.9459, 12.9459)* CHOOSE(CONTROL!$C$21, $C$9, 100%, $E$9)</f>
        <v>12.9459</v>
      </c>
      <c r="K321" s="53">
        <f>CHOOSE(CONTROL!$C$42, 13.0017, 13.0017) * CHOOSE(CONTROL!$C$21, $C$9, 100%, $E$9)</f>
        <v>13.0017</v>
      </c>
      <c r="L321" s="17">
        <f>CHOOSE(CONTROL!$C$42, 13.8114, 13.8114) * CHOOSE(CONTROL!$C$21, $C$9, 100%, $E$9)</f>
        <v>13.811400000000001</v>
      </c>
      <c r="M321" s="17">
        <f>CHOOSE(CONTROL!$C$42, 12.8365, 12.8365) * CHOOSE(CONTROL!$C$21, $C$9, 100%, $E$9)</f>
        <v>12.836499999999999</v>
      </c>
      <c r="N321" s="17">
        <f>CHOOSE(CONTROL!$C$42, 12.8528, 12.8528) * CHOOSE(CONTROL!$C$21, $C$9, 100%, $E$9)</f>
        <v>12.8528</v>
      </c>
      <c r="O321" s="17">
        <f>CHOOSE(CONTROL!$C$42, 13.1125, 13.1125) * CHOOSE(CONTROL!$C$21, $C$9, 100%, $E$9)</f>
        <v>13.112500000000001</v>
      </c>
      <c r="P321" s="17">
        <f>CHOOSE(CONTROL!$C$42, 12.8975, 12.8975) * CHOOSE(CONTROL!$C$21, $C$9, 100%, $E$9)</f>
        <v>12.897500000000001</v>
      </c>
      <c r="Q321" s="17">
        <f>CHOOSE(CONTROL!$C$42, 13.7072, 13.7072) * CHOOSE(CONTROL!$C$21, $C$9, 100%, $E$9)</f>
        <v>13.7072</v>
      </c>
      <c r="R321" s="17">
        <f>CHOOSE(CONTROL!$C$42, 14.3285, 14.3285) * CHOOSE(CONTROL!$C$21, $C$9, 100%, $E$9)</f>
        <v>14.3285</v>
      </c>
      <c r="S321" s="17">
        <f>CHOOSE(CONTROL!$C$42, 12.5435, 12.5435) * CHOOSE(CONTROL!$C$21, $C$9, 100%, $E$9)</f>
        <v>12.5435</v>
      </c>
      <c r="T321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321" s="57">
        <f>(1000*CHOOSE(CONTROL!$C$42, 695, 695)*CHOOSE(CONTROL!$C$42, 0.5599, 0.5599)*CHOOSE(CONTROL!$C$42, 30, 30))/1000000</f>
        <v>11.673914999999997</v>
      </c>
      <c r="V321" s="57">
        <f>(1000*CHOOSE(CONTROL!$C$42, 500, 500)*CHOOSE(CONTROL!$C$42, 0.275, 0.275)*CHOOSE(CONTROL!$C$42, 30, 30))/1000000</f>
        <v>4.125</v>
      </c>
      <c r="W321" s="57">
        <f>(1000*CHOOSE(CONTROL!$C$42, 0.0916, 0.0916)*CHOOSE(CONTROL!$C$42, 121.5, 121.5)*CHOOSE(CONTROL!$C$42, 30, 30))/1000000</f>
        <v>0.33388200000000001</v>
      </c>
      <c r="X321" s="57">
        <f>(30*0.1790888*145000/1000000)+(30*0.2374*100000/1000000)</f>
        <v>1.4912362799999999</v>
      </c>
      <c r="Y321" s="57"/>
      <c r="Z321" s="17"/>
      <c r="AA321" s="56"/>
      <c r="AB321" s="49">
        <f>(B321*194.205+C321*267.466+D321*133.845+E321*153.484+F321*40+G321*85+H321*0+I321*100+J321*300)/(194.205+267.466+133.845+153.484+0+40+85+100+300)</f>
        <v>13.016936482888541</v>
      </c>
      <c r="AC321" s="46">
        <f>(M321*'RAP TEMPLATE-GAS AVAILABILITY'!O320+N321*'RAP TEMPLATE-GAS AVAILABILITY'!P320+O321*'RAP TEMPLATE-GAS AVAILABILITY'!Q320+P321*'RAP TEMPLATE-GAS AVAILABILITY'!R320)/('RAP TEMPLATE-GAS AVAILABILITY'!O320+'RAP TEMPLATE-GAS AVAILABILITY'!P320+'RAP TEMPLATE-GAS AVAILABILITY'!Q320+'RAP TEMPLATE-GAS AVAILABILITY'!R320)</f>
        <v>12.926468345323739</v>
      </c>
    </row>
    <row r="322" spans="1:29" ht="15.75" x14ac:dyDescent="0.25">
      <c r="A322" s="14">
        <v>50709</v>
      </c>
      <c r="B322" s="17">
        <f>CHOOSE(CONTROL!$C$42, 12.683, 12.683) * CHOOSE(CONTROL!$C$21, $C$9, 100%, $E$9)</f>
        <v>12.683</v>
      </c>
      <c r="C322" s="17">
        <f>CHOOSE(CONTROL!$C$42, 12.6883, 12.6883) * CHOOSE(CONTROL!$C$21, $C$9, 100%, $E$9)</f>
        <v>12.6883</v>
      </c>
      <c r="D322" s="17">
        <f>CHOOSE(CONTROL!$C$42, 12.9428, 12.9428) * CHOOSE(CONTROL!$C$21, $C$9, 100%, $E$9)</f>
        <v>12.9428</v>
      </c>
      <c r="E322" s="17">
        <f>CHOOSE(CONTROL!$C$42, 12.9717, 12.9717) * CHOOSE(CONTROL!$C$21, $C$9, 100%, $E$9)</f>
        <v>12.9717</v>
      </c>
      <c r="F322" s="17">
        <f>CHOOSE(CONTROL!$C$42, 12.6912, 12.6912)*CHOOSE(CONTROL!$C$21, $C$9, 100%, $E$9)</f>
        <v>12.6912</v>
      </c>
      <c r="G322" s="17">
        <f>CHOOSE(CONTROL!$C$42, 12.7075, 12.7075)*CHOOSE(CONTROL!$C$21, $C$9, 100%, $E$9)</f>
        <v>12.7075</v>
      </c>
      <c r="H322" s="17">
        <f>CHOOSE(CONTROL!$C$42, 12.9618, 12.9618) * CHOOSE(CONTROL!$C$21, $C$9, 100%, $E$9)</f>
        <v>12.9618</v>
      </c>
      <c r="I322" s="17">
        <f>CHOOSE(CONTROL!$C$42, 12.7443, 12.7443)* CHOOSE(CONTROL!$C$21, $C$9, 100%, $E$9)</f>
        <v>12.744300000000001</v>
      </c>
      <c r="J322" s="17">
        <f>CHOOSE(CONTROL!$C$42, 12.6838, 12.6838)* CHOOSE(CONTROL!$C$21, $C$9, 100%, $E$9)</f>
        <v>12.6838</v>
      </c>
      <c r="K322" s="53">
        <f>CHOOSE(CONTROL!$C$42, 12.7383, 12.7383) * CHOOSE(CONTROL!$C$21, $C$9, 100%, $E$9)</f>
        <v>12.738300000000001</v>
      </c>
      <c r="L322" s="17">
        <f>CHOOSE(CONTROL!$C$42, 13.5488, 13.5488) * CHOOSE(CONTROL!$C$21, $C$9, 100%, $E$9)</f>
        <v>13.5488</v>
      </c>
      <c r="M322" s="17">
        <f>CHOOSE(CONTROL!$C$42, 12.5767, 12.5767) * CHOOSE(CONTROL!$C$21, $C$9, 100%, $E$9)</f>
        <v>12.576700000000001</v>
      </c>
      <c r="N322" s="17">
        <f>CHOOSE(CONTROL!$C$42, 12.5929, 12.5929) * CHOOSE(CONTROL!$C$21, $C$9, 100%, $E$9)</f>
        <v>12.5929</v>
      </c>
      <c r="O322" s="17">
        <f>CHOOSE(CONTROL!$C$42, 12.8522, 12.8522) * CHOOSE(CONTROL!$C$21, $C$9, 100%, $E$9)</f>
        <v>12.8522</v>
      </c>
      <c r="P322" s="17">
        <f>CHOOSE(CONTROL!$C$42, 12.6364, 12.6364) * CHOOSE(CONTROL!$C$21, $C$9, 100%, $E$9)</f>
        <v>12.6364</v>
      </c>
      <c r="Q322" s="17">
        <f>CHOOSE(CONTROL!$C$42, 13.4469, 13.4469) * CHOOSE(CONTROL!$C$21, $C$9, 100%, $E$9)</f>
        <v>13.446899999999999</v>
      </c>
      <c r="R322" s="17">
        <f>CHOOSE(CONTROL!$C$42, 14.0676, 14.0676) * CHOOSE(CONTROL!$C$21, $C$9, 100%, $E$9)</f>
        <v>14.067600000000001</v>
      </c>
      <c r="S322" s="17">
        <f>CHOOSE(CONTROL!$C$42, 12.2888, 12.2888) * CHOOSE(CONTROL!$C$21, $C$9, 100%, $E$9)</f>
        <v>12.2888</v>
      </c>
      <c r="T322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322" s="57">
        <f>(1000*CHOOSE(CONTROL!$C$42, 695, 695)*CHOOSE(CONTROL!$C$42, 0.5599, 0.5599)*CHOOSE(CONTROL!$C$42, 31, 31))/1000000</f>
        <v>12.063045499999998</v>
      </c>
      <c r="V322" s="57">
        <f>(1000*CHOOSE(CONTROL!$C$42, 500, 500)*CHOOSE(CONTROL!$C$42, 0.275, 0.275)*CHOOSE(CONTROL!$C$42, 31, 31))/1000000</f>
        <v>4.2625000000000002</v>
      </c>
      <c r="W322" s="57">
        <f>(1000*CHOOSE(CONTROL!$C$42, 0.0916, 0.0916)*CHOOSE(CONTROL!$C$42, 121.5, 121.5)*CHOOSE(CONTROL!$C$42, 31, 31))/1000000</f>
        <v>0.34501139999999997</v>
      </c>
      <c r="X322" s="57">
        <f>(31*0.1790888*145000/1000000)+(31*0.2374*100000/1000000)</f>
        <v>1.5409441560000001</v>
      </c>
      <c r="Y322" s="57"/>
      <c r="Z322" s="17"/>
      <c r="AA322" s="56"/>
      <c r="AB322" s="49">
        <f>(B322*131.881+C322*277.167+D322*79.08+E322*225.872+F322*40+G322*85+H322*0+I322*100+J322*300)/(131.881+277.167+79.08+225.872+0+40+85+100+300)</f>
        <v>12.76048483898305</v>
      </c>
      <c r="AC322" s="46">
        <f>(M322*'RAP TEMPLATE-GAS AVAILABILITY'!O321+N322*'RAP TEMPLATE-GAS AVAILABILITY'!P321+O322*'RAP TEMPLATE-GAS AVAILABILITY'!Q321+P322*'RAP TEMPLATE-GAS AVAILABILITY'!R321)/('RAP TEMPLATE-GAS AVAILABILITY'!O321+'RAP TEMPLATE-GAS AVAILABILITY'!P321+'RAP TEMPLATE-GAS AVAILABILITY'!Q321+'RAP TEMPLATE-GAS AVAILABILITY'!R321)</f>
        <v>12.666317985611512</v>
      </c>
    </row>
    <row r="323" spans="1:29" ht="15.75" x14ac:dyDescent="0.25">
      <c r="A323" s="14">
        <v>50739</v>
      </c>
      <c r="B323" s="17">
        <f>CHOOSE(CONTROL!$C$42, 13.0164, 13.0164) * CHOOSE(CONTROL!$C$21, $C$9, 100%, $E$9)</f>
        <v>13.016400000000001</v>
      </c>
      <c r="C323" s="17">
        <f>CHOOSE(CONTROL!$C$42, 13.0215, 13.0215) * CHOOSE(CONTROL!$C$21, $C$9, 100%, $E$9)</f>
        <v>13.0215</v>
      </c>
      <c r="D323" s="17">
        <f>CHOOSE(CONTROL!$C$42, 13.1441, 13.1441) * CHOOSE(CONTROL!$C$21, $C$9, 100%, $E$9)</f>
        <v>13.1441</v>
      </c>
      <c r="E323" s="17">
        <f>CHOOSE(CONTROL!$C$42, 13.1779, 13.1779) * CHOOSE(CONTROL!$C$21, $C$9, 100%, $E$9)</f>
        <v>13.177899999999999</v>
      </c>
      <c r="F323" s="17">
        <f>CHOOSE(CONTROL!$C$42, 13.0314, 13.0314)*CHOOSE(CONTROL!$C$21, $C$9, 100%, $E$9)</f>
        <v>13.0314</v>
      </c>
      <c r="G323" s="17">
        <f>CHOOSE(CONTROL!$C$42, 13.0481, 13.0481)*CHOOSE(CONTROL!$C$21, $C$9, 100%, $E$9)</f>
        <v>13.0481</v>
      </c>
      <c r="H323" s="17">
        <f>CHOOSE(CONTROL!$C$42, 13.1668, 13.1668) * CHOOSE(CONTROL!$C$21, $C$9, 100%, $E$9)</f>
        <v>13.1668</v>
      </c>
      <c r="I323" s="17">
        <f>CHOOSE(CONTROL!$C$42, 13.0818, 13.0818)* CHOOSE(CONTROL!$C$21, $C$9, 100%, $E$9)</f>
        <v>13.081799999999999</v>
      </c>
      <c r="J323" s="17">
        <f>CHOOSE(CONTROL!$C$42, 13.024, 13.024)* CHOOSE(CONTROL!$C$21, $C$9, 100%, $E$9)</f>
        <v>13.023999999999999</v>
      </c>
      <c r="K323" s="53">
        <f>CHOOSE(CONTROL!$C$42, 13.0757, 13.0757) * CHOOSE(CONTROL!$C$21, $C$9, 100%, $E$9)</f>
        <v>13.075699999999999</v>
      </c>
      <c r="L323" s="17">
        <f>CHOOSE(CONTROL!$C$42, 13.7538, 13.7538) * CHOOSE(CONTROL!$C$21, $C$9, 100%, $E$9)</f>
        <v>13.7538</v>
      </c>
      <c r="M323" s="17">
        <f>CHOOSE(CONTROL!$C$42, 12.9139, 12.9139) * CHOOSE(CONTROL!$C$21, $C$9, 100%, $E$9)</f>
        <v>12.9139</v>
      </c>
      <c r="N323" s="17">
        <f>CHOOSE(CONTROL!$C$42, 12.9304, 12.9304) * CHOOSE(CONTROL!$C$21, $C$9, 100%, $E$9)</f>
        <v>12.930400000000001</v>
      </c>
      <c r="O323" s="17">
        <f>CHOOSE(CONTROL!$C$42, 13.0553, 13.0553) * CHOOSE(CONTROL!$C$21, $C$9, 100%, $E$9)</f>
        <v>13.055300000000001</v>
      </c>
      <c r="P323" s="17">
        <f>CHOOSE(CONTROL!$C$42, 12.9708, 12.9708) * CHOOSE(CONTROL!$C$21, $C$9, 100%, $E$9)</f>
        <v>12.970800000000001</v>
      </c>
      <c r="Q323" s="17">
        <f>CHOOSE(CONTROL!$C$42, 13.65, 13.65) * CHOOSE(CONTROL!$C$21, $C$9, 100%, $E$9)</f>
        <v>13.65</v>
      </c>
      <c r="R323" s="17">
        <f>CHOOSE(CONTROL!$C$42, 14.2712, 14.2712) * CHOOSE(CONTROL!$C$21, $C$9, 100%, $E$9)</f>
        <v>14.2712</v>
      </c>
      <c r="S323" s="17">
        <f>CHOOSE(CONTROL!$C$42, 12.6125, 12.6125) * CHOOSE(CONTROL!$C$21, $C$9, 100%, $E$9)</f>
        <v>12.612500000000001</v>
      </c>
      <c r="T323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323" s="57">
        <f>(1000*CHOOSE(CONTROL!$C$42, 695, 695)*CHOOSE(CONTROL!$C$42, 0.5599, 0.5599)*CHOOSE(CONTROL!$C$42, 30, 30))/1000000</f>
        <v>11.673914999999997</v>
      </c>
      <c r="V323" s="57">
        <f>(1000*CHOOSE(CONTROL!$C$42, 500, 500)*CHOOSE(CONTROL!$C$42, 0.275, 0.275)*CHOOSE(CONTROL!$C$42, 30, 30))/1000000</f>
        <v>4.125</v>
      </c>
      <c r="W323" s="57">
        <f>(1000*CHOOSE(CONTROL!$C$42, 0.0916, 0.0916)*CHOOSE(CONTROL!$C$42, 121.5, 121.5)*CHOOSE(CONTROL!$C$42, 30, 30))/1000000</f>
        <v>0.33388200000000001</v>
      </c>
      <c r="X323" s="57">
        <f>(30*0.2374*100000/1000000)</f>
        <v>0.71220000000000006</v>
      </c>
      <c r="Y323" s="57"/>
      <c r="Z323" s="17"/>
      <c r="AA323" s="56"/>
      <c r="AB323" s="49">
        <f>(B323*122.58+C323*297.941+D323*89.177+E323*140.302+F323*40+G323*60+H323*0+I323*100+J323*300)/(122.58+297.941+89.177+140.302+0+40+60+100+300)</f>
        <v>13.057172326086958</v>
      </c>
      <c r="AC323" s="46">
        <f>(M323*'RAP TEMPLATE-GAS AVAILABILITY'!O322+N323*'RAP TEMPLATE-GAS AVAILABILITY'!P322+O323*'RAP TEMPLATE-GAS AVAILABILITY'!Q322+P323*'RAP TEMPLATE-GAS AVAILABILITY'!R322)/('RAP TEMPLATE-GAS AVAILABILITY'!O322+'RAP TEMPLATE-GAS AVAILABILITY'!P322+'RAP TEMPLATE-GAS AVAILABILITY'!Q322+'RAP TEMPLATE-GAS AVAILABILITY'!R322)</f>
        <v>12.987124460431653</v>
      </c>
    </row>
    <row r="324" spans="1:29" ht="15.75" x14ac:dyDescent="0.25">
      <c r="A324" s="14">
        <v>50770</v>
      </c>
      <c r="B324" s="17">
        <f>CHOOSE(CONTROL!$C$42, 13.9032, 13.9032) * CHOOSE(CONTROL!$C$21, $C$9, 100%, $E$9)</f>
        <v>13.9032</v>
      </c>
      <c r="C324" s="17">
        <f>CHOOSE(CONTROL!$C$42, 13.9082, 13.9082) * CHOOSE(CONTROL!$C$21, $C$9, 100%, $E$9)</f>
        <v>13.908200000000001</v>
      </c>
      <c r="D324" s="17">
        <f>CHOOSE(CONTROL!$C$42, 14.0308, 14.0308) * CHOOSE(CONTROL!$C$21, $C$9, 100%, $E$9)</f>
        <v>14.030799999999999</v>
      </c>
      <c r="E324" s="17">
        <f>CHOOSE(CONTROL!$C$42, 14.0646, 14.0646) * CHOOSE(CONTROL!$C$21, $C$9, 100%, $E$9)</f>
        <v>14.0646</v>
      </c>
      <c r="F324" s="17">
        <f>CHOOSE(CONTROL!$C$42, 13.9206, 13.9206)*CHOOSE(CONTROL!$C$21, $C$9, 100%, $E$9)</f>
        <v>13.9206</v>
      </c>
      <c r="G324" s="17">
        <f>CHOOSE(CONTROL!$C$42, 13.9379, 13.9379)*CHOOSE(CONTROL!$C$21, $C$9, 100%, $E$9)</f>
        <v>13.937900000000001</v>
      </c>
      <c r="H324" s="17">
        <f>CHOOSE(CONTROL!$C$42, 14.0535, 14.0535) * CHOOSE(CONTROL!$C$21, $C$9, 100%, $E$9)</f>
        <v>14.0535</v>
      </c>
      <c r="I324" s="17">
        <f>CHOOSE(CONTROL!$C$42, 13.9712, 13.9712)* CHOOSE(CONTROL!$C$21, $C$9, 100%, $E$9)</f>
        <v>13.9712</v>
      </c>
      <c r="J324" s="17">
        <f>CHOOSE(CONTROL!$C$42, 13.9132, 13.9132)* CHOOSE(CONTROL!$C$21, $C$9, 100%, $E$9)</f>
        <v>13.9132</v>
      </c>
      <c r="K324" s="53">
        <f>CHOOSE(CONTROL!$C$42, 13.9652, 13.9652) * CHOOSE(CONTROL!$C$21, $C$9, 100%, $E$9)</f>
        <v>13.965199999999999</v>
      </c>
      <c r="L324" s="17">
        <f>CHOOSE(CONTROL!$C$42, 14.6405, 14.6405) * CHOOSE(CONTROL!$C$21, $C$9, 100%, $E$9)</f>
        <v>14.640499999999999</v>
      </c>
      <c r="M324" s="17">
        <f>CHOOSE(CONTROL!$C$42, 13.7951, 13.7951) * CHOOSE(CONTROL!$C$21, $C$9, 100%, $E$9)</f>
        <v>13.7951</v>
      </c>
      <c r="N324" s="17">
        <f>CHOOSE(CONTROL!$C$42, 13.8122, 13.8122) * CHOOSE(CONTROL!$C$21, $C$9, 100%, $E$9)</f>
        <v>13.812200000000001</v>
      </c>
      <c r="O324" s="17">
        <f>CHOOSE(CONTROL!$C$42, 13.9341, 13.9341) * CHOOSE(CONTROL!$C$21, $C$9, 100%, $E$9)</f>
        <v>13.934100000000001</v>
      </c>
      <c r="P324" s="17">
        <f>CHOOSE(CONTROL!$C$42, 13.8523, 13.8523) * CHOOSE(CONTROL!$C$21, $C$9, 100%, $E$9)</f>
        <v>13.8523</v>
      </c>
      <c r="Q324" s="17">
        <f>CHOOSE(CONTROL!$C$42, 14.5288, 14.5288) * CHOOSE(CONTROL!$C$21, $C$9, 100%, $E$9)</f>
        <v>14.5288</v>
      </c>
      <c r="R324" s="17">
        <f>CHOOSE(CONTROL!$C$42, 15.1521, 15.1521) * CHOOSE(CONTROL!$C$21, $C$9, 100%, $E$9)</f>
        <v>15.152100000000001</v>
      </c>
      <c r="S324" s="17">
        <f>CHOOSE(CONTROL!$C$42, 13.4724, 13.4724) * CHOOSE(CONTROL!$C$21, $C$9, 100%, $E$9)</f>
        <v>13.4724</v>
      </c>
      <c r="T324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324" s="57">
        <f>(1000*CHOOSE(CONTROL!$C$42, 695, 695)*CHOOSE(CONTROL!$C$42, 0.5599, 0.5599)*CHOOSE(CONTROL!$C$42, 31, 31))/1000000</f>
        <v>12.063045499999998</v>
      </c>
      <c r="V324" s="57">
        <f>(1000*CHOOSE(CONTROL!$C$42, 500, 500)*CHOOSE(CONTROL!$C$42, 0.275, 0.275)*CHOOSE(CONTROL!$C$42, 31, 31))/1000000</f>
        <v>4.2625000000000002</v>
      </c>
      <c r="W324" s="57">
        <f>(1000*CHOOSE(CONTROL!$C$42, 0.0916, 0.0916)*CHOOSE(CONTROL!$C$42, 121.5, 121.5)*CHOOSE(CONTROL!$C$42, 31, 31))/1000000</f>
        <v>0.34501139999999997</v>
      </c>
      <c r="X324" s="57">
        <f>(31*0.2374*100000/1000000)</f>
        <v>0.73594000000000004</v>
      </c>
      <c r="Y324" s="57"/>
      <c r="Z324" s="17"/>
      <c r="AA324" s="56"/>
      <c r="AB324" s="49">
        <f>(B324*122.58+C324*297.941+D324*89.177+E324*140.302+F324*40+G324*60+H324*0+I324*100+J324*300)/(122.58+297.941+89.177+140.302+0+40+60+100+300)</f>
        <v>13.945018637391303</v>
      </c>
      <c r="AC324" s="46">
        <f>(M324*'RAP TEMPLATE-GAS AVAILABILITY'!O323+N324*'RAP TEMPLATE-GAS AVAILABILITY'!P323+O324*'RAP TEMPLATE-GAS AVAILABILITY'!Q323+P324*'RAP TEMPLATE-GAS AVAILABILITY'!R323)/('RAP TEMPLATE-GAS AVAILABILITY'!O323+'RAP TEMPLATE-GAS AVAILABILITY'!P323+'RAP TEMPLATE-GAS AVAILABILITY'!Q323+'RAP TEMPLATE-GAS AVAILABILITY'!R323)</f>
        <v>13.867314388489207</v>
      </c>
    </row>
    <row r="325" spans="1:29" ht="15.75" x14ac:dyDescent="0.25">
      <c r="A325" s="14">
        <v>50801</v>
      </c>
      <c r="B325" s="17">
        <f>CHOOSE(CONTROL!$C$42, 15.0549, 15.0549) * CHOOSE(CONTROL!$C$21, $C$9, 100%, $E$9)</f>
        <v>15.0549</v>
      </c>
      <c r="C325" s="17">
        <f>CHOOSE(CONTROL!$C$42, 15.0599, 15.0599) * CHOOSE(CONTROL!$C$21, $C$9, 100%, $E$9)</f>
        <v>15.059900000000001</v>
      </c>
      <c r="D325" s="17">
        <f>CHOOSE(CONTROL!$C$42, 15.1774, 15.1774) * CHOOSE(CONTROL!$C$21, $C$9, 100%, $E$9)</f>
        <v>15.1774</v>
      </c>
      <c r="E325" s="17">
        <f>CHOOSE(CONTROL!$C$42, 15.2112, 15.2112) * CHOOSE(CONTROL!$C$21, $C$9, 100%, $E$9)</f>
        <v>15.2112</v>
      </c>
      <c r="F325" s="17">
        <f>CHOOSE(CONTROL!$C$42, 15.0685, 15.0685)*CHOOSE(CONTROL!$C$21, $C$9, 100%, $E$9)</f>
        <v>15.0685</v>
      </c>
      <c r="G325" s="17">
        <f>CHOOSE(CONTROL!$C$42, 15.0848, 15.0848)*CHOOSE(CONTROL!$C$21, $C$9, 100%, $E$9)</f>
        <v>15.0848</v>
      </c>
      <c r="H325" s="17">
        <f>CHOOSE(CONTROL!$C$42, 15.2, 15.2) * CHOOSE(CONTROL!$C$21, $C$9, 100%, $E$9)</f>
        <v>15.2</v>
      </c>
      <c r="I325" s="17">
        <f>CHOOSE(CONTROL!$C$42, 15.125, 15.125)* CHOOSE(CONTROL!$C$21, $C$9, 100%, $E$9)</f>
        <v>15.125</v>
      </c>
      <c r="J325" s="17">
        <f>CHOOSE(CONTROL!$C$42, 15.0611, 15.0611)* CHOOSE(CONTROL!$C$21, $C$9, 100%, $E$9)</f>
        <v>15.0611</v>
      </c>
      <c r="K325" s="53">
        <f>CHOOSE(CONTROL!$C$42, 15.1189, 15.1189) * CHOOSE(CONTROL!$C$21, $C$9, 100%, $E$9)</f>
        <v>15.1189</v>
      </c>
      <c r="L325" s="17">
        <f>CHOOSE(CONTROL!$C$42, 15.787, 15.787) * CHOOSE(CONTROL!$C$21, $C$9, 100%, $E$9)</f>
        <v>15.787000000000001</v>
      </c>
      <c r="M325" s="17">
        <f>CHOOSE(CONTROL!$C$42, 14.9326, 14.9326) * CHOOSE(CONTROL!$C$21, $C$9, 100%, $E$9)</f>
        <v>14.932600000000001</v>
      </c>
      <c r="N325" s="17">
        <f>CHOOSE(CONTROL!$C$42, 14.9488, 14.9488) * CHOOSE(CONTROL!$C$21, $C$9, 100%, $E$9)</f>
        <v>14.9488</v>
      </c>
      <c r="O325" s="17">
        <f>CHOOSE(CONTROL!$C$42, 15.0703, 15.0703) * CHOOSE(CONTROL!$C$21, $C$9, 100%, $E$9)</f>
        <v>15.0703</v>
      </c>
      <c r="P325" s="17">
        <f>CHOOSE(CONTROL!$C$42, 14.9956, 14.9956) * CHOOSE(CONTROL!$C$21, $C$9, 100%, $E$9)</f>
        <v>14.9956</v>
      </c>
      <c r="Q325" s="17">
        <f>CHOOSE(CONTROL!$C$42, 15.665, 15.665) * CHOOSE(CONTROL!$C$21, $C$9, 100%, $E$9)</f>
        <v>15.664999999999999</v>
      </c>
      <c r="R325" s="17">
        <f>CHOOSE(CONTROL!$C$42, 16.2912, 16.2912) * CHOOSE(CONTROL!$C$21, $C$9, 100%, $E$9)</f>
        <v>16.2912</v>
      </c>
      <c r="S325" s="17">
        <f>CHOOSE(CONTROL!$C$42, 14.5892, 14.5892) * CHOOSE(CONTROL!$C$21, $C$9, 100%, $E$9)</f>
        <v>14.5892</v>
      </c>
      <c r="T325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325" s="57">
        <f>(1000*CHOOSE(CONTROL!$C$42, 695, 695)*CHOOSE(CONTROL!$C$42, 0.5599, 0.5599)*CHOOSE(CONTROL!$C$42, 31, 31))/1000000</f>
        <v>12.063045499999998</v>
      </c>
      <c r="V325" s="57">
        <f>(1000*CHOOSE(CONTROL!$C$42, 500, 500)*CHOOSE(CONTROL!$C$42, 0.275, 0.275)*CHOOSE(CONTROL!$C$42, 31, 31))/1000000</f>
        <v>4.2625000000000002</v>
      </c>
      <c r="W325" s="57">
        <f>(1000*CHOOSE(CONTROL!$C$42, 0.0916, 0.0916)*CHOOSE(CONTROL!$C$42, 121.5, 121.5)*CHOOSE(CONTROL!$C$42, 31, 31))/1000000</f>
        <v>0.34501139999999997</v>
      </c>
      <c r="X325" s="57">
        <f>(31*0.2374*100000/1000000)</f>
        <v>0.73594000000000004</v>
      </c>
      <c r="Y325" s="57"/>
      <c r="Z325" s="17"/>
      <c r="AA325" s="56"/>
      <c r="AB325" s="49">
        <f>(B325*122.58+C325*297.941+D325*89.177+E325*140.302+F325*40+G325*60+H325*0+I325*100+J325*300)/(122.58+297.941+89.177+140.302+0+40+60+100+300)</f>
        <v>15.094509643565218</v>
      </c>
      <c r="AC325" s="46">
        <f>(M325*'RAP TEMPLATE-GAS AVAILABILITY'!O324+N325*'RAP TEMPLATE-GAS AVAILABILITY'!P324+O325*'RAP TEMPLATE-GAS AVAILABILITY'!Q324+P325*'RAP TEMPLATE-GAS AVAILABILITY'!R324)/('RAP TEMPLATE-GAS AVAILABILITY'!O324+'RAP TEMPLATE-GAS AVAILABILITY'!P324+'RAP TEMPLATE-GAS AVAILABILITY'!Q324+'RAP TEMPLATE-GAS AVAILABILITY'!R324)</f>
        <v>15.005007913669065</v>
      </c>
    </row>
    <row r="326" spans="1:29" ht="15.75" x14ac:dyDescent="0.25">
      <c r="A326" s="14">
        <v>50829</v>
      </c>
      <c r="B326" s="17">
        <f>CHOOSE(CONTROL!$C$42, 15.3227, 15.3227) * CHOOSE(CONTROL!$C$21, $C$9, 100%, $E$9)</f>
        <v>15.322699999999999</v>
      </c>
      <c r="C326" s="17">
        <f>CHOOSE(CONTROL!$C$42, 15.3278, 15.3278) * CHOOSE(CONTROL!$C$21, $C$9, 100%, $E$9)</f>
        <v>15.3278</v>
      </c>
      <c r="D326" s="17">
        <f>CHOOSE(CONTROL!$C$42, 15.4452, 15.4452) * CHOOSE(CONTROL!$C$21, $C$9, 100%, $E$9)</f>
        <v>15.4452</v>
      </c>
      <c r="E326" s="17">
        <f>CHOOSE(CONTROL!$C$42, 15.479, 15.479) * CHOOSE(CONTROL!$C$21, $C$9, 100%, $E$9)</f>
        <v>15.478999999999999</v>
      </c>
      <c r="F326" s="17">
        <f>CHOOSE(CONTROL!$C$42, 15.3363, 15.3363)*CHOOSE(CONTROL!$C$21, $C$9, 100%, $E$9)</f>
        <v>15.3363</v>
      </c>
      <c r="G326" s="17">
        <f>CHOOSE(CONTROL!$C$42, 15.3526, 15.3526)*CHOOSE(CONTROL!$C$21, $C$9, 100%, $E$9)</f>
        <v>15.352600000000001</v>
      </c>
      <c r="H326" s="17">
        <f>CHOOSE(CONTROL!$C$42, 15.4678, 15.4678) * CHOOSE(CONTROL!$C$21, $C$9, 100%, $E$9)</f>
        <v>15.4678</v>
      </c>
      <c r="I326" s="17">
        <f>CHOOSE(CONTROL!$C$42, 15.3936, 15.3936)* CHOOSE(CONTROL!$C$21, $C$9, 100%, $E$9)</f>
        <v>15.393599999999999</v>
      </c>
      <c r="J326" s="17">
        <f>CHOOSE(CONTROL!$C$42, 15.3289, 15.3289)* CHOOSE(CONTROL!$C$21, $C$9, 100%, $E$9)</f>
        <v>15.328900000000001</v>
      </c>
      <c r="K326" s="53">
        <f>CHOOSE(CONTROL!$C$42, 15.3876, 15.3876) * CHOOSE(CONTROL!$C$21, $C$9, 100%, $E$9)</f>
        <v>15.387600000000001</v>
      </c>
      <c r="L326" s="17">
        <f>CHOOSE(CONTROL!$C$42, 16.0548, 16.0548) * CHOOSE(CONTROL!$C$21, $C$9, 100%, $E$9)</f>
        <v>16.0548</v>
      </c>
      <c r="M326" s="17">
        <f>CHOOSE(CONTROL!$C$42, 15.1981, 15.1981) * CHOOSE(CONTROL!$C$21, $C$9, 100%, $E$9)</f>
        <v>15.1981</v>
      </c>
      <c r="N326" s="17">
        <f>CHOOSE(CONTROL!$C$42, 15.2142, 15.2142) * CHOOSE(CONTROL!$C$21, $C$9, 100%, $E$9)</f>
        <v>15.2142</v>
      </c>
      <c r="O326" s="17">
        <f>CHOOSE(CONTROL!$C$42, 15.3357, 15.3357) * CHOOSE(CONTROL!$C$21, $C$9, 100%, $E$9)</f>
        <v>15.335699999999999</v>
      </c>
      <c r="P326" s="17">
        <f>CHOOSE(CONTROL!$C$42, 15.2618, 15.2618) * CHOOSE(CONTROL!$C$21, $C$9, 100%, $E$9)</f>
        <v>15.261799999999999</v>
      </c>
      <c r="Q326" s="17">
        <f>CHOOSE(CONTROL!$C$42, 15.9304, 15.9304) * CHOOSE(CONTROL!$C$21, $C$9, 100%, $E$9)</f>
        <v>15.930400000000001</v>
      </c>
      <c r="R326" s="17">
        <f>CHOOSE(CONTROL!$C$42, 16.5573, 16.5573) * CHOOSE(CONTROL!$C$21, $C$9, 100%, $E$9)</f>
        <v>16.557300000000001</v>
      </c>
      <c r="S326" s="17">
        <f>CHOOSE(CONTROL!$C$42, 14.8489, 14.8489) * CHOOSE(CONTROL!$C$21, $C$9, 100%, $E$9)</f>
        <v>14.8489</v>
      </c>
      <c r="T326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326" s="57">
        <f>(1000*CHOOSE(CONTROL!$C$42, 695, 695)*CHOOSE(CONTROL!$C$42, 0.5599, 0.5599)*CHOOSE(CONTROL!$C$42, 28, 28))/1000000</f>
        <v>10.895653999999999</v>
      </c>
      <c r="V326" s="57">
        <f>(1000*CHOOSE(CONTROL!$C$42, 500, 500)*CHOOSE(CONTROL!$C$42, 0.275, 0.275)*CHOOSE(CONTROL!$C$42, 28, 28))/1000000</f>
        <v>3.85</v>
      </c>
      <c r="W326" s="57">
        <f>(1000*CHOOSE(CONTROL!$C$42, 0.0916, 0.0916)*CHOOSE(CONTROL!$C$42, 121.5, 121.5)*CHOOSE(CONTROL!$C$42, 28, 28))/1000000</f>
        <v>0.31162319999999999</v>
      </c>
      <c r="X326" s="57">
        <f>(28*0.2374*100000/1000000)</f>
        <v>0.66471999999999998</v>
      </c>
      <c r="Y326" s="57"/>
      <c r="Z326" s="17"/>
      <c r="AA326" s="56"/>
      <c r="AB326" s="49">
        <f>(B326*122.58+C326*297.941+D326*89.177+E326*140.302+F326*40+G326*60+H326*0+I326*100+J326*300)/(122.58+297.941+89.177+140.302+0+40+60+100+300)</f>
        <v>15.362405116695653</v>
      </c>
      <c r="AC326" s="46">
        <f>(M326*'RAP TEMPLATE-GAS AVAILABILITY'!O325+N326*'RAP TEMPLATE-GAS AVAILABILITY'!P325+O326*'RAP TEMPLATE-GAS AVAILABILITY'!Q325+P326*'RAP TEMPLATE-GAS AVAILABILITY'!R325)/('RAP TEMPLATE-GAS AVAILABILITY'!O325+'RAP TEMPLATE-GAS AVAILABILITY'!P325+'RAP TEMPLATE-GAS AVAILABILITY'!Q325+'RAP TEMPLATE-GAS AVAILABILITY'!R325)</f>
        <v>15.270557553956834</v>
      </c>
    </row>
    <row r="327" spans="1:29" ht="15.75" x14ac:dyDescent="0.25">
      <c r="A327" s="14">
        <v>50860</v>
      </c>
      <c r="B327" s="17">
        <f>CHOOSE(CONTROL!$C$42, 14.8879, 14.8879) * CHOOSE(CONTROL!$C$21, $C$9, 100%, $E$9)</f>
        <v>14.8879</v>
      </c>
      <c r="C327" s="17">
        <f>CHOOSE(CONTROL!$C$42, 14.893, 14.893) * CHOOSE(CONTROL!$C$21, $C$9, 100%, $E$9)</f>
        <v>14.893000000000001</v>
      </c>
      <c r="D327" s="17">
        <f>CHOOSE(CONTROL!$C$42, 15.0105, 15.0105) * CHOOSE(CONTROL!$C$21, $C$9, 100%, $E$9)</f>
        <v>15.0105</v>
      </c>
      <c r="E327" s="17">
        <f>CHOOSE(CONTROL!$C$42, 15.0442, 15.0442) * CHOOSE(CONTROL!$C$21, $C$9, 100%, $E$9)</f>
        <v>15.0442</v>
      </c>
      <c r="F327" s="17">
        <f>CHOOSE(CONTROL!$C$42, 14.9009, 14.9009)*CHOOSE(CONTROL!$C$21, $C$9, 100%, $E$9)</f>
        <v>14.9009</v>
      </c>
      <c r="G327" s="17">
        <f>CHOOSE(CONTROL!$C$42, 14.9171, 14.9171)*CHOOSE(CONTROL!$C$21, $C$9, 100%, $E$9)</f>
        <v>14.9171</v>
      </c>
      <c r="H327" s="17">
        <f>CHOOSE(CONTROL!$C$42, 15.0331, 15.0331) * CHOOSE(CONTROL!$C$21, $C$9, 100%, $E$9)</f>
        <v>15.033099999999999</v>
      </c>
      <c r="I327" s="17">
        <f>CHOOSE(CONTROL!$C$42, 14.9575, 14.9575)* CHOOSE(CONTROL!$C$21, $C$9, 100%, $E$9)</f>
        <v>14.9575</v>
      </c>
      <c r="J327" s="17">
        <f>CHOOSE(CONTROL!$C$42, 14.8935, 14.8935)* CHOOSE(CONTROL!$C$21, $C$9, 100%, $E$9)</f>
        <v>14.8935</v>
      </c>
      <c r="K327" s="53">
        <f>CHOOSE(CONTROL!$C$42, 14.9515, 14.9515) * CHOOSE(CONTROL!$C$21, $C$9, 100%, $E$9)</f>
        <v>14.951499999999999</v>
      </c>
      <c r="L327" s="17">
        <f>CHOOSE(CONTROL!$C$42, 15.6201, 15.6201) * CHOOSE(CONTROL!$C$21, $C$9, 100%, $E$9)</f>
        <v>15.620100000000001</v>
      </c>
      <c r="M327" s="17">
        <f>CHOOSE(CONTROL!$C$42, 14.7666, 14.7666) * CHOOSE(CONTROL!$C$21, $C$9, 100%, $E$9)</f>
        <v>14.7666</v>
      </c>
      <c r="N327" s="17">
        <f>CHOOSE(CONTROL!$C$42, 14.7826, 14.7826) * CHOOSE(CONTROL!$C$21, $C$9, 100%, $E$9)</f>
        <v>14.7826</v>
      </c>
      <c r="O327" s="17">
        <f>CHOOSE(CONTROL!$C$42, 14.9049, 14.9049) * CHOOSE(CONTROL!$C$21, $C$9, 100%, $E$9)</f>
        <v>14.9049</v>
      </c>
      <c r="P327" s="17">
        <f>CHOOSE(CONTROL!$C$42, 14.8297, 14.8297) * CHOOSE(CONTROL!$C$21, $C$9, 100%, $E$9)</f>
        <v>14.829700000000001</v>
      </c>
      <c r="Q327" s="17">
        <f>CHOOSE(CONTROL!$C$42, 15.4996, 15.4996) * CHOOSE(CONTROL!$C$21, $C$9, 100%, $E$9)</f>
        <v>15.499599999999999</v>
      </c>
      <c r="R327" s="17">
        <f>CHOOSE(CONTROL!$C$42, 16.1254, 16.1254) * CHOOSE(CONTROL!$C$21, $C$9, 100%, $E$9)</f>
        <v>16.125399999999999</v>
      </c>
      <c r="S327" s="17">
        <f>CHOOSE(CONTROL!$C$42, 14.4273, 14.4273) * CHOOSE(CONTROL!$C$21, $C$9, 100%, $E$9)</f>
        <v>14.427300000000001</v>
      </c>
      <c r="T327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327" s="57">
        <f>(1000*CHOOSE(CONTROL!$C$42, 695, 695)*CHOOSE(CONTROL!$C$42, 0.5599, 0.5599)*CHOOSE(CONTROL!$C$42, 31, 31))/1000000</f>
        <v>12.063045499999998</v>
      </c>
      <c r="V327" s="57">
        <f>(1000*CHOOSE(CONTROL!$C$42, 500, 500)*CHOOSE(CONTROL!$C$42, 0.275, 0.275)*CHOOSE(CONTROL!$C$42, 31, 31))/1000000</f>
        <v>4.2625000000000002</v>
      </c>
      <c r="W327" s="57">
        <f>(1000*CHOOSE(CONTROL!$C$42, 0.0916, 0.0916)*CHOOSE(CONTROL!$C$42, 121.5, 121.5)*CHOOSE(CONTROL!$C$42, 31, 31))/1000000</f>
        <v>0.34501139999999997</v>
      </c>
      <c r="X327" s="57">
        <f>(31*0.2374*100000/1000000)</f>
        <v>0.73594000000000004</v>
      </c>
      <c r="Y327" s="57"/>
      <c r="Z327" s="17"/>
      <c r="AA327" s="56"/>
      <c r="AB327" s="49">
        <f>(B327*122.58+C327*297.941+D327*89.177+E327*140.302+F327*40+G327*60+H327*0+I327*100+J327*300)/(122.58+297.941+89.177+140.302+0+40+60+100+300)</f>
        <v>14.92728591469565</v>
      </c>
      <c r="AC327" s="46">
        <f>(M327*'RAP TEMPLATE-GAS AVAILABILITY'!O326+N327*'RAP TEMPLATE-GAS AVAILABILITY'!P326+O327*'RAP TEMPLATE-GAS AVAILABILITY'!Q326+P327*'RAP TEMPLATE-GAS AVAILABILITY'!R326)/('RAP TEMPLATE-GAS AVAILABILITY'!O326+'RAP TEMPLATE-GAS AVAILABILITY'!P326+'RAP TEMPLATE-GAS AVAILABILITY'!Q326+'RAP TEMPLATE-GAS AVAILABILITY'!R326)</f>
        <v>14.839282733812949</v>
      </c>
    </row>
    <row r="328" spans="1:29" ht="15.75" x14ac:dyDescent="0.25">
      <c r="A328" s="14">
        <v>50890</v>
      </c>
      <c r="B328" s="17">
        <f>CHOOSE(CONTROL!$C$42, 14.8444, 14.8444) * CHOOSE(CONTROL!$C$21, $C$9, 100%, $E$9)</f>
        <v>14.8444</v>
      </c>
      <c r="C328" s="17">
        <f>CHOOSE(CONTROL!$C$42, 14.8489, 14.8489) * CHOOSE(CONTROL!$C$21, $C$9, 100%, $E$9)</f>
        <v>14.8489</v>
      </c>
      <c r="D328" s="17">
        <f>CHOOSE(CONTROL!$C$42, 15.1016, 15.1016) * CHOOSE(CONTROL!$C$21, $C$9, 100%, $E$9)</f>
        <v>15.101599999999999</v>
      </c>
      <c r="E328" s="17">
        <f>CHOOSE(CONTROL!$C$42, 15.1334, 15.1334) * CHOOSE(CONTROL!$C$21, $C$9, 100%, $E$9)</f>
        <v>15.1334</v>
      </c>
      <c r="F328" s="17">
        <f>CHOOSE(CONTROL!$C$42, 14.8504, 14.8504)*CHOOSE(CONTROL!$C$21, $C$9, 100%, $E$9)</f>
        <v>14.8504</v>
      </c>
      <c r="G328" s="17">
        <f>CHOOSE(CONTROL!$C$42, 14.8662, 14.8662)*CHOOSE(CONTROL!$C$21, $C$9, 100%, $E$9)</f>
        <v>14.866199999999999</v>
      </c>
      <c r="H328" s="17">
        <f>CHOOSE(CONTROL!$C$42, 15.1229, 15.1229) * CHOOSE(CONTROL!$C$21, $C$9, 100%, $E$9)</f>
        <v>15.1229</v>
      </c>
      <c r="I328" s="17">
        <f>CHOOSE(CONTROL!$C$42, 14.9121, 14.9121)* CHOOSE(CONTROL!$C$21, $C$9, 100%, $E$9)</f>
        <v>14.912100000000001</v>
      </c>
      <c r="J328" s="17">
        <f>CHOOSE(CONTROL!$C$42, 14.843, 14.843)* CHOOSE(CONTROL!$C$21, $C$9, 100%, $E$9)</f>
        <v>14.843</v>
      </c>
      <c r="K328" s="53">
        <f>CHOOSE(CONTROL!$C$42, 14.906, 14.906) * CHOOSE(CONTROL!$C$21, $C$9, 100%, $E$9)</f>
        <v>14.906000000000001</v>
      </c>
      <c r="L328" s="17">
        <f>CHOOSE(CONTROL!$C$42, 15.7099, 15.7099) * CHOOSE(CONTROL!$C$21, $C$9, 100%, $E$9)</f>
        <v>15.709899999999999</v>
      </c>
      <c r="M328" s="17">
        <f>CHOOSE(CONTROL!$C$42, 14.7165, 14.7165) * CHOOSE(CONTROL!$C$21, $C$9, 100%, $E$9)</f>
        <v>14.7165</v>
      </c>
      <c r="N328" s="17">
        <f>CHOOSE(CONTROL!$C$42, 14.7322, 14.7322) * CHOOSE(CONTROL!$C$21, $C$9, 100%, $E$9)</f>
        <v>14.732200000000001</v>
      </c>
      <c r="O328" s="17">
        <f>CHOOSE(CONTROL!$C$42, 14.9939, 14.9939) * CHOOSE(CONTROL!$C$21, $C$9, 100%, $E$9)</f>
        <v>14.9939</v>
      </c>
      <c r="P328" s="17">
        <f>CHOOSE(CONTROL!$C$42, 14.7846, 14.7846) * CHOOSE(CONTROL!$C$21, $C$9, 100%, $E$9)</f>
        <v>14.784599999999999</v>
      </c>
      <c r="Q328" s="17">
        <f>CHOOSE(CONTROL!$C$42, 15.5886, 15.5886) * CHOOSE(CONTROL!$C$21, $C$9, 100%, $E$9)</f>
        <v>15.5886</v>
      </c>
      <c r="R328" s="17">
        <f>CHOOSE(CONTROL!$C$42, 16.2145, 16.2145) * CHOOSE(CONTROL!$C$21, $C$9, 100%, $E$9)</f>
        <v>16.214500000000001</v>
      </c>
      <c r="S328" s="17">
        <f>CHOOSE(CONTROL!$C$42, 14.3844, 14.3844) * CHOOSE(CONTROL!$C$21, $C$9, 100%, $E$9)</f>
        <v>14.384399999999999</v>
      </c>
      <c r="T328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328" s="57">
        <f>(1000*CHOOSE(CONTROL!$C$42, 695, 695)*CHOOSE(CONTROL!$C$42, 0.5599, 0.5599)*CHOOSE(CONTROL!$C$42, 30, 30))/1000000</f>
        <v>11.673914999999997</v>
      </c>
      <c r="V328" s="57">
        <f>(1000*CHOOSE(CONTROL!$C$42, 500, 500)*CHOOSE(CONTROL!$C$42, 0.275, 0.275)*CHOOSE(CONTROL!$C$42, 30, 30))/1000000</f>
        <v>4.125</v>
      </c>
      <c r="W328" s="57">
        <f>(1000*CHOOSE(CONTROL!$C$42, 0.0916, 0.0916)*CHOOSE(CONTROL!$C$42, 121.5, 121.5)*CHOOSE(CONTROL!$C$42, 30, 30))/1000000</f>
        <v>0.33388200000000001</v>
      </c>
      <c r="X328" s="57">
        <f>(30*0.1790888*145000/1000000)+(30*0.2374*100000/1000000)</f>
        <v>1.4912362799999999</v>
      </c>
      <c r="Y328" s="57"/>
      <c r="Z328" s="17"/>
      <c r="AA328" s="56"/>
      <c r="AB328" s="49">
        <f>(B328*141.293+C328*267.993+D328*115.016+E328*189.698+F328*40+G328*85+H328*0+I328*100+J328*300)/(141.293+267.993+115.016+189.698+0+40+85+100+300)</f>
        <v>14.920311061904759</v>
      </c>
      <c r="AC328" s="46">
        <f>(M328*'RAP TEMPLATE-GAS AVAILABILITY'!O327+N328*'RAP TEMPLATE-GAS AVAILABILITY'!P327+O328*'RAP TEMPLATE-GAS AVAILABILITY'!Q327+P328*'RAP TEMPLATE-GAS AVAILABILITY'!R327)/('RAP TEMPLATE-GAS AVAILABILITY'!O327+'RAP TEMPLATE-GAS AVAILABILITY'!P327+'RAP TEMPLATE-GAS AVAILABILITY'!Q327+'RAP TEMPLATE-GAS AVAILABILITY'!R327)</f>
        <v>14.807744604316547</v>
      </c>
    </row>
    <row r="329" spans="1:29" ht="15.75" x14ac:dyDescent="0.25">
      <c r="A329" s="14">
        <v>50921</v>
      </c>
      <c r="B329" s="17">
        <f>CHOOSE(CONTROL!$C$42, 14.9767, 14.9767) * CHOOSE(CONTROL!$C$21, $C$9, 100%, $E$9)</f>
        <v>14.976699999999999</v>
      </c>
      <c r="C329" s="17">
        <f>CHOOSE(CONTROL!$C$42, 14.9847, 14.9847) * CHOOSE(CONTROL!$C$21, $C$9, 100%, $E$9)</f>
        <v>14.9847</v>
      </c>
      <c r="D329" s="17">
        <f>CHOOSE(CONTROL!$C$42, 15.2343, 15.2343) * CHOOSE(CONTROL!$C$21, $C$9, 100%, $E$9)</f>
        <v>15.234299999999999</v>
      </c>
      <c r="E329" s="17">
        <f>CHOOSE(CONTROL!$C$42, 15.2655, 15.2655) * CHOOSE(CONTROL!$C$21, $C$9, 100%, $E$9)</f>
        <v>15.265499999999999</v>
      </c>
      <c r="F329" s="17">
        <f>CHOOSE(CONTROL!$C$42, 14.9815, 14.9815)*CHOOSE(CONTROL!$C$21, $C$9, 100%, $E$9)</f>
        <v>14.9815</v>
      </c>
      <c r="G329" s="17">
        <f>CHOOSE(CONTROL!$C$42, 14.9976, 14.9976)*CHOOSE(CONTROL!$C$21, $C$9, 100%, $E$9)</f>
        <v>14.9976</v>
      </c>
      <c r="H329" s="17">
        <f>CHOOSE(CONTROL!$C$42, 15.2538, 15.2538) * CHOOSE(CONTROL!$C$21, $C$9, 100%, $E$9)</f>
        <v>15.2538</v>
      </c>
      <c r="I329" s="17">
        <f>CHOOSE(CONTROL!$C$42, 15.0434, 15.0434)* CHOOSE(CONTROL!$C$21, $C$9, 100%, $E$9)</f>
        <v>15.0434</v>
      </c>
      <c r="J329" s="17">
        <f>CHOOSE(CONTROL!$C$42, 14.9741, 14.9741)* CHOOSE(CONTROL!$C$21, $C$9, 100%, $E$9)</f>
        <v>14.9741</v>
      </c>
      <c r="K329" s="53">
        <f>CHOOSE(CONTROL!$C$42, 15.0373, 15.0373) * CHOOSE(CONTROL!$C$21, $C$9, 100%, $E$9)</f>
        <v>15.0373</v>
      </c>
      <c r="L329" s="17">
        <f>CHOOSE(CONTROL!$C$42, 15.8408, 15.8408) * CHOOSE(CONTROL!$C$21, $C$9, 100%, $E$9)</f>
        <v>15.8408</v>
      </c>
      <c r="M329" s="17">
        <f>CHOOSE(CONTROL!$C$42, 14.8465, 14.8465) * CHOOSE(CONTROL!$C$21, $C$9, 100%, $E$9)</f>
        <v>14.846500000000001</v>
      </c>
      <c r="N329" s="17">
        <f>CHOOSE(CONTROL!$C$42, 14.8624, 14.8624) * CHOOSE(CONTROL!$C$21, $C$9, 100%, $E$9)</f>
        <v>14.862399999999999</v>
      </c>
      <c r="O329" s="17">
        <f>CHOOSE(CONTROL!$C$42, 15.1236, 15.1236) * CHOOSE(CONTROL!$C$21, $C$9, 100%, $E$9)</f>
        <v>15.1236</v>
      </c>
      <c r="P329" s="17">
        <f>CHOOSE(CONTROL!$C$42, 14.9147, 14.9147) * CHOOSE(CONTROL!$C$21, $C$9, 100%, $E$9)</f>
        <v>14.9147</v>
      </c>
      <c r="Q329" s="17">
        <f>CHOOSE(CONTROL!$C$42, 15.7183, 15.7183) * CHOOSE(CONTROL!$C$21, $C$9, 100%, $E$9)</f>
        <v>15.718299999999999</v>
      </c>
      <c r="R329" s="17">
        <f>CHOOSE(CONTROL!$C$42, 16.3446, 16.3446) * CHOOSE(CONTROL!$C$21, $C$9, 100%, $E$9)</f>
        <v>16.3446</v>
      </c>
      <c r="S329" s="17">
        <f>CHOOSE(CONTROL!$C$42, 14.5113, 14.5113) * CHOOSE(CONTROL!$C$21, $C$9, 100%, $E$9)</f>
        <v>14.5113</v>
      </c>
      <c r="T329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329" s="57">
        <f>(1000*CHOOSE(CONTROL!$C$42, 695, 695)*CHOOSE(CONTROL!$C$42, 0.5599, 0.5599)*CHOOSE(CONTROL!$C$42, 31, 31))/1000000</f>
        <v>12.063045499999998</v>
      </c>
      <c r="V329" s="57">
        <f>(1000*CHOOSE(CONTROL!$C$42, 500, 500)*CHOOSE(CONTROL!$C$42, 0.275, 0.275)*CHOOSE(CONTROL!$C$42, 31, 31))/1000000</f>
        <v>4.2625000000000002</v>
      </c>
      <c r="W329" s="57">
        <f>(1000*CHOOSE(CONTROL!$C$42, 0.0916, 0.0916)*CHOOSE(CONTROL!$C$42, 121.5, 121.5)*CHOOSE(CONTROL!$C$42, 31, 31))/1000000</f>
        <v>0.34501139999999997</v>
      </c>
      <c r="X329" s="57">
        <f>(31*0.1790888*145000/1000000)+(31*0.2374*100000/1000000)</f>
        <v>1.5409441560000001</v>
      </c>
      <c r="Y329" s="57"/>
      <c r="Z329" s="17"/>
      <c r="AA329" s="56"/>
      <c r="AB329" s="49">
        <f>(B329*194.205+C329*267.466+D329*133.845+E329*153.484+F329*40+G329*85+H329*0+I329*100+J329*300)/(194.205+267.466+133.845+153.484+0+40+85+100+300)</f>
        <v>15.046403986813187</v>
      </c>
      <c r="AC329" s="46">
        <f>(M329*'RAP TEMPLATE-GAS AVAILABILITY'!O328+N329*'RAP TEMPLATE-GAS AVAILABILITY'!P328+O329*'RAP TEMPLATE-GAS AVAILABILITY'!Q328+P329*'RAP TEMPLATE-GAS AVAILABILITY'!R328)/('RAP TEMPLATE-GAS AVAILABILITY'!O328+'RAP TEMPLATE-GAS AVAILABILITY'!P328+'RAP TEMPLATE-GAS AVAILABILITY'!Q328+'RAP TEMPLATE-GAS AVAILABILITY'!R328)</f>
        <v>14.93772086330935</v>
      </c>
    </row>
    <row r="330" spans="1:29" ht="15.75" x14ac:dyDescent="0.25">
      <c r="A330" s="14">
        <v>50951</v>
      </c>
      <c r="B330" s="17">
        <f>CHOOSE(CONTROL!$C$42, 15.4011, 15.4011) * CHOOSE(CONTROL!$C$21, $C$9, 100%, $E$9)</f>
        <v>15.4011</v>
      </c>
      <c r="C330" s="17">
        <f>CHOOSE(CONTROL!$C$42, 15.4091, 15.4091) * CHOOSE(CONTROL!$C$21, $C$9, 100%, $E$9)</f>
        <v>15.4091</v>
      </c>
      <c r="D330" s="17">
        <f>CHOOSE(CONTROL!$C$42, 15.6588, 15.6588) * CHOOSE(CONTROL!$C$21, $C$9, 100%, $E$9)</f>
        <v>15.658799999999999</v>
      </c>
      <c r="E330" s="17">
        <f>CHOOSE(CONTROL!$C$42, 15.6899, 15.6899) * CHOOSE(CONTROL!$C$21, $C$9, 100%, $E$9)</f>
        <v>15.6899</v>
      </c>
      <c r="F330" s="17">
        <f>CHOOSE(CONTROL!$C$42, 15.4063, 15.4063)*CHOOSE(CONTROL!$C$21, $C$9, 100%, $E$9)</f>
        <v>15.4063</v>
      </c>
      <c r="G330" s="17">
        <f>CHOOSE(CONTROL!$C$42, 15.4226, 15.4226)*CHOOSE(CONTROL!$C$21, $C$9, 100%, $E$9)</f>
        <v>15.422599999999999</v>
      </c>
      <c r="H330" s="17">
        <f>CHOOSE(CONTROL!$C$42, 15.6783, 15.6783) * CHOOSE(CONTROL!$C$21, $C$9, 100%, $E$9)</f>
        <v>15.6783</v>
      </c>
      <c r="I330" s="17">
        <f>CHOOSE(CONTROL!$C$42, 15.4692, 15.4692)* CHOOSE(CONTROL!$C$21, $C$9, 100%, $E$9)</f>
        <v>15.469200000000001</v>
      </c>
      <c r="J330" s="17">
        <f>CHOOSE(CONTROL!$C$42, 15.3989, 15.3989)* CHOOSE(CONTROL!$C$21, $C$9, 100%, $E$9)</f>
        <v>15.398899999999999</v>
      </c>
      <c r="K330" s="53">
        <f>CHOOSE(CONTROL!$C$42, 15.4631, 15.4631) * CHOOSE(CONTROL!$C$21, $C$9, 100%, $E$9)</f>
        <v>15.463100000000001</v>
      </c>
      <c r="L330" s="17">
        <f>CHOOSE(CONTROL!$C$42, 16.2653, 16.2653) * CHOOSE(CONTROL!$C$21, $C$9, 100%, $E$9)</f>
        <v>16.2653</v>
      </c>
      <c r="M330" s="17">
        <f>CHOOSE(CONTROL!$C$42, 15.2674, 15.2674) * CHOOSE(CONTROL!$C$21, $C$9, 100%, $E$9)</f>
        <v>15.2674</v>
      </c>
      <c r="N330" s="17">
        <f>CHOOSE(CONTROL!$C$42, 15.2835, 15.2835) * CHOOSE(CONTROL!$C$21, $C$9, 100%, $E$9)</f>
        <v>15.2835</v>
      </c>
      <c r="O330" s="17">
        <f>CHOOSE(CONTROL!$C$42, 15.5443, 15.5443) * CHOOSE(CONTROL!$C$21, $C$9, 100%, $E$9)</f>
        <v>15.5443</v>
      </c>
      <c r="P330" s="17">
        <f>CHOOSE(CONTROL!$C$42, 15.3367, 15.3367) * CHOOSE(CONTROL!$C$21, $C$9, 100%, $E$9)</f>
        <v>15.3367</v>
      </c>
      <c r="Q330" s="17">
        <f>CHOOSE(CONTROL!$C$42, 16.139, 16.139) * CHOOSE(CONTROL!$C$21, $C$9, 100%, $E$9)</f>
        <v>16.138999999999999</v>
      </c>
      <c r="R330" s="17">
        <f>CHOOSE(CONTROL!$C$42, 16.7663, 16.7663) * CHOOSE(CONTROL!$C$21, $C$9, 100%, $E$9)</f>
        <v>16.766300000000001</v>
      </c>
      <c r="S330" s="17">
        <f>CHOOSE(CONTROL!$C$42, 14.9229, 14.9229) * CHOOSE(CONTROL!$C$21, $C$9, 100%, $E$9)</f>
        <v>14.9229</v>
      </c>
      <c r="T330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330" s="57">
        <f>(1000*CHOOSE(CONTROL!$C$42, 695, 695)*CHOOSE(CONTROL!$C$42, 0.5599, 0.5599)*CHOOSE(CONTROL!$C$42, 30, 30))/1000000</f>
        <v>11.673914999999997</v>
      </c>
      <c r="V330" s="57">
        <f>(1000*CHOOSE(CONTROL!$C$42, 500, 500)*CHOOSE(CONTROL!$C$42, 0.275, 0.275)*CHOOSE(CONTROL!$C$42, 30, 30))/1000000</f>
        <v>4.125</v>
      </c>
      <c r="W330" s="57">
        <f>(1000*CHOOSE(CONTROL!$C$42, 0.0916, 0.0916)*CHOOSE(CONTROL!$C$42, 121.5, 121.5)*CHOOSE(CONTROL!$C$42, 30, 30))/1000000</f>
        <v>0.33388200000000001</v>
      </c>
      <c r="X330" s="57">
        <f>(30*0.1790888*145000/1000000)+(30*0.2374*100000/1000000)</f>
        <v>1.4912362799999999</v>
      </c>
      <c r="Y330" s="57"/>
      <c r="Z330" s="17"/>
      <c r="AA330" s="56"/>
      <c r="AB330" s="49">
        <f>(B330*194.205+C330*267.466+D330*133.845+E330*153.484+F330*40+G330*85+H330*0+I330*100+J330*300)/(194.205+267.466+133.845+153.484+0+40+85+100+300)</f>
        <v>15.471071164599687</v>
      </c>
      <c r="AC330" s="46">
        <f>(M330*'RAP TEMPLATE-GAS AVAILABILITY'!O329+N330*'RAP TEMPLATE-GAS AVAILABILITY'!P329+O330*'RAP TEMPLATE-GAS AVAILABILITY'!Q329+P330*'RAP TEMPLATE-GAS AVAILABILITY'!R329)/('RAP TEMPLATE-GAS AVAILABILITY'!O329+'RAP TEMPLATE-GAS AVAILABILITY'!P329+'RAP TEMPLATE-GAS AVAILABILITY'!Q329+'RAP TEMPLATE-GAS AVAILABILITY'!R329)</f>
        <v>15.358769064748204</v>
      </c>
    </row>
    <row r="331" spans="1:29" ht="15.75" x14ac:dyDescent="0.25">
      <c r="A331" s="14">
        <v>50982</v>
      </c>
      <c r="B331" s="17">
        <f>CHOOSE(CONTROL!$C$42, 15.1059, 15.1059) * CHOOSE(CONTROL!$C$21, $C$9, 100%, $E$9)</f>
        <v>15.1059</v>
      </c>
      <c r="C331" s="17">
        <f>CHOOSE(CONTROL!$C$42, 15.1139, 15.1139) * CHOOSE(CONTROL!$C$21, $C$9, 100%, $E$9)</f>
        <v>15.113899999999999</v>
      </c>
      <c r="D331" s="17">
        <f>CHOOSE(CONTROL!$C$42, 15.3635, 15.3635) * CHOOSE(CONTROL!$C$21, $C$9, 100%, $E$9)</f>
        <v>15.3635</v>
      </c>
      <c r="E331" s="17">
        <f>CHOOSE(CONTROL!$C$42, 15.3947, 15.3947) * CHOOSE(CONTROL!$C$21, $C$9, 100%, $E$9)</f>
        <v>15.3947</v>
      </c>
      <c r="F331" s="17">
        <f>CHOOSE(CONTROL!$C$42, 15.1116, 15.1116)*CHOOSE(CONTROL!$C$21, $C$9, 100%, $E$9)</f>
        <v>15.111599999999999</v>
      </c>
      <c r="G331" s="17">
        <f>CHOOSE(CONTROL!$C$42, 15.128, 15.128)*CHOOSE(CONTROL!$C$21, $C$9, 100%, $E$9)</f>
        <v>15.128</v>
      </c>
      <c r="H331" s="17">
        <f>CHOOSE(CONTROL!$C$42, 15.383, 15.383) * CHOOSE(CONTROL!$C$21, $C$9, 100%, $E$9)</f>
        <v>15.382999999999999</v>
      </c>
      <c r="I331" s="17">
        <f>CHOOSE(CONTROL!$C$42, 15.173, 15.173)* CHOOSE(CONTROL!$C$21, $C$9, 100%, $E$9)</f>
        <v>15.173</v>
      </c>
      <c r="J331" s="17">
        <f>CHOOSE(CONTROL!$C$42, 15.1042, 15.1042)* CHOOSE(CONTROL!$C$21, $C$9, 100%, $E$9)</f>
        <v>15.104200000000001</v>
      </c>
      <c r="K331" s="53">
        <f>CHOOSE(CONTROL!$C$42, 15.167, 15.167) * CHOOSE(CONTROL!$C$21, $C$9, 100%, $E$9)</f>
        <v>15.167</v>
      </c>
      <c r="L331" s="17">
        <f>CHOOSE(CONTROL!$C$42, 15.97, 15.97) * CHOOSE(CONTROL!$C$21, $C$9, 100%, $E$9)</f>
        <v>15.97</v>
      </c>
      <c r="M331" s="17">
        <f>CHOOSE(CONTROL!$C$42, 14.9754, 14.9754) * CHOOSE(CONTROL!$C$21, $C$9, 100%, $E$9)</f>
        <v>14.9754</v>
      </c>
      <c r="N331" s="17">
        <f>CHOOSE(CONTROL!$C$42, 14.9916, 14.9916) * CHOOSE(CONTROL!$C$21, $C$9, 100%, $E$9)</f>
        <v>14.9916</v>
      </c>
      <c r="O331" s="17">
        <f>CHOOSE(CONTROL!$C$42, 15.2517, 15.2517) * CHOOSE(CONTROL!$C$21, $C$9, 100%, $E$9)</f>
        <v>15.2517</v>
      </c>
      <c r="P331" s="17">
        <f>CHOOSE(CONTROL!$C$42, 15.0432, 15.0432) * CHOOSE(CONTROL!$C$21, $C$9, 100%, $E$9)</f>
        <v>15.043200000000001</v>
      </c>
      <c r="Q331" s="17">
        <f>CHOOSE(CONTROL!$C$42, 15.8464, 15.8464) * CHOOSE(CONTROL!$C$21, $C$9, 100%, $E$9)</f>
        <v>15.846399999999999</v>
      </c>
      <c r="R331" s="17">
        <f>CHOOSE(CONTROL!$C$42, 16.473, 16.473) * CHOOSE(CONTROL!$C$21, $C$9, 100%, $E$9)</f>
        <v>16.472999999999999</v>
      </c>
      <c r="S331" s="17">
        <f>CHOOSE(CONTROL!$C$42, 14.6366, 14.6366) * CHOOSE(CONTROL!$C$21, $C$9, 100%, $E$9)</f>
        <v>14.6366</v>
      </c>
      <c r="T331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331" s="57">
        <f>(1000*CHOOSE(CONTROL!$C$42, 695, 695)*CHOOSE(CONTROL!$C$42, 0.5599, 0.5599)*CHOOSE(CONTROL!$C$42, 31, 31))/1000000</f>
        <v>12.063045499999998</v>
      </c>
      <c r="V331" s="57">
        <f>(1000*CHOOSE(CONTROL!$C$42, 500, 500)*CHOOSE(CONTROL!$C$42, 0.275, 0.275)*CHOOSE(CONTROL!$C$42, 31, 31))/1000000</f>
        <v>4.2625000000000002</v>
      </c>
      <c r="W331" s="57">
        <f>(1000*CHOOSE(CONTROL!$C$42, 0.0916, 0.0916)*CHOOSE(CONTROL!$C$42, 121.5, 121.5)*CHOOSE(CONTROL!$C$42, 31, 31))/1000000</f>
        <v>0.34501139999999997</v>
      </c>
      <c r="X331" s="57">
        <f>(31*0.1790888*145000/1000000)+(31*0.2374*100000/1000000)</f>
        <v>1.5409441560000001</v>
      </c>
      <c r="Y331" s="57"/>
      <c r="Z331" s="17"/>
      <c r="AA331" s="56"/>
      <c r="AB331" s="49">
        <f>(B331*194.205+C331*267.466+D331*133.845+E331*153.484+F331*40+G331*85+H331*0+I331*100+J331*300)/(194.205+267.466+133.845+153.484+0+40+85+100+300)</f>
        <v>15.175955635164833</v>
      </c>
      <c r="AC331" s="46">
        <f>(M331*'RAP TEMPLATE-GAS AVAILABILITY'!O330+N331*'RAP TEMPLATE-GAS AVAILABILITY'!P330+O331*'RAP TEMPLATE-GAS AVAILABILITY'!Q330+P331*'RAP TEMPLATE-GAS AVAILABILITY'!R330)/('RAP TEMPLATE-GAS AVAILABILITY'!O330+'RAP TEMPLATE-GAS AVAILABILITY'!P330+'RAP TEMPLATE-GAS AVAILABILITY'!Q330+'RAP TEMPLATE-GAS AVAILABILITY'!R330)</f>
        <v>15.066407913669066</v>
      </c>
    </row>
    <row r="332" spans="1:29" ht="15.75" x14ac:dyDescent="0.25">
      <c r="A332" s="14">
        <v>51013</v>
      </c>
      <c r="B332" s="17">
        <f>CHOOSE(CONTROL!$C$42, 14.3604, 14.3604) * CHOOSE(CONTROL!$C$21, $C$9, 100%, $E$9)</f>
        <v>14.3604</v>
      </c>
      <c r="C332" s="17">
        <f>CHOOSE(CONTROL!$C$42, 14.3684, 14.3684) * CHOOSE(CONTROL!$C$21, $C$9, 100%, $E$9)</f>
        <v>14.368399999999999</v>
      </c>
      <c r="D332" s="17">
        <f>CHOOSE(CONTROL!$C$42, 14.618, 14.618) * CHOOSE(CONTROL!$C$21, $C$9, 100%, $E$9)</f>
        <v>14.618</v>
      </c>
      <c r="E332" s="17">
        <f>CHOOSE(CONTROL!$C$42, 14.6492, 14.6492) * CHOOSE(CONTROL!$C$21, $C$9, 100%, $E$9)</f>
        <v>14.6492</v>
      </c>
      <c r="F332" s="17">
        <f>CHOOSE(CONTROL!$C$42, 14.3664, 14.3664)*CHOOSE(CONTROL!$C$21, $C$9, 100%, $E$9)</f>
        <v>14.366400000000001</v>
      </c>
      <c r="G332" s="17">
        <f>CHOOSE(CONTROL!$C$42, 14.3828, 14.3828)*CHOOSE(CONTROL!$C$21, $C$9, 100%, $E$9)</f>
        <v>14.3828</v>
      </c>
      <c r="H332" s="17">
        <f>CHOOSE(CONTROL!$C$42, 14.6375, 14.6375) * CHOOSE(CONTROL!$C$21, $C$9, 100%, $E$9)</f>
        <v>14.637499999999999</v>
      </c>
      <c r="I332" s="17">
        <f>CHOOSE(CONTROL!$C$42, 14.4252, 14.4252)* CHOOSE(CONTROL!$C$21, $C$9, 100%, $E$9)</f>
        <v>14.4252</v>
      </c>
      <c r="J332" s="17">
        <f>CHOOSE(CONTROL!$C$42, 14.359, 14.359)* CHOOSE(CONTROL!$C$21, $C$9, 100%, $E$9)</f>
        <v>14.359</v>
      </c>
      <c r="K332" s="53">
        <f>CHOOSE(CONTROL!$C$42, 14.4191, 14.4191) * CHOOSE(CONTROL!$C$21, $C$9, 100%, $E$9)</f>
        <v>14.4191</v>
      </c>
      <c r="L332" s="17">
        <f>CHOOSE(CONTROL!$C$42, 15.2245, 15.2245) * CHOOSE(CONTROL!$C$21, $C$9, 100%, $E$9)</f>
        <v>15.224500000000001</v>
      </c>
      <c r="M332" s="17">
        <f>CHOOSE(CONTROL!$C$42, 14.2368, 14.2368) * CHOOSE(CONTROL!$C$21, $C$9, 100%, $E$9)</f>
        <v>14.236800000000001</v>
      </c>
      <c r="N332" s="17">
        <f>CHOOSE(CONTROL!$C$42, 14.2531, 14.2531) * CHOOSE(CONTROL!$C$21, $C$9, 100%, $E$9)</f>
        <v>14.2531</v>
      </c>
      <c r="O332" s="17">
        <f>CHOOSE(CONTROL!$C$42, 14.5129, 14.5129) * CHOOSE(CONTROL!$C$21, $C$9, 100%, $E$9)</f>
        <v>14.5129</v>
      </c>
      <c r="P332" s="17">
        <f>CHOOSE(CONTROL!$C$42, 14.3021, 14.3021) * CHOOSE(CONTROL!$C$21, $C$9, 100%, $E$9)</f>
        <v>14.302099999999999</v>
      </c>
      <c r="Q332" s="17">
        <f>CHOOSE(CONTROL!$C$42, 15.1076, 15.1076) * CHOOSE(CONTROL!$C$21, $C$9, 100%, $E$9)</f>
        <v>15.1076</v>
      </c>
      <c r="R332" s="17">
        <f>CHOOSE(CONTROL!$C$42, 15.7323, 15.7323) * CHOOSE(CONTROL!$C$21, $C$9, 100%, $E$9)</f>
        <v>15.7323</v>
      </c>
      <c r="S332" s="17">
        <f>CHOOSE(CONTROL!$C$42, 13.9137, 13.9137) * CHOOSE(CONTROL!$C$21, $C$9, 100%, $E$9)</f>
        <v>13.9137</v>
      </c>
      <c r="T332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332" s="57">
        <f>(1000*CHOOSE(CONTROL!$C$42, 695, 695)*CHOOSE(CONTROL!$C$42, 0.5599, 0.5599)*CHOOSE(CONTROL!$C$42, 31, 31))/1000000</f>
        <v>12.063045499999998</v>
      </c>
      <c r="V332" s="57">
        <f>(1000*CHOOSE(CONTROL!$C$42, 500, 500)*CHOOSE(CONTROL!$C$42, 0.275, 0.275)*CHOOSE(CONTROL!$C$42, 31, 31))/1000000</f>
        <v>4.2625000000000002</v>
      </c>
      <c r="W332" s="57">
        <f>(1000*CHOOSE(CONTROL!$C$42, 0.0916, 0.0916)*CHOOSE(CONTROL!$C$42, 121.5, 121.5)*CHOOSE(CONTROL!$C$42, 31, 31))/1000000</f>
        <v>0.34501139999999997</v>
      </c>
      <c r="X332" s="57">
        <f>(31*0.1790888*145000/1000000)+(31*0.2374*100000/1000000)</f>
        <v>1.5409441560000001</v>
      </c>
      <c r="Y332" s="57"/>
      <c r="Z332" s="17"/>
      <c r="AA332" s="56"/>
      <c r="AB332" s="49">
        <f>(B332*194.205+C332*267.466+D332*133.845+E332*153.484+F332*40+G332*85+H332*0+I332*100+J332*300)/(194.205+267.466+133.845+153.484+0+40+85+100+300)</f>
        <v>14.430375179905809</v>
      </c>
      <c r="AC332" s="46">
        <f>(M332*'RAP TEMPLATE-GAS AVAILABILITY'!O331+N332*'RAP TEMPLATE-GAS AVAILABILITY'!P331+O332*'RAP TEMPLATE-GAS AVAILABILITY'!Q331+P332*'RAP TEMPLATE-GAS AVAILABILITY'!R331)/('RAP TEMPLATE-GAS AVAILABILITY'!O331+'RAP TEMPLATE-GAS AVAILABILITY'!P331+'RAP TEMPLATE-GAS AVAILABILITY'!Q331+'RAP TEMPLATE-GAS AVAILABILITY'!R331)</f>
        <v>14.327415107913671</v>
      </c>
    </row>
    <row r="333" spans="1:29" ht="15.75" x14ac:dyDescent="0.25">
      <c r="A333" s="14">
        <v>51043</v>
      </c>
      <c r="B333" s="17">
        <f>CHOOSE(CONTROL!$C$42, 13.4493, 13.4493) * CHOOSE(CONTROL!$C$21, $C$9, 100%, $E$9)</f>
        <v>13.449299999999999</v>
      </c>
      <c r="C333" s="17">
        <f>CHOOSE(CONTROL!$C$42, 13.4573, 13.4573) * CHOOSE(CONTROL!$C$21, $C$9, 100%, $E$9)</f>
        <v>13.4573</v>
      </c>
      <c r="D333" s="17">
        <f>CHOOSE(CONTROL!$C$42, 13.7069, 13.7069) * CHOOSE(CONTROL!$C$21, $C$9, 100%, $E$9)</f>
        <v>13.706899999999999</v>
      </c>
      <c r="E333" s="17">
        <f>CHOOSE(CONTROL!$C$42, 13.7381, 13.7381) * CHOOSE(CONTROL!$C$21, $C$9, 100%, $E$9)</f>
        <v>13.738099999999999</v>
      </c>
      <c r="F333" s="17">
        <f>CHOOSE(CONTROL!$C$42, 13.4553, 13.4553)*CHOOSE(CONTROL!$C$21, $C$9, 100%, $E$9)</f>
        <v>13.455299999999999</v>
      </c>
      <c r="G333" s="17">
        <f>CHOOSE(CONTROL!$C$42, 13.4717, 13.4717)*CHOOSE(CONTROL!$C$21, $C$9, 100%, $E$9)</f>
        <v>13.4717</v>
      </c>
      <c r="H333" s="17">
        <f>CHOOSE(CONTROL!$C$42, 13.7264, 13.7264) * CHOOSE(CONTROL!$C$21, $C$9, 100%, $E$9)</f>
        <v>13.7264</v>
      </c>
      <c r="I333" s="17">
        <f>CHOOSE(CONTROL!$C$42, 13.5112, 13.5112)* CHOOSE(CONTROL!$C$21, $C$9, 100%, $E$9)</f>
        <v>13.511200000000001</v>
      </c>
      <c r="J333" s="17">
        <f>CHOOSE(CONTROL!$C$42, 13.4479, 13.4479)* CHOOSE(CONTROL!$C$21, $C$9, 100%, $E$9)</f>
        <v>13.447900000000001</v>
      </c>
      <c r="K333" s="53">
        <f>CHOOSE(CONTROL!$C$42, 13.5052, 13.5052) * CHOOSE(CONTROL!$C$21, $C$9, 100%, $E$9)</f>
        <v>13.5052</v>
      </c>
      <c r="L333" s="17">
        <f>CHOOSE(CONTROL!$C$42, 14.3134, 14.3134) * CHOOSE(CONTROL!$C$21, $C$9, 100%, $E$9)</f>
        <v>14.3134</v>
      </c>
      <c r="M333" s="17">
        <f>CHOOSE(CONTROL!$C$42, 13.3339, 13.3339) * CHOOSE(CONTROL!$C$21, $C$9, 100%, $E$9)</f>
        <v>13.3339</v>
      </c>
      <c r="N333" s="17">
        <f>CHOOSE(CONTROL!$C$42, 13.3502, 13.3502) * CHOOSE(CONTROL!$C$21, $C$9, 100%, $E$9)</f>
        <v>13.350199999999999</v>
      </c>
      <c r="O333" s="17">
        <f>CHOOSE(CONTROL!$C$42, 13.6099, 13.6099) * CHOOSE(CONTROL!$C$21, $C$9, 100%, $E$9)</f>
        <v>13.6099</v>
      </c>
      <c r="P333" s="17">
        <f>CHOOSE(CONTROL!$C$42, 13.3964, 13.3964) * CHOOSE(CONTROL!$C$21, $C$9, 100%, $E$9)</f>
        <v>13.3964</v>
      </c>
      <c r="Q333" s="17">
        <f>CHOOSE(CONTROL!$C$42, 14.2046, 14.2046) * CHOOSE(CONTROL!$C$21, $C$9, 100%, $E$9)</f>
        <v>14.204599999999999</v>
      </c>
      <c r="R333" s="17">
        <f>CHOOSE(CONTROL!$C$42, 14.8272, 14.8272) * CHOOSE(CONTROL!$C$21, $C$9, 100%, $E$9)</f>
        <v>14.827199999999999</v>
      </c>
      <c r="S333" s="17">
        <f>CHOOSE(CONTROL!$C$42, 13.0302, 13.0302) * CHOOSE(CONTROL!$C$21, $C$9, 100%, $E$9)</f>
        <v>13.030200000000001</v>
      </c>
      <c r="T333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333" s="57">
        <f>(1000*CHOOSE(CONTROL!$C$42, 695, 695)*CHOOSE(CONTROL!$C$42, 0.5599, 0.5599)*CHOOSE(CONTROL!$C$42, 30, 30))/1000000</f>
        <v>11.673914999999997</v>
      </c>
      <c r="V333" s="57">
        <f>(1000*CHOOSE(CONTROL!$C$42, 500, 500)*CHOOSE(CONTROL!$C$42, 0.275, 0.275)*CHOOSE(CONTROL!$C$42, 30, 30))/1000000</f>
        <v>4.125</v>
      </c>
      <c r="W333" s="57">
        <f>(1000*CHOOSE(CONTROL!$C$42, 0.0916, 0.0916)*CHOOSE(CONTROL!$C$42, 121.5, 121.5)*CHOOSE(CONTROL!$C$42, 30, 30))/1000000</f>
        <v>0.33388200000000001</v>
      </c>
      <c r="X333" s="57">
        <f>(30*0.1790888*145000/1000000)+(30*0.2374*100000/1000000)</f>
        <v>1.4912362799999999</v>
      </c>
      <c r="Y333" s="57"/>
      <c r="Z333" s="17"/>
      <c r="AA333" s="56"/>
      <c r="AB333" s="49">
        <f>(B333*194.205+C333*267.466+D333*133.845+E333*153.484+F333*40+G333*85+H333*0+I333*100+J333*300)/(194.205+267.466+133.845+153.484+0+40+85+100+300)</f>
        <v>13.519047550392465</v>
      </c>
      <c r="AC333" s="46">
        <f>(M333*'RAP TEMPLATE-GAS AVAILABILITY'!O332+N333*'RAP TEMPLATE-GAS AVAILABILITY'!P332+O333*'RAP TEMPLATE-GAS AVAILABILITY'!Q332+P333*'RAP TEMPLATE-GAS AVAILABILITY'!R332)/('RAP TEMPLATE-GAS AVAILABILITY'!O332+'RAP TEMPLATE-GAS AVAILABILITY'!P332+'RAP TEMPLATE-GAS AVAILABILITY'!Q332+'RAP TEMPLATE-GAS AVAILABILITY'!R332)</f>
        <v>13.424084172661869</v>
      </c>
    </row>
    <row r="334" spans="1:29" ht="15.75" x14ac:dyDescent="0.25">
      <c r="A334" s="14">
        <v>51074</v>
      </c>
      <c r="B334" s="17">
        <f>CHOOSE(CONTROL!$C$42, 13.1747, 13.1747) * CHOOSE(CONTROL!$C$21, $C$9, 100%, $E$9)</f>
        <v>13.1747</v>
      </c>
      <c r="C334" s="17">
        <f>CHOOSE(CONTROL!$C$42, 13.1801, 13.1801) * CHOOSE(CONTROL!$C$21, $C$9, 100%, $E$9)</f>
        <v>13.180099999999999</v>
      </c>
      <c r="D334" s="17">
        <f>CHOOSE(CONTROL!$C$42, 13.4346, 13.4346) * CHOOSE(CONTROL!$C$21, $C$9, 100%, $E$9)</f>
        <v>13.4346</v>
      </c>
      <c r="E334" s="17">
        <f>CHOOSE(CONTROL!$C$42, 13.4634, 13.4634) * CHOOSE(CONTROL!$C$21, $C$9, 100%, $E$9)</f>
        <v>13.4634</v>
      </c>
      <c r="F334" s="17">
        <f>CHOOSE(CONTROL!$C$42, 13.1829, 13.1829)*CHOOSE(CONTROL!$C$21, $C$9, 100%, $E$9)</f>
        <v>13.1829</v>
      </c>
      <c r="G334" s="17">
        <f>CHOOSE(CONTROL!$C$42, 13.1993, 13.1993)*CHOOSE(CONTROL!$C$21, $C$9, 100%, $E$9)</f>
        <v>13.199299999999999</v>
      </c>
      <c r="H334" s="17">
        <f>CHOOSE(CONTROL!$C$42, 13.4536, 13.4536) * CHOOSE(CONTROL!$C$21, $C$9, 100%, $E$9)</f>
        <v>13.4536</v>
      </c>
      <c r="I334" s="17">
        <f>CHOOSE(CONTROL!$C$42, 13.2376, 13.2376)* CHOOSE(CONTROL!$C$21, $C$9, 100%, $E$9)</f>
        <v>13.2376</v>
      </c>
      <c r="J334" s="17">
        <f>CHOOSE(CONTROL!$C$42, 13.1755, 13.1755)* CHOOSE(CONTROL!$C$21, $C$9, 100%, $E$9)</f>
        <v>13.1755</v>
      </c>
      <c r="K334" s="53">
        <f>CHOOSE(CONTROL!$C$42, 13.2315, 13.2315) * CHOOSE(CONTROL!$C$21, $C$9, 100%, $E$9)</f>
        <v>13.2315</v>
      </c>
      <c r="L334" s="17">
        <f>CHOOSE(CONTROL!$C$42, 14.0406, 14.0406) * CHOOSE(CONTROL!$C$21, $C$9, 100%, $E$9)</f>
        <v>14.0406</v>
      </c>
      <c r="M334" s="17">
        <f>CHOOSE(CONTROL!$C$42, 13.064, 13.064) * CHOOSE(CONTROL!$C$21, $C$9, 100%, $E$9)</f>
        <v>13.064</v>
      </c>
      <c r="N334" s="17">
        <f>CHOOSE(CONTROL!$C$42, 13.0802, 13.0802) * CHOOSE(CONTROL!$C$21, $C$9, 100%, $E$9)</f>
        <v>13.0802</v>
      </c>
      <c r="O334" s="17">
        <f>CHOOSE(CONTROL!$C$42, 13.3396, 13.3396) * CHOOSE(CONTROL!$C$21, $C$9, 100%, $E$9)</f>
        <v>13.339600000000001</v>
      </c>
      <c r="P334" s="17">
        <f>CHOOSE(CONTROL!$C$42, 13.1252, 13.1252) * CHOOSE(CONTROL!$C$21, $C$9, 100%, $E$9)</f>
        <v>13.1252</v>
      </c>
      <c r="Q334" s="17">
        <f>CHOOSE(CONTROL!$C$42, 13.9343, 13.9343) * CHOOSE(CONTROL!$C$21, $C$9, 100%, $E$9)</f>
        <v>13.9343</v>
      </c>
      <c r="R334" s="17">
        <f>CHOOSE(CONTROL!$C$42, 14.5561, 14.5561) * CHOOSE(CONTROL!$C$21, $C$9, 100%, $E$9)</f>
        <v>14.556100000000001</v>
      </c>
      <c r="S334" s="17">
        <f>CHOOSE(CONTROL!$C$42, 12.7656, 12.7656) * CHOOSE(CONTROL!$C$21, $C$9, 100%, $E$9)</f>
        <v>12.765599999999999</v>
      </c>
      <c r="T334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334" s="57">
        <f>(1000*CHOOSE(CONTROL!$C$42, 695, 695)*CHOOSE(CONTROL!$C$42, 0.5599, 0.5599)*CHOOSE(CONTROL!$C$42, 31, 31))/1000000</f>
        <v>12.063045499999998</v>
      </c>
      <c r="V334" s="57">
        <f>(1000*CHOOSE(CONTROL!$C$42, 500, 500)*CHOOSE(CONTROL!$C$42, 0.275, 0.275)*CHOOSE(CONTROL!$C$42, 31, 31))/1000000</f>
        <v>4.2625000000000002</v>
      </c>
      <c r="W334" s="57">
        <f>(1000*CHOOSE(CONTROL!$C$42, 0.0916, 0.0916)*CHOOSE(CONTROL!$C$42, 121.5, 121.5)*CHOOSE(CONTROL!$C$42, 31, 31))/1000000</f>
        <v>0.34501139999999997</v>
      </c>
      <c r="X334" s="57">
        <f>(31*0.1790888*145000/1000000)+(31*0.2374*100000/1000000)</f>
        <v>1.5409441560000001</v>
      </c>
      <c r="Y334" s="57"/>
      <c r="Z334" s="17"/>
      <c r="AA334" s="56"/>
      <c r="AB334" s="49">
        <f>(B334*131.881+C334*277.167+D334*79.08+E334*225.872+F334*40+G334*85+H334*0+I334*100+J334*300)/(131.881+277.167+79.08+225.872+0+40+85+100+300)</f>
        <v>13.252349588539143</v>
      </c>
      <c r="AC334" s="46">
        <f>(M334*'RAP TEMPLATE-GAS AVAILABILITY'!O333+N334*'RAP TEMPLATE-GAS AVAILABILITY'!P333+O334*'RAP TEMPLATE-GAS AVAILABILITY'!Q333+P334*'RAP TEMPLATE-GAS AVAILABILITY'!R333)/('RAP TEMPLATE-GAS AVAILABILITY'!O333+'RAP TEMPLATE-GAS AVAILABILITY'!P333+'RAP TEMPLATE-GAS AVAILABILITY'!Q333+'RAP TEMPLATE-GAS AVAILABILITY'!R333)</f>
        <v>13.153861870503599</v>
      </c>
    </row>
    <row r="335" spans="1:29" ht="15.75" x14ac:dyDescent="0.25">
      <c r="A335" s="14">
        <v>51104</v>
      </c>
      <c r="B335" s="17">
        <f>CHOOSE(CONTROL!$C$42, 13.5211, 13.5211) * CHOOSE(CONTROL!$C$21, $C$9, 100%, $E$9)</f>
        <v>13.521100000000001</v>
      </c>
      <c r="C335" s="17">
        <f>CHOOSE(CONTROL!$C$42, 13.5262, 13.5262) * CHOOSE(CONTROL!$C$21, $C$9, 100%, $E$9)</f>
        <v>13.526199999999999</v>
      </c>
      <c r="D335" s="17">
        <f>CHOOSE(CONTROL!$C$42, 13.6488, 13.6488) * CHOOSE(CONTROL!$C$21, $C$9, 100%, $E$9)</f>
        <v>13.6488</v>
      </c>
      <c r="E335" s="17">
        <f>CHOOSE(CONTROL!$C$42, 13.6826, 13.6826) * CHOOSE(CONTROL!$C$21, $C$9, 100%, $E$9)</f>
        <v>13.682600000000001</v>
      </c>
      <c r="F335" s="17">
        <f>CHOOSE(CONTROL!$C$42, 13.5361, 13.5361)*CHOOSE(CONTROL!$C$21, $C$9, 100%, $E$9)</f>
        <v>13.536099999999999</v>
      </c>
      <c r="G335" s="17">
        <f>CHOOSE(CONTROL!$C$42, 13.5528, 13.5528)*CHOOSE(CONTROL!$C$21, $C$9, 100%, $E$9)</f>
        <v>13.5528</v>
      </c>
      <c r="H335" s="17">
        <f>CHOOSE(CONTROL!$C$42, 13.6715, 13.6715) * CHOOSE(CONTROL!$C$21, $C$9, 100%, $E$9)</f>
        <v>13.6715</v>
      </c>
      <c r="I335" s="17">
        <f>CHOOSE(CONTROL!$C$42, 13.588, 13.588)* CHOOSE(CONTROL!$C$21, $C$9, 100%, $E$9)</f>
        <v>13.587999999999999</v>
      </c>
      <c r="J335" s="17">
        <f>CHOOSE(CONTROL!$C$42, 13.5287, 13.5287)* CHOOSE(CONTROL!$C$21, $C$9, 100%, $E$9)</f>
        <v>13.528700000000001</v>
      </c>
      <c r="K335" s="53">
        <f>CHOOSE(CONTROL!$C$42, 13.582, 13.582) * CHOOSE(CONTROL!$C$21, $C$9, 100%, $E$9)</f>
        <v>13.582000000000001</v>
      </c>
      <c r="L335" s="17">
        <f>CHOOSE(CONTROL!$C$42, 14.2585, 14.2585) * CHOOSE(CONTROL!$C$21, $C$9, 100%, $E$9)</f>
        <v>14.2585</v>
      </c>
      <c r="M335" s="17">
        <f>CHOOSE(CONTROL!$C$42, 13.4141, 13.4141) * CHOOSE(CONTROL!$C$21, $C$9, 100%, $E$9)</f>
        <v>13.414099999999999</v>
      </c>
      <c r="N335" s="17">
        <f>CHOOSE(CONTROL!$C$42, 13.4306, 13.4306) * CHOOSE(CONTROL!$C$21, $C$9, 100%, $E$9)</f>
        <v>13.4306</v>
      </c>
      <c r="O335" s="17">
        <f>CHOOSE(CONTROL!$C$42, 13.5555, 13.5555) * CHOOSE(CONTROL!$C$21, $C$9, 100%, $E$9)</f>
        <v>13.5555</v>
      </c>
      <c r="P335" s="17">
        <f>CHOOSE(CONTROL!$C$42, 13.4725, 13.4725) * CHOOSE(CONTROL!$C$21, $C$9, 100%, $E$9)</f>
        <v>13.4725</v>
      </c>
      <c r="Q335" s="17">
        <f>CHOOSE(CONTROL!$C$42, 14.1502, 14.1502) * CHOOSE(CONTROL!$C$21, $C$9, 100%, $E$9)</f>
        <v>14.1502</v>
      </c>
      <c r="R335" s="17">
        <f>CHOOSE(CONTROL!$C$42, 14.7726, 14.7726) * CHOOSE(CONTROL!$C$21, $C$9, 100%, $E$9)</f>
        <v>14.772600000000001</v>
      </c>
      <c r="S335" s="17">
        <f>CHOOSE(CONTROL!$C$42, 13.1019, 13.1019) * CHOOSE(CONTROL!$C$21, $C$9, 100%, $E$9)</f>
        <v>13.101900000000001</v>
      </c>
      <c r="T335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335" s="57">
        <f>(1000*CHOOSE(CONTROL!$C$42, 695, 695)*CHOOSE(CONTROL!$C$42, 0.5599, 0.5599)*CHOOSE(CONTROL!$C$42, 30, 30))/1000000</f>
        <v>11.673914999999997</v>
      </c>
      <c r="V335" s="57">
        <f>(1000*CHOOSE(CONTROL!$C$42, 500, 500)*CHOOSE(CONTROL!$C$42, 0.275, 0.275)*CHOOSE(CONTROL!$C$42, 30, 30))/1000000</f>
        <v>4.125</v>
      </c>
      <c r="W335" s="57">
        <f>(1000*CHOOSE(CONTROL!$C$42, 0.0916, 0.0916)*CHOOSE(CONTROL!$C$42, 121.5, 121.5)*CHOOSE(CONTROL!$C$42, 30, 30))/1000000</f>
        <v>0.33388200000000001</v>
      </c>
      <c r="X335" s="57">
        <f>(30*0.2374*100000/1000000)</f>
        <v>0.71220000000000006</v>
      </c>
      <c r="Y335" s="57"/>
      <c r="Z335" s="17"/>
      <c r="AA335" s="56"/>
      <c r="AB335" s="49">
        <f>(B335*122.58+C335*297.941+D335*89.177+E335*140.302+F335*40+G335*60+H335*0+I335*100+J335*300)/(122.58+297.941+89.177+140.302+0+40+60+100+300)</f>
        <v>13.562002760869564</v>
      </c>
      <c r="AC335" s="46">
        <f>(M335*'RAP TEMPLATE-GAS AVAILABILITY'!O334+N335*'RAP TEMPLATE-GAS AVAILABILITY'!P334+O335*'RAP TEMPLATE-GAS AVAILABILITY'!Q334+P335*'RAP TEMPLATE-GAS AVAILABILITY'!R334)/('RAP TEMPLATE-GAS AVAILABILITY'!O334+'RAP TEMPLATE-GAS AVAILABILITY'!P334+'RAP TEMPLATE-GAS AVAILABILITY'!Q334+'RAP TEMPLATE-GAS AVAILABILITY'!R334)</f>
        <v>13.487540287769784</v>
      </c>
    </row>
    <row r="336" spans="1:29" ht="15.75" x14ac:dyDescent="0.25">
      <c r="A336" s="14">
        <v>51135</v>
      </c>
      <c r="B336" s="17">
        <f>CHOOSE(CONTROL!$C$42, 14.4423, 14.4423) * CHOOSE(CONTROL!$C$21, $C$9, 100%, $E$9)</f>
        <v>14.442299999999999</v>
      </c>
      <c r="C336" s="17">
        <f>CHOOSE(CONTROL!$C$42, 14.4474, 14.4474) * CHOOSE(CONTROL!$C$21, $C$9, 100%, $E$9)</f>
        <v>14.4474</v>
      </c>
      <c r="D336" s="17">
        <f>CHOOSE(CONTROL!$C$42, 14.57, 14.57) * CHOOSE(CONTROL!$C$21, $C$9, 100%, $E$9)</f>
        <v>14.57</v>
      </c>
      <c r="E336" s="17">
        <f>CHOOSE(CONTROL!$C$42, 14.6037, 14.6037) * CHOOSE(CONTROL!$C$21, $C$9, 100%, $E$9)</f>
        <v>14.6037</v>
      </c>
      <c r="F336" s="17">
        <f>CHOOSE(CONTROL!$C$42, 14.4597, 14.4597)*CHOOSE(CONTROL!$C$21, $C$9, 100%, $E$9)</f>
        <v>14.4597</v>
      </c>
      <c r="G336" s="17">
        <f>CHOOSE(CONTROL!$C$42, 14.477, 14.477)*CHOOSE(CONTROL!$C$21, $C$9, 100%, $E$9)</f>
        <v>14.477</v>
      </c>
      <c r="H336" s="17">
        <f>CHOOSE(CONTROL!$C$42, 14.5926, 14.5926) * CHOOSE(CONTROL!$C$21, $C$9, 100%, $E$9)</f>
        <v>14.592599999999999</v>
      </c>
      <c r="I336" s="17">
        <f>CHOOSE(CONTROL!$C$42, 14.512, 14.512)* CHOOSE(CONTROL!$C$21, $C$9, 100%, $E$9)</f>
        <v>14.512</v>
      </c>
      <c r="J336" s="17">
        <f>CHOOSE(CONTROL!$C$42, 14.4523, 14.4523)* CHOOSE(CONTROL!$C$21, $C$9, 100%, $E$9)</f>
        <v>14.452299999999999</v>
      </c>
      <c r="K336" s="53">
        <f>CHOOSE(CONTROL!$C$42, 14.506, 14.506) * CHOOSE(CONTROL!$C$21, $C$9, 100%, $E$9)</f>
        <v>14.506</v>
      </c>
      <c r="L336" s="17">
        <f>CHOOSE(CONTROL!$C$42, 15.1796, 15.1796) * CHOOSE(CONTROL!$C$21, $C$9, 100%, $E$9)</f>
        <v>15.179600000000001</v>
      </c>
      <c r="M336" s="17">
        <f>CHOOSE(CONTROL!$C$42, 14.3293, 14.3293) * CHOOSE(CONTROL!$C$21, $C$9, 100%, $E$9)</f>
        <v>14.3293</v>
      </c>
      <c r="N336" s="17">
        <f>CHOOSE(CONTROL!$C$42, 14.3465, 14.3465) * CHOOSE(CONTROL!$C$21, $C$9, 100%, $E$9)</f>
        <v>14.346500000000001</v>
      </c>
      <c r="O336" s="17">
        <f>CHOOSE(CONTROL!$C$42, 14.4684, 14.4684) * CHOOSE(CONTROL!$C$21, $C$9, 100%, $E$9)</f>
        <v>14.468400000000001</v>
      </c>
      <c r="P336" s="17">
        <f>CHOOSE(CONTROL!$C$42, 14.3882, 14.3882) * CHOOSE(CONTROL!$C$21, $C$9, 100%, $E$9)</f>
        <v>14.388199999999999</v>
      </c>
      <c r="Q336" s="17">
        <f>CHOOSE(CONTROL!$C$42, 15.0631, 15.0631) * CHOOSE(CONTROL!$C$21, $C$9, 100%, $E$9)</f>
        <v>15.0631</v>
      </c>
      <c r="R336" s="17">
        <f>CHOOSE(CONTROL!$C$42, 15.6877, 15.6877) * CHOOSE(CONTROL!$C$21, $C$9, 100%, $E$9)</f>
        <v>15.6877</v>
      </c>
      <c r="S336" s="17">
        <f>CHOOSE(CONTROL!$C$42, 13.9952, 13.9952) * CHOOSE(CONTROL!$C$21, $C$9, 100%, $E$9)</f>
        <v>13.995200000000001</v>
      </c>
      <c r="T336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336" s="57">
        <f>(1000*CHOOSE(CONTROL!$C$42, 695, 695)*CHOOSE(CONTROL!$C$42, 0.5599, 0.5599)*CHOOSE(CONTROL!$C$42, 31, 31))/1000000</f>
        <v>12.063045499999998</v>
      </c>
      <c r="V336" s="57">
        <f>(1000*CHOOSE(CONTROL!$C$42, 500, 500)*CHOOSE(CONTROL!$C$42, 0.275, 0.275)*CHOOSE(CONTROL!$C$42, 31, 31))/1000000</f>
        <v>4.2625000000000002</v>
      </c>
      <c r="W336" s="57">
        <f>(1000*CHOOSE(CONTROL!$C$42, 0.0916, 0.0916)*CHOOSE(CONTROL!$C$42, 121.5, 121.5)*CHOOSE(CONTROL!$C$42, 31, 31))/1000000</f>
        <v>0.34501139999999997</v>
      </c>
      <c r="X336" s="57">
        <f>(31*0.2374*100000/1000000)</f>
        <v>0.73594000000000004</v>
      </c>
      <c r="Y336" s="57"/>
      <c r="Z336" s="17"/>
      <c r="AA336" s="56"/>
      <c r="AB336" s="49">
        <f>(B336*122.58+C336*297.941+D336*89.177+E336*140.302+F336*40+G336*60+H336*0+I336*100+J336*300)/(122.58+297.941+89.177+140.302+0+40+60+100+300)</f>
        <v>14.484300125913043</v>
      </c>
      <c r="AC336" s="46">
        <f>(M336*'RAP TEMPLATE-GAS AVAILABILITY'!O335+N336*'RAP TEMPLATE-GAS AVAILABILITY'!P335+O336*'RAP TEMPLATE-GAS AVAILABILITY'!Q335+P336*'RAP TEMPLATE-GAS AVAILABILITY'!R335)/('RAP TEMPLATE-GAS AVAILABILITY'!O335+'RAP TEMPLATE-GAS AVAILABILITY'!P335+'RAP TEMPLATE-GAS AVAILABILITY'!Q335+'RAP TEMPLATE-GAS AVAILABILITY'!R335)</f>
        <v>14.401810071942446</v>
      </c>
    </row>
    <row r="337" spans="1:29" ht="15.75" x14ac:dyDescent="0.25">
      <c r="A337" s="14">
        <v>51166</v>
      </c>
      <c r="B337" s="17">
        <f>CHOOSE(CONTROL!$C$42, 15.6387, 15.6387) * CHOOSE(CONTROL!$C$21, $C$9, 100%, $E$9)</f>
        <v>15.6387</v>
      </c>
      <c r="C337" s="17">
        <f>CHOOSE(CONTROL!$C$42, 15.6438, 15.6438) * CHOOSE(CONTROL!$C$21, $C$9, 100%, $E$9)</f>
        <v>15.643800000000001</v>
      </c>
      <c r="D337" s="17">
        <f>CHOOSE(CONTROL!$C$42, 15.7612, 15.7612) * CHOOSE(CONTROL!$C$21, $C$9, 100%, $E$9)</f>
        <v>15.761200000000001</v>
      </c>
      <c r="E337" s="17">
        <f>CHOOSE(CONTROL!$C$42, 15.795, 15.795) * CHOOSE(CONTROL!$C$21, $C$9, 100%, $E$9)</f>
        <v>15.795</v>
      </c>
      <c r="F337" s="17">
        <f>CHOOSE(CONTROL!$C$42, 15.6523, 15.6523)*CHOOSE(CONTROL!$C$21, $C$9, 100%, $E$9)</f>
        <v>15.6523</v>
      </c>
      <c r="G337" s="17">
        <f>CHOOSE(CONTROL!$C$42, 15.6686, 15.6686)*CHOOSE(CONTROL!$C$21, $C$9, 100%, $E$9)</f>
        <v>15.6686</v>
      </c>
      <c r="H337" s="17">
        <f>CHOOSE(CONTROL!$C$42, 15.7839, 15.7839) * CHOOSE(CONTROL!$C$21, $C$9, 100%, $E$9)</f>
        <v>15.783899999999999</v>
      </c>
      <c r="I337" s="17">
        <f>CHOOSE(CONTROL!$C$42, 15.7106, 15.7106)* CHOOSE(CONTROL!$C$21, $C$9, 100%, $E$9)</f>
        <v>15.710599999999999</v>
      </c>
      <c r="J337" s="17">
        <f>CHOOSE(CONTROL!$C$42, 15.6449, 15.6449)* CHOOSE(CONTROL!$C$21, $C$9, 100%, $E$9)</f>
        <v>15.6449</v>
      </c>
      <c r="K337" s="53">
        <f>CHOOSE(CONTROL!$C$42, 15.7046, 15.7046) * CHOOSE(CONTROL!$C$21, $C$9, 100%, $E$9)</f>
        <v>15.704599999999999</v>
      </c>
      <c r="L337" s="17">
        <f>CHOOSE(CONTROL!$C$42, 16.3709, 16.3709) * CHOOSE(CONTROL!$C$21, $C$9, 100%, $E$9)</f>
        <v>16.370899999999999</v>
      </c>
      <c r="M337" s="17">
        <f>CHOOSE(CONTROL!$C$42, 15.5112, 15.5112) * CHOOSE(CONTROL!$C$21, $C$9, 100%, $E$9)</f>
        <v>15.511200000000001</v>
      </c>
      <c r="N337" s="17">
        <f>CHOOSE(CONTROL!$C$42, 15.5274, 15.5274) * CHOOSE(CONTROL!$C$21, $C$9, 100%, $E$9)</f>
        <v>15.5274</v>
      </c>
      <c r="O337" s="17">
        <f>CHOOSE(CONTROL!$C$42, 15.6489, 15.6489) * CHOOSE(CONTROL!$C$21, $C$9, 100%, $E$9)</f>
        <v>15.648899999999999</v>
      </c>
      <c r="P337" s="17">
        <f>CHOOSE(CONTROL!$C$42, 15.5759, 15.5759) * CHOOSE(CONTROL!$C$21, $C$9, 100%, $E$9)</f>
        <v>15.575900000000001</v>
      </c>
      <c r="Q337" s="17">
        <f>CHOOSE(CONTROL!$C$42, 16.2436, 16.2436) * CHOOSE(CONTROL!$C$21, $C$9, 100%, $E$9)</f>
        <v>16.243600000000001</v>
      </c>
      <c r="R337" s="17">
        <f>CHOOSE(CONTROL!$C$42, 16.8712, 16.8712) * CHOOSE(CONTROL!$C$21, $C$9, 100%, $E$9)</f>
        <v>16.871200000000002</v>
      </c>
      <c r="S337" s="17">
        <f>CHOOSE(CONTROL!$C$42, 15.1553, 15.1553) * CHOOSE(CONTROL!$C$21, $C$9, 100%, $E$9)</f>
        <v>15.1553</v>
      </c>
      <c r="T337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337" s="57">
        <f>(1000*CHOOSE(CONTROL!$C$42, 695, 695)*CHOOSE(CONTROL!$C$42, 0.5599, 0.5599)*CHOOSE(CONTROL!$C$42, 31, 31))/1000000</f>
        <v>12.063045499999998</v>
      </c>
      <c r="V337" s="57">
        <f>(1000*CHOOSE(CONTROL!$C$42, 500, 500)*CHOOSE(CONTROL!$C$42, 0.275, 0.275)*CHOOSE(CONTROL!$C$42, 31, 31))/1000000</f>
        <v>4.2625000000000002</v>
      </c>
      <c r="W337" s="57">
        <f>(1000*CHOOSE(CONTROL!$C$42, 0.0916, 0.0916)*CHOOSE(CONTROL!$C$42, 121.5, 121.5)*CHOOSE(CONTROL!$C$42, 31, 31))/1000000</f>
        <v>0.34501139999999997</v>
      </c>
      <c r="X337" s="57">
        <f>(31*0.2374*100000/1000000)</f>
        <v>0.73594000000000004</v>
      </c>
      <c r="Y337" s="57"/>
      <c r="Z337" s="17"/>
      <c r="AA337" s="56"/>
      <c r="AB337" s="49">
        <f>(B337*122.58+C337*297.941+D337*89.177+E337*140.302+F337*40+G337*60+H337*0+I337*100+J337*300)/(122.58+297.941+89.177+140.302+0+40+60+100+300)</f>
        <v>15.67849207321739</v>
      </c>
      <c r="AC337" s="46">
        <f>(M337*'RAP TEMPLATE-GAS AVAILABILITY'!O336+N337*'RAP TEMPLATE-GAS AVAILABILITY'!P336+O337*'RAP TEMPLATE-GAS AVAILABILITY'!Q336+P337*'RAP TEMPLATE-GAS AVAILABILITY'!R336)/('RAP TEMPLATE-GAS AVAILABILITY'!O336+'RAP TEMPLATE-GAS AVAILABILITY'!P336+'RAP TEMPLATE-GAS AVAILABILITY'!Q336+'RAP TEMPLATE-GAS AVAILABILITY'!R336)</f>
        <v>15.583852517985612</v>
      </c>
    </row>
    <row r="338" spans="1:29" ht="15.75" x14ac:dyDescent="0.25">
      <c r="A338" s="14">
        <v>51194</v>
      </c>
      <c r="B338" s="17">
        <f>CHOOSE(CONTROL!$C$42, 15.9169, 15.9169) * CHOOSE(CONTROL!$C$21, $C$9, 100%, $E$9)</f>
        <v>15.9169</v>
      </c>
      <c r="C338" s="17">
        <f>CHOOSE(CONTROL!$C$42, 15.922, 15.922) * CHOOSE(CONTROL!$C$21, $C$9, 100%, $E$9)</f>
        <v>15.922000000000001</v>
      </c>
      <c r="D338" s="17">
        <f>CHOOSE(CONTROL!$C$42, 16.0394, 16.0394) * CHOOSE(CONTROL!$C$21, $C$9, 100%, $E$9)</f>
        <v>16.039400000000001</v>
      </c>
      <c r="E338" s="17">
        <f>CHOOSE(CONTROL!$C$42, 16.0732, 16.0732) * CHOOSE(CONTROL!$C$21, $C$9, 100%, $E$9)</f>
        <v>16.0732</v>
      </c>
      <c r="F338" s="17">
        <f>CHOOSE(CONTROL!$C$42, 15.9305, 15.9305)*CHOOSE(CONTROL!$C$21, $C$9, 100%, $E$9)</f>
        <v>15.9305</v>
      </c>
      <c r="G338" s="17">
        <f>CHOOSE(CONTROL!$C$42, 15.9468, 15.9468)*CHOOSE(CONTROL!$C$21, $C$9, 100%, $E$9)</f>
        <v>15.9468</v>
      </c>
      <c r="H338" s="17">
        <f>CHOOSE(CONTROL!$C$42, 16.0621, 16.0621) * CHOOSE(CONTROL!$C$21, $C$9, 100%, $E$9)</f>
        <v>16.062100000000001</v>
      </c>
      <c r="I338" s="17">
        <f>CHOOSE(CONTROL!$C$42, 15.9897, 15.9897)* CHOOSE(CONTROL!$C$21, $C$9, 100%, $E$9)</f>
        <v>15.989699999999999</v>
      </c>
      <c r="J338" s="17">
        <f>CHOOSE(CONTROL!$C$42, 15.9231, 15.9231)* CHOOSE(CONTROL!$C$21, $C$9, 100%, $E$9)</f>
        <v>15.9231</v>
      </c>
      <c r="K338" s="53">
        <f>CHOOSE(CONTROL!$C$42, 15.9836, 15.9836) * CHOOSE(CONTROL!$C$21, $C$9, 100%, $E$9)</f>
        <v>15.983599999999999</v>
      </c>
      <c r="L338" s="17">
        <f>CHOOSE(CONTROL!$C$42, 16.6491, 16.6491) * CHOOSE(CONTROL!$C$21, $C$9, 100%, $E$9)</f>
        <v>16.649100000000001</v>
      </c>
      <c r="M338" s="17">
        <f>CHOOSE(CONTROL!$C$42, 15.7869, 15.7869) * CHOOSE(CONTROL!$C$21, $C$9, 100%, $E$9)</f>
        <v>15.786899999999999</v>
      </c>
      <c r="N338" s="17">
        <f>CHOOSE(CONTROL!$C$42, 15.8031, 15.8031) * CHOOSE(CONTROL!$C$21, $C$9, 100%, $E$9)</f>
        <v>15.803100000000001</v>
      </c>
      <c r="O338" s="17">
        <f>CHOOSE(CONTROL!$C$42, 15.9246, 15.9246) * CHOOSE(CONTROL!$C$21, $C$9, 100%, $E$9)</f>
        <v>15.9246</v>
      </c>
      <c r="P338" s="17">
        <f>CHOOSE(CONTROL!$C$42, 15.8525, 15.8525) * CHOOSE(CONTROL!$C$21, $C$9, 100%, $E$9)</f>
        <v>15.852499999999999</v>
      </c>
      <c r="Q338" s="17">
        <f>CHOOSE(CONTROL!$C$42, 16.5193, 16.5193) * CHOOSE(CONTROL!$C$21, $C$9, 100%, $E$9)</f>
        <v>16.519300000000001</v>
      </c>
      <c r="R338" s="17">
        <f>CHOOSE(CONTROL!$C$42, 17.1476, 17.1476) * CHOOSE(CONTROL!$C$21, $C$9, 100%, $E$9)</f>
        <v>17.147600000000001</v>
      </c>
      <c r="S338" s="17">
        <f>CHOOSE(CONTROL!$C$42, 15.4251, 15.4251) * CHOOSE(CONTROL!$C$21, $C$9, 100%, $E$9)</f>
        <v>15.4251</v>
      </c>
      <c r="T338" s="57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338" s="57">
        <f>(1000*CHOOSE(CONTROL!$C$42, 695, 695)*CHOOSE(CONTROL!$C$42, 0.5599, 0.5599)*CHOOSE(CONTROL!$C$42, 29, 29))/1000000</f>
        <v>11.284784499999999</v>
      </c>
      <c r="V338" s="57">
        <f>(1000*CHOOSE(CONTROL!$C$42, 500, 500)*CHOOSE(CONTROL!$C$42, 0.275, 0.275)*CHOOSE(CONTROL!$C$42, 29, 29))/1000000</f>
        <v>3.9874999999999998</v>
      </c>
      <c r="W338" s="57">
        <f>(1000*CHOOSE(CONTROL!$C$42, 0.0916, 0.0916)*CHOOSE(CONTROL!$C$42, 121.5, 121.5)*CHOOSE(CONTROL!$C$42, 29, 29))/1000000</f>
        <v>0.3227526</v>
      </c>
      <c r="X338" s="57">
        <f>(29*0.2374*100000/1000000)</f>
        <v>0.68845999999999996</v>
      </c>
      <c r="Y338" s="57"/>
      <c r="Z338" s="17"/>
      <c r="AA338" s="56"/>
      <c r="AB338" s="49">
        <f>(B338*122.58+C338*297.941+D338*89.177+E338*140.302+F338*40+G338*60+H338*0+I338*100+J338*300)/(122.58+297.941+89.177+140.302+0+40+60+100+300)</f>
        <v>15.956770334086956</v>
      </c>
      <c r="AC338" s="46">
        <f>(M338*'RAP TEMPLATE-GAS AVAILABILITY'!O337+N338*'RAP TEMPLATE-GAS AVAILABILITY'!P337+O338*'RAP TEMPLATE-GAS AVAILABILITY'!Q337+P338*'RAP TEMPLATE-GAS AVAILABILITY'!R337)/('RAP TEMPLATE-GAS AVAILABILITY'!O337+'RAP TEMPLATE-GAS AVAILABILITY'!P337+'RAP TEMPLATE-GAS AVAILABILITY'!Q337+'RAP TEMPLATE-GAS AVAILABILITY'!R337)</f>
        <v>15.859682014388488</v>
      </c>
    </row>
    <row r="339" spans="1:29" ht="15.75" x14ac:dyDescent="0.25">
      <c r="A339" s="14">
        <v>51226</v>
      </c>
      <c r="B339" s="17">
        <f>CHOOSE(CONTROL!$C$42, 15.4653, 15.4653) * CHOOSE(CONTROL!$C$21, $C$9, 100%, $E$9)</f>
        <v>15.465299999999999</v>
      </c>
      <c r="C339" s="17">
        <f>CHOOSE(CONTROL!$C$42, 15.4704, 15.4704) * CHOOSE(CONTROL!$C$21, $C$9, 100%, $E$9)</f>
        <v>15.4704</v>
      </c>
      <c r="D339" s="17">
        <f>CHOOSE(CONTROL!$C$42, 15.5878, 15.5878) * CHOOSE(CONTROL!$C$21, $C$9, 100%, $E$9)</f>
        <v>15.5878</v>
      </c>
      <c r="E339" s="17">
        <f>CHOOSE(CONTROL!$C$42, 15.6216, 15.6216) * CHOOSE(CONTROL!$C$21, $C$9, 100%, $E$9)</f>
        <v>15.621600000000001</v>
      </c>
      <c r="F339" s="17">
        <f>CHOOSE(CONTROL!$C$42, 15.4783, 15.4783)*CHOOSE(CONTROL!$C$21, $C$9, 100%, $E$9)</f>
        <v>15.478300000000001</v>
      </c>
      <c r="G339" s="17">
        <f>CHOOSE(CONTROL!$C$42, 15.4944, 15.4944)*CHOOSE(CONTROL!$C$21, $C$9, 100%, $E$9)</f>
        <v>15.494400000000001</v>
      </c>
      <c r="H339" s="17">
        <f>CHOOSE(CONTROL!$C$42, 15.6105, 15.6105) * CHOOSE(CONTROL!$C$21, $C$9, 100%, $E$9)</f>
        <v>15.6105</v>
      </c>
      <c r="I339" s="17">
        <f>CHOOSE(CONTROL!$C$42, 15.5367, 15.5367)* CHOOSE(CONTROL!$C$21, $C$9, 100%, $E$9)</f>
        <v>15.5367</v>
      </c>
      <c r="J339" s="17">
        <f>CHOOSE(CONTROL!$C$42, 15.4709, 15.4709)* CHOOSE(CONTROL!$C$21, $C$9, 100%, $E$9)</f>
        <v>15.4709</v>
      </c>
      <c r="K339" s="53">
        <f>CHOOSE(CONTROL!$C$42, 15.5306, 15.5306) * CHOOSE(CONTROL!$C$21, $C$9, 100%, $E$9)</f>
        <v>15.5306</v>
      </c>
      <c r="L339" s="17">
        <f>CHOOSE(CONTROL!$C$42, 16.1975, 16.1975) * CHOOSE(CONTROL!$C$21, $C$9, 100%, $E$9)</f>
        <v>16.197500000000002</v>
      </c>
      <c r="M339" s="17">
        <f>CHOOSE(CONTROL!$C$42, 15.3388, 15.3388) * CHOOSE(CONTROL!$C$21, $C$9, 100%, $E$9)</f>
        <v>15.338800000000001</v>
      </c>
      <c r="N339" s="17">
        <f>CHOOSE(CONTROL!$C$42, 15.3547, 15.3547) * CHOOSE(CONTROL!$C$21, $C$9, 100%, $E$9)</f>
        <v>15.354699999999999</v>
      </c>
      <c r="O339" s="17">
        <f>CHOOSE(CONTROL!$C$42, 15.4771, 15.4771) * CHOOSE(CONTROL!$C$21, $C$9, 100%, $E$9)</f>
        <v>15.4771</v>
      </c>
      <c r="P339" s="17">
        <f>CHOOSE(CONTROL!$C$42, 15.4036, 15.4036) * CHOOSE(CONTROL!$C$21, $C$9, 100%, $E$9)</f>
        <v>15.403600000000001</v>
      </c>
      <c r="Q339" s="17">
        <f>CHOOSE(CONTROL!$C$42, 16.0718, 16.0718) * CHOOSE(CONTROL!$C$21, $C$9, 100%, $E$9)</f>
        <v>16.0718</v>
      </c>
      <c r="R339" s="17">
        <f>CHOOSE(CONTROL!$C$42, 16.699, 16.699) * CHOOSE(CONTROL!$C$21, $C$9, 100%, $E$9)</f>
        <v>16.699000000000002</v>
      </c>
      <c r="S339" s="17">
        <f>CHOOSE(CONTROL!$C$42, 14.9872, 14.9872) * CHOOSE(CONTROL!$C$21, $C$9, 100%, $E$9)</f>
        <v>14.9872</v>
      </c>
      <c r="T339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339" s="57">
        <f>(1000*CHOOSE(CONTROL!$C$42, 695, 695)*CHOOSE(CONTROL!$C$42, 0.5599, 0.5599)*CHOOSE(CONTROL!$C$42, 31, 31))/1000000</f>
        <v>12.063045499999998</v>
      </c>
      <c r="V339" s="57">
        <f>(1000*CHOOSE(CONTROL!$C$42, 500, 500)*CHOOSE(CONTROL!$C$42, 0.275, 0.275)*CHOOSE(CONTROL!$C$42, 31, 31))/1000000</f>
        <v>4.2625000000000002</v>
      </c>
      <c r="W339" s="57">
        <f>(1000*CHOOSE(CONTROL!$C$42, 0.0916, 0.0916)*CHOOSE(CONTROL!$C$42, 121.5, 121.5)*CHOOSE(CONTROL!$C$42, 31, 31))/1000000</f>
        <v>0.34501139999999997</v>
      </c>
      <c r="X339" s="57">
        <f>(31*0.2374*100000/1000000)</f>
        <v>0.73594000000000004</v>
      </c>
      <c r="Y339" s="57"/>
      <c r="Z339" s="17"/>
      <c r="AA339" s="56"/>
      <c r="AB339" s="49">
        <f>(B339*122.58+C339*297.941+D339*89.177+E339*140.302+F339*40+G339*60+H339*0+I339*100+J339*300)/(122.58+297.941+89.177+140.302+0+40+60+100+300)</f>
        <v>15.504829464521741</v>
      </c>
      <c r="AC339" s="46">
        <f>(M339*'RAP TEMPLATE-GAS AVAILABILITY'!O338+N339*'RAP TEMPLATE-GAS AVAILABILITY'!P338+O339*'RAP TEMPLATE-GAS AVAILABILITY'!Q338+P339*'RAP TEMPLATE-GAS AVAILABILITY'!R338)/('RAP TEMPLATE-GAS AVAILABILITY'!O338+'RAP TEMPLATE-GAS AVAILABILITY'!P338+'RAP TEMPLATE-GAS AVAILABILITY'!Q338+'RAP TEMPLATE-GAS AVAILABILITY'!R338)</f>
        <v>15.411721582733813</v>
      </c>
    </row>
    <row r="340" spans="1:29" ht="15.75" x14ac:dyDescent="0.25">
      <c r="A340" s="14">
        <v>51256</v>
      </c>
      <c r="B340" s="17">
        <f>CHOOSE(CONTROL!$C$42, 15.42, 15.42) * CHOOSE(CONTROL!$C$21, $C$9, 100%, $E$9)</f>
        <v>15.42</v>
      </c>
      <c r="C340" s="17">
        <f>CHOOSE(CONTROL!$C$42, 15.4245, 15.4245) * CHOOSE(CONTROL!$C$21, $C$9, 100%, $E$9)</f>
        <v>15.4245</v>
      </c>
      <c r="D340" s="17">
        <f>CHOOSE(CONTROL!$C$42, 15.6772, 15.6772) * CHOOSE(CONTROL!$C$21, $C$9, 100%, $E$9)</f>
        <v>15.677199999999999</v>
      </c>
      <c r="E340" s="17">
        <f>CHOOSE(CONTROL!$C$42, 15.709, 15.709) * CHOOSE(CONTROL!$C$21, $C$9, 100%, $E$9)</f>
        <v>15.709</v>
      </c>
      <c r="F340" s="17">
        <f>CHOOSE(CONTROL!$C$42, 15.426, 15.426)*CHOOSE(CONTROL!$C$21, $C$9, 100%, $E$9)</f>
        <v>15.426</v>
      </c>
      <c r="G340" s="17">
        <f>CHOOSE(CONTROL!$C$42, 15.4418, 15.4418)*CHOOSE(CONTROL!$C$21, $C$9, 100%, $E$9)</f>
        <v>15.441800000000001</v>
      </c>
      <c r="H340" s="17">
        <f>CHOOSE(CONTROL!$C$42, 15.6985, 15.6985) * CHOOSE(CONTROL!$C$21, $C$9, 100%, $E$9)</f>
        <v>15.698499999999999</v>
      </c>
      <c r="I340" s="17">
        <f>CHOOSE(CONTROL!$C$42, 15.4894, 15.4894)* CHOOSE(CONTROL!$C$21, $C$9, 100%, $E$9)</f>
        <v>15.4894</v>
      </c>
      <c r="J340" s="17">
        <f>CHOOSE(CONTROL!$C$42, 15.4186, 15.4186)* CHOOSE(CONTROL!$C$21, $C$9, 100%, $E$9)</f>
        <v>15.4186</v>
      </c>
      <c r="K340" s="53">
        <f>CHOOSE(CONTROL!$C$42, 15.4834, 15.4834) * CHOOSE(CONTROL!$C$21, $C$9, 100%, $E$9)</f>
        <v>15.4834</v>
      </c>
      <c r="L340" s="17">
        <f>CHOOSE(CONTROL!$C$42, 16.2855, 16.2855) * CHOOSE(CONTROL!$C$21, $C$9, 100%, $E$9)</f>
        <v>16.285499999999999</v>
      </c>
      <c r="M340" s="17">
        <f>CHOOSE(CONTROL!$C$42, 15.2869, 15.2869) * CHOOSE(CONTROL!$C$21, $C$9, 100%, $E$9)</f>
        <v>15.286899999999999</v>
      </c>
      <c r="N340" s="17">
        <f>CHOOSE(CONTROL!$C$42, 15.3026, 15.3026) * CHOOSE(CONTROL!$C$21, $C$9, 100%, $E$9)</f>
        <v>15.3026</v>
      </c>
      <c r="O340" s="17">
        <f>CHOOSE(CONTROL!$C$42, 15.5643, 15.5643) * CHOOSE(CONTROL!$C$21, $C$9, 100%, $E$9)</f>
        <v>15.564299999999999</v>
      </c>
      <c r="P340" s="17">
        <f>CHOOSE(CONTROL!$C$42, 15.3568, 15.3568) * CHOOSE(CONTROL!$C$21, $C$9, 100%, $E$9)</f>
        <v>15.3568</v>
      </c>
      <c r="Q340" s="17">
        <f>CHOOSE(CONTROL!$C$42, 16.159, 16.159) * CHOOSE(CONTROL!$C$21, $C$9, 100%, $E$9)</f>
        <v>16.158999999999999</v>
      </c>
      <c r="R340" s="17">
        <f>CHOOSE(CONTROL!$C$42, 16.7864, 16.7864) * CHOOSE(CONTROL!$C$21, $C$9, 100%, $E$9)</f>
        <v>16.7864</v>
      </c>
      <c r="S340" s="17">
        <f>CHOOSE(CONTROL!$C$42, 14.9425, 14.9425) * CHOOSE(CONTROL!$C$21, $C$9, 100%, $E$9)</f>
        <v>14.942500000000001</v>
      </c>
      <c r="T340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340" s="57">
        <f>(1000*CHOOSE(CONTROL!$C$42, 695, 695)*CHOOSE(CONTROL!$C$42, 0.5599, 0.5599)*CHOOSE(CONTROL!$C$42, 30, 30))/1000000</f>
        <v>11.673914999999997</v>
      </c>
      <c r="V340" s="57">
        <f>(1000*CHOOSE(CONTROL!$C$42, 500, 500)*CHOOSE(CONTROL!$C$42, 0.275, 0.275)*CHOOSE(CONTROL!$C$42, 30, 30))/1000000</f>
        <v>4.125</v>
      </c>
      <c r="W340" s="57">
        <f>(1000*CHOOSE(CONTROL!$C$42, 0.0916, 0.0916)*CHOOSE(CONTROL!$C$42, 121.5, 121.5)*CHOOSE(CONTROL!$C$42, 30, 30))/1000000</f>
        <v>0.33388200000000001</v>
      </c>
      <c r="X340" s="57">
        <f>(30*0.1790888*145000/1000000)+(30*0.2374*100000/1000000)</f>
        <v>1.4912362799999999</v>
      </c>
      <c r="Y340" s="57"/>
      <c r="Z340" s="17"/>
      <c r="AA340" s="56"/>
      <c r="AB340" s="49">
        <f>(B340*141.293+C340*267.993+D340*115.016+E340*189.698+F340*40+G340*85+H340*0+I340*100+J340*300)/(141.293+267.993+115.016+189.698+0+40+85+100+300)</f>
        <v>15.496048269330105</v>
      </c>
      <c r="AC340" s="46">
        <f>(M340*'RAP TEMPLATE-GAS AVAILABILITY'!O339+N340*'RAP TEMPLATE-GAS AVAILABILITY'!P339+O340*'RAP TEMPLATE-GAS AVAILABILITY'!Q339+P340*'RAP TEMPLATE-GAS AVAILABILITY'!R339)/('RAP TEMPLATE-GAS AVAILABILITY'!O339+'RAP TEMPLATE-GAS AVAILABILITY'!P339+'RAP TEMPLATE-GAS AVAILABILITY'!Q339+'RAP TEMPLATE-GAS AVAILABILITY'!R339)</f>
        <v>15.378403597122302</v>
      </c>
    </row>
    <row r="341" spans="1:29" ht="15.75" x14ac:dyDescent="0.25">
      <c r="A341" s="14">
        <v>51287</v>
      </c>
      <c r="B341" s="17">
        <f>CHOOSE(CONTROL!$C$42, 15.5574, 15.5574) * CHOOSE(CONTROL!$C$21, $C$9, 100%, $E$9)</f>
        <v>15.557399999999999</v>
      </c>
      <c r="C341" s="17">
        <f>CHOOSE(CONTROL!$C$42, 15.5653, 15.5653) * CHOOSE(CONTROL!$C$21, $C$9, 100%, $E$9)</f>
        <v>15.565300000000001</v>
      </c>
      <c r="D341" s="17">
        <f>CHOOSE(CONTROL!$C$42, 15.815, 15.815) * CHOOSE(CONTROL!$C$21, $C$9, 100%, $E$9)</f>
        <v>15.815</v>
      </c>
      <c r="E341" s="17">
        <f>CHOOSE(CONTROL!$C$42, 15.8461, 15.8461) * CHOOSE(CONTROL!$C$21, $C$9, 100%, $E$9)</f>
        <v>15.8461</v>
      </c>
      <c r="F341" s="17">
        <f>CHOOSE(CONTROL!$C$42, 15.5622, 15.5622)*CHOOSE(CONTROL!$C$21, $C$9, 100%, $E$9)</f>
        <v>15.562200000000001</v>
      </c>
      <c r="G341" s="17">
        <f>CHOOSE(CONTROL!$C$42, 15.5783, 15.5783)*CHOOSE(CONTROL!$C$21, $C$9, 100%, $E$9)</f>
        <v>15.5783</v>
      </c>
      <c r="H341" s="17">
        <f>CHOOSE(CONTROL!$C$42, 15.8345, 15.8345) * CHOOSE(CONTROL!$C$21, $C$9, 100%, $E$9)</f>
        <v>15.8345</v>
      </c>
      <c r="I341" s="17">
        <f>CHOOSE(CONTROL!$C$42, 15.6259, 15.6259)* CHOOSE(CONTROL!$C$21, $C$9, 100%, $E$9)</f>
        <v>15.6259</v>
      </c>
      <c r="J341" s="17">
        <f>CHOOSE(CONTROL!$C$42, 15.5548, 15.5548)* CHOOSE(CONTROL!$C$21, $C$9, 100%, $E$9)</f>
        <v>15.5548</v>
      </c>
      <c r="K341" s="53">
        <f>CHOOSE(CONTROL!$C$42, 15.6198, 15.6198) * CHOOSE(CONTROL!$C$21, $C$9, 100%, $E$9)</f>
        <v>15.6198</v>
      </c>
      <c r="L341" s="17">
        <f>CHOOSE(CONTROL!$C$42, 16.4215, 16.4215) * CHOOSE(CONTROL!$C$21, $C$9, 100%, $E$9)</f>
        <v>16.421500000000002</v>
      </c>
      <c r="M341" s="17">
        <f>CHOOSE(CONTROL!$C$42, 15.4219, 15.4219) * CHOOSE(CONTROL!$C$21, $C$9, 100%, $E$9)</f>
        <v>15.421900000000001</v>
      </c>
      <c r="N341" s="17">
        <f>CHOOSE(CONTROL!$C$42, 15.4379, 15.4379) * CHOOSE(CONTROL!$C$21, $C$9, 100%, $E$9)</f>
        <v>15.437900000000001</v>
      </c>
      <c r="O341" s="17">
        <f>CHOOSE(CONTROL!$C$42, 15.6991, 15.6991) * CHOOSE(CONTROL!$C$21, $C$9, 100%, $E$9)</f>
        <v>15.6991</v>
      </c>
      <c r="P341" s="17">
        <f>CHOOSE(CONTROL!$C$42, 15.492, 15.492) * CHOOSE(CONTROL!$C$21, $C$9, 100%, $E$9)</f>
        <v>15.492000000000001</v>
      </c>
      <c r="Q341" s="17">
        <f>CHOOSE(CONTROL!$C$42, 16.2938, 16.2938) * CHOOSE(CONTROL!$C$21, $C$9, 100%, $E$9)</f>
        <v>16.293800000000001</v>
      </c>
      <c r="R341" s="17">
        <f>CHOOSE(CONTROL!$C$42, 16.9215, 16.9215) * CHOOSE(CONTROL!$C$21, $C$9, 100%, $E$9)</f>
        <v>16.921500000000002</v>
      </c>
      <c r="S341" s="17">
        <f>CHOOSE(CONTROL!$C$42, 15.0744, 15.0744) * CHOOSE(CONTROL!$C$21, $C$9, 100%, $E$9)</f>
        <v>15.074400000000001</v>
      </c>
      <c r="T341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341" s="57">
        <f>(1000*CHOOSE(CONTROL!$C$42, 695, 695)*CHOOSE(CONTROL!$C$42, 0.5599, 0.5599)*CHOOSE(CONTROL!$C$42, 31, 31))/1000000</f>
        <v>12.063045499999998</v>
      </c>
      <c r="V341" s="57">
        <f>(1000*CHOOSE(CONTROL!$C$42, 500, 500)*CHOOSE(CONTROL!$C$42, 0.275, 0.275)*CHOOSE(CONTROL!$C$42, 31, 31))/1000000</f>
        <v>4.2625000000000002</v>
      </c>
      <c r="W341" s="57">
        <f>(1000*CHOOSE(CONTROL!$C$42, 0.0916, 0.0916)*CHOOSE(CONTROL!$C$42, 121.5, 121.5)*CHOOSE(CONTROL!$C$42, 31, 31))/1000000</f>
        <v>0.34501139999999997</v>
      </c>
      <c r="X341" s="57">
        <f>(31*0.1790888*145000/1000000)+(31*0.2374*100000/1000000)</f>
        <v>1.5409441560000001</v>
      </c>
      <c r="Y341" s="57"/>
      <c r="Z341" s="17"/>
      <c r="AA341" s="56"/>
      <c r="AB341" s="49">
        <f>(B341*194.205+C341*267.466+D341*133.845+E341*153.484+F341*40+G341*85+H341*0+I341*100+J341*300)/(194.205+267.466+133.845+153.484+0+40+85+100+300)</f>
        <v>15.627212232496078</v>
      </c>
      <c r="AC341" s="46">
        <f>(M341*'RAP TEMPLATE-GAS AVAILABILITY'!O340+N341*'RAP TEMPLATE-GAS AVAILABILITY'!P340+O341*'RAP TEMPLATE-GAS AVAILABILITY'!Q340+P341*'RAP TEMPLATE-GAS AVAILABILITY'!R340)/('RAP TEMPLATE-GAS AVAILABILITY'!O340+'RAP TEMPLATE-GAS AVAILABILITY'!P340+'RAP TEMPLATE-GAS AVAILABILITY'!Q340+'RAP TEMPLATE-GAS AVAILABILITY'!R340)</f>
        <v>15.513445323741008</v>
      </c>
    </row>
    <row r="342" spans="1:29" ht="15.75" x14ac:dyDescent="0.25">
      <c r="A342" s="14">
        <v>51317</v>
      </c>
      <c r="B342" s="17">
        <f>CHOOSE(CONTROL!$C$42, 15.9983, 15.9983) * CHOOSE(CONTROL!$C$21, $C$9, 100%, $E$9)</f>
        <v>15.9983</v>
      </c>
      <c r="C342" s="17">
        <f>CHOOSE(CONTROL!$C$42, 16.0063, 16.0063) * CHOOSE(CONTROL!$C$21, $C$9, 100%, $E$9)</f>
        <v>16.0063</v>
      </c>
      <c r="D342" s="17">
        <f>CHOOSE(CONTROL!$C$42, 16.2559, 16.2559) * CHOOSE(CONTROL!$C$21, $C$9, 100%, $E$9)</f>
        <v>16.2559</v>
      </c>
      <c r="E342" s="17">
        <f>CHOOSE(CONTROL!$C$42, 16.2871, 16.2871) * CHOOSE(CONTROL!$C$21, $C$9, 100%, $E$9)</f>
        <v>16.287099999999999</v>
      </c>
      <c r="F342" s="17">
        <f>CHOOSE(CONTROL!$C$42, 16.0035, 16.0035)*CHOOSE(CONTROL!$C$21, $C$9, 100%, $E$9)</f>
        <v>16.003499999999999</v>
      </c>
      <c r="G342" s="17">
        <f>CHOOSE(CONTROL!$C$42, 16.0197, 16.0197)*CHOOSE(CONTROL!$C$21, $C$9, 100%, $E$9)</f>
        <v>16.0197</v>
      </c>
      <c r="H342" s="17">
        <f>CHOOSE(CONTROL!$C$42, 16.2754, 16.2754) * CHOOSE(CONTROL!$C$21, $C$9, 100%, $E$9)</f>
        <v>16.275400000000001</v>
      </c>
      <c r="I342" s="17">
        <f>CHOOSE(CONTROL!$C$42, 16.0682, 16.0682)* CHOOSE(CONTROL!$C$21, $C$9, 100%, $E$9)</f>
        <v>16.068200000000001</v>
      </c>
      <c r="J342" s="17">
        <f>CHOOSE(CONTROL!$C$42, 15.9961, 15.9961)* CHOOSE(CONTROL!$C$21, $C$9, 100%, $E$9)</f>
        <v>15.9961</v>
      </c>
      <c r="K342" s="53">
        <f>CHOOSE(CONTROL!$C$42, 16.0621, 16.0621) * CHOOSE(CONTROL!$C$21, $C$9, 100%, $E$9)</f>
        <v>16.062100000000001</v>
      </c>
      <c r="L342" s="17">
        <f>CHOOSE(CONTROL!$C$42, 16.8624, 16.8624) * CHOOSE(CONTROL!$C$21, $C$9, 100%, $E$9)</f>
        <v>16.862400000000001</v>
      </c>
      <c r="M342" s="17">
        <f>CHOOSE(CONTROL!$C$42, 15.8592, 15.8592) * CHOOSE(CONTROL!$C$21, $C$9, 100%, $E$9)</f>
        <v>15.8592</v>
      </c>
      <c r="N342" s="17">
        <f>CHOOSE(CONTROL!$C$42, 15.8753, 15.8753) * CHOOSE(CONTROL!$C$21, $C$9, 100%, $E$9)</f>
        <v>15.875299999999999</v>
      </c>
      <c r="O342" s="17">
        <f>CHOOSE(CONTROL!$C$42, 16.136, 16.136) * CHOOSE(CONTROL!$C$21, $C$9, 100%, $E$9)</f>
        <v>16.135999999999999</v>
      </c>
      <c r="P342" s="17">
        <f>CHOOSE(CONTROL!$C$42, 15.9303, 15.9303) * CHOOSE(CONTROL!$C$21, $C$9, 100%, $E$9)</f>
        <v>15.930300000000001</v>
      </c>
      <c r="Q342" s="17">
        <f>CHOOSE(CONTROL!$C$42, 16.7307, 16.7307) * CHOOSE(CONTROL!$C$21, $C$9, 100%, $E$9)</f>
        <v>16.730699999999999</v>
      </c>
      <c r="R342" s="17">
        <f>CHOOSE(CONTROL!$C$42, 17.3596, 17.3596) * CHOOSE(CONTROL!$C$21, $C$9, 100%, $E$9)</f>
        <v>17.3596</v>
      </c>
      <c r="S342" s="17">
        <f>CHOOSE(CONTROL!$C$42, 15.502, 15.502) * CHOOSE(CONTROL!$C$21, $C$9, 100%, $E$9)</f>
        <v>15.502000000000001</v>
      </c>
      <c r="T342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342" s="57">
        <f>(1000*CHOOSE(CONTROL!$C$42, 695, 695)*CHOOSE(CONTROL!$C$42, 0.5599, 0.5599)*CHOOSE(CONTROL!$C$42, 30, 30))/1000000</f>
        <v>11.673914999999997</v>
      </c>
      <c r="V342" s="57">
        <f>(1000*CHOOSE(CONTROL!$C$42, 500, 500)*CHOOSE(CONTROL!$C$42, 0.275, 0.275)*CHOOSE(CONTROL!$C$42, 30, 30))/1000000</f>
        <v>4.125</v>
      </c>
      <c r="W342" s="57">
        <f>(1000*CHOOSE(CONTROL!$C$42, 0.0916, 0.0916)*CHOOSE(CONTROL!$C$42, 121.5, 121.5)*CHOOSE(CONTROL!$C$42, 30, 30))/1000000</f>
        <v>0.33388200000000001</v>
      </c>
      <c r="X342" s="57">
        <f>(30*0.1790888*145000/1000000)+(30*0.2374*100000/1000000)</f>
        <v>1.4912362799999999</v>
      </c>
      <c r="Y342" s="57"/>
      <c r="Z342" s="17"/>
      <c r="AA342" s="56"/>
      <c r="AB342" s="49">
        <f>(B342*194.205+C342*267.466+D342*133.845+E342*153.484+F342*40+G342*85+H342*0+I342*100+J342*300)/(194.205+267.466+133.845+153.484+0+40+85+100+300)</f>
        <v>16.068395274097334</v>
      </c>
      <c r="AC342" s="46">
        <f>(M342*'RAP TEMPLATE-GAS AVAILABILITY'!O341+N342*'RAP TEMPLATE-GAS AVAILABILITY'!P341+O342*'RAP TEMPLATE-GAS AVAILABILITY'!Q341+P342*'RAP TEMPLATE-GAS AVAILABILITY'!R341)/('RAP TEMPLATE-GAS AVAILABILITY'!O341+'RAP TEMPLATE-GAS AVAILABILITY'!P341+'RAP TEMPLATE-GAS AVAILABILITY'!Q341+'RAP TEMPLATE-GAS AVAILABILITY'!R341)</f>
        <v>15.950800000000001</v>
      </c>
    </row>
    <row r="343" spans="1:29" ht="15.75" x14ac:dyDescent="0.25">
      <c r="A343" s="14">
        <v>51348</v>
      </c>
      <c r="B343" s="17">
        <f>CHOOSE(CONTROL!$C$42, 15.6916, 15.6916) * CHOOSE(CONTROL!$C$21, $C$9, 100%, $E$9)</f>
        <v>15.691599999999999</v>
      </c>
      <c r="C343" s="17">
        <f>CHOOSE(CONTROL!$C$42, 15.6996, 15.6996) * CHOOSE(CONTROL!$C$21, $C$9, 100%, $E$9)</f>
        <v>15.6996</v>
      </c>
      <c r="D343" s="17">
        <f>CHOOSE(CONTROL!$C$42, 15.9492, 15.9492) * CHOOSE(CONTROL!$C$21, $C$9, 100%, $E$9)</f>
        <v>15.949199999999999</v>
      </c>
      <c r="E343" s="17">
        <f>CHOOSE(CONTROL!$C$42, 15.9804, 15.9804) * CHOOSE(CONTROL!$C$21, $C$9, 100%, $E$9)</f>
        <v>15.980399999999999</v>
      </c>
      <c r="F343" s="17">
        <f>CHOOSE(CONTROL!$C$42, 15.6973, 15.6973)*CHOOSE(CONTROL!$C$21, $C$9, 100%, $E$9)</f>
        <v>15.6973</v>
      </c>
      <c r="G343" s="17">
        <f>CHOOSE(CONTROL!$C$42, 15.7137, 15.7137)*CHOOSE(CONTROL!$C$21, $C$9, 100%, $E$9)</f>
        <v>15.713699999999999</v>
      </c>
      <c r="H343" s="17">
        <f>CHOOSE(CONTROL!$C$42, 15.9687, 15.9687) * CHOOSE(CONTROL!$C$21, $C$9, 100%, $E$9)</f>
        <v>15.9687</v>
      </c>
      <c r="I343" s="17">
        <f>CHOOSE(CONTROL!$C$42, 15.7605, 15.7605)* CHOOSE(CONTROL!$C$21, $C$9, 100%, $E$9)</f>
        <v>15.7605</v>
      </c>
      <c r="J343" s="17">
        <f>CHOOSE(CONTROL!$C$42, 15.6899, 15.6899)* CHOOSE(CONTROL!$C$21, $C$9, 100%, $E$9)</f>
        <v>15.6899</v>
      </c>
      <c r="K343" s="53">
        <f>CHOOSE(CONTROL!$C$42, 15.7545, 15.7545) * CHOOSE(CONTROL!$C$21, $C$9, 100%, $E$9)</f>
        <v>15.7545</v>
      </c>
      <c r="L343" s="17">
        <f>CHOOSE(CONTROL!$C$42, 16.5557, 16.5557) * CHOOSE(CONTROL!$C$21, $C$9, 100%, $E$9)</f>
        <v>16.555700000000002</v>
      </c>
      <c r="M343" s="17">
        <f>CHOOSE(CONTROL!$C$42, 15.5558, 15.5558) * CHOOSE(CONTROL!$C$21, $C$9, 100%, $E$9)</f>
        <v>15.5558</v>
      </c>
      <c r="N343" s="17">
        <f>CHOOSE(CONTROL!$C$42, 15.572, 15.572) * CHOOSE(CONTROL!$C$21, $C$9, 100%, $E$9)</f>
        <v>15.571999999999999</v>
      </c>
      <c r="O343" s="17">
        <f>CHOOSE(CONTROL!$C$42, 15.8321, 15.8321) * CHOOSE(CONTROL!$C$21, $C$9, 100%, $E$9)</f>
        <v>15.832100000000001</v>
      </c>
      <c r="P343" s="17">
        <f>CHOOSE(CONTROL!$C$42, 15.6254, 15.6254) * CHOOSE(CONTROL!$C$21, $C$9, 100%, $E$9)</f>
        <v>15.625400000000001</v>
      </c>
      <c r="Q343" s="17">
        <f>CHOOSE(CONTROL!$C$42, 16.4268, 16.4268) * CHOOSE(CONTROL!$C$21, $C$9, 100%, $E$9)</f>
        <v>16.4268</v>
      </c>
      <c r="R343" s="17">
        <f>CHOOSE(CONTROL!$C$42, 17.0549, 17.0549) * CHOOSE(CONTROL!$C$21, $C$9, 100%, $E$9)</f>
        <v>17.0549</v>
      </c>
      <c r="S343" s="17">
        <f>CHOOSE(CONTROL!$C$42, 15.2046, 15.2046) * CHOOSE(CONTROL!$C$21, $C$9, 100%, $E$9)</f>
        <v>15.204599999999999</v>
      </c>
      <c r="T343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343" s="57">
        <f>(1000*CHOOSE(CONTROL!$C$42, 695, 695)*CHOOSE(CONTROL!$C$42, 0.5599, 0.5599)*CHOOSE(CONTROL!$C$42, 31, 31))/1000000</f>
        <v>12.063045499999998</v>
      </c>
      <c r="V343" s="57">
        <f>(1000*CHOOSE(CONTROL!$C$42, 500, 500)*CHOOSE(CONTROL!$C$42, 0.275, 0.275)*CHOOSE(CONTROL!$C$42, 31, 31))/1000000</f>
        <v>4.2625000000000002</v>
      </c>
      <c r="W343" s="57">
        <f>(1000*CHOOSE(CONTROL!$C$42, 0.0916, 0.0916)*CHOOSE(CONTROL!$C$42, 121.5, 121.5)*CHOOSE(CONTROL!$C$42, 31, 31))/1000000</f>
        <v>0.34501139999999997</v>
      </c>
      <c r="X343" s="57">
        <f>(31*0.1790888*145000/1000000)+(31*0.2374*100000/1000000)</f>
        <v>1.5409441560000001</v>
      </c>
      <c r="Y343" s="57"/>
      <c r="Z343" s="17"/>
      <c r="AA343" s="56"/>
      <c r="AB343" s="49">
        <f>(B343*194.205+C343*267.466+D343*133.845+E343*153.484+F343*40+G343*85+H343*0+I343*100+J343*300)/(194.205+267.466+133.845+153.484+0+40+85+100+300)</f>
        <v>15.76179692244898</v>
      </c>
      <c r="AC343" s="46">
        <f>(M343*'RAP TEMPLATE-GAS AVAILABILITY'!O342+N343*'RAP TEMPLATE-GAS AVAILABILITY'!P342+O343*'RAP TEMPLATE-GAS AVAILABILITY'!Q342+P343*'RAP TEMPLATE-GAS AVAILABILITY'!R342)/('RAP TEMPLATE-GAS AVAILABILITY'!O342+'RAP TEMPLATE-GAS AVAILABILITY'!P342+'RAP TEMPLATE-GAS AVAILABILITY'!Q342+'RAP TEMPLATE-GAS AVAILABILITY'!R342)</f>
        <v>15.647066906474821</v>
      </c>
    </row>
    <row r="344" spans="1:29" ht="15.75" x14ac:dyDescent="0.25">
      <c r="A344" s="14">
        <v>51379</v>
      </c>
      <c r="B344" s="17">
        <f>CHOOSE(CONTROL!$C$42, 14.9172, 14.9172) * CHOOSE(CONTROL!$C$21, $C$9, 100%, $E$9)</f>
        <v>14.917199999999999</v>
      </c>
      <c r="C344" s="17">
        <f>CHOOSE(CONTROL!$C$42, 14.9252, 14.9252) * CHOOSE(CONTROL!$C$21, $C$9, 100%, $E$9)</f>
        <v>14.9252</v>
      </c>
      <c r="D344" s="17">
        <f>CHOOSE(CONTROL!$C$42, 15.1748, 15.1748) * CHOOSE(CONTROL!$C$21, $C$9, 100%, $E$9)</f>
        <v>15.174799999999999</v>
      </c>
      <c r="E344" s="17">
        <f>CHOOSE(CONTROL!$C$42, 15.206, 15.206) * CHOOSE(CONTROL!$C$21, $C$9, 100%, $E$9)</f>
        <v>15.206</v>
      </c>
      <c r="F344" s="17">
        <f>CHOOSE(CONTROL!$C$42, 14.9231, 14.9231)*CHOOSE(CONTROL!$C$21, $C$9, 100%, $E$9)</f>
        <v>14.9231</v>
      </c>
      <c r="G344" s="17">
        <f>CHOOSE(CONTROL!$C$42, 14.9396, 14.9396)*CHOOSE(CONTROL!$C$21, $C$9, 100%, $E$9)</f>
        <v>14.9396</v>
      </c>
      <c r="H344" s="17">
        <f>CHOOSE(CONTROL!$C$42, 15.1943, 15.1943) * CHOOSE(CONTROL!$C$21, $C$9, 100%, $E$9)</f>
        <v>15.1943</v>
      </c>
      <c r="I344" s="17">
        <f>CHOOSE(CONTROL!$C$42, 14.9837, 14.9837)* CHOOSE(CONTROL!$C$21, $C$9, 100%, $E$9)</f>
        <v>14.983700000000001</v>
      </c>
      <c r="J344" s="17">
        <f>CHOOSE(CONTROL!$C$42, 14.9157, 14.9157)* CHOOSE(CONTROL!$C$21, $C$9, 100%, $E$9)</f>
        <v>14.915699999999999</v>
      </c>
      <c r="K344" s="53">
        <f>CHOOSE(CONTROL!$C$42, 14.9777, 14.9777) * CHOOSE(CONTROL!$C$21, $C$9, 100%, $E$9)</f>
        <v>14.9777</v>
      </c>
      <c r="L344" s="17">
        <f>CHOOSE(CONTROL!$C$42, 15.7813, 15.7813) * CHOOSE(CONTROL!$C$21, $C$9, 100%, $E$9)</f>
        <v>15.7813</v>
      </c>
      <c r="M344" s="17">
        <f>CHOOSE(CONTROL!$C$42, 14.7886, 14.7886) * CHOOSE(CONTROL!$C$21, $C$9, 100%, $E$9)</f>
        <v>14.788600000000001</v>
      </c>
      <c r="N344" s="17">
        <f>CHOOSE(CONTROL!$C$42, 14.8049, 14.8049) * CHOOSE(CONTROL!$C$21, $C$9, 100%, $E$9)</f>
        <v>14.8049</v>
      </c>
      <c r="O344" s="17">
        <f>CHOOSE(CONTROL!$C$42, 15.0646, 15.0646) * CHOOSE(CONTROL!$C$21, $C$9, 100%, $E$9)</f>
        <v>15.0646</v>
      </c>
      <c r="P344" s="17">
        <f>CHOOSE(CONTROL!$C$42, 14.8556, 14.8556) * CHOOSE(CONTROL!$C$21, $C$9, 100%, $E$9)</f>
        <v>14.855600000000001</v>
      </c>
      <c r="Q344" s="17">
        <f>CHOOSE(CONTROL!$C$42, 15.6593, 15.6593) * CHOOSE(CONTROL!$C$21, $C$9, 100%, $E$9)</f>
        <v>15.6593</v>
      </c>
      <c r="R344" s="17">
        <f>CHOOSE(CONTROL!$C$42, 16.2855, 16.2855) * CHOOSE(CONTROL!$C$21, $C$9, 100%, $E$9)</f>
        <v>16.285499999999999</v>
      </c>
      <c r="S344" s="17">
        <f>CHOOSE(CONTROL!$C$42, 14.4536, 14.4536) * CHOOSE(CONTROL!$C$21, $C$9, 100%, $E$9)</f>
        <v>14.4536</v>
      </c>
      <c r="T344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344" s="57">
        <f>(1000*CHOOSE(CONTROL!$C$42, 695, 695)*CHOOSE(CONTROL!$C$42, 0.5599, 0.5599)*CHOOSE(CONTROL!$C$42, 31, 31))/1000000</f>
        <v>12.063045499999998</v>
      </c>
      <c r="V344" s="57">
        <f>(1000*CHOOSE(CONTROL!$C$42, 500, 500)*CHOOSE(CONTROL!$C$42, 0.275, 0.275)*CHOOSE(CONTROL!$C$42, 31, 31))/1000000</f>
        <v>4.2625000000000002</v>
      </c>
      <c r="W344" s="57">
        <f>(1000*CHOOSE(CONTROL!$C$42, 0.0916, 0.0916)*CHOOSE(CONTROL!$C$42, 121.5, 121.5)*CHOOSE(CONTROL!$C$42, 31, 31))/1000000</f>
        <v>0.34501139999999997</v>
      </c>
      <c r="X344" s="57">
        <f>(31*0.1790888*145000/1000000)+(31*0.2374*100000/1000000)</f>
        <v>1.5409441560000001</v>
      </c>
      <c r="Y344" s="57"/>
      <c r="Z344" s="17"/>
      <c r="AA344" s="56"/>
      <c r="AB344" s="49">
        <f>(B344*194.205+C344*267.466+D344*133.845+E344*153.484+F344*40+G344*85+H344*0+I344*100+J344*300)/(194.205+267.466+133.845+153.484+0+40+85+100+300)</f>
        <v>14.987281930298272</v>
      </c>
      <c r="AC344" s="46">
        <f>(M344*'RAP TEMPLATE-GAS AVAILABILITY'!O343+N344*'RAP TEMPLATE-GAS AVAILABILITY'!P343+O344*'RAP TEMPLATE-GAS AVAILABILITY'!Q343+P344*'RAP TEMPLATE-GAS AVAILABILITY'!R343)/('RAP TEMPLATE-GAS AVAILABILITY'!O343+'RAP TEMPLATE-GAS AVAILABILITY'!P343+'RAP TEMPLATE-GAS AVAILABILITY'!Q343+'RAP TEMPLATE-GAS AVAILABILITY'!R343)</f>
        <v>14.879431654676258</v>
      </c>
    </row>
    <row r="345" spans="1:29" ht="15.75" x14ac:dyDescent="0.25">
      <c r="A345" s="14">
        <v>51409</v>
      </c>
      <c r="B345" s="17">
        <f>CHOOSE(CONTROL!$C$42, 13.9707, 13.9707) * CHOOSE(CONTROL!$C$21, $C$9, 100%, $E$9)</f>
        <v>13.970700000000001</v>
      </c>
      <c r="C345" s="17">
        <f>CHOOSE(CONTROL!$C$42, 13.9787, 13.9787) * CHOOSE(CONTROL!$C$21, $C$9, 100%, $E$9)</f>
        <v>13.9787</v>
      </c>
      <c r="D345" s="17">
        <f>CHOOSE(CONTROL!$C$42, 14.2283, 14.2283) * CHOOSE(CONTROL!$C$21, $C$9, 100%, $E$9)</f>
        <v>14.228300000000001</v>
      </c>
      <c r="E345" s="17">
        <f>CHOOSE(CONTROL!$C$42, 14.2595, 14.2595) * CHOOSE(CONTROL!$C$21, $C$9, 100%, $E$9)</f>
        <v>14.259499999999999</v>
      </c>
      <c r="F345" s="17">
        <f>CHOOSE(CONTROL!$C$42, 13.9767, 13.9767)*CHOOSE(CONTROL!$C$21, $C$9, 100%, $E$9)</f>
        <v>13.976699999999999</v>
      </c>
      <c r="G345" s="17">
        <f>CHOOSE(CONTROL!$C$42, 13.9931, 13.9931)*CHOOSE(CONTROL!$C$21, $C$9, 100%, $E$9)</f>
        <v>13.9931</v>
      </c>
      <c r="H345" s="17">
        <f>CHOOSE(CONTROL!$C$42, 14.2478, 14.2478) * CHOOSE(CONTROL!$C$21, $C$9, 100%, $E$9)</f>
        <v>14.2478</v>
      </c>
      <c r="I345" s="17">
        <f>CHOOSE(CONTROL!$C$42, 14.0343, 14.0343)* CHOOSE(CONTROL!$C$21, $C$9, 100%, $E$9)</f>
        <v>14.0343</v>
      </c>
      <c r="J345" s="17">
        <f>CHOOSE(CONTROL!$C$42, 13.9693, 13.9693)* CHOOSE(CONTROL!$C$21, $C$9, 100%, $E$9)</f>
        <v>13.9693</v>
      </c>
      <c r="K345" s="53">
        <f>CHOOSE(CONTROL!$C$42, 14.0282, 14.0282) * CHOOSE(CONTROL!$C$21, $C$9, 100%, $E$9)</f>
        <v>14.0282</v>
      </c>
      <c r="L345" s="17">
        <f>CHOOSE(CONTROL!$C$42, 14.8348, 14.8348) * CHOOSE(CONTROL!$C$21, $C$9, 100%, $E$9)</f>
        <v>14.8348</v>
      </c>
      <c r="M345" s="17">
        <f>CHOOSE(CONTROL!$C$42, 13.8507, 13.8507) * CHOOSE(CONTROL!$C$21, $C$9, 100%, $E$9)</f>
        <v>13.8507</v>
      </c>
      <c r="N345" s="17">
        <f>CHOOSE(CONTROL!$C$42, 13.867, 13.867) * CHOOSE(CONTROL!$C$21, $C$9, 100%, $E$9)</f>
        <v>13.867000000000001</v>
      </c>
      <c r="O345" s="17">
        <f>CHOOSE(CONTROL!$C$42, 14.1267, 14.1267) * CHOOSE(CONTROL!$C$21, $C$9, 100%, $E$9)</f>
        <v>14.1267</v>
      </c>
      <c r="P345" s="17">
        <f>CHOOSE(CONTROL!$C$42, 13.9147, 13.9147) * CHOOSE(CONTROL!$C$21, $C$9, 100%, $E$9)</f>
        <v>13.9147</v>
      </c>
      <c r="Q345" s="17">
        <f>CHOOSE(CONTROL!$C$42, 14.7214, 14.7214) * CHOOSE(CONTROL!$C$21, $C$9, 100%, $E$9)</f>
        <v>14.721399999999999</v>
      </c>
      <c r="R345" s="17">
        <f>CHOOSE(CONTROL!$C$42, 15.3452, 15.3452) * CHOOSE(CONTROL!$C$21, $C$9, 100%, $E$9)</f>
        <v>15.3452</v>
      </c>
      <c r="S345" s="17">
        <f>CHOOSE(CONTROL!$C$42, 13.5358, 13.5358) * CHOOSE(CONTROL!$C$21, $C$9, 100%, $E$9)</f>
        <v>13.5358</v>
      </c>
      <c r="T345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345" s="57">
        <f>(1000*CHOOSE(CONTROL!$C$42, 695, 695)*CHOOSE(CONTROL!$C$42, 0.5599, 0.5599)*CHOOSE(CONTROL!$C$42, 30, 30))/1000000</f>
        <v>11.673914999999997</v>
      </c>
      <c r="V345" s="57">
        <f>(1000*CHOOSE(CONTROL!$C$42, 500, 500)*CHOOSE(CONTROL!$C$42, 0.275, 0.275)*CHOOSE(CONTROL!$C$42, 30, 30))/1000000</f>
        <v>4.125</v>
      </c>
      <c r="W345" s="57">
        <f>(1000*CHOOSE(CONTROL!$C$42, 0.0916, 0.0916)*CHOOSE(CONTROL!$C$42, 121.5, 121.5)*CHOOSE(CONTROL!$C$42, 30, 30))/1000000</f>
        <v>0.33388200000000001</v>
      </c>
      <c r="X345" s="57">
        <f>(30*0.1790888*145000/1000000)+(30*0.2374*100000/1000000)</f>
        <v>1.4912362799999999</v>
      </c>
      <c r="Y345" s="57"/>
      <c r="Z345" s="17"/>
      <c r="AA345" s="56"/>
      <c r="AB345" s="49">
        <f>(B345*194.205+C345*267.466+D345*133.845+E345*153.484+F345*40+G345*85+H345*0+I345*100+J345*300)/(194.205+267.466+133.845+153.484+0+40+85+100+300)</f>
        <v>14.040580988383047</v>
      </c>
      <c r="AC345" s="46">
        <f>(M345*'RAP TEMPLATE-GAS AVAILABILITY'!O344+N345*'RAP TEMPLATE-GAS AVAILABILITY'!P344+O345*'RAP TEMPLATE-GAS AVAILABILITY'!Q344+P345*'RAP TEMPLATE-GAS AVAILABILITY'!R344)/('RAP TEMPLATE-GAS AVAILABILITY'!O344+'RAP TEMPLATE-GAS AVAILABILITY'!P344+'RAP TEMPLATE-GAS AVAILABILITY'!Q344+'RAP TEMPLATE-GAS AVAILABILITY'!R344)</f>
        <v>13.9411</v>
      </c>
    </row>
    <row r="346" spans="1:29" ht="15.75" x14ac:dyDescent="0.25">
      <c r="A346" s="14">
        <v>51440</v>
      </c>
      <c r="B346" s="17">
        <f>CHOOSE(CONTROL!$C$42, 13.6856, 13.6856) * CHOOSE(CONTROL!$C$21, $C$9, 100%, $E$9)</f>
        <v>13.685600000000001</v>
      </c>
      <c r="C346" s="17">
        <f>CHOOSE(CONTROL!$C$42, 13.6909, 13.6909) * CHOOSE(CONTROL!$C$21, $C$9, 100%, $E$9)</f>
        <v>13.690899999999999</v>
      </c>
      <c r="D346" s="17">
        <f>CHOOSE(CONTROL!$C$42, 13.9454, 13.9454) * CHOOSE(CONTROL!$C$21, $C$9, 100%, $E$9)</f>
        <v>13.945399999999999</v>
      </c>
      <c r="E346" s="17">
        <f>CHOOSE(CONTROL!$C$42, 13.9743, 13.9743) * CHOOSE(CONTROL!$C$21, $C$9, 100%, $E$9)</f>
        <v>13.974299999999999</v>
      </c>
      <c r="F346" s="17">
        <f>CHOOSE(CONTROL!$C$42, 13.6938, 13.6938)*CHOOSE(CONTROL!$C$21, $C$9, 100%, $E$9)</f>
        <v>13.6938</v>
      </c>
      <c r="G346" s="17">
        <f>CHOOSE(CONTROL!$C$42, 13.7101, 13.7101)*CHOOSE(CONTROL!$C$21, $C$9, 100%, $E$9)</f>
        <v>13.710100000000001</v>
      </c>
      <c r="H346" s="17">
        <f>CHOOSE(CONTROL!$C$42, 13.9644, 13.9644) * CHOOSE(CONTROL!$C$21, $C$9, 100%, $E$9)</f>
        <v>13.964399999999999</v>
      </c>
      <c r="I346" s="17">
        <f>CHOOSE(CONTROL!$C$42, 13.75, 13.75)* CHOOSE(CONTROL!$C$21, $C$9, 100%, $E$9)</f>
        <v>13.75</v>
      </c>
      <c r="J346" s="17">
        <f>CHOOSE(CONTROL!$C$42, 13.6864, 13.6864)* CHOOSE(CONTROL!$C$21, $C$9, 100%, $E$9)</f>
        <v>13.686400000000001</v>
      </c>
      <c r="K346" s="53">
        <f>CHOOSE(CONTROL!$C$42, 13.744, 13.744) * CHOOSE(CONTROL!$C$21, $C$9, 100%, $E$9)</f>
        <v>13.744</v>
      </c>
      <c r="L346" s="17">
        <f>CHOOSE(CONTROL!$C$42, 14.5514, 14.5514) * CHOOSE(CONTROL!$C$21, $C$9, 100%, $E$9)</f>
        <v>14.551399999999999</v>
      </c>
      <c r="M346" s="17">
        <f>CHOOSE(CONTROL!$C$42, 13.5703, 13.5703) * CHOOSE(CONTROL!$C$21, $C$9, 100%, $E$9)</f>
        <v>13.5703</v>
      </c>
      <c r="N346" s="17">
        <f>CHOOSE(CONTROL!$C$42, 13.5865, 13.5865) * CHOOSE(CONTROL!$C$21, $C$9, 100%, $E$9)</f>
        <v>13.586499999999999</v>
      </c>
      <c r="O346" s="17">
        <f>CHOOSE(CONTROL!$C$42, 13.8458, 13.8458) * CHOOSE(CONTROL!$C$21, $C$9, 100%, $E$9)</f>
        <v>13.845800000000001</v>
      </c>
      <c r="P346" s="17">
        <f>CHOOSE(CONTROL!$C$42, 13.633, 13.633) * CHOOSE(CONTROL!$C$21, $C$9, 100%, $E$9)</f>
        <v>13.632999999999999</v>
      </c>
      <c r="Q346" s="17">
        <f>CHOOSE(CONTROL!$C$42, 14.4405, 14.4405) * CHOOSE(CONTROL!$C$21, $C$9, 100%, $E$9)</f>
        <v>14.4405</v>
      </c>
      <c r="R346" s="17">
        <f>CHOOSE(CONTROL!$C$42, 15.0636, 15.0636) * CHOOSE(CONTROL!$C$21, $C$9, 100%, $E$9)</f>
        <v>15.063599999999999</v>
      </c>
      <c r="S346" s="17">
        <f>CHOOSE(CONTROL!$C$42, 13.261, 13.261) * CHOOSE(CONTROL!$C$21, $C$9, 100%, $E$9)</f>
        <v>13.260999999999999</v>
      </c>
      <c r="T346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346" s="57">
        <f>(1000*CHOOSE(CONTROL!$C$42, 695, 695)*CHOOSE(CONTROL!$C$42, 0.5599, 0.5599)*CHOOSE(CONTROL!$C$42, 31, 31))/1000000</f>
        <v>12.063045499999998</v>
      </c>
      <c r="V346" s="57">
        <f>(1000*CHOOSE(CONTROL!$C$42, 500, 500)*CHOOSE(CONTROL!$C$42, 0.275, 0.275)*CHOOSE(CONTROL!$C$42, 31, 31))/1000000</f>
        <v>4.2625000000000002</v>
      </c>
      <c r="W346" s="57">
        <f>(1000*CHOOSE(CONTROL!$C$42, 0.0916, 0.0916)*CHOOSE(CONTROL!$C$42, 121.5, 121.5)*CHOOSE(CONTROL!$C$42, 31, 31))/1000000</f>
        <v>0.34501139999999997</v>
      </c>
      <c r="X346" s="57">
        <f>(31*0.1790888*145000/1000000)+(31*0.2374*100000/1000000)</f>
        <v>1.5409441560000001</v>
      </c>
      <c r="Y346" s="57"/>
      <c r="Z346" s="17"/>
      <c r="AA346" s="56"/>
      <c r="AB346" s="49">
        <f>(B346*131.881+C346*277.167+D346*79.08+E346*225.872+F346*40+G346*85+H346*0+I346*100+J346*300)/(131.881+277.167+79.08+225.872+0+40+85+100+300)</f>
        <v>13.763335040758676</v>
      </c>
      <c r="AC346" s="46">
        <f>(M346*'RAP TEMPLATE-GAS AVAILABILITY'!O345+N346*'RAP TEMPLATE-GAS AVAILABILITY'!P345+O346*'RAP TEMPLATE-GAS AVAILABILITY'!Q345+P346*'RAP TEMPLATE-GAS AVAILABILITY'!R345)/('RAP TEMPLATE-GAS AVAILABILITY'!O345+'RAP TEMPLATE-GAS AVAILABILITY'!P345+'RAP TEMPLATE-GAS AVAILABILITY'!Q345+'RAP TEMPLATE-GAS AVAILABILITY'!R345)</f>
        <v>13.66034964028777</v>
      </c>
    </row>
    <row r="347" spans="1:29" ht="15.75" x14ac:dyDescent="0.25">
      <c r="A347" s="14">
        <v>51470</v>
      </c>
      <c r="B347" s="17">
        <f>CHOOSE(CONTROL!$C$42, 14.0454, 14.0454) * CHOOSE(CONTROL!$C$21, $C$9, 100%, $E$9)</f>
        <v>14.045400000000001</v>
      </c>
      <c r="C347" s="17">
        <f>CHOOSE(CONTROL!$C$42, 14.0505, 14.0505) * CHOOSE(CONTROL!$C$21, $C$9, 100%, $E$9)</f>
        <v>14.0505</v>
      </c>
      <c r="D347" s="17">
        <f>CHOOSE(CONTROL!$C$42, 14.1731, 14.1731) * CHOOSE(CONTROL!$C$21, $C$9, 100%, $E$9)</f>
        <v>14.1731</v>
      </c>
      <c r="E347" s="17">
        <f>CHOOSE(CONTROL!$C$42, 14.2069, 14.2069) * CHOOSE(CONTROL!$C$21, $C$9, 100%, $E$9)</f>
        <v>14.206899999999999</v>
      </c>
      <c r="F347" s="17">
        <f>CHOOSE(CONTROL!$C$42, 14.0604, 14.0604)*CHOOSE(CONTROL!$C$21, $C$9, 100%, $E$9)</f>
        <v>14.0604</v>
      </c>
      <c r="G347" s="17">
        <f>CHOOSE(CONTROL!$C$42, 14.0771, 14.0771)*CHOOSE(CONTROL!$C$21, $C$9, 100%, $E$9)</f>
        <v>14.0771</v>
      </c>
      <c r="H347" s="17">
        <f>CHOOSE(CONTROL!$C$42, 14.1958, 14.1958) * CHOOSE(CONTROL!$C$21, $C$9, 100%, $E$9)</f>
        <v>14.1958</v>
      </c>
      <c r="I347" s="17">
        <f>CHOOSE(CONTROL!$C$42, 14.114, 14.114)* CHOOSE(CONTROL!$C$21, $C$9, 100%, $E$9)</f>
        <v>14.114000000000001</v>
      </c>
      <c r="J347" s="17">
        <f>CHOOSE(CONTROL!$C$42, 14.053, 14.053)* CHOOSE(CONTROL!$C$21, $C$9, 100%, $E$9)</f>
        <v>14.053000000000001</v>
      </c>
      <c r="K347" s="53">
        <f>CHOOSE(CONTROL!$C$42, 14.1079, 14.1079) * CHOOSE(CONTROL!$C$21, $C$9, 100%, $E$9)</f>
        <v>14.107900000000001</v>
      </c>
      <c r="L347" s="17">
        <f>CHOOSE(CONTROL!$C$42, 14.7828, 14.7828) * CHOOSE(CONTROL!$C$21, $C$9, 100%, $E$9)</f>
        <v>14.7828</v>
      </c>
      <c r="M347" s="17">
        <f>CHOOSE(CONTROL!$C$42, 13.9337, 13.9337) * CHOOSE(CONTROL!$C$21, $C$9, 100%, $E$9)</f>
        <v>13.9337</v>
      </c>
      <c r="N347" s="17">
        <f>CHOOSE(CONTROL!$C$42, 13.9502, 13.9502) * CHOOSE(CONTROL!$C$21, $C$9, 100%, $E$9)</f>
        <v>13.950200000000001</v>
      </c>
      <c r="O347" s="17">
        <f>CHOOSE(CONTROL!$C$42, 14.0751, 14.0751) * CHOOSE(CONTROL!$C$21, $C$9, 100%, $E$9)</f>
        <v>14.075100000000001</v>
      </c>
      <c r="P347" s="17">
        <f>CHOOSE(CONTROL!$C$42, 13.9937, 13.9937) * CHOOSE(CONTROL!$C$21, $C$9, 100%, $E$9)</f>
        <v>13.9937</v>
      </c>
      <c r="Q347" s="17">
        <f>CHOOSE(CONTROL!$C$42, 14.6698, 14.6698) * CHOOSE(CONTROL!$C$21, $C$9, 100%, $E$9)</f>
        <v>14.6698</v>
      </c>
      <c r="R347" s="17">
        <f>CHOOSE(CONTROL!$C$42, 15.2935, 15.2935) * CHOOSE(CONTROL!$C$21, $C$9, 100%, $E$9)</f>
        <v>15.2935</v>
      </c>
      <c r="S347" s="17">
        <f>CHOOSE(CONTROL!$C$42, 13.6103, 13.6103) * CHOOSE(CONTROL!$C$21, $C$9, 100%, $E$9)</f>
        <v>13.610300000000001</v>
      </c>
      <c r="T347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347" s="57">
        <f>(1000*CHOOSE(CONTROL!$C$42, 695, 695)*CHOOSE(CONTROL!$C$42, 0.5599, 0.5599)*CHOOSE(CONTROL!$C$42, 30, 30))/1000000</f>
        <v>11.673914999999997</v>
      </c>
      <c r="V347" s="57">
        <f>(1000*CHOOSE(CONTROL!$C$42, 500, 500)*CHOOSE(CONTROL!$C$42, 0.275, 0.275)*CHOOSE(CONTROL!$C$42, 30, 30))/1000000</f>
        <v>4.125</v>
      </c>
      <c r="W347" s="57">
        <f>(1000*CHOOSE(CONTROL!$C$42, 0.0916, 0.0916)*CHOOSE(CONTROL!$C$42, 121.5, 121.5)*CHOOSE(CONTROL!$C$42, 30, 30))/1000000</f>
        <v>0.33388200000000001</v>
      </c>
      <c r="X347" s="57">
        <f>(30*0.2374*100000/1000000)</f>
        <v>0.71220000000000006</v>
      </c>
      <c r="Y347" s="57"/>
      <c r="Z347" s="17"/>
      <c r="AA347" s="56"/>
      <c r="AB347" s="49">
        <f>(B347*122.58+C347*297.941+D347*89.177+E347*140.302+F347*40+G347*60+H347*0+I347*100+J347*300)/(122.58+297.941+89.177+140.302+0+40+60+100+300)</f>
        <v>14.08645058695652</v>
      </c>
      <c r="AC347" s="46">
        <f>(M347*'RAP TEMPLATE-GAS AVAILABILITY'!O346+N347*'RAP TEMPLATE-GAS AVAILABILITY'!P346+O347*'RAP TEMPLATE-GAS AVAILABILITY'!Q346+P347*'RAP TEMPLATE-GAS AVAILABILITY'!R346)/('RAP TEMPLATE-GAS AVAILABILITY'!O346+'RAP TEMPLATE-GAS AVAILABILITY'!P346+'RAP TEMPLATE-GAS AVAILABILITY'!Q346+'RAP TEMPLATE-GAS AVAILABILITY'!R346)</f>
        <v>14.007370503597125</v>
      </c>
    </row>
    <row r="348" spans="1:29" ht="15.75" x14ac:dyDescent="0.25">
      <c r="A348" s="14">
        <v>51501</v>
      </c>
      <c r="B348" s="17">
        <f>CHOOSE(CONTROL!$C$42, 15.0023, 15.0023) * CHOOSE(CONTROL!$C$21, $C$9, 100%, $E$9)</f>
        <v>15.0023</v>
      </c>
      <c r="C348" s="17">
        <f>CHOOSE(CONTROL!$C$42, 15.0074, 15.0074) * CHOOSE(CONTROL!$C$21, $C$9, 100%, $E$9)</f>
        <v>15.007400000000001</v>
      </c>
      <c r="D348" s="17">
        <f>CHOOSE(CONTROL!$C$42, 15.13, 15.13) * CHOOSE(CONTROL!$C$21, $C$9, 100%, $E$9)</f>
        <v>15.13</v>
      </c>
      <c r="E348" s="17">
        <f>CHOOSE(CONTROL!$C$42, 15.1638, 15.1638) * CHOOSE(CONTROL!$C$21, $C$9, 100%, $E$9)</f>
        <v>15.1638</v>
      </c>
      <c r="F348" s="17">
        <f>CHOOSE(CONTROL!$C$42, 15.0197, 15.0197)*CHOOSE(CONTROL!$C$21, $C$9, 100%, $E$9)</f>
        <v>15.0197</v>
      </c>
      <c r="G348" s="17">
        <f>CHOOSE(CONTROL!$C$42, 15.0371, 15.0371)*CHOOSE(CONTROL!$C$21, $C$9, 100%, $E$9)</f>
        <v>15.037100000000001</v>
      </c>
      <c r="H348" s="17">
        <f>CHOOSE(CONTROL!$C$42, 15.1527, 15.1527) * CHOOSE(CONTROL!$C$21, $C$9, 100%, $E$9)</f>
        <v>15.152699999999999</v>
      </c>
      <c r="I348" s="17">
        <f>CHOOSE(CONTROL!$C$42, 15.0738, 15.0738)* CHOOSE(CONTROL!$C$21, $C$9, 100%, $E$9)</f>
        <v>15.0738</v>
      </c>
      <c r="J348" s="17">
        <f>CHOOSE(CONTROL!$C$42, 15.0123, 15.0123)* CHOOSE(CONTROL!$C$21, $C$9, 100%, $E$9)</f>
        <v>15.0123</v>
      </c>
      <c r="K348" s="53">
        <f>CHOOSE(CONTROL!$C$42, 15.0678, 15.0678) * CHOOSE(CONTROL!$C$21, $C$9, 100%, $E$9)</f>
        <v>15.0678</v>
      </c>
      <c r="L348" s="17">
        <f>CHOOSE(CONTROL!$C$42, 15.7397, 15.7397) * CHOOSE(CONTROL!$C$21, $C$9, 100%, $E$9)</f>
        <v>15.739699999999999</v>
      </c>
      <c r="M348" s="17">
        <f>CHOOSE(CONTROL!$C$42, 14.8843, 14.8843) * CHOOSE(CONTROL!$C$21, $C$9, 100%, $E$9)</f>
        <v>14.8843</v>
      </c>
      <c r="N348" s="17">
        <f>CHOOSE(CONTROL!$C$42, 14.9015, 14.9015) * CHOOSE(CONTROL!$C$21, $C$9, 100%, $E$9)</f>
        <v>14.9015</v>
      </c>
      <c r="O348" s="17">
        <f>CHOOSE(CONTROL!$C$42, 15.0234, 15.0234) * CHOOSE(CONTROL!$C$21, $C$9, 100%, $E$9)</f>
        <v>15.023400000000001</v>
      </c>
      <c r="P348" s="17">
        <f>CHOOSE(CONTROL!$C$42, 14.9449, 14.9449) * CHOOSE(CONTROL!$C$21, $C$9, 100%, $E$9)</f>
        <v>14.944900000000001</v>
      </c>
      <c r="Q348" s="17">
        <f>CHOOSE(CONTROL!$C$42, 15.6181, 15.6181) * CHOOSE(CONTROL!$C$21, $C$9, 100%, $E$9)</f>
        <v>15.6181</v>
      </c>
      <c r="R348" s="17">
        <f>CHOOSE(CONTROL!$C$42, 16.2441, 16.2441) * CHOOSE(CONTROL!$C$21, $C$9, 100%, $E$9)</f>
        <v>16.2441</v>
      </c>
      <c r="S348" s="17">
        <f>CHOOSE(CONTROL!$C$42, 14.5382, 14.5382) * CHOOSE(CONTROL!$C$21, $C$9, 100%, $E$9)</f>
        <v>14.5382</v>
      </c>
      <c r="T348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348" s="57">
        <f>(1000*CHOOSE(CONTROL!$C$42, 695, 695)*CHOOSE(CONTROL!$C$42, 0.5599, 0.5599)*CHOOSE(CONTROL!$C$42, 31, 31))/1000000</f>
        <v>12.063045499999998</v>
      </c>
      <c r="V348" s="57">
        <f>(1000*CHOOSE(CONTROL!$C$42, 500, 500)*CHOOSE(CONTROL!$C$42, 0.275, 0.275)*CHOOSE(CONTROL!$C$42, 31, 31))/1000000</f>
        <v>4.2625000000000002</v>
      </c>
      <c r="W348" s="57">
        <f>(1000*CHOOSE(CONTROL!$C$42, 0.0916, 0.0916)*CHOOSE(CONTROL!$C$42, 121.5, 121.5)*CHOOSE(CONTROL!$C$42, 31, 31))/1000000</f>
        <v>0.34501139999999997</v>
      </c>
      <c r="X348" s="57">
        <f>(31*0.2374*100000/1000000)</f>
        <v>0.73594000000000004</v>
      </c>
      <c r="Y348" s="57"/>
      <c r="Z348" s="17"/>
      <c r="AA348" s="56"/>
      <c r="AB348" s="49">
        <f>(B348*122.58+C348*297.941+D348*89.177+E348*140.302+F348*40+G348*60+H348*0+I348*100+J348*300)/(122.58+297.941+89.177+140.302+0+40+60+100+300)</f>
        <v>15.044474065217393</v>
      </c>
      <c r="AC348" s="46">
        <f>(M348*'RAP TEMPLATE-GAS AVAILABILITY'!O347+N348*'RAP TEMPLATE-GAS AVAILABILITY'!P347+O348*'RAP TEMPLATE-GAS AVAILABILITY'!Q347+P348*'RAP TEMPLATE-GAS AVAILABILITY'!R347)/('RAP TEMPLATE-GAS AVAILABILITY'!O347+'RAP TEMPLATE-GAS AVAILABILITY'!P347+'RAP TEMPLATE-GAS AVAILABILITY'!Q347+'RAP TEMPLATE-GAS AVAILABILITY'!R347)</f>
        <v>14.957054676258993</v>
      </c>
    </row>
    <row r="349" spans="1:29" ht="15.75" x14ac:dyDescent="0.25">
      <c r="A349" s="14">
        <v>51532</v>
      </c>
      <c r="B349" s="17">
        <f>CHOOSE(CONTROL!$C$42, 16.2451, 16.2451) * CHOOSE(CONTROL!$C$21, $C$9, 100%, $E$9)</f>
        <v>16.245100000000001</v>
      </c>
      <c r="C349" s="17">
        <f>CHOOSE(CONTROL!$C$42, 16.2502, 16.2502) * CHOOSE(CONTROL!$C$21, $C$9, 100%, $E$9)</f>
        <v>16.2502</v>
      </c>
      <c r="D349" s="17">
        <f>CHOOSE(CONTROL!$C$42, 16.3677, 16.3677) * CHOOSE(CONTROL!$C$21, $C$9, 100%, $E$9)</f>
        <v>16.367699999999999</v>
      </c>
      <c r="E349" s="17">
        <f>CHOOSE(CONTROL!$C$42, 16.4014, 16.4014) * CHOOSE(CONTROL!$C$21, $C$9, 100%, $E$9)</f>
        <v>16.401399999999999</v>
      </c>
      <c r="F349" s="17">
        <f>CHOOSE(CONTROL!$C$42, 16.2588, 16.2588)*CHOOSE(CONTROL!$C$21, $C$9, 100%, $E$9)</f>
        <v>16.258800000000001</v>
      </c>
      <c r="G349" s="17">
        <f>CHOOSE(CONTROL!$C$42, 16.2751, 16.2751)*CHOOSE(CONTROL!$C$21, $C$9, 100%, $E$9)</f>
        <v>16.275099999999998</v>
      </c>
      <c r="H349" s="17">
        <f>CHOOSE(CONTROL!$C$42, 16.3903, 16.3903) * CHOOSE(CONTROL!$C$21, $C$9, 100%, $E$9)</f>
        <v>16.3903</v>
      </c>
      <c r="I349" s="17">
        <f>CHOOSE(CONTROL!$C$42, 16.319, 16.319)* CHOOSE(CONTROL!$C$21, $C$9, 100%, $E$9)</f>
        <v>16.318999999999999</v>
      </c>
      <c r="J349" s="17">
        <f>CHOOSE(CONTROL!$C$42, 16.2514, 16.2514)* CHOOSE(CONTROL!$C$21, $C$9, 100%, $E$9)</f>
        <v>16.2514</v>
      </c>
      <c r="K349" s="53">
        <f>CHOOSE(CONTROL!$C$42, 16.3129, 16.3129) * CHOOSE(CONTROL!$C$21, $C$9, 100%, $E$9)</f>
        <v>16.312899999999999</v>
      </c>
      <c r="L349" s="17">
        <f>CHOOSE(CONTROL!$C$42, 16.9773, 16.9773) * CHOOSE(CONTROL!$C$21, $C$9, 100%, $E$9)</f>
        <v>16.9773</v>
      </c>
      <c r="M349" s="17">
        <f>CHOOSE(CONTROL!$C$42, 16.1122, 16.1122) * CHOOSE(CONTROL!$C$21, $C$9, 100%, $E$9)</f>
        <v>16.112200000000001</v>
      </c>
      <c r="N349" s="17">
        <f>CHOOSE(CONTROL!$C$42, 16.1284, 16.1284) * CHOOSE(CONTROL!$C$21, $C$9, 100%, $E$9)</f>
        <v>16.128399999999999</v>
      </c>
      <c r="O349" s="17">
        <f>CHOOSE(CONTROL!$C$42, 16.2499, 16.2499) * CHOOSE(CONTROL!$C$21, $C$9, 100%, $E$9)</f>
        <v>16.2499</v>
      </c>
      <c r="P349" s="17">
        <f>CHOOSE(CONTROL!$C$42, 16.1788, 16.1788) * CHOOSE(CONTROL!$C$21, $C$9, 100%, $E$9)</f>
        <v>16.178799999999999</v>
      </c>
      <c r="Q349" s="17">
        <f>CHOOSE(CONTROL!$C$42, 16.8446, 16.8446) * CHOOSE(CONTROL!$C$21, $C$9, 100%, $E$9)</f>
        <v>16.8446</v>
      </c>
      <c r="R349" s="17">
        <f>CHOOSE(CONTROL!$C$42, 17.4737, 17.4737) * CHOOSE(CONTROL!$C$21, $C$9, 100%, $E$9)</f>
        <v>17.473700000000001</v>
      </c>
      <c r="S349" s="17">
        <f>CHOOSE(CONTROL!$C$42, 15.7434, 15.7434) * CHOOSE(CONTROL!$C$21, $C$9, 100%, $E$9)</f>
        <v>15.743399999999999</v>
      </c>
      <c r="T349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349" s="57">
        <f>(1000*CHOOSE(CONTROL!$C$42, 695, 695)*CHOOSE(CONTROL!$C$42, 0.5599, 0.5599)*CHOOSE(CONTROL!$C$42, 31, 31))/1000000</f>
        <v>12.063045499999998</v>
      </c>
      <c r="V349" s="57">
        <f>(1000*CHOOSE(CONTROL!$C$42, 500, 500)*CHOOSE(CONTROL!$C$42, 0.275, 0.275)*CHOOSE(CONTROL!$C$42, 31, 31))/1000000</f>
        <v>4.2625000000000002</v>
      </c>
      <c r="W349" s="57">
        <f>(1000*CHOOSE(CONTROL!$C$42, 0.0916, 0.0916)*CHOOSE(CONTROL!$C$42, 121.5, 121.5)*CHOOSE(CONTROL!$C$42, 31, 31))/1000000</f>
        <v>0.34501139999999997</v>
      </c>
      <c r="X349" s="57">
        <f>(31*0.2374*100000/1000000)</f>
        <v>0.73594000000000004</v>
      </c>
      <c r="Y349" s="57"/>
      <c r="Z349" s="17"/>
      <c r="AA349" s="56"/>
      <c r="AB349" s="49">
        <f>(B349*122.58+C349*297.941+D349*89.177+E349*140.302+F349*40+G349*60+H349*0+I349*100+J349*300)/(122.58+297.941+89.177+140.302+0+40+60+100+300)</f>
        <v>16.285108523391301</v>
      </c>
      <c r="AC349" s="46">
        <f>(M349*'RAP TEMPLATE-GAS AVAILABILITY'!O348+N349*'RAP TEMPLATE-GAS AVAILABILITY'!P348+O349*'RAP TEMPLATE-GAS AVAILABILITY'!Q348+P349*'RAP TEMPLATE-GAS AVAILABILITY'!R348)/('RAP TEMPLATE-GAS AVAILABILITY'!O348+'RAP TEMPLATE-GAS AVAILABILITY'!P348+'RAP TEMPLATE-GAS AVAILABILITY'!Q348+'RAP TEMPLATE-GAS AVAILABILITY'!R348)</f>
        <v>16.185125899280575</v>
      </c>
    </row>
    <row r="350" spans="1:29" ht="15.75" x14ac:dyDescent="0.25">
      <c r="A350" s="14">
        <v>51560</v>
      </c>
      <c r="B350" s="17">
        <f>CHOOSE(CONTROL!$C$42, 16.5341, 16.5341) * CHOOSE(CONTROL!$C$21, $C$9, 100%, $E$9)</f>
        <v>16.534099999999999</v>
      </c>
      <c r="C350" s="17">
        <f>CHOOSE(CONTROL!$C$42, 16.5392, 16.5392) * CHOOSE(CONTROL!$C$21, $C$9, 100%, $E$9)</f>
        <v>16.539200000000001</v>
      </c>
      <c r="D350" s="17">
        <f>CHOOSE(CONTROL!$C$42, 16.6567, 16.6567) * CHOOSE(CONTROL!$C$21, $C$9, 100%, $E$9)</f>
        <v>16.656700000000001</v>
      </c>
      <c r="E350" s="17">
        <f>CHOOSE(CONTROL!$C$42, 16.6904, 16.6904) * CHOOSE(CONTROL!$C$21, $C$9, 100%, $E$9)</f>
        <v>16.6904</v>
      </c>
      <c r="F350" s="17">
        <f>CHOOSE(CONTROL!$C$42, 16.5478, 16.5478)*CHOOSE(CONTROL!$C$21, $C$9, 100%, $E$9)</f>
        <v>16.547799999999999</v>
      </c>
      <c r="G350" s="17">
        <f>CHOOSE(CONTROL!$C$42, 16.5641, 16.5641)*CHOOSE(CONTROL!$C$21, $C$9, 100%, $E$9)</f>
        <v>16.5641</v>
      </c>
      <c r="H350" s="17">
        <f>CHOOSE(CONTROL!$C$42, 16.6793, 16.6793) * CHOOSE(CONTROL!$C$21, $C$9, 100%, $E$9)</f>
        <v>16.679300000000001</v>
      </c>
      <c r="I350" s="17">
        <f>CHOOSE(CONTROL!$C$42, 16.6088, 16.6088)* CHOOSE(CONTROL!$C$21, $C$9, 100%, $E$9)</f>
        <v>16.608799999999999</v>
      </c>
      <c r="J350" s="17">
        <f>CHOOSE(CONTROL!$C$42, 16.5404, 16.5404)* CHOOSE(CONTROL!$C$21, $C$9, 100%, $E$9)</f>
        <v>16.540400000000002</v>
      </c>
      <c r="K350" s="53">
        <f>CHOOSE(CONTROL!$C$42, 16.6028, 16.6028) * CHOOSE(CONTROL!$C$21, $C$9, 100%, $E$9)</f>
        <v>16.602799999999998</v>
      </c>
      <c r="L350" s="17">
        <f>CHOOSE(CONTROL!$C$42, 17.2663, 17.2663) * CHOOSE(CONTROL!$C$21, $C$9, 100%, $E$9)</f>
        <v>17.266300000000001</v>
      </c>
      <c r="M350" s="17">
        <f>CHOOSE(CONTROL!$C$42, 16.3986, 16.3986) * CHOOSE(CONTROL!$C$21, $C$9, 100%, $E$9)</f>
        <v>16.398599999999998</v>
      </c>
      <c r="N350" s="17">
        <f>CHOOSE(CONTROL!$C$42, 16.4148, 16.4148) * CHOOSE(CONTROL!$C$21, $C$9, 100%, $E$9)</f>
        <v>16.4148</v>
      </c>
      <c r="O350" s="17">
        <f>CHOOSE(CONTROL!$C$42, 16.5363, 16.5363) * CHOOSE(CONTROL!$C$21, $C$9, 100%, $E$9)</f>
        <v>16.536300000000001</v>
      </c>
      <c r="P350" s="17">
        <f>CHOOSE(CONTROL!$C$42, 16.4661, 16.4661) * CHOOSE(CONTROL!$C$21, $C$9, 100%, $E$9)</f>
        <v>16.466100000000001</v>
      </c>
      <c r="Q350" s="17">
        <f>CHOOSE(CONTROL!$C$42, 17.131, 17.131) * CHOOSE(CONTROL!$C$21, $C$9, 100%, $E$9)</f>
        <v>17.131</v>
      </c>
      <c r="R350" s="17">
        <f>CHOOSE(CONTROL!$C$42, 17.7608, 17.7608) * CHOOSE(CONTROL!$C$21, $C$9, 100%, $E$9)</f>
        <v>17.7608</v>
      </c>
      <c r="S350" s="17">
        <f>CHOOSE(CONTROL!$C$42, 16.0236, 16.0236) * CHOOSE(CONTROL!$C$21, $C$9, 100%, $E$9)</f>
        <v>16.023599999999998</v>
      </c>
      <c r="T350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350" s="57">
        <f>(1000*CHOOSE(CONTROL!$C$42, 695, 695)*CHOOSE(CONTROL!$C$42, 0.5599, 0.5599)*CHOOSE(CONTROL!$C$42, 28, 28))/1000000</f>
        <v>10.895653999999999</v>
      </c>
      <c r="V350" s="57">
        <f>(1000*CHOOSE(CONTROL!$C$42, 500, 500)*CHOOSE(CONTROL!$C$42, 0.275, 0.275)*CHOOSE(CONTROL!$C$42, 28, 28))/1000000</f>
        <v>3.85</v>
      </c>
      <c r="W350" s="57">
        <f>(1000*CHOOSE(CONTROL!$C$42, 0.0916, 0.0916)*CHOOSE(CONTROL!$C$42, 121.5, 121.5)*CHOOSE(CONTROL!$C$42, 28, 28))/1000000</f>
        <v>0.31162319999999999</v>
      </c>
      <c r="X350" s="57">
        <f>(28*0.2374*100000/1000000)</f>
        <v>0.66471999999999998</v>
      </c>
      <c r="Y350" s="57"/>
      <c r="Z350" s="17"/>
      <c r="AA350" s="56"/>
      <c r="AB350" s="49">
        <f>(B350*122.58+C350*297.941+D350*89.177+E350*140.302+F350*40+G350*60+H350*0+I350*100+J350*300)/(122.58+297.941+89.177+140.302+0+40+60+100+300)</f>
        <v>16.574178088608694</v>
      </c>
      <c r="AC350" s="46">
        <f>(M350*'RAP TEMPLATE-GAS AVAILABILITY'!O349+N350*'RAP TEMPLATE-GAS AVAILABILITY'!P349+O350*'RAP TEMPLATE-GAS AVAILABILITY'!Q349+P350*'RAP TEMPLATE-GAS AVAILABILITY'!R349)/('RAP TEMPLATE-GAS AVAILABILITY'!O349+'RAP TEMPLATE-GAS AVAILABILITY'!P349+'RAP TEMPLATE-GAS AVAILABILITY'!Q349+'RAP TEMPLATE-GAS AVAILABILITY'!R349)</f>
        <v>16.471655395683456</v>
      </c>
    </row>
    <row r="351" spans="1:29" ht="15.75" x14ac:dyDescent="0.25">
      <c r="A351" s="14">
        <v>51591</v>
      </c>
      <c r="B351" s="17">
        <f>CHOOSE(CONTROL!$C$42, 16.065, 16.065) * CHOOSE(CONTROL!$C$21, $C$9, 100%, $E$9)</f>
        <v>16.065000000000001</v>
      </c>
      <c r="C351" s="17">
        <f>CHOOSE(CONTROL!$C$42, 16.0701, 16.0701) * CHOOSE(CONTROL!$C$21, $C$9, 100%, $E$9)</f>
        <v>16.0701</v>
      </c>
      <c r="D351" s="17">
        <f>CHOOSE(CONTROL!$C$42, 16.1876, 16.1876) * CHOOSE(CONTROL!$C$21, $C$9, 100%, $E$9)</f>
        <v>16.1876</v>
      </c>
      <c r="E351" s="17">
        <f>CHOOSE(CONTROL!$C$42, 16.2213, 16.2213) * CHOOSE(CONTROL!$C$21, $C$9, 100%, $E$9)</f>
        <v>16.221299999999999</v>
      </c>
      <c r="F351" s="17">
        <f>CHOOSE(CONTROL!$C$42, 16.078, 16.078)*CHOOSE(CONTROL!$C$21, $C$9, 100%, $E$9)</f>
        <v>16.077999999999999</v>
      </c>
      <c r="G351" s="17">
        <f>CHOOSE(CONTROL!$C$42, 16.0942, 16.0942)*CHOOSE(CONTROL!$C$21, $C$9, 100%, $E$9)</f>
        <v>16.094200000000001</v>
      </c>
      <c r="H351" s="17">
        <f>CHOOSE(CONTROL!$C$42, 16.2102, 16.2102) * CHOOSE(CONTROL!$C$21, $C$9, 100%, $E$9)</f>
        <v>16.2102</v>
      </c>
      <c r="I351" s="17">
        <f>CHOOSE(CONTROL!$C$42, 16.1383, 16.1383)* CHOOSE(CONTROL!$C$21, $C$9, 100%, $E$9)</f>
        <v>16.138300000000001</v>
      </c>
      <c r="J351" s="17">
        <f>CHOOSE(CONTROL!$C$42, 16.0706, 16.0706)* CHOOSE(CONTROL!$C$21, $C$9, 100%, $E$9)</f>
        <v>16.070599999999999</v>
      </c>
      <c r="K351" s="53">
        <f>CHOOSE(CONTROL!$C$42, 16.1322, 16.1322) * CHOOSE(CONTROL!$C$21, $C$9, 100%, $E$9)</f>
        <v>16.132200000000001</v>
      </c>
      <c r="L351" s="17">
        <f>CHOOSE(CONTROL!$C$42, 16.7972, 16.7972) * CHOOSE(CONTROL!$C$21, $C$9, 100%, $E$9)</f>
        <v>16.7972</v>
      </c>
      <c r="M351" s="17">
        <f>CHOOSE(CONTROL!$C$42, 15.9331, 15.9331) * CHOOSE(CONTROL!$C$21, $C$9, 100%, $E$9)</f>
        <v>15.9331</v>
      </c>
      <c r="N351" s="17">
        <f>CHOOSE(CONTROL!$C$42, 15.9491, 15.9491) * CHOOSE(CONTROL!$C$21, $C$9, 100%, $E$9)</f>
        <v>15.9491</v>
      </c>
      <c r="O351" s="17">
        <f>CHOOSE(CONTROL!$C$42, 16.0714, 16.0714) * CHOOSE(CONTROL!$C$21, $C$9, 100%, $E$9)</f>
        <v>16.071400000000001</v>
      </c>
      <c r="P351" s="17">
        <f>CHOOSE(CONTROL!$C$42, 15.9998, 15.9998) * CHOOSE(CONTROL!$C$21, $C$9, 100%, $E$9)</f>
        <v>15.9998</v>
      </c>
      <c r="Q351" s="17">
        <f>CHOOSE(CONTROL!$C$42, 16.6661, 16.6661) * CHOOSE(CONTROL!$C$21, $C$9, 100%, $E$9)</f>
        <v>16.6661</v>
      </c>
      <c r="R351" s="17">
        <f>CHOOSE(CONTROL!$C$42, 17.2948, 17.2948) * CHOOSE(CONTROL!$C$21, $C$9, 100%, $E$9)</f>
        <v>17.294799999999999</v>
      </c>
      <c r="S351" s="17">
        <f>CHOOSE(CONTROL!$C$42, 15.5687, 15.5687) * CHOOSE(CONTROL!$C$21, $C$9, 100%, $E$9)</f>
        <v>15.5687</v>
      </c>
      <c r="T351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351" s="57">
        <f>(1000*CHOOSE(CONTROL!$C$42, 695, 695)*CHOOSE(CONTROL!$C$42, 0.5599, 0.5599)*CHOOSE(CONTROL!$C$42, 31, 31))/1000000</f>
        <v>12.063045499999998</v>
      </c>
      <c r="V351" s="57">
        <f>(1000*CHOOSE(CONTROL!$C$42, 500, 500)*CHOOSE(CONTROL!$C$42, 0.275, 0.275)*CHOOSE(CONTROL!$C$42, 31, 31))/1000000</f>
        <v>4.2625000000000002</v>
      </c>
      <c r="W351" s="57">
        <f>(1000*CHOOSE(CONTROL!$C$42, 0.0916, 0.0916)*CHOOSE(CONTROL!$C$42, 121.5, 121.5)*CHOOSE(CONTROL!$C$42, 31, 31))/1000000</f>
        <v>0.34501139999999997</v>
      </c>
      <c r="X351" s="57">
        <f>(31*0.2374*100000/1000000)</f>
        <v>0.73594000000000004</v>
      </c>
      <c r="Y351" s="57"/>
      <c r="Z351" s="17"/>
      <c r="AA351" s="56"/>
      <c r="AB351" s="49">
        <f>(B351*122.58+C351*297.941+D351*89.177+E351*140.302+F351*40+G351*60+H351*0+I351*100+J351*300)/(122.58+297.941+89.177+140.302+0+40+60+100+300)</f>
        <v>16.104707653826086</v>
      </c>
      <c r="AC351" s="46">
        <f>(M351*'RAP TEMPLATE-GAS AVAILABILITY'!O350+N351*'RAP TEMPLATE-GAS AVAILABILITY'!P350+O351*'RAP TEMPLATE-GAS AVAILABILITY'!Q350+P351*'RAP TEMPLATE-GAS AVAILABILITY'!R350)/('RAP TEMPLATE-GAS AVAILABILITY'!O350+'RAP TEMPLATE-GAS AVAILABILITY'!P350+'RAP TEMPLATE-GAS AVAILABILITY'!Q350+'RAP TEMPLATE-GAS AVAILABILITY'!R350)</f>
        <v>16.006300719424459</v>
      </c>
    </row>
    <row r="352" spans="1:29" ht="15.75" x14ac:dyDescent="0.25">
      <c r="A352" s="14">
        <v>51621</v>
      </c>
      <c r="B352" s="17">
        <f>CHOOSE(CONTROL!$C$42, 16.018, 16.018) * CHOOSE(CONTROL!$C$21, $C$9, 100%, $E$9)</f>
        <v>16.018000000000001</v>
      </c>
      <c r="C352" s="17">
        <f>CHOOSE(CONTROL!$C$42, 16.0225, 16.0225) * CHOOSE(CONTROL!$C$21, $C$9, 100%, $E$9)</f>
        <v>16.022500000000001</v>
      </c>
      <c r="D352" s="17">
        <f>CHOOSE(CONTROL!$C$42, 16.2752, 16.2752) * CHOOSE(CONTROL!$C$21, $C$9, 100%, $E$9)</f>
        <v>16.275200000000002</v>
      </c>
      <c r="E352" s="17">
        <f>CHOOSE(CONTROL!$C$42, 16.307, 16.307) * CHOOSE(CONTROL!$C$21, $C$9, 100%, $E$9)</f>
        <v>16.306999999999999</v>
      </c>
      <c r="F352" s="17">
        <f>CHOOSE(CONTROL!$C$42, 16.0239, 16.0239)*CHOOSE(CONTROL!$C$21, $C$9, 100%, $E$9)</f>
        <v>16.023900000000001</v>
      </c>
      <c r="G352" s="17">
        <f>CHOOSE(CONTROL!$C$42, 16.0398, 16.0398)*CHOOSE(CONTROL!$C$21, $C$9, 100%, $E$9)</f>
        <v>16.0398</v>
      </c>
      <c r="H352" s="17">
        <f>CHOOSE(CONTROL!$C$42, 16.2964, 16.2964) * CHOOSE(CONTROL!$C$21, $C$9, 100%, $E$9)</f>
        <v>16.296399999999998</v>
      </c>
      <c r="I352" s="17">
        <f>CHOOSE(CONTROL!$C$42, 16.0893, 16.0893)* CHOOSE(CONTROL!$C$21, $C$9, 100%, $E$9)</f>
        <v>16.089300000000001</v>
      </c>
      <c r="J352" s="17">
        <f>CHOOSE(CONTROL!$C$42, 16.0165, 16.0165)* CHOOSE(CONTROL!$C$21, $C$9, 100%, $E$9)</f>
        <v>16.016500000000001</v>
      </c>
      <c r="K352" s="53">
        <f>CHOOSE(CONTROL!$C$42, 16.0832, 16.0832) * CHOOSE(CONTROL!$C$21, $C$9, 100%, $E$9)</f>
        <v>16.083200000000001</v>
      </c>
      <c r="L352" s="17">
        <f>CHOOSE(CONTROL!$C$42, 16.8834, 16.8834) * CHOOSE(CONTROL!$C$21, $C$9, 100%, $E$9)</f>
        <v>16.883400000000002</v>
      </c>
      <c r="M352" s="17">
        <f>CHOOSE(CONTROL!$C$42, 15.8795, 15.8795) * CHOOSE(CONTROL!$C$21, $C$9, 100%, $E$9)</f>
        <v>15.8795</v>
      </c>
      <c r="N352" s="17">
        <f>CHOOSE(CONTROL!$C$42, 15.8952, 15.8952) * CHOOSE(CONTROL!$C$21, $C$9, 100%, $E$9)</f>
        <v>15.895200000000001</v>
      </c>
      <c r="O352" s="17">
        <f>CHOOSE(CONTROL!$C$42, 16.1569, 16.1569) * CHOOSE(CONTROL!$C$21, $C$9, 100%, $E$9)</f>
        <v>16.1569</v>
      </c>
      <c r="P352" s="17">
        <f>CHOOSE(CONTROL!$C$42, 15.9512, 15.9512) * CHOOSE(CONTROL!$C$21, $C$9, 100%, $E$9)</f>
        <v>15.9512</v>
      </c>
      <c r="Q352" s="17">
        <f>CHOOSE(CONTROL!$C$42, 16.7516, 16.7516) * CHOOSE(CONTROL!$C$21, $C$9, 100%, $E$9)</f>
        <v>16.7516</v>
      </c>
      <c r="R352" s="17">
        <f>CHOOSE(CONTROL!$C$42, 17.3804, 17.3804) * CHOOSE(CONTROL!$C$21, $C$9, 100%, $E$9)</f>
        <v>17.380400000000002</v>
      </c>
      <c r="S352" s="17">
        <f>CHOOSE(CONTROL!$C$42, 15.5224, 15.5224) * CHOOSE(CONTROL!$C$21, $C$9, 100%, $E$9)</f>
        <v>15.522399999999999</v>
      </c>
      <c r="T352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352" s="57">
        <f>(1000*CHOOSE(CONTROL!$C$42, 695, 695)*CHOOSE(CONTROL!$C$42, 0.5599, 0.5599)*CHOOSE(CONTROL!$C$42, 30, 30))/1000000</f>
        <v>11.673914999999997</v>
      </c>
      <c r="V352" s="57">
        <f>(1000*CHOOSE(CONTROL!$C$42, 500, 500)*CHOOSE(CONTROL!$C$42, 0.275, 0.275)*CHOOSE(CONTROL!$C$42, 30, 30))/1000000</f>
        <v>4.125</v>
      </c>
      <c r="W352" s="57">
        <f>(1000*CHOOSE(CONTROL!$C$42, 0.0916, 0.0916)*CHOOSE(CONTROL!$C$42, 121.5, 121.5)*CHOOSE(CONTROL!$C$42, 30, 30))/1000000</f>
        <v>0.33388200000000001</v>
      </c>
      <c r="X352" s="57">
        <f>(30*0.1790888*145000/1000000)+(30*0.2374*100000/1000000)</f>
        <v>1.4912362799999999</v>
      </c>
      <c r="Y352" s="57"/>
      <c r="Z352" s="17"/>
      <c r="AA352" s="56"/>
      <c r="AB352" s="49">
        <f>(B352*141.293+C352*267.993+D352*115.016+E352*189.698+F352*40+G352*85+H352*0+I352*100+J352*300)/(141.293+267.993+115.016+189.698+0+40+85+100+300)</f>
        <v>16.094174177320422</v>
      </c>
      <c r="AC352" s="46">
        <f>(M352*'RAP TEMPLATE-GAS AVAILABILITY'!O351+N352*'RAP TEMPLATE-GAS AVAILABILITY'!P351+O352*'RAP TEMPLATE-GAS AVAILABILITY'!Q351+P352*'RAP TEMPLATE-GAS AVAILABILITY'!R351)/('RAP TEMPLATE-GAS AVAILABILITY'!O351+'RAP TEMPLATE-GAS AVAILABILITY'!P351+'RAP TEMPLATE-GAS AVAILABILITY'!Q351+'RAP TEMPLATE-GAS AVAILABILITY'!R351)</f>
        <v>15.971262589928058</v>
      </c>
    </row>
    <row r="353" spans="1:29" ht="15.75" x14ac:dyDescent="0.25">
      <c r="A353" s="14">
        <v>51652</v>
      </c>
      <c r="B353" s="17">
        <f>CHOOSE(CONTROL!$C$42, 16.1606, 16.1606) * CHOOSE(CONTROL!$C$21, $C$9, 100%, $E$9)</f>
        <v>16.160599999999999</v>
      </c>
      <c r="C353" s="17">
        <f>CHOOSE(CONTROL!$C$42, 16.1686, 16.1686) * CHOOSE(CONTROL!$C$21, $C$9, 100%, $E$9)</f>
        <v>16.168600000000001</v>
      </c>
      <c r="D353" s="17">
        <f>CHOOSE(CONTROL!$C$42, 16.4182, 16.4182) * CHOOSE(CONTROL!$C$21, $C$9, 100%, $E$9)</f>
        <v>16.418199999999999</v>
      </c>
      <c r="E353" s="17">
        <f>CHOOSE(CONTROL!$C$42, 16.4494, 16.4494) * CHOOSE(CONTROL!$C$21, $C$9, 100%, $E$9)</f>
        <v>16.449400000000001</v>
      </c>
      <c r="F353" s="17">
        <f>CHOOSE(CONTROL!$C$42, 16.1654, 16.1654)*CHOOSE(CONTROL!$C$21, $C$9, 100%, $E$9)</f>
        <v>16.165400000000002</v>
      </c>
      <c r="G353" s="17">
        <f>CHOOSE(CONTROL!$C$42, 16.1816, 16.1816)*CHOOSE(CONTROL!$C$21, $C$9, 100%, $E$9)</f>
        <v>16.1816</v>
      </c>
      <c r="H353" s="17">
        <f>CHOOSE(CONTROL!$C$42, 16.4377, 16.4377) * CHOOSE(CONTROL!$C$21, $C$9, 100%, $E$9)</f>
        <v>16.4377</v>
      </c>
      <c r="I353" s="17">
        <f>CHOOSE(CONTROL!$C$42, 16.231, 16.231)* CHOOSE(CONTROL!$C$21, $C$9, 100%, $E$9)</f>
        <v>16.231000000000002</v>
      </c>
      <c r="J353" s="17">
        <f>CHOOSE(CONTROL!$C$42, 16.158, 16.158)* CHOOSE(CONTROL!$C$21, $C$9, 100%, $E$9)</f>
        <v>16.158000000000001</v>
      </c>
      <c r="K353" s="53">
        <f>CHOOSE(CONTROL!$C$42, 16.2249, 16.2249) * CHOOSE(CONTROL!$C$21, $C$9, 100%, $E$9)</f>
        <v>16.224900000000002</v>
      </c>
      <c r="L353" s="17">
        <f>CHOOSE(CONTROL!$C$42, 17.0247, 17.0247) * CHOOSE(CONTROL!$C$21, $C$9, 100%, $E$9)</f>
        <v>17.024699999999999</v>
      </c>
      <c r="M353" s="17">
        <f>CHOOSE(CONTROL!$C$42, 16.0197, 16.0197) * CHOOSE(CONTROL!$C$21, $C$9, 100%, $E$9)</f>
        <v>16.0197</v>
      </c>
      <c r="N353" s="17">
        <f>CHOOSE(CONTROL!$C$42, 16.0357, 16.0357) * CHOOSE(CONTROL!$C$21, $C$9, 100%, $E$9)</f>
        <v>16.035699999999999</v>
      </c>
      <c r="O353" s="17">
        <f>CHOOSE(CONTROL!$C$42, 16.2969, 16.2969) * CHOOSE(CONTROL!$C$21, $C$9, 100%, $E$9)</f>
        <v>16.296900000000001</v>
      </c>
      <c r="P353" s="17">
        <f>CHOOSE(CONTROL!$C$42, 16.0916, 16.0916) * CHOOSE(CONTROL!$C$21, $C$9, 100%, $E$9)</f>
        <v>16.0916</v>
      </c>
      <c r="Q353" s="17">
        <f>CHOOSE(CONTROL!$C$42, 16.8916, 16.8916) * CHOOSE(CONTROL!$C$21, $C$9, 100%, $E$9)</f>
        <v>16.8916</v>
      </c>
      <c r="R353" s="17">
        <f>CHOOSE(CONTROL!$C$42, 17.5208, 17.5208) * CHOOSE(CONTROL!$C$21, $C$9, 100%, $E$9)</f>
        <v>17.520800000000001</v>
      </c>
      <c r="S353" s="17">
        <f>CHOOSE(CONTROL!$C$42, 15.6593, 15.6593) * CHOOSE(CONTROL!$C$21, $C$9, 100%, $E$9)</f>
        <v>15.6593</v>
      </c>
      <c r="T353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353" s="57">
        <f>(1000*CHOOSE(CONTROL!$C$42, 695, 695)*CHOOSE(CONTROL!$C$42, 0.5599, 0.5599)*CHOOSE(CONTROL!$C$42, 31, 31))/1000000</f>
        <v>12.063045499999998</v>
      </c>
      <c r="V353" s="57">
        <f>(1000*CHOOSE(CONTROL!$C$42, 500, 500)*CHOOSE(CONTROL!$C$42, 0.275, 0.275)*CHOOSE(CONTROL!$C$42, 31, 31))/1000000</f>
        <v>4.2625000000000002</v>
      </c>
      <c r="W353" s="57">
        <f>(1000*CHOOSE(CONTROL!$C$42, 0.0916, 0.0916)*CHOOSE(CONTROL!$C$42, 121.5, 121.5)*CHOOSE(CONTROL!$C$42, 31, 31))/1000000</f>
        <v>0.34501139999999997</v>
      </c>
      <c r="X353" s="57">
        <f>(31*0.1790888*145000/1000000)+(31*0.2374*100000/1000000)</f>
        <v>1.5409441560000001</v>
      </c>
      <c r="Y353" s="57"/>
      <c r="Z353" s="17"/>
      <c r="AA353" s="56"/>
      <c r="AB353" s="49">
        <f>(B353*194.205+C353*267.466+D353*133.845+E353*153.484+F353*40+G353*85+H353*0+I353*100+J353*300)/(194.205+267.466+133.845+153.484+0+40+85+100+300)</f>
        <v>16.230601082574569</v>
      </c>
      <c r="AC353" s="46">
        <f>(M353*'RAP TEMPLATE-GAS AVAILABILITY'!O352+N353*'RAP TEMPLATE-GAS AVAILABILITY'!P352+O353*'RAP TEMPLATE-GAS AVAILABILITY'!Q352+P353*'RAP TEMPLATE-GAS AVAILABILITY'!R352)/('RAP TEMPLATE-GAS AVAILABILITY'!O352+'RAP TEMPLATE-GAS AVAILABILITY'!P352+'RAP TEMPLATE-GAS AVAILABILITY'!Q352+'RAP TEMPLATE-GAS AVAILABILITY'!R352)</f>
        <v>16.11150431654676</v>
      </c>
    </row>
    <row r="354" spans="1:29" ht="15.75" x14ac:dyDescent="0.25">
      <c r="A354" s="14">
        <v>51682</v>
      </c>
      <c r="B354" s="17">
        <f>CHOOSE(CONTROL!$C$42, 16.6186, 16.6186) * CHOOSE(CONTROL!$C$21, $C$9, 100%, $E$9)</f>
        <v>16.618600000000001</v>
      </c>
      <c r="C354" s="17">
        <f>CHOOSE(CONTROL!$C$42, 16.6266, 16.6266) * CHOOSE(CONTROL!$C$21, $C$9, 100%, $E$9)</f>
        <v>16.6266</v>
      </c>
      <c r="D354" s="17">
        <f>CHOOSE(CONTROL!$C$42, 16.8762, 16.8762) * CHOOSE(CONTROL!$C$21, $C$9, 100%, $E$9)</f>
        <v>16.876200000000001</v>
      </c>
      <c r="E354" s="17">
        <f>CHOOSE(CONTROL!$C$42, 16.9074, 16.9074) * CHOOSE(CONTROL!$C$21, $C$9, 100%, $E$9)</f>
        <v>16.907399999999999</v>
      </c>
      <c r="F354" s="17">
        <f>CHOOSE(CONTROL!$C$42, 16.6238, 16.6238)*CHOOSE(CONTROL!$C$21, $C$9, 100%, $E$9)</f>
        <v>16.623799999999999</v>
      </c>
      <c r="G354" s="17">
        <f>CHOOSE(CONTROL!$C$42, 16.6401, 16.6401)*CHOOSE(CONTROL!$C$21, $C$9, 100%, $E$9)</f>
        <v>16.6401</v>
      </c>
      <c r="H354" s="17">
        <f>CHOOSE(CONTROL!$C$42, 16.8958, 16.8958) * CHOOSE(CONTROL!$C$21, $C$9, 100%, $E$9)</f>
        <v>16.895800000000001</v>
      </c>
      <c r="I354" s="17">
        <f>CHOOSE(CONTROL!$C$42, 16.6904, 16.6904)* CHOOSE(CONTROL!$C$21, $C$9, 100%, $E$9)</f>
        <v>16.6904</v>
      </c>
      <c r="J354" s="17">
        <f>CHOOSE(CONTROL!$C$42, 16.6164, 16.6164)* CHOOSE(CONTROL!$C$21, $C$9, 100%, $E$9)</f>
        <v>16.616399999999999</v>
      </c>
      <c r="K354" s="53">
        <f>CHOOSE(CONTROL!$C$42, 16.6844, 16.6844) * CHOOSE(CONTROL!$C$21, $C$9, 100%, $E$9)</f>
        <v>16.6844</v>
      </c>
      <c r="L354" s="17">
        <f>CHOOSE(CONTROL!$C$42, 17.4828, 17.4828) * CHOOSE(CONTROL!$C$21, $C$9, 100%, $E$9)</f>
        <v>17.482800000000001</v>
      </c>
      <c r="M354" s="17">
        <f>CHOOSE(CONTROL!$C$42, 16.474, 16.474) * CHOOSE(CONTROL!$C$21, $C$9, 100%, $E$9)</f>
        <v>16.474</v>
      </c>
      <c r="N354" s="17">
        <f>CHOOSE(CONTROL!$C$42, 16.4901, 16.4901) * CHOOSE(CONTROL!$C$21, $C$9, 100%, $E$9)</f>
        <v>16.490100000000002</v>
      </c>
      <c r="O354" s="17">
        <f>CHOOSE(CONTROL!$C$42, 16.7508, 16.7508) * CHOOSE(CONTROL!$C$21, $C$9, 100%, $E$9)</f>
        <v>16.750800000000002</v>
      </c>
      <c r="P354" s="17">
        <f>CHOOSE(CONTROL!$C$42, 16.5469, 16.5469) * CHOOSE(CONTROL!$C$21, $C$9, 100%, $E$9)</f>
        <v>16.546900000000001</v>
      </c>
      <c r="Q354" s="17">
        <f>CHOOSE(CONTROL!$C$42, 17.3455, 17.3455) * CHOOSE(CONTROL!$C$21, $C$9, 100%, $E$9)</f>
        <v>17.345500000000001</v>
      </c>
      <c r="R354" s="17">
        <f>CHOOSE(CONTROL!$C$42, 17.9759, 17.9759) * CHOOSE(CONTROL!$C$21, $C$9, 100%, $E$9)</f>
        <v>17.975899999999999</v>
      </c>
      <c r="S354" s="17">
        <f>CHOOSE(CONTROL!$C$42, 16.1035, 16.1035) * CHOOSE(CONTROL!$C$21, $C$9, 100%, $E$9)</f>
        <v>16.1035</v>
      </c>
      <c r="T354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354" s="57">
        <f>(1000*CHOOSE(CONTROL!$C$42, 695, 695)*CHOOSE(CONTROL!$C$42, 0.5599, 0.5599)*CHOOSE(CONTROL!$C$42, 30, 30))/1000000</f>
        <v>11.673914999999997</v>
      </c>
      <c r="V354" s="57">
        <f>(1000*CHOOSE(CONTROL!$C$42, 500, 500)*CHOOSE(CONTROL!$C$42, 0.275, 0.275)*CHOOSE(CONTROL!$C$42, 30, 30))/1000000</f>
        <v>4.125</v>
      </c>
      <c r="W354" s="57">
        <f>(1000*CHOOSE(CONTROL!$C$42, 0.0916, 0.0916)*CHOOSE(CONTROL!$C$42, 121.5, 121.5)*CHOOSE(CONTROL!$C$42, 30, 30))/1000000</f>
        <v>0.33388200000000001</v>
      </c>
      <c r="X354" s="57">
        <f>(30*0.1790888*145000/1000000)+(30*0.2374*100000/1000000)</f>
        <v>1.4912362799999999</v>
      </c>
      <c r="Y354" s="57"/>
      <c r="Z354" s="17"/>
      <c r="AA354" s="56"/>
      <c r="AB354" s="49">
        <f>(B354*194.205+C354*267.466+D354*133.845+E354*153.484+F354*40+G354*85+H354*0+I354*100+J354*300)/(194.205+267.466+133.845+153.484+0+40+85+100+300)</f>
        <v>16.688851082574569</v>
      </c>
      <c r="AC354" s="46">
        <f>(M354*'RAP TEMPLATE-GAS AVAILABILITY'!O353+N354*'RAP TEMPLATE-GAS AVAILABILITY'!P353+O354*'RAP TEMPLATE-GAS AVAILABILITY'!Q353+P354*'RAP TEMPLATE-GAS AVAILABILITY'!R353)/('RAP TEMPLATE-GAS AVAILABILITY'!O353+'RAP TEMPLATE-GAS AVAILABILITY'!P353+'RAP TEMPLATE-GAS AVAILABILITY'!Q353+'RAP TEMPLATE-GAS AVAILABILITY'!R353)</f>
        <v>16.565858992805758</v>
      </c>
    </row>
    <row r="355" spans="1:29" ht="15.75" x14ac:dyDescent="0.25">
      <c r="A355" s="14">
        <v>51713</v>
      </c>
      <c r="B355" s="17">
        <f>CHOOSE(CONTROL!$C$42, 16.3001, 16.3001) * CHOOSE(CONTROL!$C$21, $C$9, 100%, $E$9)</f>
        <v>16.3001</v>
      </c>
      <c r="C355" s="17">
        <f>CHOOSE(CONTROL!$C$42, 16.308, 16.308) * CHOOSE(CONTROL!$C$21, $C$9, 100%, $E$9)</f>
        <v>16.308</v>
      </c>
      <c r="D355" s="17">
        <f>CHOOSE(CONTROL!$C$42, 16.5577, 16.5577) * CHOOSE(CONTROL!$C$21, $C$9, 100%, $E$9)</f>
        <v>16.557700000000001</v>
      </c>
      <c r="E355" s="17">
        <f>CHOOSE(CONTROL!$C$42, 16.5888, 16.5888) * CHOOSE(CONTROL!$C$21, $C$9, 100%, $E$9)</f>
        <v>16.588799999999999</v>
      </c>
      <c r="F355" s="17">
        <f>CHOOSE(CONTROL!$C$42, 16.3058, 16.3058)*CHOOSE(CONTROL!$C$21, $C$9, 100%, $E$9)</f>
        <v>16.305800000000001</v>
      </c>
      <c r="G355" s="17">
        <f>CHOOSE(CONTROL!$C$42, 16.3221, 16.3221)*CHOOSE(CONTROL!$C$21, $C$9, 100%, $E$9)</f>
        <v>16.322099999999999</v>
      </c>
      <c r="H355" s="17">
        <f>CHOOSE(CONTROL!$C$42, 16.5772, 16.5772) * CHOOSE(CONTROL!$C$21, $C$9, 100%, $E$9)</f>
        <v>16.577200000000001</v>
      </c>
      <c r="I355" s="17">
        <f>CHOOSE(CONTROL!$C$42, 16.3709, 16.3709)* CHOOSE(CONTROL!$C$21, $C$9, 100%, $E$9)</f>
        <v>16.370899999999999</v>
      </c>
      <c r="J355" s="17">
        <f>CHOOSE(CONTROL!$C$42, 16.2984, 16.2984)* CHOOSE(CONTROL!$C$21, $C$9, 100%, $E$9)</f>
        <v>16.298400000000001</v>
      </c>
      <c r="K355" s="53">
        <f>CHOOSE(CONTROL!$C$42, 16.3648, 16.3648) * CHOOSE(CONTROL!$C$21, $C$9, 100%, $E$9)</f>
        <v>16.364799999999999</v>
      </c>
      <c r="L355" s="17">
        <f>CHOOSE(CONTROL!$C$42, 17.1642, 17.1642) * CHOOSE(CONTROL!$C$21, $C$9, 100%, $E$9)</f>
        <v>17.164200000000001</v>
      </c>
      <c r="M355" s="17">
        <f>CHOOSE(CONTROL!$C$42, 16.1588, 16.1588) * CHOOSE(CONTROL!$C$21, $C$9, 100%, $E$9)</f>
        <v>16.158799999999999</v>
      </c>
      <c r="N355" s="17">
        <f>CHOOSE(CONTROL!$C$42, 16.175, 16.175) * CHOOSE(CONTROL!$C$21, $C$9, 100%, $E$9)</f>
        <v>16.175000000000001</v>
      </c>
      <c r="O355" s="17">
        <f>CHOOSE(CONTROL!$C$42, 16.4351, 16.4351) * CHOOSE(CONTROL!$C$21, $C$9, 100%, $E$9)</f>
        <v>16.435099999999998</v>
      </c>
      <c r="P355" s="17">
        <f>CHOOSE(CONTROL!$C$42, 16.2302, 16.2302) * CHOOSE(CONTROL!$C$21, $C$9, 100%, $E$9)</f>
        <v>16.2302</v>
      </c>
      <c r="Q355" s="17">
        <f>CHOOSE(CONTROL!$C$42, 17.0298, 17.0298) * CHOOSE(CONTROL!$C$21, $C$9, 100%, $E$9)</f>
        <v>17.029800000000002</v>
      </c>
      <c r="R355" s="17">
        <f>CHOOSE(CONTROL!$C$42, 17.6594, 17.6594) * CHOOSE(CONTROL!$C$21, $C$9, 100%, $E$9)</f>
        <v>17.659400000000002</v>
      </c>
      <c r="S355" s="17">
        <f>CHOOSE(CONTROL!$C$42, 15.7946, 15.7946) * CHOOSE(CONTROL!$C$21, $C$9, 100%, $E$9)</f>
        <v>15.794600000000001</v>
      </c>
      <c r="T355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355" s="57">
        <f>(1000*CHOOSE(CONTROL!$C$42, 695, 695)*CHOOSE(CONTROL!$C$42, 0.5599, 0.5599)*CHOOSE(CONTROL!$C$42, 31, 31))/1000000</f>
        <v>12.063045499999998</v>
      </c>
      <c r="V355" s="57">
        <f>(1000*CHOOSE(CONTROL!$C$42, 500, 500)*CHOOSE(CONTROL!$C$42, 0.275, 0.275)*CHOOSE(CONTROL!$C$42, 31, 31))/1000000</f>
        <v>4.2625000000000002</v>
      </c>
      <c r="W355" s="57">
        <f>(1000*CHOOSE(CONTROL!$C$42, 0.0916, 0.0916)*CHOOSE(CONTROL!$C$42, 121.5, 121.5)*CHOOSE(CONTROL!$C$42, 31, 31))/1000000</f>
        <v>0.34501139999999997</v>
      </c>
      <c r="X355" s="57">
        <f>(31*0.1790888*145000/1000000)+(31*0.2374*100000/1000000)</f>
        <v>1.5409441560000001</v>
      </c>
      <c r="Y355" s="57"/>
      <c r="Z355" s="17"/>
      <c r="AA355" s="56"/>
      <c r="AB355" s="49">
        <f>(B355*194.205+C355*267.466+D355*133.845+E355*153.484+F355*40+G355*85+H355*0+I355*100+J355*300)/(194.205+267.466+133.845+153.484+0+40+85+100+300)</f>
        <v>16.370406345525904</v>
      </c>
      <c r="AC355" s="46">
        <f>(M355*'RAP TEMPLATE-GAS AVAILABILITY'!O354+N355*'RAP TEMPLATE-GAS AVAILABILITY'!P354+O355*'RAP TEMPLATE-GAS AVAILABILITY'!Q354+P355*'RAP TEMPLATE-GAS AVAILABILITY'!R354)/('RAP TEMPLATE-GAS AVAILABILITY'!O354+'RAP TEMPLATE-GAS AVAILABILITY'!P354+'RAP TEMPLATE-GAS AVAILABILITY'!Q354+'RAP TEMPLATE-GAS AVAILABILITY'!R354)</f>
        <v>16.250325899280575</v>
      </c>
    </row>
    <row r="356" spans="1:29" ht="15.75" x14ac:dyDescent="0.25">
      <c r="A356" s="14">
        <v>51744</v>
      </c>
      <c r="B356" s="17">
        <f>CHOOSE(CONTROL!$C$42, 15.4956, 15.4956) * CHOOSE(CONTROL!$C$21, $C$9, 100%, $E$9)</f>
        <v>15.4956</v>
      </c>
      <c r="C356" s="17">
        <f>CHOOSE(CONTROL!$C$42, 15.5035, 15.5035) * CHOOSE(CONTROL!$C$21, $C$9, 100%, $E$9)</f>
        <v>15.503500000000001</v>
      </c>
      <c r="D356" s="17">
        <f>CHOOSE(CONTROL!$C$42, 15.7532, 15.7532) * CHOOSE(CONTROL!$C$21, $C$9, 100%, $E$9)</f>
        <v>15.7532</v>
      </c>
      <c r="E356" s="17">
        <f>CHOOSE(CONTROL!$C$42, 15.7843, 15.7843) * CHOOSE(CONTROL!$C$21, $C$9, 100%, $E$9)</f>
        <v>15.7843</v>
      </c>
      <c r="F356" s="17">
        <f>CHOOSE(CONTROL!$C$42, 15.5015, 15.5015)*CHOOSE(CONTROL!$C$21, $C$9, 100%, $E$9)</f>
        <v>15.5015</v>
      </c>
      <c r="G356" s="17">
        <f>CHOOSE(CONTROL!$C$42, 15.5179, 15.5179)*CHOOSE(CONTROL!$C$21, $C$9, 100%, $E$9)</f>
        <v>15.517899999999999</v>
      </c>
      <c r="H356" s="17">
        <f>CHOOSE(CONTROL!$C$42, 15.7727, 15.7727) * CHOOSE(CONTROL!$C$21, $C$9, 100%, $E$9)</f>
        <v>15.7727</v>
      </c>
      <c r="I356" s="17">
        <f>CHOOSE(CONTROL!$C$42, 15.5639, 15.5639)* CHOOSE(CONTROL!$C$21, $C$9, 100%, $E$9)</f>
        <v>15.5639</v>
      </c>
      <c r="J356" s="17">
        <f>CHOOSE(CONTROL!$C$42, 15.4941, 15.4941)* CHOOSE(CONTROL!$C$21, $C$9, 100%, $E$9)</f>
        <v>15.4941</v>
      </c>
      <c r="K356" s="53">
        <f>CHOOSE(CONTROL!$C$42, 15.5578, 15.5578) * CHOOSE(CONTROL!$C$21, $C$9, 100%, $E$9)</f>
        <v>15.5578</v>
      </c>
      <c r="L356" s="17">
        <f>CHOOSE(CONTROL!$C$42, 16.3597, 16.3597) * CHOOSE(CONTROL!$C$21, $C$9, 100%, $E$9)</f>
        <v>16.3597</v>
      </c>
      <c r="M356" s="17">
        <f>CHOOSE(CONTROL!$C$42, 15.3618, 15.3618) * CHOOSE(CONTROL!$C$21, $C$9, 100%, $E$9)</f>
        <v>15.361800000000001</v>
      </c>
      <c r="N356" s="17">
        <f>CHOOSE(CONTROL!$C$42, 15.378, 15.378) * CHOOSE(CONTROL!$C$21, $C$9, 100%, $E$9)</f>
        <v>15.378</v>
      </c>
      <c r="O356" s="17">
        <f>CHOOSE(CONTROL!$C$42, 15.6378, 15.6378) * CHOOSE(CONTROL!$C$21, $C$9, 100%, $E$9)</f>
        <v>15.6378</v>
      </c>
      <c r="P356" s="17">
        <f>CHOOSE(CONTROL!$C$42, 15.4305, 15.4305) * CHOOSE(CONTROL!$C$21, $C$9, 100%, $E$9)</f>
        <v>15.4305</v>
      </c>
      <c r="Q356" s="17">
        <f>CHOOSE(CONTROL!$C$42, 16.2325, 16.2325) * CHOOSE(CONTROL!$C$21, $C$9, 100%, $E$9)</f>
        <v>16.232500000000002</v>
      </c>
      <c r="R356" s="17">
        <f>CHOOSE(CONTROL!$C$42, 16.8601, 16.8601) * CHOOSE(CONTROL!$C$21, $C$9, 100%, $E$9)</f>
        <v>16.860099999999999</v>
      </c>
      <c r="S356" s="17">
        <f>CHOOSE(CONTROL!$C$42, 15.0145, 15.0145) * CHOOSE(CONTROL!$C$21, $C$9, 100%, $E$9)</f>
        <v>15.0145</v>
      </c>
      <c r="T356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356" s="57">
        <f>(1000*CHOOSE(CONTROL!$C$42, 695, 695)*CHOOSE(CONTROL!$C$42, 0.5599, 0.5599)*CHOOSE(CONTROL!$C$42, 31, 31))/1000000</f>
        <v>12.063045499999998</v>
      </c>
      <c r="V356" s="57">
        <f>(1000*CHOOSE(CONTROL!$C$42, 500, 500)*CHOOSE(CONTROL!$C$42, 0.275, 0.275)*CHOOSE(CONTROL!$C$42, 31, 31))/1000000</f>
        <v>4.2625000000000002</v>
      </c>
      <c r="W356" s="57">
        <f>(1000*CHOOSE(CONTROL!$C$42, 0.0916, 0.0916)*CHOOSE(CONTROL!$C$42, 121.5, 121.5)*CHOOSE(CONTROL!$C$42, 31, 31))/1000000</f>
        <v>0.34501139999999997</v>
      </c>
      <c r="X356" s="57">
        <f>(31*0.1790888*145000/1000000)+(31*0.2374*100000/1000000)</f>
        <v>1.5409441560000001</v>
      </c>
      <c r="Y356" s="57"/>
      <c r="Z356" s="17"/>
      <c r="AA356" s="56"/>
      <c r="AB356" s="49">
        <f>(B356*194.205+C356*267.466+D356*133.845+E356*153.484+F356*40+G356*85+H356*0+I356*100+J356*300)/(194.205+267.466+133.845+153.484+0+40+85+100+300)</f>
        <v>15.565783504081631</v>
      </c>
      <c r="AC356" s="46">
        <f>(M356*'RAP TEMPLATE-GAS AVAILABILITY'!O355+N356*'RAP TEMPLATE-GAS AVAILABILITY'!P355+O356*'RAP TEMPLATE-GAS AVAILABILITY'!Q355+P356*'RAP TEMPLATE-GAS AVAILABILITY'!R355)/('RAP TEMPLATE-GAS AVAILABILITY'!O355+'RAP TEMPLATE-GAS AVAILABILITY'!P355+'RAP TEMPLATE-GAS AVAILABILITY'!Q355+'RAP TEMPLATE-GAS AVAILABILITY'!R355)</f>
        <v>15.452853237410071</v>
      </c>
    </row>
    <row r="357" spans="1:29" ht="15.75" x14ac:dyDescent="0.25">
      <c r="A357" s="14">
        <v>51774</v>
      </c>
      <c r="B357" s="17">
        <f>CHOOSE(CONTROL!$C$42, 14.5124, 14.5124) * CHOOSE(CONTROL!$C$21, $C$9, 100%, $E$9)</f>
        <v>14.5124</v>
      </c>
      <c r="C357" s="17">
        <f>CHOOSE(CONTROL!$C$42, 14.5204, 14.5204) * CHOOSE(CONTROL!$C$21, $C$9, 100%, $E$9)</f>
        <v>14.5204</v>
      </c>
      <c r="D357" s="17">
        <f>CHOOSE(CONTROL!$C$42, 14.77, 14.77) * CHOOSE(CONTROL!$C$21, $C$9, 100%, $E$9)</f>
        <v>14.77</v>
      </c>
      <c r="E357" s="17">
        <f>CHOOSE(CONTROL!$C$42, 14.8011, 14.8011) * CHOOSE(CONTROL!$C$21, $C$9, 100%, $E$9)</f>
        <v>14.8011</v>
      </c>
      <c r="F357" s="17">
        <f>CHOOSE(CONTROL!$C$42, 14.5184, 14.5184)*CHOOSE(CONTROL!$C$21, $C$9, 100%, $E$9)</f>
        <v>14.5184</v>
      </c>
      <c r="G357" s="17">
        <f>CHOOSE(CONTROL!$C$42, 14.5348, 14.5348)*CHOOSE(CONTROL!$C$21, $C$9, 100%, $E$9)</f>
        <v>14.534800000000001</v>
      </c>
      <c r="H357" s="17">
        <f>CHOOSE(CONTROL!$C$42, 14.7895, 14.7895) * CHOOSE(CONTROL!$C$21, $C$9, 100%, $E$9)</f>
        <v>14.7895</v>
      </c>
      <c r="I357" s="17">
        <f>CHOOSE(CONTROL!$C$42, 14.5776, 14.5776)* CHOOSE(CONTROL!$C$21, $C$9, 100%, $E$9)</f>
        <v>14.5776</v>
      </c>
      <c r="J357" s="17">
        <f>CHOOSE(CONTROL!$C$42, 14.511, 14.511)* CHOOSE(CONTROL!$C$21, $C$9, 100%, $E$9)</f>
        <v>14.510999999999999</v>
      </c>
      <c r="K357" s="53">
        <f>CHOOSE(CONTROL!$C$42, 14.5716, 14.5716) * CHOOSE(CONTROL!$C$21, $C$9, 100%, $E$9)</f>
        <v>14.5716</v>
      </c>
      <c r="L357" s="17">
        <f>CHOOSE(CONTROL!$C$42, 15.3765, 15.3765) * CHOOSE(CONTROL!$C$21, $C$9, 100%, $E$9)</f>
        <v>15.3765</v>
      </c>
      <c r="M357" s="17">
        <f>CHOOSE(CONTROL!$C$42, 14.3875, 14.3875) * CHOOSE(CONTROL!$C$21, $C$9, 100%, $E$9)</f>
        <v>14.387499999999999</v>
      </c>
      <c r="N357" s="17">
        <f>CHOOSE(CONTROL!$C$42, 14.4038, 14.4038) * CHOOSE(CONTROL!$C$21, $C$9, 100%, $E$9)</f>
        <v>14.4038</v>
      </c>
      <c r="O357" s="17">
        <f>CHOOSE(CONTROL!$C$42, 14.6635, 14.6635) * CHOOSE(CONTROL!$C$21, $C$9, 100%, $E$9)</f>
        <v>14.663500000000001</v>
      </c>
      <c r="P357" s="17">
        <f>CHOOSE(CONTROL!$C$42, 14.4532, 14.4532) * CHOOSE(CONTROL!$C$21, $C$9, 100%, $E$9)</f>
        <v>14.453200000000001</v>
      </c>
      <c r="Q357" s="17">
        <f>CHOOSE(CONTROL!$C$42, 15.2582, 15.2582) * CHOOSE(CONTROL!$C$21, $C$9, 100%, $E$9)</f>
        <v>15.2582</v>
      </c>
      <c r="R357" s="17">
        <f>CHOOSE(CONTROL!$C$42, 15.8833, 15.8833) * CHOOSE(CONTROL!$C$21, $C$9, 100%, $E$9)</f>
        <v>15.8833</v>
      </c>
      <c r="S357" s="17">
        <f>CHOOSE(CONTROL!$C$42, 14.0611, 14.0611) * CHOOSE(CONTROL!$C$21, $C$9, 100%, $E$9)</f>
        <v>14.0611</v>
      </c>
      <c r="T357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357" s="57">
        <f>(1000*CHOOSE(CONTROL!$C$42, 695, 695)*CHOOSE(CONTROL!$C$42, 0.5599, 0.5599)*CHOOSE(CONTROL!$C$42, 30, 30))/1000000</f>
        <v>11.673914999999997</v>
      </c>
      <c r="V357" s="57">
        <f>(1000*CHOOSE(CONTROL!$C$42, 500, 500)*CHOOSE(CONTROL!$C$42, 0.275, 0.275)*CHOOSE(CONTROL!$C$42, 30, 30))/1000000</f>
        <v>4.125</v>
      </c>
      <c r="W357" s="57">
        <f>(1000*CHOOSE(CONTROL!$C$42, 0.0916, 0.0916)*CHOOSE(CONTROL!$C$42, 121.5, 121.5)*CHOOSE(CONTROL!$C$42, 30, 30))/1000000</f>
        <v>0.33388200000000001</v>
      </c>
      <c r="X357" s="57">
        <f>(30*0.1790888*145000/1000000)+(30*0.2374*100000/1000000)</f>
        <v>1.4912362799999999</v>
      </c>
      <c r="Y357" s="57"/>
      <c r="Z357" s="17"/>
      <c r="AA357" s="56"/>
      <c r="AB357" s="49">
        <f>(B357*194.205+C357*267.466+D357*133.845+E357*153.484+F357*40+G357*85+H357*0+I357*100+J357*300)/(194.205+267.466+133.845+153.484+0+40+85+100+300)</f>
        <v>14.582394529670331</v>
      </c>
      <c r="AC357" s="46">
        <f>(M357*'RAP TEMPLATE-GAS AVAILABILITY'!O356+N357*'RAP TEMPLATE-GAS AVAILABILITY'!P356+O357*'RAP TEMPLATE-GAS AVAILABILITY'!Q356+P357*'RAP TEMPLATE-GAS AVAILABILITY'!R356)/('RAP TEMPLATE-GAS AVAILABILITY'!O356+'RAP TEMPLATE-GAS AVAILABILITY'!P356+'RAP TEMPLATE-GAS AVAILABILITY'!Q356+'RAP TEMPLATE-GAS AVAILABILITY'!R356)</f>
        <v>14.478144604316546</v>
      </c>
    </row>
    <row r="358" spans="1:29" ht="15.75" x14ac:dyDescent="0.25">
      <c r="A358" s="14">
        <v>51805</v>
      </c>
      <c r="B358" s="17">
        <f>CHOOSE(CONTROL!$C$42, 14.2162, 14.2162) * CHOOSE(CONTROL!$C$21, $C$9, 100%, $E$9)</f>
        <v>14.216200000000001</v>
      </c>
      <c r="C358" s="17">
        <f>CHOOSE(CONTROL!$C$42, 14.2216, 14.2216) * CHOOSE(CONTROL!$C$21, $C$9, 100%, $E$9)</f>
        <v>14.2216</v>
      </c>
      <c r="D358" s="17">
        <f>CHOOSE(CONTROL!$C$42, 14.4761, 14.4761) * CHOOSE(CONTROL!$C$21, $C$9, 100%, $E$9)</f>
        <v>14.476100000000001</v>
      </c>
      <c r="E358" s="17">
        <f>CHOOSE(CONTROL!$C$42, 14.505, 14.505) * CHOOSE(CONTROL!$C$21, $C$9, 100%, $E$9)</f>
        <v>14.505000000000001</v>
      </c>
      <c r="F358" s="17">
        <f>CHOOSE(CONTROL!$C$42, 14.2244, 14.2244)*CHOOSE(CONTROL!$C$21, $C$9, 100%, $E$9)</f>
        <v>14.224399999999999</v>
      </c>
      <c r="G358" s="17">
        <f>CHOOSE(CONTROL!$C$42, 14.2408, 14.2408)*CHOOSE(CONTROL!$C$21, $C$9, 100%, $E$9)</f>
        <v>14.2408</v>
      </c>
      <c r="H358" s="17">
        <f>CHOOSE(CONTROL!$C$42, 14.4951, 14.4951) * CHOOSE(CONTROL!$C$21, $C$9, 100%, $E$9)</f>
        <v>14.495100000000001</v>
      </c>
      <c r="I358" s="17">
        <f>CHOOSE(CONTROL!$C$42, 14.2823, 14.2823)* CHOOSE(CONTROL!$C$21, $C$9, 100%, $E$9)</f>
        <v>14.282299999999999</v>
      </c>
      <c r="J358" s="17">
        <f>CHOOSE(CONTROL!$C$42, 14.217, 14.217)* CHOOSE(CONTROL!$C$21, $C$9, 100%, $E$9)</f>
        <v>14.217000000000001</v>
      </c>
      <c r="K358" s="53">
        <f>CHOOSE(CONTROL!$C$42, 14.2763, 14.2763) * CHOOSE(CONTROL!$C$21, $C$9, 100%, $E$9)</f>
        <v>14.276300000000001</v>
      </c>
      <c r="L358" s="17">
        <f>CHOOSE(CONTROL!$C$42, 15.0821, 15.0821) * CHOOSE(CONTROL!$C$21, $C$9, 100%, $E$9)</f>
        <v>15.082100000000001</v>
      </c>
      <c r="M358" s="17">
        <f>CHOOSE(CONTROL!$C$42, 14.0962, 14.0962) * CHOOSE(CONTROL!$C$21, $C$9, 100%, $E$9)</f>
        <v>14.0962</v>
      </c>
      <c r="N358" s="17">
        <f>CHOOSE(CONTROL!$C$42, 14.1124, 14.1124) * CHOOSE(CONTROL!$C$21, $C$9, 100%, $E$9)</f>
        <v>14.112399999999999</v>
      </c>
      <c r="O358" s="17">
        <f>CHOOSE(CONTROL!$C$42, 14.3717, 14.3717) * CHOOSE(CONTROL!$C$21, $C$9, 100%, $E$9)</f>
        <v>14.371700000000001</v>
      </c>
      <c r="P358" s="17">
        <f>CHOOSE(CONTROL!$C$42, 14.1605, 14.1605) * CHOOSE(CONTROL!$C$21, $C$9, 100%, $E$9)</f>
        <v>14.160500000000001</v>
      </c>
      <c r="Q358" s="17">
        <f>CHOOSE(CONTROL!$C$42, 14.9664, 14.9664) * CHOOSE(CONTROL!$C$21, $C$9, 100%, $E$9)</f>
        <v>14.9664</v>
      </c>
      <c r="R358" s="17">
        <f>CHOOSE(CONTROL!$C$42, 15.5908, 15.5908) * CHOOSE(CONTROL!$C$21, $C$9, 100%, $E$9)</f>
        <v>15.5908</v>
      </c>
      <c r="S358" s="17">
        <f>CHOOSE(CONTROL!$C$42, 13.7756, 13.7756) * CHOOSE(CONTROL!$C$21, $C$9, 100%, $E$9)</f>
        <v>13.775600000000001</v>
      </c>
      <c r="T358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358" s="57">
        <f>(1000*CHOOSE(CONTROL!$C$42, 695, 695)*CHOOSE(CONTROL!$C$42, 0.5599, 0.5599)*CHOOSE(CONTROL!$C$42, 31, 31))/1000000</f>
        <v>12.063045499999998</v>
      </c>
      <c r="V358" s="57">
        <f>(1000*CHOOSE(CONTROL!$C$42, 500, 500)*CHOOSE(CONTROL!$C$42, 0.275, 0.275)*CHOOSE(CONTROL!$C$42, 31, 31))/1000000</f>
        <v>4.2625000000000002</v>
      </c>
      <c r="W358" s="57">
        <f>(1000*CHOOSE(CONTROL!$C$42, 0.0916, 0.0916)*CHOOSE(CONTROL!$C$42, 121.5, 121.5)*CHOOSE(CONTROL!$C$42, 31, 31))/1000000</f>
        <v>0.34501139999999997</v>
      </c>
      <c r="X358" s="57">
        <f>(31*0.1790888*145000/1000000)+(31*0.2374*100000/1000000)</f>
        <v>1.5409441560000001</v>
      </c>
      <c r="Y358" s="57"/>
      <c r="Z358" s="17"/>
      <c r="AA358" s="56"/>
      <c r="AB358" s="49">
        <f>(B358*131.881+C358*277.167+D358*79.08+E358*225.872+F358*40+G358*85+H358*0+I358*100+J358*300)/(131.881+277.167+79.08+225.872+0+40+85+100+300)</f>
        <v>14.294126091525426</v>
      </c>
      <c r="AC358" s="46">
        <f>(M358*'RAP TEMPLATE-GAS AVAILABILITY'!O357+N358*'RAP TEMPLATE-GAS AVAILABILITY'!P357+O358*'RAP TEMPLATE-GAS AVAILABILITY'!Q357+P358*'RAP TEMPLATE-GAS AVAILABILITY'!R357)/('RAP TEMPLATE-GAS AVAILABILITY'!O357+'RAP TEMPLATE-GAS AVAILABILITY'!P357+'RAP TEMPLATE-GAS AVAILABILITY'!Q357+'RAP TEMPLATE-GAS AVAILABILITY'!R357)</f>
        <v>14.18647985611511</v>
      </c>
    </row>
    <row r="359" spans="1:29" ht="15.75" x14ac:dyDescent="0.25">
      <c r="A359" s="14">
        <v>51835</v>
      </c>
      <c r="B359" s="17">
        <f>CHOOSE(CONTROL!$C$42, 14.5901, 14.5901) * CHOOSE(CONTROL!$C$21, $C$9, 100%, $E$9)</f>
        <v>14.5901</v>
      </c>
      <c r="C359" s="17">
        <f>CHOOSE(CONTROL!$C$42, 14.5952, 14.5952) * CHOOSE(CONTROL!$C$21, $C$9, 100%, $E$9)</f>
        <v>14.5952</v>
      </c>
      <c r="D359" s="17">
        <f>CHOOSE(CONTROL!$C$42, 14.7178, 14.7178) * CHOOSE(CONTROL!$C$21, $C$9, 100%, $E$9)</f>
        <v>14.7178</v>
      </c>
      <c r="E359" s="17">
        <f>CHOOSE(CONTROL!$C$42, 14.7515, 14.7515) * CHOOSE(CONTROL!$C$21, $C$9, 100%, $E$9)</f>
        <v>14.7515</v>
      </c>
      <c r="F359" s="17">
        <f>CHOOSE(CONTROL!$C$42, 14.6051, 14.6051)*CHOOSE(CONTROL!$C$21, $C$9, 100%, $E$9)</f>
        <v>14.6051</v>
      </c>
      <c r="G359" s="17">
        <f>CHOOSE(CONTROL!$C$42, 14.6217, 14.6217)*CHOOSE(CONTROL!$C$21, $C$9, 100%, $E$9)</f>
        <v>14.621700000000001</v>
      </c>
      <c r="H359" s="17">
        <f>CHOOSE(CONTROL!$C$42, 14.7404, 14.7404) * CHOOSE(CONTROL!$C$21, $C$9, 100%, $E$9)</f>
        <v>14.740399999999999</v>
      </c>
      <c r="I359" s="17">
        <f>CHOOSE(CONTROL!$C$42, 14.6603, 14.6603)* CHOOSE(CONTROL!$C$21, $C$9, 100%, $E$9)</f>
        <v>14.660299999999999</v>
      </c>
      <c r="J359" s="17">
        <f>CHOOSE(CONTROL!$C$42, 14.5977, 14.5977)* CHOOSE(CONTROL!$C$21, $C$9, 100%, $E$9)</f>
        <v>14.5977</v>
      </c>
      <c r="K359" s="53">
        <f>CHOOSE(CONTROL!$C$42, 14.6543, 14.6543) * CHOOSE(CONTROL!$C$21, $C$9, 100%, $E$9)</f>
        <v>14.654299999999999</v>
      </c>
      <c r="L359" s="17">
        <f>CHOOSE(CONTROL!$C$42, 15.3274, 15.3274) * CHOOSE(CONTROL!$C$21, $C$9, 100%, $E$9)</f>
        <v>15.327400000000001</v>
      </c>
      <c r="M359" s="17">
        <f>CHOOSE(CONTROL!$C$42, 14.4734, 14.4734) * CHOOSE(CONTROL!$C$21, $C$9, 100%, $E$9)</f>
        <v>14.4734</v>
      </c>
      <c r="N359" s="17">
        <f>CHOOSE(CONTROL!$C$42, 14.4899, 14.4899) * CHOOSE(CONTROL!$C$21, $C$9, 100%, $E$9)</f>
        <v>14.4899</v>
      </c>
      <c r="O359" s="17">
        <f>CHOOSE(CONTROL!$C$42, 14.6148, 14.6148) * CHOOSE(CONTROL!$C$21, $C$9, 100%, $E$9)</f>
        <v>14.614800000000001</v>
      </c>
      <c r="P359" s="17">
        <f>CHOOSE(CONTROL!$C$42, 14.5351, 14.5351) * CHOOSE(CONTROL!$C$21, $C$9, 100%, $E$9)</f>
        <v>14.5351</v>
      </c>
      <c r="Q359" s="17">
        <f>CHOOSE(CONTROL!$C$42, 15.2095, 15.2095) * CHOOSE(CONTROL!$C$21, $C$9, 100%, $E$9)</f>
        <v>15.2095</v>
      </c>
      <c r="R359" s="17">
        <f>CHOOSE(CONTROL!$C$42, 15.8346, 15.8346) * CHOOSE(CONTROL!$C$21, $C$9, 100%, $E$9)</f>
        <v>15.8346</v>
      </c>
      <c r="S359" s="17">
        <f>CHOOSE(CONTROL!$C$42, 14.1385, 14.1385) * CHOOSE(CONTROL!$C$21, $C$9, 100%, $E$9)</f>
        <v>14.138500000000001</v>
      </c>
      <c r="T359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359" s="57">
        <f>(1000*CHOOSE(CONTROL!$C$42, 695, 695)*CHOOSE(CONTROL!$C$42, 0.5599, 0.5599)*CHOOSE(CONTROL!$C$42, 30, 30))/1000000</f>
        <v>11.673914999999997</v>
      </c>
      <c r="V359" s="57">
        <f>(1000*CHOOSE(CONTROL!$C$42, 500, 500)*CHOOSE(CONTROL!$C$42, 0.275, 0.275)*CHOOSE(CONTROL!$C$42, 30, 30))/1000000</f>
        <v>4.125</v>
      </c>
      <c r="W359" s="57">
        <f>(1000*CHOOSE(CONTROL!$C$42, 0.0916, 0.0916)*CHOOSE(CONTROL!$C$42, 121.5, 121.5)*CHOOSE(CONTROL!$C$42, 30, 30))/1000000</f>
        <v>0.33388200000000001</v>
      </c>
      <c r="X359" s="57">
        <f>(30*0.2374*100000/1000000)</f>
        <v>0.71220000000000006</v>
      </c>
      <c r="Y359" s="57"/>
      <c r="Z359" s="17"/>
      <c r="AA359" s="56"/>
      <c r="AB359" s="49">
        <f>(B359*122.58+C359*297.941+D359*89.177+E359*140.302+F359*40+G359*60+H359*0+I359*100+J359*300)/(122.58+297.941+89.177+140.302+0+40+60+100+300)</f>
        <v>14.631272299826087</v>
      </c>
      <c r="AC359" s="46">
        <f>(M359*'RAP TEMPLATE-GAS AVAILABILITY'!O358+N359*'RAP TEMPLATE-GAS AVAILABILITY'!P358+O359*'RAP TEMPLATE-GAS AVAILABILITY'!Q358+P359*'RAP TEMPLATE-GAS AVAILABILITY'!R358)/('RAP TEMPLATE-GAS AVAILABILITY'!O358+'RAP TEMPLATE-GAS AVAILABILITY'!P358+'RAP TEMPLATE-GAS AVAILABILITY'!Q358+'RAP TEMPLATE-GAS AVAILABILITY'!R358)</f>
        <v>14.547315107913668</v>
      </c>
    </row>
    <row r="360" spans="1:29" ht="15.75" x14ac:dyDescent="0.25">
      <c r="A360" s="14">
        <v>51866</v>
      </c>
      <c r="B360" s="17">
        <f>CHOOSE(CONTROL!$C$42, 15.5841, 15.5841) * CHOOSE(CONTROL!$C$21, $C$9, 100%, $E$9)</f>
        <v>15.584099999999999</v>
      </c>
      <c r="C360" s="17">
        <f>CHOOSE(CONTROL!$C$42, 15.5892, 15.5892) * CHOOSE(CONTROL!$C$21, $C$9, 100%, $E$9)</f>
        <v>15.5892</v>
      </c>
      <c r="D360" s="17">
        <f>CHOOSE(CONTROL!$C$42, 15.7118, 15.7118) * CHOOSE(CONTROL!$C$21, $C$9, 100%, $E$9)</f>
        <v>15.7118</v>
      </c>
      <c r="E360" s="17">
        <f>CHOOSE(CONTROL!$C$42, 15.7455, 15.7455) * CHOOSE(CONTROL!$C$21, $C$9, 100%, $E$9)</f>
        <v>15.7455</v>
      </c>
      <c r="F360" s="17">
        <f>CHOOSE(CONTROL!$C$42, 15.6015, 15.6015)*CHOOSE(CONTROL!$C$21, $C$9, 100%, $E$9)</f>
        <v>15.6015</v>
      </c>
      <c r="G360" s="17">
        <f>CHOOSE(CONTROL!$C$42, 15.6188, 15.6188)*CHOOSE(CONTROL!$C$21, $C$9, 100%, $E$9)</f>
        <v>15.6188</v>
      </c>
      <c r="H360" s="17">
        <f>CHOOSE(CONTROL!$C$42, 15.7344, 15.7344) * CHOOSE(CONTROL!$C$21, $C$9, 100%, $E$9)</f>
        <v>15.734400000000001</v>
      </c>
      <c r="I360" s="17">
        <f>CHOOSE(CONTROL!$C$42, 15.6574, 15.6574)* CHOOSE(CONTROL!$C$21, $C$9, 100%, $E$9)</f>
        <v>15.657400000000001</v>
      </c>
      <c r="J360" s="17">
        <f>CHOOSE(CONTROL!$C$42, 15.5941, 15.5941)* CHOOSE(CONTROL!$C$21, $C$9, 100%, $E$9)</f>
        <v>15.594099999999999</v>
      </c>
      <c r="K360" s="53">
        <f>CHOOSE(CONTROL!$C$42, 15.6514, 15.6514) * CHOOSE(CONTROL!$C$21, $C$9, 100%, $E$9)</f>
        <v>15.651400000000001</v>
      </c>
      <c r="L360" s="17">
        <f>CHOOSE(CONTROL!$C$42, 16.3214, 16.3214) * CHOOSE(CONTROL!$C$21, $C$9, 100%, $E$9)</f>
        <v>16.321400000000001</v>
      </c>
      <c r="M360" s="17">
        <f>CHOOSE(CONTROL!$C$42, 15.4609, 15.4609) * CHOOSE(CONTROL!$C$21, $C$9, 100%, $E$9)</f>
        <v>15.460900000000001</v>
      </c>
      <c r="N360" s="17">
        <f>CHOOSE(CONTROL!$C$42, 15.478, 15.478) * CHOOSE(CONTROL!$C$21, $C$9, 100%, $E$9)</f>
        <v>15.478</v>
      </c>
      <c r="O360" s="17">
        <f>CHOOSE(CONTROL!$C$42, 15.5999, 15.5999) * CHOOSE(CONTROL!$C$21, $C$9, 100%, $E$9)</f>
        <v>15.5999</v>
      </c>
      <c r="P360" s="17">
        <f>CHOOSE(CONTROL!$C$42, 15.5232, 15.5232) * CHOOSE(CONTROL!$C$21, $C$9, 100%, $E$9)</f>
        <v>15.523199999999999</v>
      </c>
      <c r="Q360" s="17">
        <f>CHOOSE(CONTROL!$C$42, 16.1946, 16.1946) * CHOOSE(CONTROL!$C$21, $C$9, 100%, $E$9)</f>
        <v>16.194600000000001</v>
      </c>
      <c r="R360" s="17">
        <f>CHOOSE(CONTROL!$C$42, 16.8221, 16.8221) * CHOOSE(CONTROL!$C$21, $C$9, 100%, $E$9)</f>
        <v>16.822099999999999</v>
      </c>
      <c r="S360" s="17">
        <f>CHOOSE(CONTROL!$C$42, 15.1024, 15.1024) * CHOOSE(CONTROL!$C$21, $C$9, 100%, $E$9)</f>
        <v>15.102399999999999</v>
      </c>
      <c r="T360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360" s="57">
        <f>(1000*CHOOSE(CONTROL!$C$42, 695, 695)*CHOOSE(CONTROL!$C$42, 0.5599, 0.5599)*CHOOSE(CONTROL!$C$42, 31, 31))/1000000</f>
        <v>12.063045499999998</v>
      </c>
      <c r="V360" s="57">
        <f>(1000*CHOOSE(CONTROL!$C$42, 500, 500)*CHOOSE(CONTROL!$C$42, 0.275, 0.275)*CHOOSE(CONTROL!$C$42, 31, 31))/1000000</f>
        <v>4.2625000000000002</v>
      </c>
      <c r="W360" s="57">
        <f>(1000*CHOOSE(CONTROL!$C$42, 0.0916, 0.0916)*CHOOSE(CONTROL!$C$42, 121.5, 121.5)*CHOOSE(CONTROL!$C$42, 31, 31))/1000000</f>
        <v>0.34501139999999997</v>
      </c>
      <c r="X360" s="57">
        <f>(31*0.2374*100000/1000000)</f>
        <v>0.73594000000000004</v>
      </c>
      <c r="Y360" s="57"/>
      <c r="Z360" s="17"/>
      <c r="AA360" s="56"/>
      <c r="AB360" s="49">
        <f>(B360*122.58+C360*297.941+D360*89.177+E360*140.302+F360*40+G360*60+H360*0+I360*100+J360*300)/(122.58+297.941+89.177+140.302+0+40+60+100+300)</f>
        <v>15.626413169391302</v>
      </c>
      <c r="AC360" s="46">
        <f>(M360*'RAP TEMPLATE-GAS AVAILABILITY'!O359+N360*'RAP TEMPLATE-GAS AVAILABILITY'!P359+O360*'RAP TEMPLATE-GAS AVAILABILITY'!Q359+P360*'RAP TEMPLATE-GAS AVAILABILITY'!R359)/('RAP TEMPLATE-GAS AVAILABILITY'!O359+'RAP TEMPLATE-GAS AVAILABILITY'!P359+'RAP TEMPLATE-GAS AVAILABILITY'!Q359+'RAP TEMPLATE-GAS AVAILABILITY'!R359)</f>
        <v>15.533848201438849</v>
      </c>
    </row>
    <row r="361" spans="1:29" ht="15.75" x14ac:dyDescent="0.25">
      <c r="A361" s="14">
        <v>51897</v>
      </c>
      <c r="B361" s="17">
        <f>CHOOSE(CONTROL!$C$42, 16.8752, 16.8752) * CHOOSE(CONTROL!$C$21, $C$9, 100%, $E$9)</f>
        <v>16.8752</v>
      </c>
      <c r="C361" s="17">
        <f>CHOOSE(CONTROL!$C$42, 16.8802, 16.8802) * CHOOSE(CONTROL!$C$21, $C$9, 100%, $E$9)</f>
        <v>16.880199999999999</v>
      </c>
      <c r="D361" s="17">
        <f>CHOOSE(CONTROL!$C$42, 16.9977, 16.9977) * CHOOSE(CONTROL!$C$21, $C$9, 100%, $E$9)</f>
        <v>16.997699999999998</v>
      </c>
      <c r="E361" s="17">
        <f>CHOOSE(CONTROL!$C$42, 17.0314, 17.0314) * CHOOSE(CONTROL!$C$21, $C$9, 100%, $E$9)</f>
        <v>17.031400000000001</v>
      </c>
      <c r="F361" s="17">
        <f>CHOOSE(CONTROL!$C$42, 16.8888, 16.8888)*CHOOSE(CONTROL!$C$21, $C$9, 100%, $E$9)</f>
        <v>16.8888</v>
      </c>
      <c r="G361" s="17">
        <f>CHOOSE(CONTROL!$C$42, 16.9051, 16.9051)*CHOOSE(CONTROL!$C$21, $C$9, 100%, $E$9)</f>
        <v>16.905100000000001</v>
      </c>
      <c r="H361" s="17">
        <f>CHOOSE(CONTROL!$C$42, 17.0203, 17.0203) * CHOOSE(CONTROL!$C$21, $C$9, 100%, $E$9)</f>
        <v>17.020299999999999</v>
      </c>
      <c r="I361" s="17">
        <f>CHOOSE(CONTROL!$C$42, 16.9509, 16.9509)* CHOOSE(CONTROL!$C$21, $C$9, 100%, $E$9)</f>
        <v>16.950900000000001</v>
      </c>
      <c r="J361" s="17">
        <f>CHOOSE(CONTROL!$C$42, 16.8814, 16.8814)* CHOOSE(CONTROL!$C$21, $C$9, 100%, $E$9)</f>
        <v>16.881399999999999</v>
      </c>
      <c r="K361" s="53">
        <f>CHOOSE(CONTROL!$C$42, 16.9449, 16.9449) * CHOOSE(CONTROL!$C$21, $C$9, 100%, $E$9)</f>
        <v>16.944900000000001</v>
      </c>
      <c r="L361" s="17">
        <f>CHOOSE(CONTROL!$C$42, 17.6073, 17.6073) * CHOOSE(CONTROL!$C$21, $C$9, 100%, $E$9)</f>
        <v>17.607299999999999</v>
      </c>
      <c r="M361" s="17">
        <f>CHOOSE(CONTROL!$C$42, 16.7366, 16.7366) * CHOOSE(CONTROL!$C$21, $C$9, 100%, $E$9)</f>
        <v>16.736599999999999</v>
      </c>
      <c r="N361" s="17">
        <f>CHOOSE(CONTROL!$C$42, 16.7527, 16.7527) * CHOOSE(CONTROL!$C$21, $C$9, 100%, $E$9)</f>
        <v>16.752700000000001</v>
      </c>
      <c r="O361" s="17">
        <f>CHOOSE(CONTROL!$C$42, 16.8743, 16.8743) * CHOOSE(CONTROL!$C$21, $C$9, 100%, $E$9)</f>
        <v>16.874300000000002</v>
      </c>
      <c r="P361" s="17">
        <f>CHOOSE(CONTROL!$C$42, 16.8051, 16.8051) * CHOOSE(CONTROL!$C$21, $C$9, 100%, $E$9)</f>
        <v>16.805099999999999</v>
      </c>
      <c r="Q361" s="17">
        <f>CHOOSE(CONTROL!$C$42, 17.469, 17.469) * CHOOSE(CONTROL!$C$21, $C$9, 100%, $E$9)</f>
        <v>17.469000000000001</v>
      </c>
      <c r="R361" s="17">
        <f>CHOOSE(CONTROL!$C$42, 18.0996, 18.0996) * CHOOSE(CONTROL!$C$21, $C$9, 100%, $E$9)</f>
        <v>18.099599999999999</v>
      </c>
      <c r="S361" s="17">
        <f>CHOOSE(CONTROL!$C$42, 16.3543, 16.3543) * CHOOSE(CONTROL!$C$21, $C$9, 100%, $E$9)</f>
        <v>16.354299999999999</v>
      </c>
      <c r="T361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361" s="57">
        <f>(1000*CHOOSE(CONTROL!$C$42, 695, 695)*CHOOSE(CONTROL!$C$42, 0.5599, 0.5599)*CHOOSE(CONTROL!$C$42, 31, 31))/1000000</f>
        <v>12.063045499999998</v>
      </c>
      <c r="V361" s="57">
        <f>(1000*CHOOSE(CONTROL!$C$42, 500, 500)*CHOOSE(CONTROL!$C$42, 0.275, 0.275)*CHOOSE(CONTROL!$C$42, 31, 31))/1000000</f>
        <v>4.2625000000000002</v>
      </c>
      <c r="W361" s="57">
        <f>(1000*CHOOSE(CONTROL!$C$42, 0.0916, 0.0916)*CHOOSE(CONTROL!$C$42, 121.5, 121.5)*CHOOSE(CONTROL!$C$42, 31, 31))/1000000</f>
        <v>0.34501139999999997</v>
      </c>
      <c r="X361" s="57">
        <f>(31*0.2374*100000/1000000)</f>
        <v>0.73594000000000004</v>
      </c>
      <c r="Y361" s="57"/>
      <c r="Z361" s="17"/>
      <c r="AA361" s="56"/>
      <c r="AB361" s="49">
        <f>(B361*122.58+C361*297.941+D361*89.177+E361*140.302+F361*40+G361*60+H361*0+I361*100+J361*300)/(122.58+297.941+89.177+140.302+0+40+60+100+300)</f>
        <v>16.915284399913045</v>
      </c>
      <c r="AC361" s="46">
        <f>(M361*'RAP TEMPLATE-GAS AVAILABILITY'!O360+N361*'RAP TEMPLATE-GAS AVAILABILITY'!P360+O361*'RAP TEMPLATE-GAS AVAILABILITY'!Q360+P361*'RAP TEMPLATE-GAS AVAILABILITY'!R360)/('RAP TEMPLATE-GAS AVAILABILITY'!O360+'RAP TEMPLATE-GAS AVAILABILITY'!P360+'RAP TEMPLATE-GAS AVAILABILITY'!Q360+'RAP TEMPLATE-GAS AVAILABILITY'!R360)</f>
        <v>16.809793525179856</v>
      </c>
    </row>
    <row r="362" spans="1:29" ht="15.75" x14ac:dyDescent="0.25">
      <c r="A362" s="14">
        <v>51925</v>
      </c>
      <c r="B362" s="17">
        <f>CHOOSE(CONTROL!$C$42, 17.1754, 17.1754) * CHOOSE(CONTROL!$C$21, $C$9, 100%, $E$9)</f>
        <v>17.1754</v>
      </c>
      <c r="C362" s="17">
        <f>CHOOSE(CONTROL!$C$42, 17.1804, 17.1804) * CHOOSE(CONTROL!$C$21, $C$9, 100%, $E$9)</f>
        <v>17.180399999999999</v>
      </c>
      <c r="D362" s="17">
        <f>CHOOSE(CONTROL!$C$42, 17.2979, 17.2979) * CHOOSE(CONTROL!$C$21, $C$9, 100%, $E$9)</f>
        <v>17.297899999999998</v>
      </c>
      <c r="E362" s="17">
        <f>CHOOSE(CONTROL!$C$42, 17.3317, 17.3317) * CHOOSE(CONTROL!$C$21, $C$9, 100%, $E$9)</f>
        <v>17.331700000000001</v>
      </c>
      <c r="F362" s="17">
        <f>CHOOSE(CONTROL!$C$42, 17.189, 17.189)*CHOOSE(CONTROL!$C$21, $C$9, 100%, $E$9)</f>
        <v>17.189</v>
      </c>
      <c r="G362" s="17">
        <f>CHOOSE(CONTROL!$C$42, 17.2053, 17.2053)*CHOOSE(CONTROL!$C$21, $C$9, 100%, $E$9)</f>
        <v>17.205300000000001</v>
      </c>
      <c r="H362" s="17">
        <f>CHOOSE(CONTROL!$C$42, 17.3205, 17.3205) * CHOOSE(CONTROL!$C$21, $C$9, 100%, $E$9)</f>
        <v>17.320499999999999</v>
      </c>
      <c r="I362" s="17">
        <f>CHOOSE(CONTROL!$C$42, 17.2521, 17.2521)* CHOOSE(CONTROL!$C$21, $C$9, 100%, $E$9)</f>
        <v>17.252099999999999</v>
      </c>
      <c r="J362" s="17">
        <f>CHOOSE(CONTROL!$C$42, 17.1816, 17.1816)* CHOOSE(CONTROL!$C$21, $C$9, 100%, $E$9)</f>
        <v>17.1816</v>
      </c>
      <c r="K362" s="53">
        <f>CHOOSE(CONTROL!$C$42, 17.246, 17.246) * CHOOSE(CONTROL!$C$21, $C$9, 100%, $E$9)</f>
        <v>17.245999999999999</v>
      </c>
      <c r="L362" s="17">
        <f>CHOOSE(CONTROL!$C$42, 17.9075, 17.9075) * CHOOSE(CONTROL!$C$21, $C$9, 100%, $E$9)</f>
        <v>17.907499999999999</v>
      </c>
      <c r="M362" s="17">
        <f>CHOOSE(CONTROL!$C$42, 17.0341, 17.0341) * CHOOSE(CONTROL!$C$21, $C$9, 100%, $E$9)</f>
        <v>17.034099999999999</v>
      </c>
      <c r="N362" s="17">
        <f>CHOOSE(CONTROL!$C$42, 17.0502, 17.0502) * CHOOSE(CONTROL!$C$21, $C$9, 100%, $E$9)</f>
        <v>17.0502</v>
      </c>
      <c r="O362" s="17">
        <f>CHOOSE(CONTROL!$C$42, 17.1718, 17.1718) * CHOOSE(CONTROL!$C$21, $C$9, 100%, $E$9)</f>
        <v>17.171800000000001</v>
      </c>
      <c r="P362" s="17">
        <f>CHOOSE(CONTROL!$C$42, 17.1035, 17.1035) * CHOOSE(CONTROL!$C$21, $C$9, 100%, $E$9)</f>
        <v>17.1035</v>
      </c>
      <c r="Q362" s="17">
        <f>CHOOSE(CONTROL!$C$42, 17.7665, 17.7665) * CHOOSE(CONTROL!$C$21, $C$9, 100%, $E$9)</f>
        <v>17.766500000000001</v>
      </c>
      <c r="R362" s="17">
        <f>CHOOSE(CONTROL!$C$42, 18.3979, 18.3979) * CHOOSE(CONTROL!$C$21, $C$9, 100%, $E$9)</f>
        <v>18.3979</v>
      </c>
      <c r="S362" s="17">
        <f>CHOOSE(CONTROL!$C$42, 16.6454, 16.6454) * CHOOSE(CONTROL!$C$21, $C$9, 100%, $E$9)</f>
        <v>16.645399999999999</v>
      </c>
      <c r="T362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362" s="57">
        <f>(1000*CHOOSE(CONTROL!$C$42, 695, 695)*CHOOSE(CONTROL!$C$42, 0.5599, 0.5599)*CHOOSE(CONTROL!$C$42, 28, 28))/1000000</f>
        <v>10.895653999999999</v>
      </c>
      <c r="V362" s="57">
        <f>(1000*CHOOSE(CONTROL!$C$42, 500, 500)*CHOOSE(CONTROL!$C$42, 0.275, 0.275)*CHOOSE(CONTROL!$C$42, 28, 28))/1000000</f>
        <v>3.85</v>
      </c>
      <c r="W362" s="57">
        <f>(1000*CHOOSE(CONTROL!$C$42, 0.0916, 0.0916)*CHOOSE(CONTROL!$C$42, 121.5, 121.5)*CHOOSE(CONTROL!$C$42, 28, 28))/1000000</f>
        <v>0.31162319999999999</v>
      </c>
      <c r="X362" s="57">
        <f>(28*0.2374*100000/1000000)</f>
        <v>0.66471999999999998</v>
      </c>
      <c r="Y362" s="57"/>
      <c r="Z362" s="17"/>
      <c r="AA362" s="56"/>
      <c r="AB362" s="49">
        <f>(B362*122.58+C362*297.941+D362*89.177+E362*140.302+F362*40+G362*60+H362*0+I362*100+J362*300)/(122.58+297.941+89.177+140.302+0+40+60+100+300)</f>
        <v>17.215583556608692</v>
      </c>
      <c r="AC362" s="46">
        <f>(M362*'RAP TEMPLATE-GAS AVAILABILITY'!O361+N362*'RAP TEMPLATE-GAS AVAILABILITY'!P361+O362*'RAP TEMPLATE-GAS AVAILABILITY'!Q361+P362*'RAP TEMPLATE-GAS AVAILABILITY'!R361)/('RAP TEMPLATE-GAS AVAILABILITY'!O361+'RAP TEMPLATE-GAS AVAILABILITY'!P361+'RAP TEMPLATE-GAS AVAILABILITY'!Q361+'RAP TEMPLATE-GAS AVAILABILITY'!R361)</f>
        <v>17.107423021582736</v>
      </c>
    </row>
    <row r="363" spans="1:29" ht="15.75" x14ac:dyDescent="0.25">
      <c r="A363" s="14">
        <v>51956</v>
      </c>
      <c r="B363" s="17">
        <f>CHOOSE(CONTROL!$C$42, 16.688, 16.688) * CHOOSE(CONTROL!$C$21, $C$9, 100%, $E$9)</f>
        <v>16.687999999999999</v>
      </c>
      <c r="C363" s="17">
        <f>CHOOSE(CONTROL!$C$42, 16.6931, 16.6931) * CHOOSE(CONTROL!$C$21, $C$9, 100%, $E$9)</f>
        <v>16.693100000000001</v>
      </c>
      <c r="D363" s="17">
        <f>CHOOSE(CONTROL!$C$42, 16.8106, 16.8106) * CHOOSE(CONTROL!$C$21, $C$9, 100%, $E$9)</f>
        <v>16.810600000000001</v>
      </c>
      <c r="E363" s="17">
        <f>CHOOSE(CONTROL!$C$42, 16.8443, 16.8443) * CHOOSE(CONTROL!$C$21, $C$9, 100%, $E$9)</f>
        <v>16.8443</v>
      </c>
      <c r="F363" s="17">
        <f>CHOOSE(CONTROL!$C$42, 16.701, 16.701)*CHOOSE(CONTROL!$C$21, $C$9, 100%, $E$9)</f>
        <v>16.701000000000001</v>
      </c>
      <c r="G363" s="17">
        <f>CHOOSE(CONTROL!$C$42, 16.7172, 16.7172)*CHOOSE(CONTROL!$C$21, $C$9, 100%, $E$9)</f>
        <v>16.717199999999998</v>
      </c>
      <c r="H363" s="17">
        <f>CHOOSE(CONTROL!$C$42, 16.8332, 16.8332) * CHOOSE(CONTROL!$C$21, $C$9, 100%, $E$9)</f>
        <v>16.833200000000001</v>
      </c>
      <c r="I363" s="17">
        <f>CHOOSE(CONTROL!$C$42, 16.7632, 16.7632)* CHOOSE(CONTROL!$C$21, $C$9, 100%, $E$9)</f>
        <v>16.763200000000001</v>
      </c>
      <c r="J363" s="17">
        <f>CHOOSE(CONTROL!$C$42, 16.6936, 16.6936)* CHOOSE(CONTROL!$C$21, $C$9, 100%, $E$9)</f>
        <v>16.6936</v>
      </c>
      <c r="K363" s="53">
        <f>CHOOSE(CONTROL!$C$42, 16.7572, 16.7572) * CHOOSE(CONTROL!$C$21, $C$9, 100%, $E$9)</f>
        <v>16.757200000000001</v>
      </c>
      <c r="L363" s="17">
        <f>CHOOSE(CONTROL!$C$42, 17.4202, 17.4202) * CHOOSE(CONTROL!$C$21, $C$9, 100%, $E$9)</f>
        <v>17.420200000000001</v>
      </c>
      <c r="M363" s="17">
        <f>CHOOSE(CONTROL!$C$42, 16.5505, 16.5505) * CHOOSE(CONTROL!$C$21, $C$9, 100%, $E$9)</f>
        <v>16.5505</v>
      </c>
      <c r="N363" s="17">
        <f>CHOOSE(CONTROL!$C$42, 16.5665, 16.5665) * CHOOSE(CONTROL!$C$21, $C$9, 100%, $E$9)</f>
        <v>16.566500000000001</v>
      </c>
      <c r="O363" s="17">
        <f>CHOOSE(CONTROL!$C$42, 16.6888, 16.6888) * CHOOSE(CONTROL!$C$21, $C$9, 100%, $E$9)</f>
        <v>16.688800000000001</v>
      </c>
      <c r="P363" s="17">
        <f>CHOOSE(CONTROL!$C$42, 16.6191, 16.6191) * CHOOSE(CONTROL!$C$21, $C$9, 100%, $E$9)</f>
        <v>16.6191</v>
      </c>
      <c r="Q363" s="17">
        <f>CHOOSE(CONTROL!$C$42, 17.2835, 17.2835) * CHOOSE(CONTROL!$C$21, $C$9, 100%, $E$9)</f>
        <v>17.2835</v>
      </c>
      <c r="R363" s="17">
        <f>CHOOSE(CONTROL!$C$42, 17.9137, 17.9137) * CHOOSE(CONTROL!$C$21, $C$9, 100%, $E$9)</f>
        <v>17.913699999999999</v>
      </c>
      <c r="S363" s="17">
        <f>CHOOSE(CONTROL!$C$42, 16.1729, 16.1729) * CHOOSE(CONTROL!$C$21, $C$9, 100%, $E$9)</f>
        <v>16.172899999999998</v>
      </c>
      <c r="T363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363" s="57">
        <f>(1000*CHOOSE(CONTROL!$C$42, 695, 695)*CHOOSE(CONTROL!$C$42, 0.5599, 0.5599)*CHOOSE(CONTROL!$C$42, 31, 31))/1000000</f>
        <v>12.063045499999998</v>
      </c>
      <c r="V363" s="57">
        <f>(1000*CHOOSE(CONTROL!$C$42, 500, 500)*CHOOSE(CONTROL!$C$42, 0.275, 0.275)*CHOOSE(CONTROL!$C$42, 31, 31))/1000000</f>
        <v>4.2625000000000002</v>
      </c>
      <c r="W363" s="57">
        <f>(1000*CHOOSE(CONTROL!$C$42, 0.0916, 0.0916)*CHOOSE(CONTROL!$C$42, 121.5, 121.5)*CHOOSE(CONTROL!$C$42, 31, 31))/1000000</f>
        <v>0.34501139999999997</v>
      </c>
      <c r="X363" s="57">
        <f>(31*0.2374*100000/1000000)</f>
        <v>0.73594000000000004</v>
      </c>
      <c r="Y363" s="57"/>
      <c r="Z363" s="17"/>
      <c r="AA363" s="56"/>
      <c r="AB363" s="49">
        <f>(B363*122.58+C363*297.941+D363*89.177+E363*140.302+F363*40+G363*60+H363*0+I363*100+J363*300)/(122.58+297.941+89.177+140.302+0+40+60+100+300)</f>
        <v>16.727872871217386</v>
      </c>
      <c r="AC363" s="46">
        <f>(M363*'RAP TEMPLATE-GAS AVAILABILITY'!O362+N363*'RAP TEMPLATE-GAS AVAILABILITY'!P362+O363*'RAP TEMPLATE-GAS AVAILABILITY'!Q362+P363*'RAP TEMPLATE-GAS AVAILABILITY'!R362)/('RAP TEMPLATE-GAS AVAILABILITY'!O362+'RAP TEMPLATE-GAS AVAILABILITY'!P362+'RAP TEMPLATE-GAS AVAILABILITY'!Q362+'RAP TEMPLATE-GAS AVAILABILITY'!R362)</f>
        <v>16.623974100719426</v>
      </c>
    </row>
    <row r="364" spans="1:29" ht="15.75" x14ac:dyDescent="0.25">
      <c r="A364" s="14">
        <v>51986</v>
      </c>
      <c r="B364" s="17">
        <f>CHOOSE(CONTROL!$C$42, 16.6391, 16.6391) * CHOOSE(CONTROL!$C$21, $C$9, 100%, $E$9)</f>
        <v>16.639099999999999</v>
      </c>
      <c r="C364" s="17">
        <f>CHOOSE(CONTROL!$C$42, 16.6436, 16.6436) * CHOOSE(CONTROL!$C$21, $C$9, 100%, $E$9)</f>
        <v>16.643599999999999</v>
      </c>
      <c r="D364" s="17">
        <f>CHOOSE(CONTROL!$C$42, 16.8963, 16.8963) * CHOOSE(CONTROL!$C$21, $C$9, 100%, $E$9)</f>
        <v>16.8963</v>
      </c>
      <c r="E364" s="17">
        <f>CHOOSE(CONTROL!$C$42, 16.9281, 16.9281) * CHOOSE(CONTROL!$C$21, $C$9, 100%, $E$9)</f>
        <v>16.928100000000001</v>
      </c>
      <c r="F364" s="17">
        <f>CHOOSE(CONTROL!$C$42, 16.6451, 16.6451)*CHOOSE(CONTROL!$C$21, $C$9, 100%, $E$9)</f>
        <v>16.645099999999999</v>
      </c>
      <c r="G364" s="17">
        <f>CHOOSE(CONTROL!$C$42, 16.6609, 16.6609)*CHOOSE(CONTROL!$C$21, $C$9, 100%, $E$9)</f>
        <v>16.660900000000002</v>
      </c>
      <c r="H364" s="17">
        <f>CHOOSE(CONTROL!$C$42, 16.9176, 16.9176) * CHOOSE(CONTROL!$C$21, $C$9, 100%, $E$9)</f>
        <v>16.9176</v>
      </c>
      <c r="I364" s="17">
        <f>CHOOSE(CONTROL!$C$42, 16.7123, 16.7123)* CHOOSE(CONTROL!$C$21, $C$9, 100%, $E$9)</f>
        <v>16.712299999999999</v>
      </c>
      <c r="J364" s="17">
        <f>CHOOSE(CONTROL!$C$42, 16.6377, 16.6377)* CHOOSE(CONTROL!$C$21, $C$9, 100%, $E$9)</f>
        <v>16.637699999999999</v>
      </c>
      <c r="K364" s="53">
        <f>CHOOSE(CONTROL!$C$42, 16.7063, 16.7063) * CHOOSE(CONTROL!$C$21, $C$9, 100%, $E$9)</f>
        <v>16.706299999999999</v>
      </c>
      <c r="L364" s="17">
        <f>CHOOSE(CONTROL!$C$42, 17.5046, 17.5046) * CHOOSE(CONTROL!$C$21, $C$9, 100%, $E$9)</f>
        <v>17.5046</v>
      </c>
      <c r="M364" s="17">
        <f>CHOOSE(CONTROL!$C$42, 16.495, 16.495) * CHOOSE(CONTROL!$C$21, $C$9, 100%, $E$9)</f>
        <v>16.495000000000001</v>
      </c>
      <c r="N364" s="17">
        <f>CHOOSE(CONTROL!$C$42, 16.5107, 16.5107) * CHOOSE(CONTROL!$C$21, $C$9, 100%, $E$9)</f>
        <v>16.5107</v>
      </c>
      <c r="O364" s="17">
        <f>CHOOSE(CONTROL!$C$42, 16.7724, 16.7724) * CHOOSE(CONTROL!$C$21, $C$9, 100%, $E$9)</f>
        <v>16.772400000000001</v>
      </c>
      <c r="P364" s="17">
        <f>CHOOSE(CONTROL!$C$42, 16.5686, 16.5686) * CHOOSE(CONTROL!$C$21, $C$9, 100%, $E$9)</f>
        <v>16.5686</v>
      </c>
      <c r="Q364" s="17">
        <f>CHOOSE(CONTROL!$C$42, 17.3671, 17.3671) * CHOOSE(CONTROL!$C$21, $C$9, 100%, $E$9)</f>
        <v>17.367100000000001</v>
      </c>
      <c r="R364" s="17">
        <f>CHOOSE(CONTROL!$C$42, 17.9975, 17.9975) * CHOOSE(CONTROL!$C$21, $C$9, 100%, $E$9)</f>
        <v>17.997499999999999</v>
      </c>
      <c r="S364" s="17">
        <f>CHOOSE(CONTROL!$C$42, 16.1247, 16.1247) * CHOOSE(CONTROL!$C$21, $C$9, 100%, $E$9)</f>
        <v>16.124700000000001</v>
      </c>
      <c r="T364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364" s="57">
        <f>(1000*CHOOSE(CONTROL!$C$42, 695, 695)*CHOOSE(CONTROL!$C$42, 0.5599, 0.5599)*CHOOSE(CONTROL!$C$42, 30, 30))/1000000</f>
        <v>11.673914999999997</v>
      </c>
      <c r="V364" s="57">
        <f>(1000*CHOOSE(CONTROL!$C$42, 500, 500)*CHOOSE(CONTROL!$C$42, 0.275, 0.275)*CHOOSE(CONTROL!$C$42, 30, 30))/1000000</f>
        <v>4.125</v>
      </c>
      <c r="W364" s="57">
        <f>(1000*CHOOSE(CONTROL!$C$42, 0.0916, 0.0916)*CHOOSE(CONTROL!$C$42, 121.5, 121.5)*CHOOSE(CONTROL!$C$42, 30, 30))/1000000</f>
        <v>0.33388200000000001</v>
      </c>
      <c r="X364" s="57">
        <f>(30*0.1790888*145000/1000000)+(30*0.2374*100000/1000000)</f>
        <v>1.4912362799999999</v>
      </c>
      <c r="Y364" s="57"/>
      <c r="Z364" s="17"/>
      <c r="AA364" s="56"/>
      <c r="AB364" s="49">
        <f>(B364*141.293+C364*267.993+D364*115.016+E364*189.698+F364*40+G364*85+H364*0+I364*100+J364*300)/(141.293+267.993+115.016+189.698+0+40+85+100+300)</f>
        <v>16.715454968280874</v>
      </c>
      <c r="AC364" s="46">
        <f>(M364*'RAP TEMPLATE-GAS AVAILABILITY'!O363+N364*'RAP TEMPLATE-GAS AVAILABILITY'!P363+O364*'RAP TEMPLATE-GAS AVAILABILITY'!Q363+P364*'RAP TEMPLATE-GAS AVAILABILITY'!R363)/('RAP TEMPLATE-GAS AVAILABILITY'!O363+'RAP TEMPLATE-GAS AVAILABILITY'!P363+'RAP TEMPLATE-GAS AVAILABILITY'!Q363+'RAP TEMPLATE-GAS AVAILABILITY'!R363)</f>
        <v>16.587035971223024</v>
      </c>
    </row>
    <row r="365" spans="1:29" ht="15.75" x14ac:dyDescent="0.25">
      <c r="A365" s="14">
        <v>52017</v>
      </c>
      <c r="B365" s="17">
        <f>CHOOSE(CONTROL!$C$42, 16.7872, 16.7872) * CHOOSE(CONTROL!$C$21, $C$9, 100%, $E$9)</f>
        <v>16.787199999999999</v>
      </c>
      <c r="C365" s="17">
        <f>CHOOSE(CONTROL!$C$42, 16.7952, 16.7952) * CHOOSE(CONTROL!$C$21, $C$9, 100%, $E$9)</f>
        <v>16.795200000000001</v>
      </c>
      <c r="D365" s="17">
        <f>CHOOSE(CONTROL!$C$42, 17.0448, 17.0448) * CHOOSE(CONTROL!$C$21, $C$9, 100%, $E$9)</f>
        <v>17.044799999999999</v>
      </c>
      <c r="E365" s="17">
        <f>CHOOSE(CONTROL!$C$42, 17.076, 17.076) * CHOOSE(CONTROL!$C$21, $C$9, 100%, $E$9)</f>
        <v>17.076000000000001</v>
      </c>
      <c r="F365" s="17">
        <f>CHOOSE(CONTROL!$C$42, 16.7921, 16.7921)*CHOOSE(CONTROL!$C$21, $C$9, 100%, $E$9)</f>
        <v>16.792100000000001</v>
      </c>
      <c r="G365" s="17">
        <f>CHOOSE(CONTROL!$C$42, 16.8082, 16.8082)*CHOOSE(CONTROL!$C$21, $C$9, 100%, $E$9)</f>
        <v>16.808199999999999</v>
      </c>
      <c r="H365" s="17">
        <f>CHOOSE(CONTROL!$C$42, 17.0643, 17.0643) * CHOOSE(CONTROL!$C$21, $C$9, 100%, $E$9)</f>
        <v>17.064299999999999</v>
      </c>
      <c r="I365" s="17">
        <f>CHOOSE(CONTROL!$C$42, 16.8595, 16.8595)* CHOOSE(CONTROL!$C$21, $C$9, 100%, $E$9)</f>
        <v>16.859500000000001</v>
      </c>
      <c r="J365" s="17">
        <f>CHOOSE(CONTROL!$C$42, 16.7847, 16.7847)* CHOOSE(CONTROL!$C$21, $C$9, 100%, $E$9)</f>
        <v>16.784700000000001</v>
      </c>
      <c r="K365" s="53">
        <f>CHOOSE(CONTROL!$C$42, 16.8535, 16.8535) * CHOOSE(CONTROL!$C$21, $C$9, 100%, $E$9)</f>
        <v>16.8535</v>
      </c>
      <c r="L365" s="17">
        <f>CHOOSE(CONTROL!$C$42, 17.6513, 17.6513) * CHOOSE(CONTROL!$C$21, $C$9, 100%, $E$9)</f>
        <v>17.651299999999999</v>
      </c>
      <c r="M365" s="17">
        <f>CHOOSE(CONTROL!$C$42, 16.6407, 16.6407) * CHOOSE(CONTROL!$C$21, $C$9, 100%, $E$9)</f>
        <v>16.640699999999999</v>
      </c>
      <c r="N365" s="17">
        <f>CHOOSE(CONTROL!$C$42, 16.6567, 16.6567) * CHOOSE(CONTROL!$C$21, $C$9, 100%, $E$9)</f>
        <v>16.656700000000001</v>
      </c>
      <c r="O365" s="17">
        <f>CHOOSE(CONTROL!$C$42, 16.9179, 16.9179) * CHOOSE(CONTROL!$C$21, $C$9, 100%, $E$9)</f>
        <v>16.917899999999999</v>
      </c>
      <c r="P365" s="17">
        <f>CHOOSE(CONTROL!$C$42, 16.7145, 16.7145) * CHOOSE(CONTROL!$C$21, $C$9, 100%, $E$9)</f>
        <v>16.714500000000001</v>
      </c>
      <c r="Q365" s="17">
        <f>CHOOSE(CONTROL!$C$42, 17.5126, 17.5126) * CHOOSE(CONTROL!$C$21, $C$9, 100%, $E$9)</f>
        <v>17.512599999999999</v>
      </c>
      <c r="R365" s="17">
        <f>CHOOSE(CONTROL!$C$42, 18.1434, 18.1434) * CHOOSE(CONTROL!$C$21, $C$9, 100%, $E$9)</f>
        <v>18.1434</v>
      </c>
      <c r="S365" s="17">
        <f>CHOOSE(CONTROL!$C$42, 16.267, 16.267) * CHOOSE(CONTROL!$C$21, $C$9, 100%, $E$9)</f>
        <v>16.266999999999999</v>
      </c>
      <c r="T365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365" s="57">
        <f>(1000*CHOOSE(CONTROL!$C$42, 695, 695)*CHOOSE(CONTROL!$C$42, 0.5599, 0.5599)*CHOOSE(CONTROL!$C$42, 31, 31))/1000000</f>
        <v>12.063045499999998</v>
      </c>
      <c r="V365" s="57">
        <f>(1000*CHOOSE(CONTROL!$C$42, 500, 500)*CHOOSE(CONTROL!$C$42, 0.275, 0.275)*CHOOSE(CONTROL!$C$42, 31, 31))/1000000</f>
        <v>4.2625000000000002</v>
      </c>
      <c r="W365" s="57">
        <f>(1000*CHOOSE(CONTROL!$C$42, 0.0916, 0.0916)*CHOOSE(CONTROL!$C$42, 121.5, 121.5)*CHOOSE(CONTROL!$C$42, 31, 31))/1000000</f>
        <v>0.34501139999999997</v>
      </c>
      <c r="X365" s="57">
        <f>(31*0.1790888*145000/1000000)+(31*0.2374*100000/1000000)</f>
        <v>1.5409441560000001</v>
      </c>
      <c r="Y365" s="57"/>
      <c r="Z365" s="17"/>
      <c r="AA365" s="56"/>
      <c r="AB365" s="49">
        <f>(B365*194.205+C365*267.466+D365*133.845+E365*153.484+F365*40+G365*85+H365*0+I365*100+J365*300)/(194.205+267.466+133.845+153.484+0+40+85+100+300)</f>
        <v>16.857376906750392</v>
      </c>
      <c r="AC365" s="46">
        <f>(M365*'RAP TEMPLATE-GAS AVAILABILITY'!O364+N365*'RAP TEMPLATE-GAS AVAILABILITY'!P364+O365*'RAP TEMPLATE-GAS AVAILABILITY'!Q364+P365*'RAP TEMPLATE-GAS AVAILABILITY'!R364)/('RAP TEMPLATE-GAS AVAILABILITY'!O364+'RAP TEMPLATE-GAS AVAILABILITY'!P364+'RAP TEMPLATE-GAS AVAILABILITY'!Q364+'RAP TEMPLATE-GAS AVAILABILITY'!R364)</f>
        <v>16.732777697841726</v>
      </c>
    </row>
    <row r="366" spans="1:29" ht="15.75" x14ac:dyDescent="0.25">
      <c r="A366" s="14">
        <v>52047</v>
      </c>
      <c r="B366" s="17">
        <f>CHOOSE(CONTROL!$C$42, 17.2631, 17.2631) * CHOOSE(CONTROL!$C$21, $C$9, 100%, $E$9)</f>
        <v>17.263100000000001</v>
      </c>
      <c r="C366" s="17">
        <f>CHOOSE(CONTROL!$C$42, 17.271, 17.271) * CHOOSE(CONTROL!$C$21, $C$9, 100%, $E$9)</f>
        <v>17.271000000000001</v>
      </c>
      <c r="D366" s="17">
        <f>CHOOSE(CONTROL!$C$42, 17.5207, 17.5207) * CHOOSE(CONTROL!$C$21, $C$9, 100%, $E$9)</f>
        <v>17.520700000000001</v>
      </c>
      <c r="E366" s="17">
        <f>CHOOSE(CONTROL!$C$42, 17.5518, 17.5518) * CHOOSE(CONTROL!$C$21, $C$9, 100%, $E$9)</f>
        <v>17.5518</v>
      </c>
      <c r="F366" s="17">
        <f>CHOOSE(CONTROL!$C$42, 17.2682, 17.2682)*CHOOSE(CONTROL!$C$21, $C$9, 100%, $E$9)</f>
        <v>17.2682</v>
      </c>
      <c r="G366" s="17">
        <f>CHOOSE(CONTROL!$C$42, 17.2845, 17.2845)*CHOOSE(CONTROL!$C$21, $C$9, 100%, $E$9)</f>
        <v>17.284500000000001</v>
      </c>
      <c r="H366" s="17">
        <f>CHOOSE(CONTROL!$C$42, 17.5402, 17.5402) * CHOOSE(CONTROL!$C$21, $C$9, 100%, $E$9)</f>
        <v>17.540199999999999</v>
      </c>
      <c r="I366" s="17">
        <f>CHOOSE(CONTROL!$C$42, 17.3368, 17.3368)* CHOOSE(CONTROL!$C$21, $C$9, 100%, $E$9)</f>
        <v>17.3368</v>
      </c>
      <c r="J366" s="17">
        <f>CHOOSE(CONTROL!$C$42, 17.2608, 17.2608)* CHOOSE(CONTROL!$C$21, $C$9, 100%, $E$9)</f>
        <v>17.2608</v>
      </c>
      <c r="K366" s="53">
        <f>CHOOSE(CONTROL!$C$42, 17.3308, 17.3308) * CHOOSE(CONTROL!$C$21, $C$9, 100%, $E$9)</f>
        <v>17.3308</v>
      </c>
      <c r="L366" s="17">
        <f>CHOOSE(CONTROL!$C$42, 18.1272, 18.1272) * CHOOSE(CONTROL!$C$21, $C$9, 100%, $E$9)</f>
        <v>18.127199999999998</v>
      </c>
      <c r="M366" s="17">
        <f>CHOOSE(CONTROL!$C$42, 17.1126, 17.1126) * CHOOSE(CONTROL!$C$21, $C$9, 100%, $E$9)</f>
        <v>17.1126</v>
      </c>
      <c r="N366" s="17">
        <f>CHOOSE(CONTROL!$C$42, 17.1287, 17.1287) * CHOOSE(CONTROL!$C$21, $C$9, 100%, $E$9)</f>
        <v>17.128699999999998</v>
      </c>
      <c r="O366" s="17">
        <f>CHOOSE(CONTROL!$C$42, 17.3894, 17.3894) * CHOOSE(CONTROL!$C$21, $C$9, 100%, $E$9)</f>
        <v>17.389399999999998</v>
      </c>
      <c r="P366" s="17">
        <f>CHOOSE(CONTROL!$C$42, 17.1875, 17.1875) * CHOOSE(CONTROL!$C$21, $C$9, 100%, $E$9)</f>
        <v>17.1875</v>
      </c>
      <c r="Q366" s="17">
        <f>CHOOSE(CONTROL!$C$42, 17.9841, 17.9841) * CHOOSE(CONTROL!$C$21, $C$9, 100%, $E$9)</f>
        <v>17.984100000000002</v>
      </c>
      <c r="R366" s="17">
        <f>CHOOSE(CONTROL!$C$42, 18.6161, 18.6161) * CHOOSE(CONTROL!$C$21, $C$9, 100%, $E$9)</f>
        <v>18.616099999999999</v>
      </c>
      <c r="S366" s="17">
        <f>CHOOSE(CONTROL!$C$42, 16.7284, 16.7284) * CHOOSE(CONTROL!$C$21, $C$9, 100%, $E$9)</f>
        <v>16.728400000000001</v>
      </c>
      <c r="T366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366" s="57">
        <f>(1000*CHOOSE(CONTROL!$C$42, 695, 695)*CHOOSE(CONTROL!$C$42, 0.5599, 0.5599)*CHOOSE(CONTROL!$C$42, 30, 30))/1000000</f>
        <v>11.673914999999997</v>
      </c>
      <c r="V366" s="57">
        <f>(1000*CHOOSE(CONTROL!$C$42, 500, 500)*CHOOSE(CONTROL!$C$42, 0.275, 0.275)*CHOOSE(CONTROL!$C$42, 30, 30))/1000000</f>
        <v>4.125</v>
      </c>
      <c r="W366" s="57">
        <f>(1000*CHOOSE(CONTROL!$C$42, 0.0916, 0.0916)*CHOOSE(CONTROL!$C$42, 121.5, 121.5)*CHOOSE(CONTROL!$C$42, 30, 30))/1000000</f>
        <v>0.33388200000000001</v>
      </c>
      <c r="X366" s="57">
        <f>(30*0.1790888*145000/1000000)+(30*0.2374*100000/1000000)</f>
        <v>1.4912362799999999</v>
      </c>
      <c r="Y366" s="57"/>
      <c r="Z366" s="17"/>
      <c r="AA366" s="56"/>
      <c r="AB366" s="49">
        <f>(B366*194.205+C366*267.466+D366*133.845+E366*153.484+F366*40+G366*85+H366*0+I366*100+J366*300)/(194.205+267.466+133.845+153.484+0+40+85+100+300)</f>
        <v>17.333433818053372</v>
      </c>
      <c r="AC366" s="46">
        <f>(M366*'RAP TEMPLATE-GAS AVAILABILITY'!O365+N366*'RAP TEMPLATE-GAS AVAILABILITY'!P365+O366*'RAP TEMPLATE-GAS AVAILABILITY'!Q365+P366*'RAP TEMPLATE-GAS AVAILABILITY'!R365)/('RAP TEMPLATE-GAS AVAILABILITY'!O365+'RAP TEMPLATE-GAS AVAILABILITY'!P365+'RAP TEMPLATE-GAS AVAILABILITY'!Q365+'RAP TEMPLATE-GAS AVAILABILITY'!R365)</f>
        <v>17.204746762589927</v>
      </c>
    </row>
    <row r="367" spans="1:29" ht="15.75" x14ac:dyDescent="0.25">
      <c r="A367" s="14">
        <v>52078</v>
      </c>
      <c r="B367" s="17">
        <f>CHOOSE(CONTROL!$C$42, 16.9321, 16.9321) * CHOOSE(CONTROL!$C$21, $C$9, 100%, $E$9)</f>
        <v>16.932099999999998</v>
      </c>
      <c r="C367" s="17">
        <f>CHOOSE(CONTROL!$C$42, 16.9401, 16.9401) * CHOOSE(CONTROL!$C$21, $C$9, 100%, $E$9)</f>
        <v>16.940100000000001</v>
      </c>
      <c r="D367" s="17">
        <f>CHOOSE(CONTROL!$C$42, 17.1897, 17.1897) * CHOOSE(CONTROL!$C$21, $C$9, 100%, $E$9)</f>
        <v>17.189699999999998</v>
      </c>
      <c r="E367" s="17">
        <f>CHOOSE(CONTROL!$C$42, 17.2209, 17.2209) * CHOOSE(CONTROL!$C$21, $C$9, 100%, $E$9)</f>
        <v>17.2209</v>
      </c>
      <c r="F367" s="17">
        <f>CHOOSE(CONTROL!$C$42, 16.9378, 16.9378)*CHOOSE(CONTROL!$C$21, $C$9, 100%, $E$9)</f>
        <v>16.937799999999999</v>
      </c>
      <c r="G367" s="17">
        <f>CHOOSE(CONTROL!$C$42, 16.9542, 16.9542)*CHOOSE(CONTROL!$C$21, $C$9, 100%, $E$9)</f>
        <v>16.9542</v>
      </c>
      <c r="H367" s="17">
        <f>CHOOSE(CONTROL!$C$42, 17.2092, 17.2092) * CHOOSE(CONTROL!$C$21, $C$9, 100%, $E$9)</f>
        <v>17.209199999999999</v>
      </c>
      <c r="I367" s="17">
        <f>CHOOSE(CONTROL!$C$42, 17.0049, 17.0049)* CHOOSE(CONTROL!$C$21, $C$9, 100%, $E$9)</f>
        <v>17.004899999999999</v>
      </c>
      <c r="J367" s="17">
        <f>CHOOSE(CONTROL!$C$42, 16.9304, 16.9304)* CHOOSE(CONTROL!$C$21, $C$9, 100%, $E$9)</f>
        <v>16.930399999999999</v>
      </c>
      <c r="K367" s="53">
        <f>CHOOSE(CONTROL!$C$42, 16.9988, 16.9988) * CHOOSE(CONTROL!$C$21, $C$9, 100%, $E$9)</f>
        <v>16.998799999999999</v>
      </c>
      <c r="L367" s="17">
        <f>CHOOSE(CONTROL!$C$42, 17.7962, 17.7962) * CHOOSE(CONTROL!$C$21, $C$9, 100%, $E$9)</f>
        <v>17.796199999999999</v>
      </c>
      <c r="M367" s="17">
        <f>CHOOSE(CONTROL!$C$42, 16.7851, 16.7851) * CHOOSE(CONTROL!$C$21, $C$9, 100%, $E$9)</f>
        <v>16.7851</v>
      </c>
      <c r="N367" s="17">
        <f>CHOOSE(CONTROL!$C$42, 16.8014, 16.8014) * CHOOSE(CONTROL!$C$21, $C$9, 100%, $E$9)</f>
        <v>16.801400000000001</v>
      </c>
      <c r="O367" s="17">
        <f>CHOOSE(CONTROL!$C$42, 17.0615, 17.0615) * CHOOSE(CONTROL!$C$21, $C$9, 100%, $E$9)</f>
        <v>17.061499999999999</v>
      </c>
      <c r="P367" s="17">
        <f>CHOOSE(CONTROL!$C$42, 16.8585, 16.8585) * CHOOSE(CONTROL!$C$21, $C$9, 100%, $E$9)</f>
        <v>16.858499999999999</v>
      </c>
      <c r="Q367" s="17">
        <f>CHOOSE(CONTROL!$C$42, 17.6562, 17.6562) * CHOOSE(CONTROL!$C$21, $C$9, 100%, $E$9)</f>
        <v>17.656199999999998</v>
      </c>
      <c r="R367" s="17">
        <f>CHOOSE(CONTROL!$C$42, 18.2873, 18.2873) * CHOOSE(CONTROL!$C$21, $C$9, 100%, $E$9)</f>
        <v>18.287299999999998</v>
      </c>
      <c r="S367" s="17">
        <f>CHOOSE(CONTROL!$C$42, 16.4075, 16.4075) * CHOOSE(CONTROL!$C$21, $C$9, 100%, $E$9)</f>
        <v>16.407499999999999</v>
      </c>
      <c r="T367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367" s="57">
        <f>(1000*CHOOSE(CONTROL!$C$42, 695, 695)*CHOOSE(CONTROL!$C$42, 0.5599, 0.5599)*CHOOSE(CONTROL!$C$42, 31, 31))/1000000</f>
        <v>12.063045499999998</v>
      </c>
      <c r="V367" s="57">
        <f>(1000*CHOOSE(CONTROL!$C$42, 500, 500)*CHOOSE(CONTROL!$C$42, 0.275, 0.275)*CHOOSE(CONTROL!$C$42, 31, 31))/1000000</f>
        <v>4.2625000000000002</v>
      </c>
      <c r="W367" s="57">
        <f>(1000*CHOOSE(CONTROL!$C$42, 0.0916, 0.0916)*CHOOSE(CONTROL!$C$42, 121.5, 121.5)*CHOOSE(CONTROL!$C$42, 31, 31))/1000000</f>
        <v>0.34501139999999997</v>
      </c>
      <c r="X367" s="57">
        <f>(31*0.1790888*145000/1000000)+(31*0.2374*100000/1000000)</f>
        <v>1.5409441560000001</v>
      </c>
      <c r="Y367" s="57"/>
      <c r="Z367" s="17"/>
      <c r="AA367" s="56"/>
      <c r="AB367" s="49">
        <f>(B367*194.205+C367*267.466+D367*133.845+E367*153.484+F367*40+G367*85+H367*0+I367*100+J367*300)/(194.205+267.466+133.845+153.484+0+40+85+100+300)</f>
        <v>17.00260304489796</v>
      </c>
      <c r="AC367" s="46">
        <f>(M367*'RAP TEMPLATE-GAS AVAILABILITY'!O366+N367*'RAP TEMPLATE-GAS AVAILABILITY'!P366+O367*'RAP TEMPLATE-GAS AVAILABILITY'!Q366+P367*'RAP TEMPLATE-GAS AVAILABILITY'!R366)/('RAP TEMPLATE-GAS AVAILABILITY'!O366+'RAP TEMPLATE-GAS AVAILABILITY'!P366+'RAP TEMPLATE-GAS AVAILABILITY'!Q366+'RAP TEMPLATE-GAS AVAILABILITY'!R366)</f>
        <v>16.876964748201438</v>
      </c>
    </row>
    <row r="368" spans="1:29" ht="15.75" x14ac:dyDescent="0.25">
      <c r="A368" s="14">
        <v>52109</v>
      </c>
      <c r="B368" s="17">
        <f>CHOOSE(CONTROL!$C$42, 16.0964, 16.0964) * CHOOSE(CONTROL!$C$21, $C$9, 100%, $E$9)</f>
        <v>16.096399999999999</v>
      </c>
      <c r="C368" s="17">
        <f>CHOOSE(CONTROL!$C$42, 16.1044, 16.1044) * CHOOSE(CONTROL!$C$21, $C$9, 100%, $E$9)</f>
        <v>16.104399999999998</v>
      </c>
      <c r="D368" s="17">
        <f>CHOOSE(CONTROL!$C$42, 16.354, 16.354) * CHOOSE(CONTROL!$C$21, $C$9, 100%, $E$9)</f>
        <v>16.353999999999999</v>
      </c>
      <c r="E368" s="17">
        <f>CHOOSE(CONTROL!$C$42, 16.3852, 16.3852) * CHOOSE(CONTROL!$C$21, $C$9, 100%, $E$9)</f>
        <v>16.385200000000001</v>
      </c>
      <c r="F368" s="17">
        <f>CHOOSE(CONTROL!$C$42, 16.1023, 16.1023)*CHOOSE(CONTROL!$C$21, $C$9, 100%, $E$9)</f>
        <v>16.1023</v>
      </c>
      <c r="G368" s="17">
        <f>CHOOSE(CONTROL!$C$42, 16.1188, 16.1188)*CHOOSE(CONTROL!$C$21, $C$9, 100%, $E$9)</f>
        <v>16.1188</v>
      </c>
      <c r="H368" s="17">
        <f>CHOOSE(CONTROL!$C$42, 16.3735, 16.3735) * CHOOSE(CONTROL!$C$21, $C$9, 100%, $E$9)</f>
        <v>16.3735</v>
      </c>
      <c r="I368" s="17">
        <f>CHOOSE(CONTROL!$C$42, 16.1666, 16.1666)* CHOOSE(CONTROL!$C$21, $C$9, 100%, $E$9)</f>
        <v>16.166599999999999</v>
      </c>
      <c r="J368" s="17">
        <f>CHOOSE(CONTROL!$C$42, 16.0949, 16.0949)* CHOOSE(CONTROL!$C$21, $C$9, 100%, $E$9)</f>
        <v>16.094899999999999</v>
      </c>
      <c r="K368" s="53">
        <f>CHOOSE(CONTROL!$C$42, 16.1605, 16.1605) * CHOOSE(CONTROL!$C$21, $C$9, 100%, $E$9)</f>
        <v>16.160499999999999</v>
      </c>
      <c r="L368" s="17">
        <f>CHOOSE(CONTROL!$C$42, 16.9605, 16.9605) * CHOOSE(CONTROL!$C$21, $C$9, 100%, $E$9)</f>
        <v>16.9605</v>
      </c>
      <c r="M368" s="17">
        <f>CHOOSE(CONTROL!$C$42, 15.9572, 15.9572) * CHOOSE(CONTROL!$C$21, $C$9, 100%, $E$9)</f>
        <v>15.9572</v>
      </c>
      <c r="N368" s="17">
        <f>CHOOSE(CONTROL!$C$42, 15.9735, 15.9735) * CHOOSE(CONTROL!$C$21, $C$9, 100%, $E$9)</f>
        <v>15.9735</v>
      </c>
      <c r="O368" s="17">
        <f>CHOOSE(CONTROL!$C$42, 16.2332, 16.2332) * CHOOSE(CONTROL!$C$21, $C$9, 100%, $E$9)</f>
        <v>16.2332</v>
      </c>
      <c r="P368" s="17">
        <f>CHOOSE(CONTROL!$C$42, 16.0278, 16.0278) * CHOOSE(CONTROL!$C$21, $C$9, 100%, $E$9)</f>
        <v>16.027799999999999</v>
      </c>
      <c r="Q368" s="17">
        <f>CHOOSE(CONTROL!$C$42, 16.8279, 16.8279) * CHOOSE(CONTROL!$C$21, $C$9, 100%, $E$9)</f>
        <v>16.8279</v>
      </c>
      <c r="R368" s="17">
        <f>CHOOSE(CONTROL!$C$42, 17.457, 17.457) * CHOOSE(CONTROL!$C$21, $C$9, 100%, $E$9)</f>
        <v>17.457000000000001</v>
      </c>
      <c r="S368" s="17">
        <f>CHOOSE(CONTROL!$C$42, 15.5971, 15.5971) * CHOOSE(CONTROL!$C$21, $C$9, 100%, $E$9)</f>
        <v>15.597099999999999</v>
      </c>
      <c r="T368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368" s="57">
        <f>(1000*CHOOSE(CONTROL!$C$42, 695, 695)*CHOOSE(CONTROL!$C$42, 0.5599, 0.5599)*CHOOSE(CONTROL!$C$42, 31, 31))/1000000</f>
        <v>12.063045499999998</v>
      </c>
      <c r="V368" s="57">
        <f>(1000*CHOOSE(CONTROL!$C$42, 500, 500)*CHOOSE(CONTROL!$C$42, 0.275, 0.275)*CHOOSE(CONTROL!$C$42, 31, 31))/1000000</f>
        <v>4.2625000000000002</v>
      </c>
      <c r="W368" s="57">
        <f>(1000*CHOOSE(CONTROL!$C$42, 0.0916, 0.0916)*CHOOSE(CONTROL!$C$42, 121.5, 121.5)*CHOOSE(CONTROL!$C$42, 31, 31))/1000000</f>
        <v>0.34501139999999997</v>
      </c>
      <c r="X368" s="57">
        <f>(31*0.1790888*145000/1000000)+(31*0.2374*100000/1000000)</f>
        <v>1.5409441560000001</v>
      </c>
      <c r="Y368" s="57"/>
      <c r="Z368" s="17"/>
      <c r="AA368" s="56"/>
      <c r="AB368" s="49">
        <f>(B368*194.205+C368*267.466+D368*133.845+E368*153.484+F368*40+G368*85+H368*0+I368*100+J368*300)/(194.205+267.466+133.845+153.484+0+40+85+100+300)</f>
        <v>16.166772354160123</v>
      </c>
      <c r="AC368" s="46">
        <f>(M368*'RAP TEMPLATE-GAS AVAILABILITY'!O367+N368*'RAP TEMPLATE-GAS AVAILABILITY'!P367+O368*'RAP TEMPLATE-GAS AVAILABILITY'!Q367+P368*'RAP TEMPLATE-GAS AVAILABILITY'!R367)/('RAP TEMPLATE-GAS AVAILABILITY'!O367+'RAP TEMPLATE-GAS AVAILABILITY'!P367+'RAP TEMPLATE-GAS AVAILABILITY'!Q367+'RAP TEMPLATE-GAS AVAILABILITY'!R367)</f>
        <v>16.048549640287771</v>
      </c>
    </row>
    <row r="369" spans="1:29" ht="15.75" x14ac:dyDescent="0.25">
      <c r="A369" s="14">
        <v>52139</v>
      </c>
      <c r="B369" s="17">
        <f>CHOOSE(CONTROL!$C$42, 15.075, 15.075) * CHOOSE(CONTROL!$C$21, $C$9, 100%, $E$9)</f>
        <v>15.074999999999999</v>
      </c>
      <c r="C369" s="17">
        <f>CHOOSE(CONTROL!$C$42, 15.083, 15.083) * CHOOSE(CONTROL!$C$21, $C$9, 100%, $E$9)</f>
        <v>15.083</v>
      </c>
      <c r="D369" s="17">
        <f>CHOOSE(CONTROL!$C$42, 15.3327, 15.3327) * CHOOSE(CONTROL!$C$21, $C$9, 100%, $E$9)</f>
        <v>15.332700000000001</v>
      </c>
      <c r="E369" s="17">
        <f>CHOOSE(CONTROL!$C$42, 15.3638, 15.3638) * CHOOSE(CONTROL!$C$21, $C$9, 100%, $E$9)</f>
        <v>15.363799999999999</v>
      </c>
      <c r="F369" s="17">
        <f>CHOOSE(CONTROL!$C$42, 15.081, 15.081)*CHOOSE(CONTROL!$C$21, $C$9, 100%, $E$9)</f>
        <v>15.081</v>
      </c>
      <c r="G369" s="17">
        <f>CHOOSE(CONTROL!$C$42, 15.0975, 15.0975)*CHOOSE(CONTROL!$C$21, $C$9, 100%, $E$9)</f>
        <v>15.0975</v>
      </c>
      <c r="H369" s="17">
        <f>CHOOSE(CONTROL!$C$42, 15.3522, 15.3522) * CHOOSE(CONTROL!$C$21, $C$9, 100%, $E$9)</f>
        <v>15.3522</v>
      </c>
      <c r="I369" s="17">
        <f>CHOOSE(CONTROL!$C$42, 15.1421, 15.1421)* CHOOSE(CONTROL!$C$21, $C$9, 100%, $E$9)</f>
        <v>15.142099999999999</v>
      </c>
      <c r="J369" s="17">
        <f>CHOOSE(CONTROL!$C$42, 15.0736, 15.0736)* CHOOSE(CONTROL!$C$21, $C$9, 100%, $E$9)</f>
        <v>15.073600000000001</v>
      </c>
      <c r="K369" s="53">
        <f>CHOOSE(CONTROL!$C$42, 15.136, 15.136) * CHOOSE(CONTROL!$C$21, $C$9, 100%, $E$9)</f>
        <v>15.135999999999999</v>
      </c>
      <c r="L369" s="17">
        <f>CHOOSE(CONTROL!$C$42, 15.9392, 15.9392) * CHOOSE(CONTROL!$C$21, $C$9, 100%, $E$9)</f>
        <v>15.9392</v>
      </c>
      <c r="M369" s="17">
        <f>CHOOSE(CONTROL!$C$42, 14.9451, 14.9451) * CHOOSE(CONTROL!$C$21, $C$9, 100%, $E$9)</f>
        <v>14.9451</v>
      </c>
      <c r="N369" s="17">
        <f>CHOOSE(CONTROL!$C$42, 14.9614, 14.9614) * CHOOSE(CONTROL!$C$21, $C$9, 100%, $E$9)</f>
        <v>14.961399999999999</v>
      </c>
      <c r="O369" s="17">
        <f>CHOOSE(CONTROL!$C$42, 15.2211, 15.2211) * CHOOSE(CONTROL!$C$21, $C$9, 100%, $E$9)</f>
        <v>15.2211</v>
      </c>
      <c r="P369" s="17">
        <f>CHOOSE(CONTROL!$C$42, 15.0125, 15.0125) * CHOOSE(CONTROL!$C$21, $C$9, 100%, $E$9)</f>
        <v>15.012499999999999</v>
      </c>
      <c r="Q369" s="17">
        <f>CHOOSE(CONTROL!$C$42, 15.8158, 15.8158) * CHOOSE(CONTROL!$C$21, $C$9, 100%, $E$9)</f>
        <v>15.815799999999999</v>
      </c>
      <c r="R369" s="17">
        <f>CHOOSE(CONTROL!$C$42, 16.4423, 16.4423) * CHOOSE(CONTROL!$C$21, $C$9, 100%, $E$9)</f>
        <v>16.442299999999999</v>
      </c>
      <c r="S369" s="17">
        <f>CHOOSE(CONTROL!$C$42, 14.6067, 14.6067) * CHOOSE(CONTROL!$C$21, $C$9, 100%, $E$9)</f>
        <v>14.6067</v>
      </c>
      <c r="T369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369" s="57">
        <f>(1000*CHOOSE(CONTROL!$C$42, 695, 695)*CHOOSE(CONTROL!$C$42, 0.5599, 0.5599)*CHOOSE(CONTROL!$C$42, 30, 30))/1000000</f>
        <v>11.673914999999997</v>
      </c>
      <c r="V369" s="57">
        <f>(1000*CHOOSE(CONTROL!$C$42, 500, 500)*CHOOSE(CONTROL!$C$42, 0.275, 0.275)*CHOOSE(CONTROL!$C$42, 30, 30))/1000000</f>
        <v>4.125</v>
      </c>
      <c r="W369" s="57">
        <f>(1000*CHOOSE(CONTROL!$C$42, 0.0916, 0.0916)*CHOOSE(CONTROL!$C$42, 121.5, 121.5)*CHOOSE(CONTROL!$C$42, 30, 30))/1000000</f>
        <v>0.33388200000000001</v>
      </c>
      <c r="X369" s="57">
        <f>(30*0.1790888*145000/1000000)+(30*0.2374*100000/1000000)</f>
        <v>1.4912362799999999</v>
      </c>
      <c r="Y369" s="57"/>
      <c r="Z369" s="17"/>
      <c r="AA369" s="56"/>
      <c r="AB369" s="49">
        <f>(B369*194.205+C369*267.466+D369*133.845+E369*153.484+F369*40+G369*85+H369*0+I369*100+J369*300)/(194.205+267.466+133.845+153.484+0+40+85+100+300)</f>
        <v>15.145172891444268</v>
      </c>
      <c r="AC369" s="46">
        <f>(M369*'RAP TEMPLATE-GAS AVAILABILITY'!O368+N369*'RAP TEMPLATE-GAS AVAILABILITY'!P368+O369*'RAP TEMPLATE-GAS AVAILABILITY'!Q368+P369*'RAP TEMPLATE-GAS AVAILABILITY'!R368)/('RAP TEMPLATE-GAS AVAILABILITY'!O368+'RAP TEMPLATE-GAS AVAILABILITY'!P368+'RAP TEMPLATE-GAS AVAILABILITY'!Q368+'RAP TEMPLATE-GAS AVAILABILITY'!R368)</f>
        <v>15.035989208633094</v>
      </c>
    </row>
    <row r="370" spans="1:29" ht="15.75" x14ac:dyDescent="0.25">
      <c r="A370" s="14">
        <v>52170</v>
      </c>
      <c r="B370" s="17">
        <f>CHOOSE(CONTROL!$C$42, 14.7675, 14.7675) * CHOOSE(CONTROL!$C$21, $C$9, 100%, $E$9)</f>
        <v>14.7675</v>
      </c>
      <c r="C370" s="17">
        <f>CHOOSE(CONTROL!$C$42, 14.7728, 14.7728) * CHOOSE(CONTROL!$C$21, $C$9, 100%, $E$9)</f>
        <v>14.7728</v>
      </c>
      <c r="D370" s="17">
        <f>CHOOSE(CONTROL!$C$42, 15.0273, 15.0273) * CHOOSE(CONTROL!$C$21, $C$9, 100%, $E$9)</f>
        <v>15.0273</v>
      </c>
      <c r="E370" s="17">
        <f>CHOOSE(CONTROL!$C$42, 15.0562, 15.0562) * CHOOSE(CONTROL!$C$21, $C$9, 100%, $E$9)</f>
        <v>15.0562</v>
      </c>
      <c r="F370" s="17">
        <f>CHOOSE(CONTROL!$C$42, 14.7757, 14.7757)*CHOOSE(CONTROL!$C$21, $C$9, 100%, $E$9)</f>
        <v>14.775700000000001</v>
      </c>
      <c r="G370" s="17">
        <f>CHOOSE(CONTROL!$C$42, 14.792, 14.792)*CHOOSE(CONTROL!$C$21, $C$9, 100%, $E$9)</f>
        <v>14.792</v>
      </c>
      <c r="H370" s="17">
        <f>CHOOSE(CONTROL!$C$42, 15.0463, 15.0463) * CHOOSE(CONTROL!$C$21, $C$9, 100%, $E$9)</f>
        <v>15.0463</v>
      </c>
      <c r="I370" s="17">
        <f>CHOOSE(CONTROL!$C$42, 14.8353, 14.8353)* CHOOSE(CONTROL!$C$21, $C$9, 100%, $E$9)</f>
        <v>14.8353</v>
      </c>
      <c r="J370" s="17">
        <f>CHOOSE(CONTROL!$C$42, 14.7683, 14.7683)* CHOOSE(CONTROL!$C$21, $C$9, 100%, $E$9)</f>
        <v>14.7683</v>
      </c>
      <c r="K370" s="53">
        <f>CHOOSE(CONTROL!$C$42, 14.8292, 14.8292) * CHOOSE(CONTROL!$C$21, $C$9, 100%, $E$9)</f>
        <v>14.8292</v>
      </c>
      <c r="L370" s="17">
        <f>CHOOSE(CONTROL!$C$42, 15.6333, 15.6333) * CHOOSE(CONTROL!$C$21, $C$9, 100%, $E$9)</f>
        <v>15.6333</v>
      </c>
      <c r="M370" s="17">
        <f>CHOOSE(CONTROL!$C$42, 14.6425, 14.6425) * CHOOSE(CONTROL!$C$21, $C$9, 100%, $E$9)</f>
        <v>14.6425</v>
      </c>
      <c r="N370" s="17">
        <f>CHOOSE(CONTROL!$C$42, 14.6587, 14.6587) * CHOOSE(CONTROL!$C$21, $C$9, 100%, $E$9)</f>
        <v>14.6587</v>
      </c>
      <c r="O370" s="17">
        <f>CHOOSE(CONTROL!$C$42, 14.918, 14.918) * CHOOSE(CONTROL!$C$21, $C$9, 100%, $E$9)</f>
        <v>14.917999999999999</v>
      </c>
      <c r="P370" s="17">
        <f>CHOOSE(CONTROL!$C$42, 14.7085, 14.7085) * CHOOSE(CONTROL!$C$21, $C$9, 100%, $E$9)</f>
        <v>14.708500000000001</v>
      </c>
      <c r="Q370" s="17">
        <f>CHOOSE(CONTROL!$C$42, 15.5127, 15.5127) * CHOOSE(CONTROL!$C$21, $C$9, 100%, $E$9)</f>
        <v>15.512700000000001</v>
      </c>
      <c r="R370" s="17">
        <f>CHOOSE(CONTROL!$C$42, 16.1385, 16.1385) * CHOOSE(CONTROL!$C$21, $C$9, 100%, $E$9)</f>
        <v>16.138500000000001</v>
      </c>
      <c r="S370" s="17">
        <f>CHOOSE(CONTROL!$C$42, 14.3101, 14.3101) * CHOOSE(CONTROL!$C$21, $C$9, 100%, $E$9)</f>
        <v>14.3101</v>
      </c>
      <c r="T370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370" s="57">
        <f>(1000*CHOOSE(CONTROL!$C$42, 695, 695)*CHOOSE(CONTROL!$C$42, 0.5599, 0.5599)*CHOOSE(CONTROL!$C$42, 31, 31))/1000000</f>
        <v>12.063045499999998</v>
      </c>
      <c r="V370" s="57">
        <f>(1000*CHOOSE(CONTROL!$C$42, 500, 500)*CHOOSE(CONTROL!$C$42, 0.275, 0.275)*CHOOSE(CONTROL!$C$42, 31, 31))/1000000</f>
        <v>4.2625000000000002</v>
      </c>
      <c r="W370" s="57">
        <f>(1000*CHOOSE(CONTROL!$C$42, 0.0916, 0.0916)*CHOOSE(CONTROL!$C$42, 121.5, 121.5)*CHOOSE(CONTROL!$C$42, 31, 31))/1000000</f>
        <v>0.34501139999999997</v>
      </c>
      <c r="X370" s="57">
        <f>(31*0.1790888*145000/1000000)+(31*0.2374*100000/1000000)</f>
        <v>1.5409441560000001</v>
      </c>
      <c r="Y370" s="57"/>
      <c r="Z370" s="17"/>
      <c r="AA370" s="56"/>
      <c r="AB370" s="49">
        <f>(B370*131.881+C370*277.167+D370*79.08+E370*225.872+F370*40+G370*85+H370*0+I370*100+J370*300)/(131.881+277.167+79.08+225.872+0+40+85+100+300)</f>
        <v>14.845509455609362</v>
      </c>
      <c r="AC370" s="46">
        <f>(M370*'RAP TEMPLATE-GAS AVAILABILITY'!O369+N370*'RAP TEMPLATE-GAS AVAILABILITY'!P369+O370*'RAP TEMPLATE-GAS AVAILABILITY'!Q369+P370*'RAP TEMPLATE-GAS AVAILABILITY'!R369)/('RAP TEMPLATE-GAS AVAILABILITY'!O369+'RAP TEMPLATE-GAS AVAILABILITY'!P369+'RAP TEMPLATE-GAS AVAILABILITY'!Q369+'RAP TEMPLATE-GAS AVAILABILITY'!R369)</f>
        <v>14.733024460431654</v>
      </c>
    </row>
    <row r="371" spans="1:29" ht="15.75" x14ac:dyDescent="0.25">
      <c r="A371" s="14">
        <v>52200</v>
      </c>
      <c r="B371" s="17">
        <f>CHOOSE(CONTROL!$C$42, 15.1558, 15.1558) * CHOOSE(CONTROL!$C$21, $C$9, 100%, $E$9)</f>
        <v>15.155799999999999</v>
      </c>
      <c r="C371" s="17">
        <f>CHOOSE(CONTROL!$C$42, 15.1609, 15.1609) * CHOOSE(CONTROL!$C$21, $C$9, 100%, $E$9)</f>
        <v>15.1609</v>
      </c>
      <c r="D371" s="17">
        <f>CHOOSE(CONTROL!$C$42, 15.2835, 15.2835) * CHOOSE(CONTROL!$C$21, $C$9, 100%, $E$9)</f>
        <v>15.2835</v>
      </c>
      <c r="E371" s="17">
        <f>CHOOSE(CONTROL!$C$42, 15.3173, 15.3173) * CHOOSE(CONTROL!$C$21, $C$9, 100%, $E$9)</f>
        <v>15.317299999999999</v>
      </c>
      <c r="F371" s="17">
        <f>CHOOSE(CONTROL!$C$42, 15.1709, 15.1709)*CHOOSE(CONTROL!$C$21, $C$9, 100%, $E$9)</f>
        <v>15.1709</v>
      </c>
      <c r="G371" s="17">
        <f>CHOOSE(CONTROL!$C$42, 15.1875, 15.1875)*CHOOSE(CONTROL!$C$21, $C$9, 100%, $E$9)</f>
        <v>15.1875</v>
      </c>
      <c r="H371" s="17">
        <f>CHOOSE(CONTROL!$C$42, 15.3062, 15.3062) * CHOOSE(CONTROL!$C$21, $C$9, 100%, $E$9)</f>
        <v>15.3062</v>
      </c>
      <c r="I371" s="17">
        <f>CHOOSE(CONTROL!$C$42, 15.2278, 15.2278)* CHOOSE(CONTROL!$C$21, $C$9, 100%, $E$9)</f>
        <v>15.2278</v>
      </c>
      <c r="J371" s="17">
        <f>CHOOSE(CONTROL!$C$42, 15.1635, 15.1635)* CHOOSE(CONTROL!$C$21, $C$9, 100%, $E$9)</f>
        <v>15.163500000000001</v>
      </c>
      <c r="K371" s="53">
        <f>CHOOSE(CONTROL!$C$42, 15.2218, 15.2218) * CHOOSE(CONTROL!$C$21, $C$9, 100%, $E$9)</f>
        <v>15.2218</v>
      </c>
      <c r="L371" s="17">
        <f>CHOOSE(CONTROL!$C$42, 15.8932, 15.8932) * CHOOSE(CONTROL!$C$21, $C$9, 100%, $E$9)</f>
        <v>15.8932</v>
      </c>
      <c r="M371" s="17">
        <f>CHOOSE(CONTROL!$C$42, 15.0341, 15.0341) * CHOOSE(CONTROL!$C$21, $C$9, 100%, $E$9)</f>
        <v>15.0341</v>
      </c>
      <c r="N371" s="17">
        <f>CHOOSE(CONTROL!$C$42, 15.0506, 15.0506) * CHOOSE(CONTROL!$C$21, $C$9, 100%, $E$9)</f>
        <v>15.050599999999999</v>
      </c>
      <c r="O371" s="17">
        <f>CHOOSE(CONTROL!$C$42, 15.1755, 15.1755) * CHOOSE(CONTROL!$C$21, $C$9, 100%, $E$9)</f>
        <v>15.1755</v>
      </c>
      <c r="P371" s="17">
        <f>CHOOSE(CONTROL!$C$42, 15.0975, 15.0975) * CHOOSE(CONTROL!$C$21, $C$9, 100%, $E$9)</f>
        <v>15.0975</v>
      </c>
      <c r="Q371" s="17">
        <f>CHOOSE(CONTROL!$C$42, 15.7702, 15.7702) * CHOOSE(CONTROL!$C$21, $C$9, 100%, $E$9)</f>
        <v>15.770200000000001</v>
      </c>
      <c r="R371" s="17">
        <f>CHOOSE(CONTROL!$C$42, 16.3967, 16.3967) * CHOOSE(CONTROL!$C$21, $C$9, 100%, $E$9)</f>
        <v>16.396699999999999</v>
      </c>
      <c r="S371" s="17">
        <f>CHOOSE(CONTROL!$C$42, 14.6871, 14.6871) * CHOOSE(CONTROL!$C$21, $C$9, 100%, $E$9)</f>
        <v>14.687099999999999</v>
      </c>
      <c r="T371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371" s="57">
        <f>(1000*CHOOSE(CONTROL!$C$42, 695, 695)*CHOOSE(CONTROL!$C$42, 0.5599, 0.5599)*CHOOSE(CONTROL!$C$42, 30, 30))/1000000</f>
        <v>11.673914999999997</v>
      </c>
      <c r="V371" s="57">
        <f>(1000*CHOOSE(CONTROL!$C$42, 500, 500)*CHOOSE(CONTROL!$C$42, 0.275, 0.275)*CHOOSE(CONTROL!$C$42, 30, 30))/1000000</f>
        <v>4.125</v>
      </c>
      <c r="W371" s="57">
        <f>(1000*CHOOSE(CONTROL!$C$42, 0.0916, 0.0916)*CHOOSE(CONTROL!$C$42, 121.5, 121.5)*CHOOSE(CONTROL!$C$42, 30, 30))/1000000</f>
        <v>0.33388200000000001</v>
      </c>
      <c r="X371" s="57">
        <f>(30*0.2374*100000/1000000)</f>
        <v>0.71220000000000006</v>
      </c>
      <c r="Y371" s="57"/>
      <c r="Z371" s="17"/>
      <c r="AA371" s="56"/>
      <c r="AB371" s="49">
        <f>(B371*122.58+C371*297.941+D371*89.177+E371*140.302+F371*40+G371*60+H371*0+I371*100+J371*300)/(122.58+297.941+89.177+140.302+0+40+60+100+300)</f>
        <v>15.197175804347827</v>
      </c>
      <c r="AC371" s="46">
        <f>(M371*'RAP TEMPLATE-GAS AVAILABILITY'!O370+N371*'RAP TEMPLATE-GAS AVAILABILITY'!P370+O371*'RAP TEMPLATE-GAS AVAILABILITY'!Q370+P371*'RAP TEMPLATE-GAS AVAILABILITY'!R370)/('RAP TEMPLATE-GAS AVAILABILITY'!O370+'RAP TEMPLATE-GAS AVAILABILITY'!P370+'RAP TEMPLATE-GAS AVAILABILITY'!Q370+'RAP TEMPLATE-GAS AVAILABILITY'!R370)</f>
        <v>15.108259712230216</v>
      </c>
    </row>
    <row r="372" spans="1:29" ht="15.75" x14ac:dyDescent="0.25">
      <c r="A372" s="14">
        <v>52231</v>
      </c>
      <c r="B372" s="17">
        <f>CHOOSE(CONTROL!$C$42, 16.1884, 16.1884) * CHOOSE(CONTROL!$C$21, $C$9, 100%, $E$9)</f>
        <v>16.188400000000001</v>
      </c>
      <c r="C372" s="17">
        <f>CHOOSE(CONTROL!$C$42, 16.1935, 16.1935) * CHOOSE(CONTROL!$C$21, $C$9, 100%, $E$9)</f>
        <v>16.1935</v>
      </c>
      <c r="D372" s="17">
        <f>CHOOSE(CONTROL!$C$42, 16.3161, 16.3161) * CHOOSE(CONTROL!$C$21, $C$9, 100%, $E$9)</f>
        <v>16.316099999999999</v>
      </c>
      <c r="E372" s="17">
        <f>CHOOSE(CONTROL!$C$42, 16.3499, 16.3499) * CHOOSE(CONTROL!$C$21, $C$9, 100%, $E$9)</f>
        <v>16.349900000000002</v>
      </c>
      <c r="F372" s="17">
        <f>CHOOSE(CONTROL!$C$42, 16.2059, 16.2059)*CHOOSE(CONTROL!$C$21, $C$9, 100%, $E$9)</f>
        <v>16.2059</v>
      </c>
      <c r="G372" s="17">
        <f>CHOOSE(CONTROL!$C$42, 16.2232, 16.2232)*CHOOSE(CONTROL!$C$21, $C$9, 100%, $E$9)</f>
        <v>16.223199999999999</v>
      </c>
      <c r="H372" s="17">
        <f>CHOOSE(CONTROL!$C$42, 16.3388, 16.3388) * CHOOSE(CONTROL!$C$21, $C$9, 100%, $E$9)</f>
        <v>16.338799999999999</v>
      </c>
      <c r="I372" s="17">
        <f>CHOOSE(CONTROL!$C$42, 16.2636, 16.2636)* CHOOSE(CONTROL!$C$21, $C$9, 100%, $E$9)</f>
        <v>16.2636</v>
      </c>
      <c r="J372" s="17">
        <f>CHOOSE(CONTROL!$C$42, 16.1985, 16.1985)* CHOOSE(CONTROL!$C$21, $C$9, 100%, $E$9)</f>
        <v>16.198499999999999</v>
      </c>
      <c r="K372" s="53">
        <f>CHOOSE(CONTROL!$C$42, 16.2576, 16.2576) * CHOOSE(CONTROL!$C$21, $C$9, 100%, $E$9)</f>
        <v>16.2576</v>
      </c>
      <c r="L372" s="17">
        <f>CHOOSE(CONTROL!$C$42, 16.9258, 16.9258) * CHOOSE(CONTROL!$C$21, $C$9, 100%, $E$9)</f>
        <v>16.925799999999999</v>
      </c>
      <c r="M372" s="17">
        <f>CHOOSE(CONTROL!$C$42, 16.0598, 16.0598) * CHOOSE(CONTROL!$C$21, $C$9, 100%, $E$9)</f>
        <v>16.059799999999999</v>
      </c>
      <c r="N372" s="17">
        <f>CHOOSE(CONTROL!$C$42, 16.077, 16.077) * CHOOSE(CONTROL!$C$21, $C$9, 100%, $E$9)</f>
        <v>16.077000000000002</v>
      </c>
      <c r="O372" s="17">
        <f>CHOOSE(CONTROL!$C$42, 16.1988, 16.1988) * CHOOSE(CONTROL!$C$21, $C$9, 100%, $E$9)</f>
        <v>16.198799999999999</v>
      </c>
      <c r="P372" s="17">
        <f>CHOOSE(CONTROL!$C$42, 16.124, 16.124) * CHOOSE(CONTROL!$C$21, $C$9, 100%, $E$9)</f>
        <v>16.123999999999999</v>
      </c>
      <c r="Q372" s="17">
        <f>CHOOSE(CONTROL!$C$42, 16.7935, 16.7935) * CHOOSE(CONTROL!$C$21, $C$9, 100%, $E$9)</f>
        <v>16.793500000000002</v>
      </c>
      <c r="R372" s="17">
        <f>CHOOSE(CONTROL!$C$42, 17.4225, 17.4225) * CHOOSE(CONTROL!$C$21, $C$9, 100%, $E$9)</f>
        <v>17.422499999999999</v>
      </c>
      <c r="S372" s="17">
        <f>CHOOSE(CONTROL!$C$42, 15.6884, 15.6884) * CHOOSE(CONTROL!$C$21, $C$9, 100%, $E$9)</f>
        <v>15.6884</v>
      </c>
      <c r="T372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372" s="57">
        <f>(1000*CHOOSE(CONTROL!$C$42, 695, 695)*CHOOSE(CONTROL!$C$42, 0.5599, 0.5599)*CHOOSE(CONTROL!$C$42, 31, 31))/1000000</f>
        <v>12.063045499999998</v>
      </c>
      <c r="V372" s="57">
        <f>(1000*CHOOSE(CONTROL!$C$42, 500, 500)*CHOOSE(CONTROL!$C$42, 0.275, 0.275)*CHOOSE(CONTROL!$C$42, 31, 31))/1000000</f>
        <v>4.2625000000000002</v>
      </c>
      <c r="W372" s="57">
        <f>(1000*CHOOSE(CONTROL!$C$42, 0.0916, 0.0916)*CHOOSE(CONTROL!$C$42, 121.5, 121.5)*CHOOSE(CONTROL!$C$42, 31, 31))/1000000</f>
        <v>0.34501139999999997</v>
      </c>
      <c r="X372" s="57">
        <f>(31*0.2374*100000/1000000)</f>
        <v>0.73594000000000004</v>
      </c>
      <c r="Y372" s="57"/>
      <c r="Z372" s="17"/>
      <c r="AA372" s="56"/>
      <c r="AB372" s="49">
        <f>(B372*122.58+C372*297.941+D372*89.177+E372*140.302+F372*40+G372*60+H372*0+I372*100+J372*300)/(122.58+297.941+89.177+140.302+0+40+60+100+300)</f>
        <v>16.23092536956522</v>
      </c>
      <c r="AC372" s="46">
        <f>(M372*'RAP TEMPLATE-GAS AVAILABILITY'!O371+N372*'RAP TEMPLATE-GAS AVAILABILITY'!P371+O372*'RAP TEMPLATE-GAS AVAILABILITY'!Q371+P372*'RAP TEMPLATE-GAS AVAILABILITY'!R371)/('RAP TEMPLATE-GAS AVAILABILITY'!O371+'RAP TEMPLATE-GAS AVAILABILITY'!P371+'RAP TEMPLATE-GAS AVAILABILITY'!Q371+'RAP TEMPLATE-GAS AVAILABILITY'!R371)</f>
        <v>16.133027338129494</v>
      </c>
    </row>
    <row r="373" spans="1:29" ht="15.75" x14ac:dyDescent="0.25">
      <c r="A373" s="14">
        <v>52262</v>
      </c>
      <c r="B373" s="17">
        <f>CHOOSE(CONTROL!$C$42, 17.5296, 17.5296) * CHOOSE(CONTROL!$C$21, $C$9, 100%, $E$9)</f>
        <v>17.529599999999999</v>
      </c>
      <c r="C373" s="17">
        <f>CHOOSE(CONTROL!$C$42, 17.5347, 17.5347) * CHOOSE(CONTROL!$C$21, $C$9, 100%, $E$9)</f>
        <v>17.534700000000001</v>
      </c>
      <c r="D373" s="17">
        <f>CHOOSE(CONTROL!$C$42, 17.6521, 17.6521) * CHOOSE(CONTROL!$C$21, $C$9, 100%, $E$9)</f>
        <v>17.652100000000001</v>
      </c>
      <c r="E373" s="17">
        <f>CHOOSE(CONTROL!$C$42, 17.6859, 17.6859) * CHOOSE(CONTROL!$C$21, $C$9, 100%, $E$9)</f>
        <v>17.6859</v>
      </c>
      <c r="F373" s="17">
        <f>CHOOSE(CONTROL!$C$42, 17.5432, 17.5432)*CHOOSE(CONTROL!$C$21, $C$9, 100%, $E$9)</f>
        <v>17.543199999999999</v>
      </c>
      <c r="G373" s="17">
        <f>CHOOSE(CONTROL!$C$42, 17.5595, 17.5595)*CHOOSE(CONTROL!$C$21, $C$9, 100%, $E$9)</f>
        <v>17.5595</v>
      </c>
      <c r="H373" s="17">
        <f>CHOOSE(CONTROL!$C$42, 17.6748, 17.6748) * CHOOSE(CONTROL!$C$21, $C$9, 100%, $E$9)</f>
        <v>17.674800000000001</v>
      </c>
      <c r="I373" s="17">
        <f>CHOOSE(CONTROL!$C$42, 17.6074, 17.6074)* CHOOSE(CONTROL!$C$21, $C$9, 100%, $E$9)</f>
        <v>17.607399999999998</v>
      </c>
      <c r="J373" s="17">
        <f>CHOOSE(CONTROL!$C$42, 17.5358, 17.5358)* CHOOSE(CONTROL!$C$21, $C$9, 100%, $E$9)</f>
        <v>17.535799999999998</v>
      </c>
      <c r="K373" s="53">
        <f>CHOOSE(CONTROL!$C$42, 17.6014, 17.6014) * CHOOSE(CONTROL!$C$21, $C$9, 100%, $E$9)</f>
        <v>17.601400000000002</v>
      </c>
      <c r="L373" s="17">
        <f>CHOOSE(CONTROL!$C$42, 18.2618, 18.2618) * CHOOSE(CONTROL!$C$21, $C$9, 100%, $E$9)</f>
        <v>18.261800000000001</v>
      </c>
      <c r="M373" s="17">
        <f>CHOOSE(CONTROL!$C$42, 17.3851, 17.3851) * CHOOSE(CONTROL!$C$21, $C$9, 100%, $E$9)</f>
        <v>17.385100000000001</v>
      </c>
      <c r="N373" s="17">
        <f>CHOOSE(CONTROL!$C$42, 17.4013, 17.4013) * CHOOSE(CONTROL!$C$21, $C$9, 100%, $E$9)</f>
        <v>17.401299999999999</v>
      </c>
      <c r="O373" s="17">
        <f>CHOOSE(CONTROL!$C$42, 17.5228, 17.5228) * CHOOSE(CONTROL!$C$21, $C$9, 100%, $E$9)</f>
        <v>17.5228</v>
      </c>
      <c r="P373" s="17">
        <f>CHOOSE(CONTROL!$C$42, 17.4556, 17.4556) * CHOOSE(CONTROL!$C$21, $C$9, 100%, $E$9)</f>
        <v>17.4556</v>
      </c>
      <c r="Q373" s="17">
        <f>CHOOSE(CONTROL!$C$42, 18.1175, 18.1175) * CHOOSE(CONTROL!$C$21, $C$9, 100%, $E$9)</f>
        <v>18.1175</v>
      </c>
      <c r="R373" s="17">
        <f>CHOOSE(CONTROL!$C$42, 18.7498, 18.7498) * CHOOSE(CONTROL!$C$21, $C$9, 100%, $E$9)</f>
        <v>18.7498</v>
      </c>
      <c r="S373" s="17">
        <f>CHOOSE(CONTROL!$C$42, 16.9889, 16.9889) * CHOOSE(CONTROL!$C$21, $C$9, 100%, $E$9)</f>
        <v>16.988900000000001</v>
      </c>
      <c r="T373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373" s="57">
        <f>(1000*CHOOSE(CONTROL!$C$42, 695, 695)*CHOOSE(CONTROL!$C$42, 0.5599, 0.5599)*CHOOSE(CONTROL!$C$42, 31, 31))/1000000</f>
        <v>12.063045499999998</v>
      </c>
      <c r="V373" s="57">
        <f>(1000*CHOOSE(CONTROL!$C$42, 500, 500)*CHOOSE(CONTROL!$C$42, 0.275, 0.275)*CHOOSE(CONTROL!$C$42, 31, 31))/1000000</f>
        <v>4.2625000000000002</v>
      </c>
      <c r="W373" s="57">
        <f>(1000*CHOOSE(CONTROL!$C$42, 0.0916, 0.0916)*CHOOSE(CONTROL!$C$42, 121.5, 121.5)*CHOOSE(CONTROL!$C$42, 31, 31))/1000000</f>
        <v>0.34501139999999997</v>
      </c>
      <c r="X373" s="57">
        <f>(31*0.2374*100000/1000000)</f>
        <v>0.73594000000000004</v>
      </c>
      <c r="Y373" s="57"/>
      <c r="Z373" s="17"/>
      <c r="AA373" s="56"/>
      <c r="AB373" s="49">
        <f>(B373*122.58+C373*297.941+D373*89.177+E373*140.302+F373*40+G373*60+H373*0+I373*100+J373*300)/(122.58+297.941+89.177+140.302+0+40+60+100+300)</f>
        <v>17.569905116695647</v>
      </c>
      <c r="AC373" s="46">
        <f>(M373*'RAP TEMPLATE-GAS AVAILABILITY'!O372+N373*'RAP TEMPLATE-GAS AVAILABILITY'!P372+O373*'RAP TEMPLATE-GAS AVAILABILITY'!Q372+P373*'RAP TEMPLATE-GAS AVAILABILITY'!R372)/('RAP TEMPLATE-GAS AVAILABILITY'!O372+'RAP TEMPLATE-GAS AVAILABILITY'!P372+'RAP TEMPLATE-GAS AVAILABILITY'!Q372+'RAP TEMPLATE-GAS AVAILABILITY'!R372)</f>
        <v>17.458587050359711</v>
      </c>
    </row>
    <row r="374" spans="1:29" ht="15.75" x14ac:dyDescent="0.25">
      <c r="A374" s="14">
        <v>52290</v>
      </c>
      <c r="B374" s="17">
        <f>CHOOSE(CONTROL!$C$42, 17.8415, 17.8415) * CHOOSE(CONTROL!$C$21, $C$9, 100%, $E$9)</f>
        <v>17.8415</v>
      </c>
      <c r="C374" s="17">
        <f>CHOOSE(CONTROL!$C$42, 17.8466, 17.8466) * CHOOSE(CONTROL!$C$21, $C$9, 100%, $E$9)</f>
        <v>17.846599999999999</v>
      </c>
      <c r="D374" s="17">
        <f>CHOOSE(CONTROL!$C$42, 17.964, 17.964) * CHOOSE(CONTROL!$C$21, $C$9, 100%, $E$9)</f>
        <v>17.963999999999999</v>
      </c>
      <c r="E374" s="17">
        <f>CHOOSE(CONTROL!$C$42, 17.9978, 17.9978) * CHOOSE(CONTROL!$C$21, $C$9, 100%, $E$9)</f>
        <v>17.997800000000002</v>
      </c>
      <c r="F374" s="17">
        <f>CHOOSE(CONTROL!$C$42, 17.8551, 17.8551)*CHOOSE(CONTROL!$C$21, $C$9, 100%, $E$9)</f>
        <v>17.8551</v>
      </c>
      <c r="G374" s="17">
        <f>CHOOSE(CONTROL!$C$42, 17.8714, 17.8714)*CHOOSE(CONTROL!$C$21, $C$9, 100%, $E$9)</f>
        <v>17.871400000000001</v>
      </c>
      <c r="H374" s="17">
        <f>CHOOSE(CONTROL!$C$42, 17.9866, 17.9866) * CHOOSE(CONTROL!$C$21, $C$9, 100%, $E$9)</f>
        <v>17.986599999999999</v>
      </c>
      <c r="I374" s="17">
        <f>CHOOSE(CONTROL!$C$42, 17.9202, 17.9202)* CHOOSE(CONTROL!$C$21, $C$9, 100%, $E$9)</f>
        <v>17.920200000000001</v>
      </c>
      <c r="J374" s="17">
        <f>CHOOSE(CONTROL!$C$42, 17.8477, 17.8477)* CHOOSE(CONTROL!$C$21, $C$9, 100%, $E$9)</f>
        <v>17.8477</v>
      </c>
      <c r="K374" s="53">
        <f>CHOOSE(CONTROL!$C$42, 17.9142, 17.9142) * CHOOSE(CONTROL!$C$21, $C$9, 100%, $E$9)</f>
        <v>17.914200000000001</v>
      </c>
      <c r="L374" s="17">
        <f>CHOOSE(CONTROL!$C$42, 18.5736, 18.5736) * CHOOSE(CONTROL!$C$21, $C$9, 100%, $E$9)</f>
        <v>18.573599999999999</v>
      </c>
      <c r="M374" s="17">
        <f>CHOOSE(CONTROL!$C$42, 17.6942, 17.6942) * CHOOSE(CONTROL!$C$21, $C$9, 100%, $E$9)</f>
        <v>17.694199999999999</v>
      </c>
      <c r="N374" s="17">
        <f>CHOOSE(CONTROL!$C$42, 17.7104, 17.7104) * CHOOSE(CONTROL!$C$21, $C$9, 100%, $E$9)</f>
        <v>17.7104</v>
      </c>
      <c r="O374" s="17">
        <f>CHOOSE(CONTROL!$C$42, 17.8319, 17.8319) * CHOOSE(CONTROL!$C$21, $C$9, 100%, $E$9)</f>
        <v>17.831900000000001</v>
      </c>
      <c r="P374" s="17">
        <f>CHOOSE(CONTROL!$C$42, 17.7656, 17.7656) * CHOOSE(CONTROL!$C$21, $C$9, 100%, $E$9)</f>
        <v>17.765599999999999</v>
      </c>
      <c r="Q374" s="17">
        <f>CHOOSE(CONTROL!$C$42, 18.4266, 18.4266) * CHOOSE(CONTROL!$C$21, $C$9, 100%, $E$9)</f>
        <v>18.426600000000001</v>
      </c>
      <c r="R374" s="17">
        <f>CHOOSE(CONTROL!$C$42, 19.0597, 19.0597) * CHOOSE(CONTROL!$C$21, $C$9, 100%, $E$9)</f>
        <v>19.059699999999999</v>
      </c>
      <c r="S374" s="17">
        <f>CHOOSE(CONTROL!$C$42, 17.2914, 17.2914) * CHOOSE(CONTROL!$C$21, $C$9, 100%, $E$9)</f>
        <v>17.291399999999999</v>
      </c>
      <c r="T374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374" s="57">
        <f>(1000*CHOOSE(CONTROL!$C$42, 695, 695)*CHOOSE(CONTROL!$C$42, 0.5599, 0.5599)*CHOOSE(CONTROL!$C$42, 28, 28))/1000000</f>
        <v>10.895653999999999</v>
      </c>
      <c r="V374" s="57">
        <f>(1000*CHOOSE(CONTROL!$C$42, 500, 500)*CHOOSE(CONTROL!$C$42, 0.275, 0.275)*CHOOSE(CONTROL!$C$42, 28, 28))/1000000</f>
        <v>3.85</v>
      </c>
      <c r="W374" s="57">
        <f>(1000*CHOOSE(CONTROL!$C$42, 0.0916, 0.0916)*CHOOSE(CONTROL!$C$42, 121.5, 121.5)*CHOOSE(CONTROL!$C$42, 28, 28))/1000000</f>
        <v>0.31162319999999999</v>
      </c>
      <c r="X374" s="57">
        <f>(28*0.2374*100000/1000000)</f>
        <v>0.66471999999999998</v>
      </c>
      <c r="Y374" s="57"/>
      <c r="Z374" s="17"/>
      <c r="AA374" s="56"/>
      <c r="AB374" s="49">
        <f>(B374*122.58+C374*297.941+D374*89.177+E374*140.302+F374*40+G374*60+H374*0+I374*100+J374*300)/(122.58+297.941+89.177+140.302+0+40+60+100+300)</f>
        <v>17.881883377565213</v>
      </c>
      <c r="AC374" s="46">
        <f>(M374*'RAP TEMPLATE-GAS AVAILABILITY'!O373+N374*'RAP TEMPLATE-GAS AVAILABILITY'!P373+O374*'RAP TEMPLATE-GAS AVAILABILITY'!Q373+P374*'RAP TEMPLATE-GAS AVAILABILITY'!R373)/('RAP TEMPLATE-GAS AVAILABILITY'!O373+'RAP TEMPLATE-GAS AVAILABILITY'!P373+'RAP TEMPLATE-GAS AVAILABILITY'!Q373+'RAP TEMPLATE-GAS AVAILABILITY'!R373)</f>
        <v>17.767816546762585</v>
      </c>
    </row>
    <row r="375" spans="1:29" ht="15.75" x14ac:dyDescent="0.25">
      <c r="A375" s="14">
        <v>52321</v>
      </c>
      <c r="B375" s="17">
        <f>CHOOSE(CONTROL!$C$42, 17.3352, 17.3352) * CHOOSE(CONTROL!$C$21, $C$9, 100%, $E$9)</f>
        <v>17.3352</v>
      </c>
      <c r="C375" s="17">
        <f>CHOOSE(CONTROL!$C$42, 17.3403, 17.3403) * CHOOSE(CONTROL!$C$21, $C$9, 100%, $E$9)</f>
        <v>17.340299999999999</v>
      </c>
      <c r="D375" s="17">
        <f>CHOOSE(CONTROL!$C$42, 17.4578, 17.4578) * CHOOSE(CONTROL!$C$21, $C$9, 100%, $E$9)</f>
        <v>17.457799999999999</v>
      </c>
      <c r="E375" s="17">
        <f>CHOOSE(CONTROL!$C$42, 17.4915, 17.4915) * CHOOSE(CONTROL!$C$21, $C$9, 100%, $E$9)</f>
        <v>17.491499999999998</v>
      </c>
      <c r="F375" s="17">
        <f>CHOOSE(CONTROL!$C$42, 17.3482, 17.3482)*CHOOSE(CONTROL!$C$21, $C$9, 100%, $E$9)</f>
        <v>17.348199999999999</v>
      </c>
      <c r="G375" s="17">
        <f>CHOOSE(CONTROL!$C$42, 17.3644, 17.3644)*CHOOSE(CONTROL!$C$21, $C$9, 100%, $E$9)</f>
        <v>17.3644</v>
      </c>
      <c r="H375" s="17">
        <f>CHOOSE(CONTROL!$C$42, 17.4804, 17.4804) * CHOOSE(CONTROL!$C$21, $C$9, 100%, $E$9)</f>
        <v>17.480399999999999</v>
      </c>
      <c r="I375" s="17">
        <f>CHOOSE(CONTROL!$C$42, 17.4124, 17.4124)* CHOOSE(CONTROL!$C$21, $C$9, 100%, $E$9)</f>
        <v>17.412400000000002</v>
      </c>
      <c r="J375" s="17">
        <f>CHOOSE(CONTROL!$C$42, 17.3408, 17.3408)* CHOOSE(CONTROL!$C$21, $C$9, 100%, $E$9)</f>
        <v>17.340800000000002</v>
      </c>
      <c r="K375" s="53">
        <f>CHOOSE(CONTROL!$C$42, 17.4064, 17.4064) * CHOOSE(CONTROL!$C$21, $C$9, 100%, $E$9)</f>
        <v>17.406400000000001</v>
      </c>
      <c r="L375" s="17">
        <f>CHOOSE(CONTROL!$C$42, 18.0674, 18.0674) * CHOOSE(CONTROL!$C$21, $C$9, 100%, $E$9)</f>
        <v>18.067399999999999</v>
      </c>
      <c r="M375" s="17">
        <f>CHOOSE(CONTROL!$C$42, 17.1919, 17.1919) * CHOOSE(CONTROL!$C$21, $C$9, 100%, $E$9)</f>
        <v>17.1919</v>
      </c>
      <c r="N375" s="17">
        <f>CHOOSE(CONTROL!$C$42, 17.2079, 17.2079) * CHOOSE(CONTROL!$C$21, $C$9, 100%, $E$9)</f>
        <v>17.207899999999999</v>
      </c>
      <c r="O375" s="17">
        <f>CHOOSE(CONTROL!$C$42, 17.3302, 17.3302) * CHOOSE(CONTROL!$C$21, $C$9, 100%, $E$9)</f>
        <v>17.330200000000001</v>
      </c>
      <c r="P375" s="17">
        <f>CHOOSE(CONTROL!$C$42, 17.2624, 17.2624) * CHOOSE(CONTROL!$C$21, $C$9, 100%, $E$9)</f>
        <v>17.2624</v>
      </c>
      <c r="Q375" s="17">
        <f>CHOOSE(CONTROL!$C$42, 17.9249, 17.9249) * CHOOSE(CONTROL!$C$21, $C$9, 100%, $E$9)</f>
        <v>17.924900000000001</v>
      </c>
      <c r="R375" s="17">
        <f>CHOOSE(CONTROL!$C$42, 18.5567, 18.5567) * CHOOSE(CONTROL!$C$21, $C$9, 100%, $E$9)</f>
        <v>18.556699999999999</v>
      </c>
      <c r="S375" s="17">
        <f>CHOOSE(CONTROL!$C$42, 16.8005, 16.8005) * CHOOSE(CONTROL!$C$21, $C$9, 100%, $E$9)</f>
        <v>16.8005</v>
      </c>
      <c r="T375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375" s="57">
        <f>(1000*CHOOSE(CONTROL!$C$42, 695, 695)*CHOOSE(CONTROL!$C$42, 0.5599, 0.5599)*CHOOSE(CONTROL!$C$42, 31, 31))/1000000</f>
        <v>12.063045499999998</v>
      </c>
      <c r="V375" s="57">
        <f>(1000*CHOOSE(CONTROL!$C$42, 500, 500)*CHOOSE(CONTROL!$C$42, 0.275, 0.275)*CHOOSE(CONTROL!$C$42, 31, 31))/1000000</f>
        <v>4.2625000000000002</v>
      </c>
      <c r="W375" s="57">
        <f>(1000*CHOOSE(CONTROL!$C$42, 0.0916, 0.0916)*CHOOSE(CONTROL!$C$42, 121.5, 121.5)*CHOOSE(CONTROL!$C$42, 31, 31))/1000000</f>
        <v>0.34501139999999997</v>
      </c>
      <c r="X375" s="57">
        <f>(31*0.2374*100000/1000000)</f>
        <v>0.73594000000000004</v>
      </c>
      <c r="Y375" s="57"/>
      <c r="Z375" s="17"/>
      <c r="AA375" s="56"/>
      <c r="AB375" s="49">
        <f>(B375*122.58+C375*297.941+D375*89.177+E375*140.302+F375*40+G375*60+H375*0+I375*100+J375*300)/(122.58+297.941+89.177+140.302+0+40+60+100+300)</f>
        <v>17.375246784260867</v>
      </c>
      <c r="AC375" s="46">
        <f>(M375*'RAP TEMPLATE-GAS AVAILABILITY'!O374+N375*'RAP TEMPLATE-GAS AVAILABILITY'!P374+O375*'RAP TEMPLATE-GAS AVAILABILITY'!Q374+P375*'RAP TEMPLATE-GAS AVAILABILITY'!R374)/('RAP TEMPLATE-GAS AVAILABILITY'!O374+'RAP TEMPLATE-GAS AVAILABILITY'!P374+'RAP TEMPLATE-GAS AVAILABILITY'!Q374+'RAP TEMPLATE-GAS AVAILABILITY'!R374)</f>
        <v>17.265647482014391</v>
      </c>
    </row>
    <row r="376" spans="1:29" ht="15.75" x14ac:dyDescent="0.25">
      <c r="A376" s="14">
        <v>52351</v>
      </c>
      <c r="B376" s="17">
        <f>CHOOSE(CONTROL!$C$42, 17.2844, 17.2844) * CHOOSE(CONTROL!$C$21, $C$9, 100%, $E$9)</f>
        <v>17.284400000000002</v>
      </c>
      <c r="C376" s="17">
        <f>CHOOSE(CONTROL!$C$42, 17.2889, 17.2889) * CHOOSE(CONTROL!$C$21, $C$9, 100%, $E$9)</f>
        <v>17.288900000000002</v>
      </c>
      <c r="D376" s="17">
        <f>CHOOSE(CONTROL!$C$42, 17.5416, 17.5416) * CHOOSE(CONTROL!$C$21, $C$9, 100%, $E$9)</f>
        <v>17.541599999999999</v>
      </c>
      <c r="E376" s="17">
        <f>CHOOSE(CONTROL!$C$42, 17.5734, 17.5734) * CHOOSE(CONTROL!$C$21, $C$9, 100%, $E$9)</f>
        <v>17.573399999999999</v>
      </c>
      <c r="F376" s="17">
        <f>CHOOSE(CONTROL!$C$42, 17.2903, 17.2903)*CHOOSE(CONTROL!$C$21, $C$9, 100%, $E$9)</f>
        <v>17.290299999999998</v>
      </c>
      <c r="G376" s="17">
        <f>CHOOSE(CONTROL!$C$42, 17.3062, 17.3062)*CHOOSE(CONTROL!$C$21, $C$9, 100%, $E$9)</f>
        <v>17.3062</v>
      </c>
      <c r="H376" s="17">
        <f>CHOOSE(CONTROL!$C$42, 17.5628, 17.5628) * CHOOSE(CONTROL!$C$21, $C$9, 100%, $E$9)</f>
        <v>17.562799999999999</v>
      </c>
      <c r="I376" s="17">
        <f>CHOOSE(CONTROL!$C$42, 17.3596, 17.3596)* CHOOSE(CONTROL!$C$21, $C$9, 100%, $E$9)</f>
        <v>17.3596</v>
      </c>
      <c r="J376" s="17">
        <f>CHOOSE(CONTROL!$C$42, 17.2829, 17.2829)* CHOOSE(CONTROL!$C$21, $C$9, 100%, $E$9)</f>
        <v>17.282900000000001</v>
      </c>
      <c r="K376" s="53">
        <f>CHOOSE(CONTROL!$C$42, 17.3535, 17.3535) * CHOOSE(CONTROL!$C$21, $C$9, 100%, $E$9)</f>
        <v>17.3535</v>
      </c>
      <c r="L376" s="17">
        <f>CHOOSE(CONTROL!$C$42, 18.1498, 18.1498) * CHOOSE(CONTROL!$C$21, $C$9, 100%, $E$9)</f>
        <v>18.149799999999999</v>
      </c>
      <c r="M376" s="17">
        <f>CHOOSE(CONTROL!$C$42, 17.1345, 17.1345) * CHOOSE(CONTROL!$C$21, $C$9, 100%, $E$9)</f>
        <v>17.134499999999999</v>
      </c>
      <c r="N376" s="17">
        <f>CHOOSE(CONTROL!$C$42, 17.1502, 17.1502) * CHOOSE(CONTROL!$C$21, $C$9, 100%, $E$9)</f>
        <v>17.150200000000002</v>
      </c>
      <c r="O376" s="17">
        <f>CHOOSE(CONTROL!$C$42, 17.4119, 17.4119) * CHOOSE(CONTROL!$C$21, $C$9, 100%, $E$9)</f>
        <v>17.411899999999999</v>
      </c>
      <c r="P376" s="17">
        <f>CHOOSE(CONTROL!$C$42, 17.21, 17.21) * CHOOSE(CONTROL!$C$21, $C$9, 100%, $E$9)</f>
        <v>17.21</v>
      </c>
      <c r="Q376" s="17">
        <f>CHOOSE(CONTROL!$C$42, 18.0066, 18.0066) * CHOOSE(CONTROL!$C$21, $C$9, 100%, $E$9)</f>
        <v>18.006599999999999</v>
      </c>
      <c r="R376" s="17">
        <f>CHOOSE(CONTROL!$C$42, 18.6386, 18.6386) * CHOOSE(CONTROL!$C$21, $C$9, 100%, $E$9)</f>
        <v>18.6386</v>
      </c>
      <c r="S376" s="17">
        <f>CHOOSE(CONTROL!$C$42, 16.7504, 16.7504) * CHOOSE(CONTROL!$C$21, $C$9, 100%, $E$9)</f>
        <v>16.750399999999999</v>
      </c>
      <c r="T376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376" s="57">
        <f>(1000*CHOOSE(CONTROL!$C$42, 695, 695)*CHOOSE(CONTROL!$C$42, 0.5599, 0.5599)*CHOOSE(CONTROL!$C$42, 30, 30))/1000000</f>
        <v>11.673914999999997</v>
      </c>
      <c r="V376" s="57">
        <f>(1000*CHOOSE(CONTROL!$C$42, 500, 500)*CHOOSE(CONTROL!$C$42, 0.275, 0.275)*CHOOSE(CONTROL!$C$42, 30, 30))/1000000</f>
        <v>4.125</v>
      </c>
      <c r="W376" s="57">
        <f>(1000*CHOOSE(CONTROL!$C$42, 0.0916, 0.0916)*CHOOSE(CONTROL!$C$42, 121.5, 121.5)*CHOOSE(CONTROL!$C$42, 30, 30))/1000000</f>
        <v>0.33388200000000001</v>
      </c>
      <c r="X376" s="57">
        <f>(30*0.1790888*145000/1000000)+(30*0.2374*100000/1000000)</f>
        <v>1.4912362799999999</v>
      </c>
      <c r="Y376" s="57"/>
      <c r="Z376" s="17"/>
      <c r="AA376" s="56"/>
      <c r="AB376" s="49">
        <f>(B376*141.293+C376*267.993+D376*115.016+E376*189.698+F376*40+G376*85+H376*0+I376*100+J376*300)/(141.293+267.993+115.016+189.698+0+40+85+100+300)</f>
        <v>17.360888947296207</v>
      </c>
      <c r="AC376" s="46">
        <f>(M376*'RAP TEMPLATE-GAS AVAILABILITY'!O375+N376*'RAP TEMPLATE-GAS AVAILABILITY'!P375+O376*'RAP TEMPLATE-GAS AVAILABILITY'!Q375+P376*'RAP TEMPLATE-GAS AVAILABILITY'!R375)/('RAP TEMPLATE-GAS AVAILABILITY'!O375+'RAP TEMPLATE-GAS AVAILABILITY'!P375+'RAP TEMPLATE-GAS AVAILABILITY'!Q375+'RAP TEMPLATE-GAS AVAILABILITY'!R375)</f>
        <v>17.226809352517986</v>
      </c>
    </row>
    <row r="377" spans="1:29" ht="15.75" x14ac:dyDescent="0.25">
      <c r="A377" s="14">
        <v>52382</v>
      </c>
      <c r="B377" s="17">
        <f>CHOOSE(CONTROL!$C$42, 17.4382, 17.4382) * CHOOSE(CONTROL!$C$21, $C$9, 100%, $E$9)</f>
        <v>17.438199999999998</v>
      </c>
      <c r="C377" s="17">
        <f>CHOOSE(CONTROL!$C$42, 17.4462, 17.4462) * CHOOSE(CONTROL!$C$21, $C$9, 100%, $E$9)</f>
        <v>17.446200000000001</v>
      </c>
      <c r="D377" s="17">
        <f>CHOOSE(CONTROL!$C$42, 17.6958, 17.6958) * CHOOSE(CONTROL!$C$21, $C$9, 100%, $E$9)</f>
        <v>17.695799999999998</v>
      </c>
      <c r="E377" s="17">
        <f>CHOOSE(CONTROL!$C$42, 17.727, 17.727) * CHOOSE(CONTROL!$C$21, $C$9, 100%, $E$9)</f>
        <v>17.727</v>
      </c>
      <c r="F377" s="17">
        <f>CHOOSE(CONTROL!$C$42, 17.443, 17.443)*CHOOSE(CONTROL!$C$21, $C$9, 100%, $E$9)</f>
        <v>17.443000000000001</v>
      </c>
      <c r="G377" s="17">
        <f>CHOOSE(CONTROL!$C$42, 17.4591, 17.4591)*CHOOSE(CONTROL!$C$21, $C$9, 100%, $E$9)</f>
        <v>17.459099999999999</v>
      </c>
      <c r="H377" s="17">
        <f>CHOOSE(CONTROL!$C$42, 17.7153, 17.7153) * CHOOSE(CONTROL!$C$21, $C$9, 100%, $E$9)</f>
        <v>17.715299999999999</v>
      </c>
      <c r="I377" s="17">
        <f>CHOOSE(CONTROL!$C$42, 17.5125, 17.5125)* CHOOSE(CONTROL!$C$21, $C$9, 100%, $E$9)</f>
        <v>17.512499999999999</v>
      </c>
      <c r="J377" s="17">
        <f>CHOOSE(CONTROL!$C$42, 17.4356, 17.4356)* CHOOSE(CONTROL!$C$21, $C$9, 100%, $E$9)</f>
        <v>17.435600000000001</v>
      </c>
      <c r="K377" s="53">
        <f>CHOOSE(CONTROL!$C$42, 17.5065, 17.5065) * CHOOSE(CONTROL!$C$21, $C$9, 100%, $E$9)</f>
        <v>17.506499999999999</v>
      </c>
      <c r="L377" s="17">
        <f>CHOOSE(CONTROL!$C$42, 18.3023, 18.3023) * CHOOSE(CONTROL!$C$21, $C$9, 100%, $E$9)</f>
        <v>18.302299999999999</v>
      </c>
      <c r="M377" s="17">
        <f>CHOOSE(CONTROL!$C$42, 17.2858, 17.2858) * CHOOSE(CONTROL!$C$21, $C$9, 100%, $E$9)</f>
        <v>17.285799999999998</v>
      </c>
      <c r="N377" s="17">
        <f>CHOOSE(CONTROL!$C$42, 17.3018, 17.3018) * CHOOSE(CONTROL!$C$21, $C$9, 100%, $E$9)</f>
        <v>17.3018</v>
      </c>
      <c r="O377" s="17">
        <f>CHOOSE(CONTROL!$C$42, 17.563, 17.563) * CHOOSE(CONTROL!$C$21, $C$9, 100%, $E$9)</f>
        <v>17.562999999999999</v>
      </c>
      <c r="P377" s="17">
        <f>CHOOSE(CONTROL!$C$42, 17.3616, 17.3616) * CHOOSE(CONTROL!$C$21, $C$9, 100%, $E$9)</f>
        <v>17.361599999999999</v>
      </c>
      <c r="Q377" s="17">
        <f>CHOOSE(CONTROL!$C$42, 18.1577, 18.1577) * CHOOSE(CONTROL!$C$21, $C$9, 100%, $E$9)</f>
        <v>18.157699999999998</v>
      </c>
      <c r="R377" s="17">
        <f>CHOOSE(CONTROL!$C$42, 18.7901, 18.7901) * CHOOSE(CONTROL!$C$21, $C$9, 100%, $E$9)</f>
        <v>18.790099999999999</v>
      </c>
      <c r="S377" s="17">
        <f>CHOOSE(CONTROL!$C$42, 16.8982, 16.8982) * CHOOSE(CONTROL!$C$21, $C$9, 100%, $E$9)</f>
        <v>16.898199999999999</v>
      </c>
      <c r="T377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377" s="57">
        <f>(1000*CHOOSE(CONTROL!$C$42, 695, 695)*CHOOSE(CONTROL!$C$42, 0.5599, 0.5599)*CHOOSE(CONTROL!$C$42, 31, 31))/1000000</f>
        <v>12.063045499999998</v>
      </c>
      <c r="V377" s="57">
        <f>(1000*CHOOSE(CONTROL!$C$42, 500, 500)*CHOOSE(CONTROL!$C$42, 0.275, 0.275)*CHOOSE(CONTROL!$C$42, 31, 31))/1000000</f>
        <v>4.2625000000000002</v>
      </c>
      <c r="W377" s="57">
        <f>(1000*CHOOSE(CONTROL!$C$42, 0.0916, 0.0916)*CHOOSE(CONTROL!$C$42, 121.5, 121.5)*CHOOSE(CONTROL!$C$42, 31, 31))/1000000</f>
        <v>0.34501139999999997</v>
      </c>
      <c r="X377" s="57">
        <f>(31*0.1790888*145000/1000000)+(31*0.2374*100000/1000000)</f>
        <v>1.5409441560000001</v>
      </c>
      <c r="Y377" s="57"/>
      <c r="Z377" s="17"/>
      <c r="AA377" s="56"/>
      <c r="AB377" s="49">
        <f>(B377*194.205+C377*267.466+D377*133.845+E377*153.484+F377*40+G377*85+H377*0+I377*100+J377*300)/(194.205+267.466+133.845+153.484+0+40+85+100+300)</f>
        <v>17.508500533124018</v>
      </c>
      <c r="AC377" s="46">
        <f>(M377*'RAP TEMPLATE-GAS AVAILABILITY'!O376+N377*'RAP TEMPLATE-GAS AVAILABILITY'!P376+O377*'RAP TEMPLATE-GAS AVAILABILITY'!Q376+P377*'RAP TEMPLATE-GAS AVAILABILITY'!R376)/('RAP TEMPLATE-GAS AVAILABILITY'!O376+'RAP TEMPLATE-GAS AVAILABILITY'!P376+'RAP TEMPLATE-GAS AVAILABILITY'!Q376+'RAP TEMPLATE-GAS AVAILABILITY'!R376)</f>
        <v>17.378165467625898</v>
      </c>
    </row>
    <row r="378" spans="1:29" ht="15.75" x14ac:dyDescent="0.25">
      <c r="A378" s="14">
        <v>52412</v>
      </c>
      <c r="B378" s="17">
        <f>CHOOSE(CONTROL!$C$42, 17.9325, 17.9325) * CHOOSE(CONTROL!$C$21, $C$9, 100%, $E$9)</f>
        <v>17.932500000000001</v>
      </c>
      <c r="C378" s="17">
        <f>CHOOSE(CONTROL!$C$42, 17.9405, 17.9405) * CHOOSE(CONTROL!$C$21, $C$9, 100%, $E$9)</f>
        <v>17.9405</v>
      </c>
      <c r="D378" s="17">
        <f>CHOOSE(CONTROL!$C$42, 18.1901, 18.1901) * CHOOSE(CONTROL!$C$21, $C$9, 100%, $E$9)</f>
        <v>18.190100000000001</v>
      </c>
      <c r="E378" s="17">
        <f>CHOOSE(CONTROL!$C$42, 18.2212, 18.2212) * CHOOSE(CONTROL!$C$21, $C$9, 100%, $E$9)</f>
        <v>18.2212</v>
      </c>
      <c r="F378" s="17">
        <f>CHOOSE(CONTROL!$C$42, 17.9377, 17.9377)*CHOOSE(CONTROL!$C$21, $C$9, 100%, $E$9)</f>
        <v>17.9377</v>
      </c>
      <c r="G378" s="17">
        <f>CHOOSE(CONTROL!$C$42, 17.9539, 17.9539)*CHOOSE(CONTROL!$C$21, $C$9, 100%, $E$9)</f>
        <v>17.953900000000001</v>
      </c>
      <c r="H378" s="17">
        <f>CHOOSE(CONTROL!$C$42, 18.2096, 18.2096) * CHOOSE(CONTROL!$C$21, $C$9, 100%, $E$9)</f>
        <v>18.209599999999998</v>
      </c>
      <c r="I378" s="17">
        <f>CHOOSE(CONTROL!$C$42, 18.0083, 18.0083)* CHOOSE(CONTROL!$C$21, $C$9, 100%, $E$9)</f>
        <v>18.008299999999998</v>
      </c>
      <c r="J378" s="17">
        <f>CHOOSE(CONTROL!$C$42, 17.9303, 17.9303)* CHOOSE(CONTROL!$C$21, $C$9, 100%, $E$9)</f>
        <v>17.930299999999999</v>
      </c>
      <c r="K378" s="53">
        <f>CHOOSE(CONTROL!$C$42, 18.0023, 18.0023) * CHOOSE(CONTROL!$C$21, $C$9, 100%, $E$9)</f>
        <v>18.002300000000002</v>
      </c>
      <c r="L378" s="17">
        <f>CHOOSE(CONTROL!$C$42, 18.7966, 18.7966) * CHOOSE(CONTROL!$C$21, $C$9, 100%, $E$9)</f>
        <v>18.796600000000002</v>
      </c>
      <c r="M378" s="17">
        <f>CHOOSE(CONTROL!$C$42, 17.776, 17.776) * CHOOSE(CONTROL!$C$21, $C$9, 100%, $E$9)</f>
        <v>17.776</v>
      </c>
      <c r="N378" s="17">
        <f>CHOOSE(CONTROL!$C$42, 17.7921, 17.7921) * CHOOSE(CONTROL!$C$21, $C$9, 100%, $E$9)</f>
        <v>17.792100000000001</v>
      </c>
      <c r="O378" s="17">
        <f>CHOOSE(CONTROL!$C$42, 18.0528, 18.0528) * CHOOSE(CONTROL!$C$21, $C$9, 100%, $E$9)</f>
        <v>18.052800000000001</v>
      </c>
      <c r="P378" s="17">
        <f>CHOOSE(CONTROL!$C$42, 17.8529, 17.8529) * CHOOSE(CONTROL!$C$21, $C$9, 100%, $E$9)</f>
        <v>17.852900000000002</v>
      </c>
      <c r="Q378" s="17">
        <f>CHOOSE(CONTROL!$C$42, 18.6475, 18.6475) * CHOOSE(CONTROL!$C$21, $C$9, 100%, $E$9)</f>
        <v>18.647500000000001</v>
      </c>
      <c r="R378" s="17">
        <f>CHOOSE(CONTROL!$C$42, 19.2811, 19.2811) * CHOOSE(CONTROL!$C$21, $C$9, 100%, $E$9)</f>
        <v>19.281099999999999</v>
      </c>
      <c r="S378" s="17">
        <f>CHOOSE(CONTROL!$C$42, 17.3775, 17.3775) * CHOOSE(CONTROL!$C$21, $C$9, 100%, $E$9)</f>
        <v>17.377500000000001</v>
      </c>
      <c r="T378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378" s="57">
        <f>(1000*CHOOSE(CONTROL!$C$42, 695, 695)*CHOOSE(CONTROL!$C$42, 0.5599, 0.5599)*CHOOSE(CONTROL!$C$42, 30, 30))/1000000</f>
        <v>11.673914999999997</v>
      </c>
      <c r="V378" s="57">
        <f>(1000*CHOOSE(CONTROL!$C$42, 500, 500)*CHOOSE(CONTROL!$C$42, 0.275, 0.275)*CHOOSE(CONTROL!$C$42, 30, 30))/1000000</f>
        <v>4.125</v>
      </c>
      <c r="W378" s="57">
        <f>(1000*CHOOSE(CONTROL!$C$42, 0.0916, 0.0916)*CHOOSE(CONTROL!$C$42, 121.5, 121.5)*CHOOSE(CONTROL!$C$42, 30, 30))/1000000</f>
        <v>0.33388200000000001</v>
      </c>
      <c r="X378" s="57">
        <f>(30*0.1790888*145000/1000000)+(30*0.2374*100000/1000000)</f>
        <v>1.4912362799999999</v>
      </c>
      <c r="Y378" s="57"/>
      <c r="Z378" s="17"/>
      <c r="AA378" s="56"/>
      <c r="AB378" s="49">
        <f>(B378*194.205+C378*267.466+D378*133.845+E378*153.484+F378*40+G378*85+H378*0+I378*100+J378*300)/(194.205+267.466+133.845+153.484+0+40+85+100+300)</f>
        <v>18.003046335007848</v>
      </c>
      <c r="AC378" s="46">
        <f>(M378*'RAP TEMPLATE-GAS AVAILABILITY'!O377+N378*'RAP TEMPLATE-GAS AVAILABILITY'!P377+O378*'RAP TEMPLATE-GAS AVAILABILITY'!Q377+P378*'RAP TEMPLATE-GAS AVAILABILITY'!R377)/('RAP TEMPLATE-GAS AVAILABILITY'!O377+'RAP TEMPLATE-GAS AVAILABILITY'!P377+'RAP TEMPLATE-GAS AVAILABILITY'!Q377+'RAP TEMPLATE-GAS AVAILABILITY'!R377)</f>
        <v>17.868434532374103</v>
      </c>
    </row>
    <row r="379" spans="1:29" ht="15.75" x14ac:dyDescent="0.25">
      <c r="A379" s="14">
        <v>52443</v>
      </c>
      <c r="B379" s="17">
        <f>CHOOSE(CONTROL!$C$42, 17.5887, 17.5887) * CHOOSE(CONTROL!$C$21, $C$9, 100%, $E$9)</f>
        <v>17.588699999999999</v>
      </c>
      <c r="C379" s="17">
        <f>CHOOSE(CONTROL!$C$42, 17.5967, 17.5967) * CHOOSE(CONTROL!$C$21, $C$9, 100%, $E$9)</f>
        <v>17.596699999999998</v>
      </c>
      <c r="D379" s="17">
        <f>CHOOSE(CONTROL!$C$42, 17.8463, 17.8463) * CHOOSE(CONTROL!$C$21, $C$9, 100%, $E$9)</f>
        <v>17.846299999999999</v>
      </c>
      <c r="E379" s="17">
        <f>CHOOSE(CONTROL!$C$42, 17.8775, 17.8775) * CHOOSE(CONTROL!$C$21, $C$9, 100%, $E$9)</f>
        <v>17.877500000000001</v>
      </c>
      <c r="F379" s="17">
        <f>CHOOSE(CONTROL!$C$42, 17.5944, 17.5944)*CHOOSE(CONTROL!$C$21, $C$9, 100%, $E$9)</f>
        <v>17.5944</v>
      </c>
      <c r="G379" s="17">
        <f>CHOOSE(CONTROL!$C$42, 17.6107, 17.6107)*CHOOSE(CONTROL!$C$21, $C$9, 100%, $E$9)</f>
        <v>17.610700000000001</v>
      </c>
      <c r="H379" s="17">
        <f>CHOOSE(CONTROL!$C$42, 17.8658, 17.8658) * CHOOSE(CONTROL!$C$21, $C$9, 100%, $E$9)</f>
        <v>17.8658</v>
      </c>
      <c r="I379" s="17">
        <f>CHOOSE(CONTROL!$C$42, 17.6635, 17.6635)* CHOOSE(CONTROL!$C$21, $C$9, 100%, $E$9)</f>
        <v>17.663499999999999</v>
      </c>
      <c r="J379" s="17">
        <f>CHOOSE(CONTROL!$C$42, 17.587, 17.587)* CHOOSE(CONTROL!$C$21, $C$9, 100%, $E$9)</f>
        <v>17.587</v>
      </c>
      <c r="K379" s="53">
        <f>CHOOSE(CONTROL!$C$42, 17.6575, 17.6575) * CHOOSE(CONTROL!$C$21, $C$9, 100%, $E$9)</f>
        <v>17.657499999999999</v>
      </c>
      <c r="L379" s="17">
        <f>CHOOSE(CONTROL!$C$42, 18.4528, 18.4528) * CHOOSE(CONTROL!$C$21, $C$9, 100%, $E$9)</f>
        <v>18.4528</v>
      </c>
      <c r="M379" s="17">
        <f>CHOOSE(CONTROL!$C$42, 17.4358, 17.4358) * CHOOSE(CONTROL!$C$21, $C$9, 100%, $E$9)</f>
        <v>17.4358</v>
      </c>
      <c r="N379" s="17">
        <f>CHOOSE(CONTROL!$C$42, 17.452, 17.452) * CHOOSE(CONTROL!$C$21, $C$9, 100%, $E$9)</f>
        <v>17.452000000000002</v>
      </c>
      <c r="O379" s="17">
        <f>CHOOSE(CONTROL!$C$42, 17.7121, 17.7121) * CHOOSE(CONTROL!$C$21, $C$9, 100%, $E$9)</f>
        <v>17.7121</v>
      </c>
      <c r="P379" s="17">
        <f>CHOOSE(CONTROL!$C$42, 17.5112, 17.5112) * CHOOSE(CONTROL!$C$21, $C$9, 100%, $E$9)</f>
        <v>17.511199999999999</v>
      </c>
      <c r="Q379" s="17">
        <f>CHOOSE(CONTROL!$C$42, 18.3068, 18.3068) * CHOOSE(CONTROL!$C$21, $C$9, 100%, $E$9)</f>
        <v>18.306799999999999</v>
      </c>
      <c r="R379" s="17">
        <f>CHOOSE(CONTROL!$C$42, 18.9396, 18.9396) * CHOOSE(CONTROL!$C$21, $C$9, 100%, $E$9)</f>
        <v>18.939599999999999</v>
      </c>
      <c r="S379" s="17">
        <f>CHOOSE(CONTROL!$C$42, 17.0442, 17.0442) * CHOOSE(CONTROL!$C$21, $C$9, 100%, $E$9)</f>
        <v>17.0442</v>
      </c>
      <c r="T379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379" s="57">
        <f>(1000*CHOOSE(CONTROL!$C$42, 695, 695)*CHOOSE(CONTROL!$C$42, 0.5599, 0.5599)*CHOOSE(CONTROL!$C$42, 31, 31))/1000000</f>
        <v>12.063045499999998</v>
      </c>
      <c r="V379" s="57">
        <f>(1000*CHOOSE(CONTROL!$C$42, 500, 500)*CHOOSE(CONTROL!$C$42, 0.275, 0.275)*CHOOSE(CONTROL!$C$42, 31, 31))/1000000</f>
        <v>4.2625000000000002</v>
      </c>
      <c r="W379" s="57">
        <f>(1000*CHOOSE(CONTROL!$C$42, 0.0916, 0.0916)*CHOOSE(CONTROL!$C$42, 121.5, 121.5)*CHOOSE(CONTROL!$C$42, 31, 31))/1000000</f>
        <v>0.34501139999999997</v>
      </c>
      <c r="X379" s="57">
        <f>(31*0.1790888*145000/1000000)+(31*0.2374*100000/1000000)</f>
        <v>1.5409441560000001</v>
      </c>
      <c r="Y379" s="57"/>
      <c r="Z379" s="17"/>
      <c r="AA379" s="56"/>
      <c r="AB379" s="49">
        <f>(B379*194.205+C379*267.466+D379*133.845+E379*153.484+F379*40+G379*85+H379*0+I379*100+J379*300)/(194.205+267.466+133.845+153.484+0+40+85+100+300)</f>
        <v>17.659353358869701</v>
      </c>
      <c r="AC379" s="46">
        <f>(M379*'RAP TEMPLATE-GAS AVAILABILITY'!O378+N379*'RAP TEMPLATE-GAS AVAILABILITY'!P378+O379*'RAP TEMPLATE-GAS AVAILABILITY'!Q378+P379*'RAP TEMPLATE-GAS AVAILABILITY'!R378)/('RAP TEMPLATE-GAS AVAILABILITY'!O378+'RAP TEMPLATE-GAS AVAILABILITY'!P378+'RAP TEMPLATE-GAS AVAILABILITY'!Q378+'RAP TEMPLATE-GAS AVAILABILITY'!R378)</f>
        <v>17.527901438848922</v>
      </c>
    </row>
    <row r="380" spans="1:29" ht="15.75" x14ac:dyDescent="0.25">
      <c r="A380" s="14">
        <v>52474</v>
      </c>
      <c r="B380" s="17">
        <f>CHOOSE(CONTROL!$C$42, 16.7205, 16.7205) * CHOOSE(CONTROL!$C$21, $C$9, 100%, $E$9)</f>
        <v>16.720500000000001</v>
      </c>
      <c r="C380" s="17">
        <f>CHOOSE(CONTROL!$C$42, 16.7285, 16.7285) * CHOOSE(CONTROL!$C$21, $C$9, 100%, $E$9)</f>
        <v>16.7285</v>
      </c>
      <c r="D380" s="17">
        <f>CHOOSE(CONTROL!$C$42, 16.9781, 16.9781) * CHOOSE(CONTROL!$C$21, $C$9, 100%, $E$9)</f>
        <v>16.978100000000001</v>
      </c>
      <c r="E380" s="17">
        <f>CHOOSE(CONTROL!$C$42, 17.0093, 17.0093) * CHOOSE(CONTROL!$C$21, $C$9, 100%, $E$9)</f>
        <v>17.0093</v>
      </c>
      <c r="F380" s="17">
        <f>CHOOSE(CONTROL!$C$42, 16.7265, 16.7265)*CHOOSE(CONTROL!$C$21, $C$9, 100%, $E$9)</f>
        <v>16.726500000000001</v>
      </c>
      <c r="G380" s="17">
        <f>CHOOSE(CONTROL!$C$42, 16.7429, 16.7429)*CHOOSE(CONTROL!$C$21, $C$9, 100%, $E$9)</f>
        <v>16.742899999999999</v>
      </c>
      <c r="H380" s="17">
        <f>CHOOSE(CONTROL!$C$42, 16.9976, 16.9976) * CHOOSE(CONTROL!$C$21, $C$9, 100%, $E$9)</f>
        <v>16.997599999999998</v>
      </c>
      <c r="I380" s="17">
        <f>CHOOSE(CONTROL!$C$42, 16.7926, 16.7926)* CHOOSE(CONTROL!$C$21, $C$9, 100%, $E$9)</f>
        <v>16.7926</v>
      </c>
      <c r="J380" s="17">
        <f>CHOOSE(CONTROL!$C$42, 16.7191, 16.7191)* CHOOSE(CONTROL!$C$21, $C$9, 100%, $E$9)</f>
        <v>16.719100000000001</v>
      </c>
      <c r="K380" s="53">
        <f>CHOOSE(CONTROL!$C$42, 16.7866, 16.7866) * CHOOSE(CONTROL!$C$21, $C$9, 100%, $E$9)</f>
        <v>16.7866</v>
      </c>
      <c r="L380" s="17">
        <f>CHOOSE(CONTROL!$C$42, 17.5846, 17.5846) * CHOOSE(CONTROL!$C$21, $C$9, 100%, $E$9)</f>
        <v>17.584599999999998</v>
      </c>
      <c r="M380" s="17">
        <f>CHOOSE(CONTROL!$C$42, 16.5757, 16.5757) * CHOOSE(CONTROL!$C$21, $C$9, 100%, $E$9)</f>
        <v>16.575700000000001</v>
      </c>
      <c r="N380" s="17">
        <f>CHOOSE(CONTROL!$C$42, 16.592, 16.592) * CHOOSE(CONTROL!$C$21, $C$9, 100%, $E$9)</f>
        <v>16.591999999999999</v>
      </c>
      <c r="O380" s="17">
        <f>CHOOSE(CONTROL!$C$42, 16.8518, 16.8518) * CHOOSE(CONTROL!$C$21, $C$9, 100%, $E$9)</f>
        <v>16.851800000000001</v>
      </c>
      <c r="P380" s="17">
        <f>CHOOSE(CONTROL!$C$42, 16.6482, 16.6482) * CHOOSE(CONTROL!$C$21, $C$9, 100%, $E$9)</f>
        <v>16.648199999999999</v>
      </c>
      <c r="Q380" s="17">
        <f>CHOOSE(CONTROL!$C$42, 17.4465, 17.4465) * CHOOSE(CONTROL!$C$21, $C$9, 100%, $E$9)</f>
        <v>17.4465</v>
      </c>
      <c r="R380" s="17">
        <f>CHOOSE(CONTROL!$C$42, 18.0771, 18.0771) * CHOOSE(CONTROL!$C$21, $C$9, 100%, $E$9)</f>
        <v>18.077100000000002</v>
      </c>
      <c r="S380" s="17">
        <f>CHOOSE(CONTROL!$C$42, 16.2023, 16.2023) * CHOOSE(CONTROL!$C$21, $C$9, 100%, $E$9)</f>
        <v>16.202300000000001</v>
      </c>
      <c r="T380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380" s="57">
        <f>(1000*CHOOSE(CONTROL!$C$42, 695, 695)*CHOOSE(CONTROL!$C$42, 0.5599, 0.5599)*CHOOSE(CONTROL!$C$42, 31, 31))/1000000</f>
        <v>12.063045499999998</v>
      </c>
      <c r="V380" s="57">
        <f>(1000*CHOOSE(CONTROL!$C$42, 500, 500)*CHOOSE(CONTROL!$C$42, 0.275, 0.275)*CHOOSE(CONTROL!$C$42, 31, 31))/1000000</f>
        <v>4.2625000000000002</v>
      </c>
      <c r="W380" s="57">
        <f>(1000*CHOOSE(CONTROL!$C$42, 0.0916, 0.0916)*CHOOSE(CONTROL!$C$42, 121.5, 121.5)*CHOOSE(CONTROL!$C$42, 31, 31))/1000000</f>
        <v>0.34501139999999997</v>
      </c>
      <c r="X380" s="57">
        <f>(31*0.1790888*145000/1000000)+(31*0.2374*100000/1000000)</f>
        <v>1.5409441560000001</v>
      </c>
      <c r="Y380" s="57"/>
      <c r="Z380" s="17"/>
      <c r="AA380" s="56"/>
      <c r="AB380" s="49">
        <f>(B380*194.205+C380*267.466+D380*133.845+E380*153.484+F380*40+G380*85+H380*0+I380*100+J380*300)/(194.205+267.466+133.845+153.484+0+40+85+100+300)</f>
        <v>16.791048178335949</v>
      </c>
      <c r="AC380" s="46">
        <f>(M380*'RAP TEMPLATE-GAS AVAILABILITY'!O379+N380*'RAP TEMPLATE-GAS AVAILABILITY'!P379+O380*'RAP TEMPLATE-GAS AVAILABILITY'!Q379+P380*'RAP TEMPLATE-GAS AVAILABILITY'!R379)/('RAP TEMPLATE-GAS AVAILABILITY'!O379+'RAP TEMPLATE-GAS AVAILABILITY'!P379+'RAP TEMPLATE-GAS AVAILABILITY'!Q379+'RAP TEMPLATE-GAS AVAILABILITY'!R379)</f>
        <v>16.66735107913669</v>
      </c>
    </row>
    <row r="381" spans="1:29" ht="15.75" x14ac:dyDescent="0.25">
      <c r="A381" s="14">
        <v>52504</v>
      </c>
      <c r="B381" s="17">
        <f>CHOOSE(CONTROL!$C$42, 15.6596, 15.6596) * CHOOSE(CONTROL!$C$21, $C$9, 100%, $E$9)</f>
        <v>15.659599999999999</v>
      </c>
      <c r="C381" s="17">
        <f>CHOOSE(CONTROL!$C$42, 15.6675, 15.6675) * CHOOSE(CONTROL!$C$21, $C$9, 100%, $E$9)</f>
        <v>15.6675</v>
      </c>
      <c r="D381" s="17">
        <f>CHOOSE(CONTROL!$C$42, 15.9172, 15.9172) * CHOOSE(CONTROL!$C$21, $C$9, 100%, $E$9)</f>
        <v>15.917199999999999</v>
      </c>
      <c r="E381" s="17">
        <f>CHOOSE(CONTROL!$C$42, 15.9483, 15.9483) * CHOOSE(CONTROL!$C$21, $C$9, 100%, $E$9)</f>
        <v>15.9483</v>
      </c>
      <c r="F381" s="17">
        <f>CHOOSE(CONTROL!$C$42, 15.6656, 15.6656)*CHOOSE(CONTROL!$C$21, $C$9, 100%, $E$9)</f>
        <v>15.6656</v>
      </c>
      <c r="G381" s="17">
        <f>CHOOSE(CONTROL!$C$42, 15.682, 15.682)*CHOOSE(CONTROL!$C$21, $C$9, 100%, $E$9)</f>
        <v>15.682</v>
      </c>
      <c r="H381" s="17">
        <f>CHOOSE(CONTROL!$C$42, 15.9367, 15.9367) * CHOOSE(CONTROL!$C$21, $C$9, 100%, $E$9)</f>
        <v>15.9367</v>
      </c>
      <c r="I381" s="17">
        <f>CHOOSE(CONTROL!$C$42, 15.7284, 15.7284)* CHOOSE(CONTROL!$C$21, $C$9, 100%, $E$9)</f>
        <v>15.728400000000001</v>
      </c>
      <c r="J381" s="17">
        <f>CHOOSE(CONTROL!$C$42, 15.6582, 15.6582)* CHOOSE(CONTROL!$C$21, $C$9, 100%, $E$9)</f>
        <v>15.658200000000001</v>
      </c>
      <c r="K381" s="53">
        <f>CHOOSE(CONTROL!$C$42, 15.7223, 15.7223) * CHOOSE(CONTROL!$C$21, $C$9, 100%, $E$9)</f>
        <v>15.722300000000001</v>
      </c>
      <c r="L381" s="17">
        <f>CHOOSE(CONTROL!$C$42, 16.5237, 16.5237) * CHOOSE(CONTROL!$C$21, $C$9, 100%, $E$9)</f>
        <v>16.523700000000002</v>
      </c>
      <c r="M381" s="17">
        <f>CHOOSE(CONTROL!$C$42, 15.5243, 15.5243) * CHOOSE(CONTROL!$C$21, $C$9, 100%, $E$9)</f>
        <v>15.5243</v>
      </c>
      <c r="N381" s="17">
        <f>CHOOSE(CONTROL!$C$42, 15.5406, 15.5406) * CHOOSE(CONTROL!$C$21, $C$9, 100%, $E$9)</f>
        <v>15.5406</v>
      </c>
      <c r="O381" s="17">
        <f>CHOOSE(CONTROL!$C$42, 15.8004, 15.8004) * CHOOSE(CONTROL!$C$21, $C$9, 100%, $E$9)</f>
        <v>15.8004</v>
      </c>
      <c r="P381" s="17">
        <f>CHOOSE(CONTROL!$C$42, 15.5936, 15.5936) * CHOOSE(CONTROL!$C$21, $C$9, 100%, $E$9)</f>
        <v>15.5936</v>
      </c>
      <c r="Q381" s="17">
        <f>CHOOSE(CONTROL!$C$42, 16.3951, 16.3951) * CHOOSE(CONTROL!$C$21, $C$9, 100%, $E$9)</f>
        <v>16.395099999999999</v>
      </c>
      <c r="R381" s="17">
        <f>CHOOSE(CONTROL!$C$42, 17.023, 17.023) * CHOOSE(CONTROL!$C$21, $C$9, 100%, $E$9)</f>
        <v>17.023</v>
      </c>
      <c r="S381" s="17">
        <f>CHOOSE(CONTROL!$C$42, 15.1735, 15.1735) * CHOOSE(CONTROL!$C$21, $C$9, 100%, $E$9)</f>
        <v>15.173500000000001</v>
      </c>
      <c r="T381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381" s="57">
        <f>(1000*CHOOSE(CONTROL!$C$42, 695, 695)*CHOOSE(CONTROL!$C$42, 0.5599, 0.5599)*CHOOSE(CONTROL!$C$42, 30, 30))/1000000</f>
        <v>11.673914999999997</v>
      </c>
      <c r="V381" s="57">
        <f>(1000*CHOOSE(CONTROL!$C$42, 500, 500)*CHOOSE(CONTROL!$C$42, 0.275, 0.275)*CHOOSE(CONTROL!$C$42, 30, 30))/1000000</f>
        <v>4.125</v>
      </c>
      <c r="W381" s="57">
        <f>(1000*CHOOSE(CONTROL!$C$42, 0.0916, 0.0916)*CHOOSE(CONTROL!$C$42, 121.5, 121.5)*CHOOSE(CONTROL!$C$42, 30, 30))/1000000</f>
        <v>0.33388200000000001</v>
      </c>
      <c r="X381" s="57">
        <f>(30*0.1790888*145000/1000000)+(30*0.2374*100000/1000000)</f>
        <v>1.4912362799999999</v>
      </c>
      <c r="Y381" s="57"/>
      <c r="Z381" s="17"/>
      <c r="AA381" s="56"/>
      <c r="AB381" s="49">
        <f>(B381*194.205+C381*267.466+D381*133.845+E381*153.484+F381*40+G381*85+H381*0+I381*100+J381*300)/(194.205+267.466+133.845+153.484+0+40+85+100+300)</f>
        <v>15.729856110047095</v>
      </c>
      <c r="AC381" s="46">
        <f>(M381*'RAP TEMPLATE-GAS AVAILABILITY'!O380+N381*'RAP TEMPLATE-GAS AVAILABILITY'!P380+O381*'RAP TEMPLATE-GAS AVAILABILITY'!Q380+P381*'RAP TEMPLATE-GAS AVAILABILITY'!R380)/('RAP TEMPLATE-GAS AVAILABILITY'!O380+'RAP TEMPLATE-GAS AVAILABILITY'!P380+'RAP TEMPLATE-GAS AVAILABILITY'!Q380+'RAP TEMPLATE-GAS AVAILABILITY'!R380)</f>
        <v>15.615490647482014</v>
      </c>
    </row>
    <row r="382" spans="1:29" ht="15.75" x14ac:dyDescent="0.25">
      <c r="A382" s="14">
        <v>52535</v>
      </c>
      <c r="B382" s="17">
        <f>CHOOSE(CONTROL!$C$42, 15.3401, 15.3401) * CHOOSE(CONTROL!$C$21, $C$9, 100%, $E$9)</f>
        <v>15.3401</v>
      </c>
      <c r="C382" s="17">
        <f>CHOOSE(CONTROL!$C$42, 15.3455, 15.3455) * CHOOSE(CONTROL!$C$21, $C$9, 100%, $E$9)</f>
        <v>15.345499999999999</v>
      </c>
      <c r="D382" s="17">
        <f>CHOOSE(CONTROL!$C$42, 15.6, 15.6) * CHOOSE(CONTROL!$C$21, $C$9, 100%, $E$9)</f>
        <v>15.6</v>
      </c>
      <c r="E382" s="17">
        <f>CHOOSE(CONTROL!$C$42, 15.6289, 15.6289) * CHOOSE(CONTROL!$C$21, $C$9, 100%, $E$9)</f>
        <v>15.6289</v>
      </c>
      <c r="F382" s="17">
        <f>CHOOSE(CONTROL!$C$42, 15.3483, 15.3483)*CHOOSE(CONTROL!$C$21, $C$9, 100%, $E$9)</f>
        <v>15.3483</v>
      </c>
      <c r="G382" s="17">
        <f>CHOOSE(CONTROL!$C$42, 15.3647, 15.3647)*CHOOSE(CONTROL!$C$21, $C$9, 100%, $E$9)</f>
        <v>15.364699999999999</v>
      </c>
      <c r="H382" s="17">
        <f>CHOOSE(CONTROL!$C$42, 15.619, 15.619) * CHOOSE(CONTROL!$C$21, $C$9, 100%, $E$9)</f>
        <v>15.619</v>
      </c>
      <c r="I382" s="17">
        <f>CHOOSE(CONTROL!$C$42, 15.4097, 15.4097)* CHOOSE(CONTROL!$C$21, $C$9, 100%, $E$9)</f>
        <v>15.409700000000001</v>
      </c>
      <c r="J382" s="17">
        <f>CHOOSE(CONTROL!$C$42, 15.3409, 15.3409)* CHOOSE(CONTROL!$C$21, $C$9, 100%, $E$9)</f>
        <v>15.3409</v>
      </c>
      <c r="K382" s="53">
        <f>CHOOSE(CONTROL!$C$42, 15.4037, 15.4037) * CHOOSE(CONTROL!$C$21, $C$9, 100%, $E$9)</f>
        <v>15.403700000000001</v>
      </c>
      <c r="L382" s="17">
        <f>CHOOSE(CONTROL!$C$42, 16.206, 16.206) * CHOOSE(CONTROL!$C$21, $C$9, 100%, $E$9)</f>
        <v>16.206</v>
      </c>
      <c r="M382" s="17">
        <f>CHOOSE(CONTROL!$C$42, 15.21, 15.21) * CHOOSE(CONTROL!$C$21, $C$9, 100%, $E$9)</f>
        <v>15.21</v>
      </c>
      <c r="N382" s="17">
        <f>CHOOSE(CONTROL!$C$42, 15.2262, 15.2262) * CHOOSE(CONTROL!$C$21, $C$9, 100%, $E$9)</f>
        <v>15.2262</v>
      </c>
      <c r="O382" s="17">
        <f>CHOOSE(CONTROL!$C$42, 15.4855, 15.4855) * CHOOSE(CONTROL!$C$21, $C$9, 100%, $E$9)</f>
        <v>15.4855</v>
      </c>
      <c r="P382" s="17">
        <f>CHOOSE(CONTROL!$C$42, 15.2778, 15.2778) * CHOOSE(CONTROL!$C$21, $C$9, 100%, $E$9)</f>
        <v>15.277799999999999</v>
      </c>
      <c r="Q382" s="17">
        <f>CHOOSE(CONTROL!$C$42, 16.0802, 16.0802) * CHOOSE(CONTROL!$C$21, $C$9, 100%, $E$9)</f>
        <v>16.080200000000001</v>
      </c>
      <c r="R382" s="17">
        <f>CHOOSE(CONTROL!$C$42, 16.7074, 16.7074) * CHOOSE(CONTROL!$C$21, $C$9, 100%, $E$9)</f>
        <v>16.7074</v>
      </c>
      <c r="S382" s="17">
        <f>CHOOSE(CONTROL!$C$42, 14.8654, 14.8654) * CHOOSE(CONTROL!$C$21, $C$9, 100%, $E$9)</f>
        <v>14.865399999999999</v>
      </c>
      <c r="T382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382" s="57">
        <f>(1000*CHOOSE(CONTROL!$C$42, 695, 695)*CHOOSE(CONTROL!$C$42, 0.5599, 0.5599)*CHOOSE(CONTROL!$C$42, 31, 31))/1000000</f>
        <v>12.063045499999998</v>
      </c>
      <c r="V382" s="57">
        <f>(1000*CHOOSE(CONTROL!$C$42, 500, 500)*CHOOSE(CONTROL!$C$42, 0.275, 0.275)*CHOOSE(CONTROL!$C$42, 31, 31))/1000000</f>
        <v>4.2625000000000002</v>
      </c>
      <c r="W382" s="57">
        <f>(1000*CHOOSE(CONTROL!$C$42, 0.0916, 0.0916)*CHOOSE(CONTROL!$C$42, 121.5, 121.5)*CHOOSE(CONTROL!$C$42, 31, 31))/1000000</f>
        <v>0.34501139999999997</v>
      </c>
      <c r="X382" s="57">
        <f>(31*0.1790888*145000/1000000)+(31*0.2374*100000/1000000)</f>
        <v>1.5409441560000001</v>
      </c>
      <c r="Y382" s="57"/>
      <c r="Z382" s="17"/>
      <c r="AA382" s="56"/>
      <c r="AB382" s="49">
        <f>(B382*131.881+C382*277.167+D382*79.08+E382*225.872+F382*40+G382*85+H382*0+I382*100+J382*300)/(131.881+277.167+79.08+225.872+0+40+85+100+300)</f>
        <v>15.418308577401131</v>
      </c>
      <c r="AC382" s="46">
        <f>(M382*'RAP TEMPLATE-GAS AVAILABILITY'!O381+N382*'RAP TEMPLATE-GAS AVAILABILITY'!P381+O382*'RAP TEMPLATE-GAS AVAILABILITY'!Q381+P382*'RAP TEMPLATE-GAS AVAILABILITY'!R381)/('RAP TEMPLATE-GAS AVAILABILITY'!O381+'RAP TEMPLATE-GAS AVAILABILITY'!P381+'RAP TEMPLATE-GAS AVAILABILITY'!Q381+'RAP TEMPLATE-GAS AVAILABILITY'!R381)</f>
        <v>15.300783453237413</v>
      </c>
    </row>
    <row r="383" spans="1:29" ht="15.75" x14ac:dyDescent="0.25">
      <c r="A383" s="14">
        <v>52565</v>
      </c>
      <c r="B383" s="17">
        <f>CHOOSE(CONTROL!$C$42, 15.7436, 15.7436) * CHOOSE(CONTROL!$C$21, $C$9, 100%, $E$9)</f>
        <v>15.743600000000001</v>
      </c>
      <c r="C383" s="17">
        <f>CHOOSE(CONTROL!$C$42, 15.7487, 15.7487) * CHOOSE(CONTROL!$C$21, $C$9, 100%, $E$9)</f>
        <v>15.748699999999999</v>
      </c>
      <c r="D383" s="17">
        <f>CHOOSE(CONTROL!$C$42, 15.8713, 15.8713) * CHOOSE(CONTROL!$C$21, $C$9, 100%, $E$9)</f>
        <v>15.8713</v>
      </c>
      <c r="E383" s="17">
        <f>CHOOSE(CONTROL!$C$42, 15.905, 15.905) * CHOOSE(CONTROL!$C$21, $C$9, 100%, $E$9)</f>
        <v>15.904999999999999</v>
      </c>
      <c r="F383" s="17">
        <f>CHOOSE(CONTROL!$C$42, 15.7586, 15.7586)*CHOOSE(CONTROL!$C$21, $C$9, 100%, $E$9)</f>
        <v>15.758599999999999</v>
      </c>
      <c r="G383" s="17">
        <f>CHOOSE(CONTROL!$C$42, 15.7753, 15.7753)*CHOOSE(CONTROL!$C$21, $C$9, 100%, $E$9)</f>
        <v>15.7753</v>
      </c>
      <c r="H383" s="17">
        <f>CHOOSE(CONTROL!$C$42, 15.8939, 15.8939) * CHOOSE(CONTROL!$C$21, $C$9, 100%, $E$9)</f>
        <v>15.8939</v>
      </c>
      <c r="I383" s="17">
        <f>CHOOSE(CONTROL!$C$42, 15.8174, 15.8174)* CHOOSE(CONTROL!$C$21, $C$9, 100%, $E$9)</f>
        <v>15.817399999999999</v>
      </c>
      <c r="J383" s="17">
        <f>CHOOSE(CONTROL!$C$42, 15.7512, 15.7512)* CHOOSE(CONTROL!$C$21, $C$9, 100%, $E$9)</f>
        <v>15.751200000000001</v>
      </c>
      <c r="K383" s="53">
        <f>CHOOSE(CONTROL!$C$42, 15.8113, 15.8113) * CHOOSE(CONTROL!$C$21, $C$9, 100%, $E$9)</f>
        <v>15.811299999999999</v>
      </c>
      <c r="L383" s="17">
        <f>CHOOSE(CONTROL!$C$42, 16.4809, 16.4809) * CHOOSE(CONTROL!$C$21, $C$9, 100%, $E$9)</f>
        <v>16.480899999999998</v>
      </c>
      <c r="M383" s="17">
        <f>CHOOSE(CONTROL!$C$42, 15.6165, 15.6165) * CHOOSE(CONTROL!$C$21, $C$9, 100%, $E$9)</f>
        <v>15.6165</v>
      </c>
      <c r="N383" s="17">
        <f>CHOOSE(CONTROL!$C$42, 15.6331, 15.6331) * CHOOSE(CONTROL!$C$21, $C$9, 100%, $E$9)</f>
        <v>15.633100000000001</v>
      </c>
      <c r="O383" s="17">
        <f>CHOOSE(CONTROL!$C$42, 15.758, 15.758) * CHOOSE(CONTROL!$C$21, $C$9, 100%, $E$9)</f>
        <v>15.757999999999999</v>
      </c>
      <c r="P383" s="17">
        <f>CHOOSE(CONTROL!$C$42, 15.6818, 15.6818) * CHOOSE(CONTROL!$C$21, $C$9, 100%, $E$9)</f>
        <v>15.681800000000001</v>
      </c>
      <c r="Q383" s="17">
        <f>CHOOSE(CONTROL!$C$42, 16.3527, 16.3527) * CHOOSE(CONTROL!$C$21, $C$9, 100%, $E$9)</f>
        <v>16.352699999999999</v>
      </c>
      <c r="R383" s="17">
        <f>CHOOSE(CONTROL!$C$42, 16.9806, 16.9806) * CHOOSE(CONTROL!$C$21, $C$9, 100%, $E$9)</f>
        <v>16.980599999999999</v>
      </c>
      <c r="S383" s="17">
        <f>CHOOSE(CONTROL!$C$42, 15.257, 15.257) * CHOOSE(CONTROL!$C$21, $C$9, 100%, $E$9)</f>
        <v>15.257</v>
      </c>
      <c r="T383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383" s="57">
        <f>(1000*CHOOSE(CONTROL!$C$42, 695, 695)*CHOOSE(CONTROL!$C$42, 0.5599, 0.5599)*CHOOSE(CONTROL!$C$42, 30, 30))/1000000</f>
        <v>11.673914999999997</v>
      </c>
      <c r="V383" s="57">
        <f>(1000*CHOOSE(CONTROL!$C$42, 500, 500)*CHOOSE(CONTROL!$C$42, 0.275, 0.275)*CHOOSE(CONTROL!$C$42, 30, 30))/1000000</f>
        <v>4.125</v>
      </c>
      <c r="W383" s="57">
        <f>(1000*CHOOSE(CONTROL!$C$42, 0.0916, 0.0916)*CHOOSE(CONTROL!$C$42, 121.5, 121.5)*CHOOSE(CONTROL!$C$42, 30, 30))/1000000</f>
        <v>0.33388200000000001</v>
      </c>
      <c r="X383" s="57">
        <f>(30*0.2374*100000/1000000)</f>
        <v>0.71220000000000006</v>
      </c>
      <c r="Y383" s="57"/>
      <c r="Z383" s="17"/>
      <c r="AA383" s="56"/>
      <c r="AB383" s="49">
        <f>(B383*122.58+C383*297.941+D383*89.177+E383*140.302+F383*40+G383*60+H383*0+I383*100+J383*300)/(122.58+297.941+89.177+140.302+0+40+60+100+300)</f>
        <v>15.785090560695652</v>
      </c>
      <c r="AC383" s="46">
        <f>(M383*'RAP TEMPLATE-GAS AVAILABILITY'!O382+N383*'RAP TEMPLATE-GAS AVAILABILITY'!P382+O383*'RAP TEMPLATE-GAS AVAILABILITY'!Q382+P383*'RAP TEMPLATE-GAS AVAILABILITY'!R382)/('RAP TEMPLATE-GAS AVAILABILITY'!O382+'RAP TEMPLATE-GAS AVAILABILITY'!P382+'RAP TEMPLATE-GAS AVAILABILITY'!Q382+'RAP TEMPLATE-GAS AVAILABILITY'!R382)</f>
        <v>15.690984172661871</v>
      </c>
    </row>
    <row r="384" spans="1:29" ht="15.75" x14ac:dyDescent="0.25">
      <c r="A384" s="14">
        <v>52596</v>
      </c>
      <c r="B384" s="17">
        <f>CHOOSE(CONTROL!$C$42, 16.8163, 16.8163) * CHOOSE(CONTROL!$C$21, $C$9, 100%, $E$9)</f>
        <v>16.816299999999998</v>
      </c>
      <c r="C384" s="17">
        <f>CHOOSE(CONTROL!$C$42, 16.8213, 16.8213) * CHOOSE(CONTROL!$C$21, $C$9, 100%, $E$9)</f>
        <v>16.821300000000001</v>
      </c>
      <c r="D384" s="17">
        <f>CHOOSE(CONTROL!$C$42, 16.9439, 16.9439) * CHOOSE(CONTROL!$C$21, $C$9, 100%, $E$9)</f>
        <v>16.943899999999999</v>
      </c>
      <c r="E384" s="17">
        <f>CHOOSE(CONTROL!$C$42, 16.9777, 16.9777) * CHOOSE(CONTROL!$C$21, $C$9, 100%, $E$9)</f>
        <v>16.977699999999999</v>
      </c>
      <c r="F384" s="17">
        <f>CHOOSE(CONTROL!$C$42, 16.8337, 16.8337)*CHOOSE(CONTROL!$C$21, $C$9, 100%, $E$9)</f>
        <v>16.8337</v>
      </c>
      <c r="G384" s="17">
        <f>CHOOSE(CONTROL!$C$42, 16.851, 16.851)*CHOOSE(CONTROL!$C$21, $C$9, 100%, $E$9)</f>
        <v>16.850999999999999</v>
      </c>
      <c r="H384" s="17">
        <f>CHOOSE(CONTROL!$C$42, 16.9666, 16.9666) * CHOOSE(CONTROL!$C$21, $C$9, 100%, $E$9)</f>
        <v>16.9666</v>
      </c>
      <c r="I384" s="17">
        <f>CHOOSE(CONTROL!$C$42, 16.8934, 16.8934)* CHOOSE(CONTROL!$C$21, $C$9, 100%, $E$9)</f>
        <v>16.8934</v>
      </c>
      <c r="J384" s="17">
        <f>CHOOSE(CONTROL!$C$42, 16.8263, 16.8263)* CHOOSE(CONTROL!$C$21, $C$9, 100%, $E$9)</f>
        <v>16.8263</v>
      </c>
      <c r="K384" s="53">
        <f>CHOOSE(CONTROL!$C$42, 16.8873, 16.8873) * CHOOSE(CONTROL!$C$21, $C$9, 100%, $E$9)</f>
        <v>16.8873</v>
      </c>
      <c r="L384" s="17">
        <f>CHOOSE(CONTROL!$C$42, 17.5536, 17.5536) * CHOOSE(CONTROL!$C$21, $C$9, 100%, $E$9)</f>
        <v>17.553599999999999</v>
      </c>
      <c r="M384" s="17">
        <f>CHOOSE(CONTROL!$C$42, 16.682, 16.682) * CHOOSE(CONTROL!$C$21, $C$9, 100%, $E$9)</f>
        <v>16.681999999999999</v>
      </c>
      <c r="N384" s="17">
        <f>CHOOSE(CONTROL!$C$42, 16.6991, 16.6991) * CHOOSE(CONTROL!$C$21, $C$9, 100%, $E$9)</f>
        <v>16.699100000000001</v>
      </c>
      <c r="O384" s="17">
        <f>CHOOSE(CONTROL!$C$42, 16.821, 16.821) * CHOOSE(CONTROL!$C$21, $C$9, 100%, $E$9)</f>
        <v>16.821000000000002</v>
      </c>
      <c r="P384" s="17">
        <f>CHOOSE(CONTROL!$C$42, 16.748, 16.748) * CHOOSE(CONTROL!$C$21, $C$9, 100%, $E$9)</f>
        <v>16.748000000000001</v>
      </c>
      <c r="Q384" s="17">
        <f>CHOOSE(CONTROL!$C$42, 17.4157, 17.4157) * CHOOSE(CONTROL!$C$21, $C$9, 100%, $E$9)</f>
        <v>17.415700000000001</v>
      </c>
      <c r="R384" s="17">
        <f>CHOOSE(CONTROL!$C$42, 18.0462, 18.0462) * CHOOSE(CONTROL!$C$21, $C$9, 100%, $E$9)</f>
        <v>18.046199999999999</v>
      </c>
      <c r="S384" s="17">
        <f>CHOOSE(CONTROL!$C$42, 16.2972, 16.2972) * CHOOSE(CONTROL!$C$21, $C$9, 100%, $E$9)</f>
        <v>16.2972</v>
      </c>
      <c r="T384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384" s="57">
        <f>(1000*CHOOSE(CONTROL!$C$42, 695, 695)*CHOOSE(CONTROL!$C$42, 0.5599, 0.5599)*CHOOSE(CONTROL!$C$42, 31, 31))/1000000</f>
        <v>12.063045499999998</v>
      </c>
      <c r="V384" s="57">
        <f>(1000*CHOOSE(CONTROL!$C$42, 500, 500)*CHOOSE(CONTROL!$C$42, 0.275, 0.275)*CHOOSE(CONTROL!$C$42, 31, 31))/1000000</f>
        <v>4.2625000000000002</v>
      </c>
      <c r="W384" s="57">
        <f>(1000*CHOOSE(CONTROL!$C$42, 0.0916, 0.0916)*CHOOSE(CONTROL!$C$42, 121.5, 121.5)*CHOOSE(CONTROL!$C$42, 31, 31))/1000000</f>
        <v>0.34501139999999997</v>
      </c>
      <c r="X384" s="57">
        <f>(31*0.2374*100000/1000000)</f>
        <v>0.73594000000000004</v>
      </c>
      <c r="Y384" s="57"/>
      <c r="Z384" s="17"/>
      <c r="AA384" s="56"/>
      <c r="AB384" s="49">
        <f>(B384*122.58+C384*297.941+D384*89.177+E384*140.302+F384*40+G384*60+H384*0+I384*100+J384*300)/(122.58+297.941+89.177+140.302+0+40+60+100+300)</f>
        <v>16.858909941739128</v>
      </c>
      <c r="AC384" s="46">
        <f>(M384*'RAP TEMPLATE-GAS AVAILABILITY'!O383+N384*'RAP TEMPLATE-GAS AVAILABILITY'!P383+O384*'RAP TEMPLATE-GAS AVAILABILITY'!Q383+P384*'RAP TEMPLATE-GAS AVAILABILITY'!R383)/('RAP TEMPLATE-GAS AVAILABILITY'!O383+'RAP TEMPLATE-GAS AVAILABILITY'!P383+'RAP TEMPLATE-GAS AVAILABILITY'!Q383+'RAP TEMPLATE-GAS AVAILABILITY'!R383)</f>
        <v>16.755480575539568</v>
      </c>
    </row>
    <row r="385" spans="1:29" ht="15.75" x14ac:dyDescent="0.25">
      <c r="A385" s="14">
        <v>52627</v>
      </c>
      <c r="B385" s="17">
        <f>CHOOSE(CONTROL!$C$42, 18.2095, 18.2095) * CHOOSE(CONTROL!$C$21, $C$9, 100%, $E$9)</f>
        <v>18.209499999999998</v>
      </c>
      <c r="C385" s="17">
        <f>CHOOSE(CONTROL!$C$42, 18.2145, 18.2145) * CHOOSE(CONTROL!$C$21, $C$9, 100%, $E$9)</f>
        <v>18.214500000000001</v>
      </c>
      <c r="D385" s="17">
        <f>CHOOSE(CONTROL!$C$42, 18.332, 18.332) * CHOOSE(CONTROL!$C$21, $C$9, 100%, $E$9)</f>
        <v>18.332000000000001</v>
      </c>
      <c r="E385" s="17">
        <f>CHOOSE(CONTROL!$C$42, 18.3658, 18.3658) * CHOOSE(CONTROL!$C$21, $C$9, 100%, $E$9)</f>
        <v>18.3658</v>
      </c>
      <c r="F385" s="17">
        <f>CHOOSE(CONTROL!$C$42, 18.2231, 18.2231)*CHOOSE(CONTROL!$C$21, $C$9, 100%, $E$9)</f>
        <v>18.223099999999999</v>
      </c>
      <c r="G385" s="17">
        <f>CHOOSE(CONTROL!$C$42, 18.2394, 18.2394)*CHOOSE(CONTROL!$C$21, $C$9, 100%, $E$9)</f>
        <v>18.2394</v>
      </c>
      <c r="H385" s="17">
        <f>CHOOSE(CONTROL!$C$42, 18.3546, 18.3546) * CHOOSE(CONTROL!$C$21, $C$9, 100%, $E$9)</f>
        <v>18.354600000000001</v>
      </c>
      <c r="I385" s="17">
        <f>CHOOSE(CONTROL!$C$42, 18.2894, 18.2894)* CHOOSE(CONTROL!$C$21, $C$9, 100%, $E$9)</f>
        <v>18.289400000000001</v>
      </c>
      <c r="J385" s="17">
        <f>CHOOSE(CONTROL!$C$42, 18.2157, 18.2157)* CHOOSE(CONTROL!$C$21, $C$9, 100%, $E$9)</f>
        <v>18.215699999999998</v>
      </c>
      <c r="K385" s="53">
        <f>CHOOSE(CONTROL!$C$42, 18.2833, 18.2833) * CHOOSE(CONTROL!$C$21, $C$9, 100%, $E$9)</f>
        <v>18.283300000000001</v>
      </c>
      <c r="L385" s="17">
        <f>CHOOSE(CONTROL!$C$42, 18.9416, 18.9416) * CHOOSE(CONTROL!$C$21, $C$9, 100%, $E$9)</f>
        <v>18.941600000000001</v>
      </c>
      <c r="M385" s="17">
        <f>CHOOSE(CONTROL!$C$42, 18.0589, 18.0589) * CHOOSE(CONTROL!$C$21, $C$9, 100%, $E$9)</f>
        <v>18.058900000000001</v>
      </c>
      <c r="N385" s="17">
        <f>CHOOSE(CONTROL!$C$42, 18.075, 18.075) * CHOOSE(CONTROL!$C$21, $C$9, 100%, $E$9)</f>
        <v>18.074999999999999</v>
      </c>
      <c r="O385" s="17">
        <f>CHOOSE(CONTROL!$C$42, 18.1966, 18.1966) * CHOOSE(CONTROL!$C$21, $C$9, 100%, $E$9)</f>
        <v>18.1966</v>
      </c>
      <c r="P385" s="17">
        <f>CHOOSE(CONTROL!$C$42, 18.1314, 18.1314) * CHOOSE(CONTROL!$C$21, $C$9, 100%, $E$9)</f>
        <v>18.131399999999999</v>
      </c>
      <c r="Q385" s="17">
        <f>CHOOSE(CONTROL!$C$42, 18.7913, 18.7913) * CHOOSE(CONTROL!$C$21, $C$9, 100%, $E$9)</f>
        <v>18.7913</v>
      </c>
      <c r="R385" s="17">
        <f>CHOOSE(CONTROL!$C$42, 19.4252, 19.4252) * CHOOSE(CONTROL!$C$21, $C$9, 100%, $E$9)</f>
        <v>19.4252</v>
      </c>
      <c r="S385" s="17">
        <f>CHOOSE(CONTROL!$C$42, 17.6482, 17.6482) * CHOOSE(CONTROL!$C$21, $C$9, 100%, $E$9)</f>
        <v>17.648199999999999</v>
      </c>
      <c r="T385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385" s="57">
        <f>(1000*CHOOSE(CONTROL!$C$42, 695, 695)*CHOOSE(CONTROL!$C$42, 0.5599, 0.5599)*CHOOSE(CONTROL!$C$42, 31, 31))/1000000</f>
        <v>12.063045499999998</v>
      </c>
      <c r="V385" s="57">
        <f>(1000*CHOOSE(CONTROL!$C$42, 500, 500)*CHOOSE(CONTROL!$C$42, 0.275, 0.275)*CHOOSE(CONTROL!$C$42, 31, 31))/1000000</f>
        <v>4.2625000000000002</v>
      </c>
      <c r="W385" s="57">
        <f>(1000*CHOOSE(CONTROL!$C$42, 0.0916, 0.0916)*CHOOSE(CONTROL!$C$42, 121.5, 121.5)*CHOOSE(CONTROL!$C$42, 31, 31))/1000000</f>
        <v>0.34501139999999997</v>
      </c>
      <c r="X385" s="57">
        <f>(31*0.2374*100000/1000000)</f>
        <v>0.73594000000000004</v>
      </c>
      <c r="Y385" s="57"/>
      <c r="Z385" s="17"/>
      <c r="AA385" s="56"/>
      <c r="AB385" s="49">
        <f>(B385*122.58+C385*297.941+D385*89.177+E385*140.302+F385*40+G385*60+H385*0+I385*100+J385*300)/(122.58+297.941+89.177+140.302+0+40+60+100+300)</f>
        <v>18.249961817478262</v>
      </c>
      <c r="AC385" s="46">
        <f>(M385*'RAP TEMPLATE-GAS AVAILABILITY'!O384+N385*'RAP TEMPLATE-GAS AVAILABILITY'!P384+O385*'RAP TEMPLATE-GAS AVAILABILITY'!Q384+P385*'RAP TEMPLATE-GAS AVAILABILITY'!R384)/('RAP TEMPLATE-GAS AVAILABILITY'!O384+'RAP TEMPLATE-GAS AVAILABILITY'!P384+'RAP TEMPLATE-GAS AVAILABILITY'!Q384+'RAP TEMPLATE-GAS AVAILABILITY'!R384)</f>
        <v>18.1326690647482</v>
      </c>
    </row>
    <row r="386" spans="1:29" ht="15.75" x14ac:dyDescent="0.25">
      <c r="A386" s="14">
        <v>52655</v>
      </c>
      <c r="B386" s="17">
        <f>CHOOSE(CONTROL!$C$42, 18.5334, 18.5334) * CHOOSE(CONTROL!$C$21, $C$9, 100%, $E$9)</f>
        <v>18.5334</v>
      </c>
      <c r="C386" s="17">
        <f>CHOOSE(CONTROL!$C$42, 18.5385, 18.5385) * CHOOSE(CONTROL!$C$21, $C$9, 100%, $E$9)</f>
        <v>18.538499999999999</v>
      </c>
      <c r="D386" s="17">
        <f>CHOOSE(CONTROL!$C$42, 18.656, 18.656) * CHOOSE(CONTROL!$C$21, $C$9, 100%, $E$9)</f>
        <v>18.655999999999999</v>
      </c>
      <c r="E386" s="17">
        <f>CHOOSE(CONTROL!$C$42, 18.6897, 18.6897) * CHOOSE(CONTROL!$C$21, $C$9, 100%, $E$9)</f>
        <v>18.689699999999998</v>
      </c>
      <c r="F386" s="17">
        <f>CHOOSE(CONTROL!$C$42, 18.5471, 18.5471)*CHOOSE(CONTROL!$C$21, $C$9, 100%, $E$9)</f>
        <v>18.5471</v>
      </c>
      <c r="G386" s="17">
        <f>CHOOSE(CONTROL!$C$42, 18.5634, 18.5634)*CHOOSE(CONTROL!$C$21, $C$9, 100%, $E$9)</f>
        <v>18.563400000000001</v>
      </c>
      <c r="H386" s="17">
        <f>CHOOSE(CONTROL!$C$42, 18.6786, 18.6786) * CHOOSE(CONTROL!$C$21, $C$9, 100%, $E$9)</f>
        <v>18.678599999999999</v>
      </c>
      <c r="I386" s="17">
        <f>CHOOSE(CONTROL!$C$42, 18.6143, 18.6143)* CHOOSE(CONTROL!$C$21, $C$9, 100%, $E$9)</f>
        <v>18.6143</v>
      </c>
      <c r="J386" s="17">
        <f>CHOOSE(CONTROL!$C$42, 18.5397, 18.5397)* CHOOSE(CONTROL!$C$21, $C$9, 100%, $E$9)</f>
        <v>18.5397</v>
      </c>
      <c r="K386" s="53">
        <f>CHOOSE(CONTROL!$C$42, 18.6083, 18.6083) * CHOOSE(CONTROL!$C$21, $C$9, 100%, $E$9)</f>
        <v>18.6083</v>
      </c>
      <c r="L386" s="17">
        <f>CHOOSE(CONTROL!$C$42, 19.2656, 19.2656) * CHOOSE(CONTROL!$C$21, $C$9, 100%, $E$9)</f>
        <v>19.265599999999999</v>
      </c>
      <c r="M386" s="17">
        <f>CHOOSE(CONTROL!$C$42, 18.3799, 18.3799) * CHOOSE(CONTROL!$C$21, $C$9, 100%, $E$9)</f>
        <v>18.379899999999999</v>
      </c>
      <c r="N386" s="17">
        <f>CHOOSE(CONTROL!$C$42, 18.3961, 18.3961) * CHOOSE(CONTROL!$C$21, $C$9, 100%, $E$9)</f>
        <v>18.396100000000001</v>
      </c>
      <c r="O386" s="17">
        <f>CHOOSE(CONTROL!$C$42, 18.5176, 18.5176) * CHOOSE(CONTROL!$C$21, $C$9, 100%, $E$9)</f>
        <v>18.517600000000002</v>
      </c>
      <c r="P386" s="17">
        <f>CHOOSE(CONTROL!$C$42, 18.4535, 18.4535) * CHOOSE(CONTROL!$C$21, $C$9, 100%, $E$9)</f>
        <v>18.453499999999998</v>
      </c>
      <c r="Q386" s="17">
        <f>CHOOSE(CONTROL!$C$42, 19.1123, 19.1123) * CHOOSE(CONTROL!$C$21, $C$9, 100%, $E$9)</f>
        <v>19.112300000000001</v>
      </c>
      <c r="R386" s="17">
        <f>CHOOSE(CONTROL!$C$42, 19.7471, 19.7471) * CHOOSE(CONTROL!$C$21, $C$9, 100%, $E$9)</f>
        <v>19.7471</v>
      </c>
      <c r="S386" s="17">
        <f>CHOOSE(CONTROL!$C$42, 17.9623, 17.9623) * CHOOSE(CONTROL!$C$21, $C$9, 100%, $E$9)</f>
        <v>17.962299999999999</v>
      </c>
      <c r="T386" s="57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386" s="57">
        <f>(1000*CHOOSE(CONTROL!$C$42, 695, 695)*CHOOSE(CONTROL!$C$42, 0.5599, 0.5599)*CHOOSE(CONTROL!$C$42, 29, 29))/1000000</f>
        <v>11.284784499999999</v>
      </c>
      <c r="V386" s="57">
        <f>(1000*CHOOSE(CONTROL!$C$42, 500, 500)*CHOOSE(CONTROL!$C$42, 0.275, 0.275)*CHOOSE(CONTROL!$C$42, 29, 29))/1000000</f>
        <v>3.9874999999999998</v>
      </c>
      <c r="W386" s="57">
        <f>(1000*CHOOSE(CONTROL!$C$42, 0.0916, 0.0916)*CHOOSE(CONTROL!$C$42, 121.5, 121.5)*CHOOSE(CONTROL!$C$42, 29, 29))/1000000</f>
        <v>0.3227526</v>
      </c>
      <c r="X386" s="57">
        <f>(29*0.2374*100000/1000000)</f>
        <v>0.68845999999999996</v>
      </c>
      <c r="Y386" s="57"/>
      <c r="Z386" s="17"/>
      <c r="AA386" s="56"/>
      <c r="AB386" s="49">
        <f>(B386*122.58+C386*297.941+D386*89.177+E386*140.302+F386*40+G386*60+H386*0+I386*100+J386*300)/(122.58+297.941+89.177+140.302+0+40+60+100+300)</f>
        <v>18.57401721904348</v>
      </c>
      <c r="AC386" s="46">
        <f>(M386*'RAP TEMPLATE-GAS AVAILABILITY'!O385+N386*'RAP TEMPLATE-GAS AVAILABILITY'!P385+O386*'RAP TEMPLATE-GAS AVAILABILITY'!Q385+P386*'RAP TEMPLATE-GAS AVAILABILITY'!R385)/('RAP TEMPLATE-GAS AVAILABILITY'!O385+'RAP TEMPLATE-GAS AVAILABILITY'!P385+'RAP TEMPLATE-GAS AVAILABILITY'!Q385+'RAP TEMPLATE-GAS AVAILABILITY'!R385)</f>
        <v>18.45383309352518</v>
      </c>
    </row>
    <row r="387" spans="1:29" ht="15.75" x14ac:dyDescent="0.25">
      <c r="A387" s="14">
        <v>52687</v>
      </c>
      <c r="B387" s="17">
        <f>CHOOSE(CONTROL!$C$42, 18.0075, 18.0075) * CHOOSE(CONTROL!$C$21, $C$9, 100%, $E$9)</f>
        <v>18.0075</v>
      </c>
      <c r="C387" s="17">
        <f>CHOOSE(CONTROL!$C$42, 18.0126, 18.0126) * CHOOSE(CONTROL!$C$21, $C$9, 100%, $E$9)</f>
        <v>18.012599999999999</v>
      </c>
      <c r="D387" s="17">
        <f>CHOOSE(CONTROL!$C$42, 18.1301, 18.1301) * CHOOSE(CONTROL!$C$21, $C$9, 100%, $E$9)</f>
        <v>18.130099999999999</v>
      </c>
      <c r="E387" s="17">
        <f>CHOOSE(CONTROL!$C$42, 18.1638, 18.1638) * CHOOSE(CONTROL!$C$21, $C$9, 100%, $E$9)</f>
        <v>18.163799999999998</v>
      </c>
      <c r="F387" s="17">
        <f>CHOOSE(CONTROL!$C$42, 18.0205, 18.0205)*CHOOSE(CONTROL!$C$21, $C$9, 100%, $E$9)</f>
        <v>18.020499999999998</v>
      </c>
      <c r="G387" s="17">
        <f>CHOOSE(CONTROL!$C$42, 18.0367, 18.0367)*CHOOSE(CONTROL!$C$21, $C$9, 100%, $E$9)</f>
        <v>18.0367</v>
      </c>
      <c r="H387" s="17">
        <f>CHOOSE(CONTROL!$C$42, 18.1527, 18.1527) * CHOOSE(CONTROL!$C$21, $C$9, 100%, $E$9)</f>
        <v>18.152699999999999</v>
      </c>
      <c r="I387" s="17">
        <f>CHOOSE(CONTROL!$C$42, 18.0868, 18.0868)* CHOOSE(CONTROL!$C$21, $C$9, 100%, $E$9)</f>
        <v>18.0868</v>
      </c>
      <c r="J387" s="17">
        <f>CHOOSE(CONTROL!$C$42, 18.0131, 18.0131)* CHOOSE(CONTROL!$C$21, $C$9, 100%, $E$9)</f>
        <v>18.013100000000001</v>
      </c>
      <c r="K387" s="53">
        <f>CHOOSE(CONTROL!$C$42, 18.0808, 18.0808) * CHOOSE(CONTROL!$C$21, $C$9, 100%, $E$9)</f>
        <v>18.0808</v>
      </c>
      <c r="L387" s="17">
        <f>CHOOSE(CONTROL!$C$42, 18.7397, 18.7397) * CHOOSE(CONTROL!$C$21, $C$9, 100%, $E$9)</f>
        <v>18.739699999999999</v>
      </c>
      <c r="M387" s="17">
        <f>CHOOSE(CONTROL!$C$42, 17.8582, 17.8582) * CHOOSE(CONTROL!$C$21, $C$9, 100%, $E$9)</f>
        <v>17.8582</v>
      </c>
      <c r="N387" s="17">
        <f>CHOOSE(CONTROL!$C$42, 17.8741, 17.8741) * CHOOSE(CONTROL!$C$21, $C$9, 100%, $E$9)</f>
        <v>17.874099999999999</v>
      </c>
      <c r="O387" s="17">
        <f>CHOOSE(CONTROL!$C$42, 17.9965, 17.9965) * CHOOSE(CONTROL!$C$21, $C$9, 100%, $E$9)</f>
        <v>17.996500000000001</v>
      </c>
      <c r="P387" s="17">
        <f>CHOOSE(CONTROL!$C$42, 17.9307, 17.9307) * CHOOSE(CONTROL!$C$21, $C$9, 100%, $E$9)</f>
        <v>17.930700000000002</v>
      </c>
      <c r="Q387" s="17">
        <f>CHOOSE(CONTROL!$C$42, 18.5912, 18.5912) * CHOOSE(CONTROL!$C$21, $C$9, 100%, $E$9)</f>
        <v>18.591200000000001</v>
      </c>
      <c r="R387" s="17">
        <f>CHOOSE(CONTROL!$C$42, 19.2247, 19.2247) * CHOOSE(CONTROL!$C$21, $C$9, 100%, $E$9)</f>
        <v>19.224699999999999</v>
      </c>
      <c r="S387" s="17">
        <f>CHOOSE(CONTROL!$C$42, 17.4524, 17.4524) * CHOOSE(CONTROL!$C$21, $C$9, 100%, $E$9)</f>
        <v>17.452400000000001</v>
      </c>
      <c r="T387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387" s="57">
        <f>(1000*CHOOSE(CONTROL!$C$42, 695, 695)*CHOOSE(CONTROL!$C$42, 0.5599, 0.5599)*CHOOSE(CONTROL!$C$42, 31, 31))/1000000</f>
        <v>12.063045499999998</v>
      </c>
      <c r="V387" s="57">
        <f>(1000*CHOOSE(CONTROL!$C$42, 500, 500)*CHOOSE(CONTROL!$C$42, 0.275, 0.275)*CHOOSE(CONTROL!$C$42, 31, 31))/1000000</f>
        <v>4.2625000000000002</v>
      </c>
      <c r="W387" s="57">
        <f>(1000*CHOOSE(CONTROL!$C$42, 0.0916, 0.0916)*CHOOSE(CONTROL!$C$42, 121.5, 121.5)*CHOOSE(CONTROL!$C$42, 31, 31))/1000000</f>
        <v>0.34501139999999997</v>
      </c>
      <c r="X387" s="57">
        <f>(31*0.2374*100000/1000000)</f>
        <v>0.73594000000000004</v>
      </c>
      <c r="Y387" s="57"/>
      <c r="Z387" s="17"/>
      <c r="AA387" s="56"/>
      <c r="AB387" s="49">
        <f>(B387*122.58+C387*297.941+D387*89.177+E387*140.302+F387*40+G387*60+H387*0+I387*100+J387*300)/(122.58+297.941+89.177+140.302+0+40+60+100+300)</f>
        <v>18.047729392956523</v>
      </c>
      <c r="AC387" s="46">
        <f>(M387*'RAP TEMPLATE-GAS AVAILABILITY'!O386+N387*'RAP TEMPLATE-GAS AVAILABILITY'!P386+O387*'RAP TEMPLATE-GAS AVAILABILITY'!Q386+P387*'RAP TEMPLATE-GAS AVAILABILITY'!R386)/('RAP TEMPLATE-GAS AVAILABILITY'!O386+'RAP TEMPLATE-GAS AVAILABILITY'!P386+'RAP TEMPLATE-GAS AVAILABILITY'!Q386+'RAP TEMPLATE-GAS AVAILABILITY'!R386)</f>
        <v>17.932229496402876</v>
      </c>
    </row>
    <row r="388" spans="1:29" ht="15.75" x14ac:dyDescent="0.25">
      <c r="A388" s="14">
        <v>52717</v>
      </c>
      <c r="B388" s="17">
        <f>CHOOSE(CONTROL!$C$42, 17.9547, 17.9547) * CHOOSE(CONTROL!$C$21, $C$9, 100%, $E$9)</f>
        <v>17.954699999999999</v>
      </c>
      <c r="C388" s="17">
        <f>CHOOSE(CONTROL!$C$42, 17.9592, 17.9592) * CHOOSE(CONTROL!$C$21, $C$9, 100%, $E$9)</f>
        <v>17.959199999999999</v>
      </c>
      <c r="D388" s="17">
        <f>CHOOSE(CONTROL!$C$42, 18.2119, 18.2119) * CHOOSE(CONTROL!$C$21, $C$9, 100%, $E$9)</f>
        <v>18.2119</v>
      </c>
      <c r="E388" s="17">
        <f>CHOOSE(CONTROL!$C$42, 18.2437, 18.2437) * CHOOSE(CONTROL!$C$21, $C$9, 100%, $E$9)</f>
        <v>18.2437</v>
      </c>
      <c r="F388" s="17">
        <f>CHOOSE(CONTROL!$C$42, 17.9606, 17.9606)*CHOOSE(CONTROL!$C$21, $C$9, 100%, $E$9)</f>
        <v>17.960599999999999</v>
      </c>
      <c r="G388" s="17">
        <f>CHOOSE(CONTROL!$C$42, 17.9765, 17.9765)*CHOOSE(CONTROL!$C$21, $C$9, 100%, $E$9)</f>
        <v>17.976500000000001</v>
      </c>
      <c r="H388" s="17">
        <f>CHOOSE(CONTROL!$C$42, 18.2331, 18.2331) * CHOOSE(CONTROL!$C$21, $C$9, 100%, $E$9)</f>
        <v>18.2331</v>
      </c>
      <c r="I388" s="17">
        <f>CHOOSE(CONTROL!$C$42, 18.032, 18.032)* CHOOSE(CONTROL!$C$21, $C$9, 100%, $E$9)</f>
        <v>18.032</v>
      </c>
      <c r="J388" s="17">
        <f>CHOOSE(CONTROL!$C$42, 17.9532, 17.9532)* CHOOSE(CONTROL!$C$21, $C$9, 100%, $E$9)</f>
        <v>17.953199999999999</v>
      </c>
      <c r="K388" s="53">
        <f>CHOOSE(CONTROL!$C$42, 18.0259, 18.0259) * CHOOSE(CONTROL!$C$21, $C$9, 100%, $E$9)</f>
        <v>18.0259</v>
      </c>
      <c r="L388" s="17">
        <f>CHOOSE(CONTROL!$C$42, 18.8201, 18.8201) * CHOOSE(CONTROL!$C$21, $C$9, 100%, $E$9)</f>
        <v>18.8201</v>
      </c>
      <c r="M388" s="17">
        <f>CHOOSE(CONTROL!$C$42, 17.7988, 17.7988) * CHOOSE(CONTROL!$C$21, $C$9, 100%, $E$9)</f>
        <v>17.7988</v>
      </c>
      <c r="N388" s="17">
        <f>CHOOSE(CONTROL!$C$42, 17.8145, 17.8145) * CHOOSE(CONTROL!$C$21, $C$9, 100%, $E$9)</f>
        <v>17.814499999999999</v>
      </c>
      <c r="O388" s="17">
        <f>CHOOSE(CONTROL!$C$42, 18.0762, 18.0762) * CHOOSE(CONTROL!$C$21, $C$9, 100%, $E$9)</f>
        <v>18.0762</v>
      </c>
      <c r="P388" s="17">
        <f>CHOOSE(CONTROL!$C$42, 17.8764, 17.8764) * CHOOSE(CONTROL!$C$21, $C$9, 100%, $E$9)</f>
        <v>17.8764</v>
      </c>
      <c r="Q388" s="17">
        <f>CHOOSE(CONTROL!$C$42, 18.6709, 18.6709) * CHOOSE(CONTROL!$C$21, $C$9, 100%, $E$9)</f>
        <v>18.6709</v>
      </c>
      <c r="R388" s="17">
        <f>CHOOSE(CONTROL!$C$42, 19.3045, 19.3045) * CHOOSE(CONTROL!$C$21, $C$9, 100%, $E$9)</f>
        <v>19.304500000000001</v>
      </c>
      <c r="S388" s="17">
        <f>CHOOSE(CONTROL!$C$42, 17.4004, 17.4004) * CHOOSE(CONTROL!$C$21, $C$9, 100%, $E$9)</f>
        <v>17.400400000000001</v>
      </c>
      <c r="T388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388" s="57">
        <f>(1000*CHOOSE(CONTROL!$C$42, 695, 695)*CHOOSE(CONTROL!$C$42, 0.5599, 0.5599)*CHOOSE(CONTROL!$C$42, 30, 30))/1000000</f>
        <v>11.673914999999997</v>
      </c>
      <c r="V388" s="57">
        <f>(1000*CHOOSE(CONTROL!$C$42, 500, 500)*CHOOSE(CONTROL!$C$42, 0.275, 0.275)*CHOOSE(CONTROL!$C$42, 30, 30))/1000000</f>
        <v>4.125</v>
      </c>
      <c r="W388" s="57">
        <f>(1000*CHOOSE(CONTROL!$C$42, 0.0916, 0.0916)*CHOOSE(CONTROL!$C$42, 121.5, 121.5)*CHOOSE(CONTROL!$C$42, 30, 30))/1000000</f>
        <v>0.33388200000000001</v>
      </c>
      <c r="X388" s="57">
        <f>(30*0.1790888*145000/1000000)+(30*0.2374*100000/1000000)</f>
        <v>1.4912362799999999</v>
      </c>
      <c r="Y388" s="57"/>
      <c r="Z388" s="17"/>
      <c r="AA388" s="56"/>
      <c r="AB388" s="49">
        <f>(B388*141.293+C388*267.993+D388*115.016+E388*189.698+F388*40+G388*85+H388*0+I388*100+J388*300)/(141.293+267.993+115.016+189.698+0+40+85+100+300)</f>
        <v>18.031358438821631</v>
      </c>
      <c r="AC388" s="46">
        <f>(M388*'RAP TEMPLATE-GAS AVAILABILITY'!O387+N388*'RAP TEMPLATE-GAS AVAILABILITY'!P387+O388*'RAP TEMPLATE-GAS AVAILABILITY'!Q387+P388*'RAP TEMPLATE-GAS AVAILABILITY'!R387)/('RAP TEMPLATE-GAS AVAILABILITY'!O387+'RAP TEMPLATE-GAS AVAILABILITY'!P387+'RAP TEMPLATE-GAS AVAILABILITY'!Q387+'RAP TEMPLATE-GAS AVAILABILITY'!R387)</f>
        <v>17.891411510791364</v>
      </c>
    </row>
    <row r="389" spans="1:29" ht="15.75" x14ac:dyDescent="0.25">
      <c r="A389" s="14">
        <v>52748</v>
      </c>
      <c r="B389" s="17">
        <f>CHOOSE(CONTROL!$C$42, 18.1144, 18.1144) * CHOOSE(CONTROL!$C$21, $C$9, 100%, $E$9)</f>
        <v>18.1144</v>
      </c>
      <c r="C389" s="17">
        <f>CHOOSE(CONTROL!$C$42, 18.1224, 18.1224) * CHOOSE(CONTROL!$C$21, $C$9, 100%, $E$9)</f>
        <v>18.122399999999999</v>
      </c>
      <c r="D389" s="17">
        <f>CHOOSE(CONTROL!$C$42, 18.372, 18.372) * CHOOSE(CONTROL!$C$21, $C$9, 100%, $E$9)</f>
        <v>18.372</v>
      </c>
      <c r="E389" s="17">
        <f>CHOOSE(CONTROL!$C$42, 18.4032, 18.4032) * CHOOSE(CONTROL!$C$21, $C$9, 100%, $E$9)</f>
        <v>18.403199999999998</v>
      </c>
      <c r="F389" s="17">
        <f>CHOOSE(CONTROL!$C$42, 18.1192, 18.1192)*CHOOSE(CONTROL!$C$21, $C$9, 100%, $E$9)</f>
        <v>18.119199999999999</v>
      </c>
      <c r="G389" s="17">
        <f>CHOOSE(CONTROL!$C$42, 18.1354, 18.1354)*CHOOSE(CONTROL!$C$21, $C$9, 100%, $E$9)</f>
        <v>18.135400000000001</v>
      </c>
      <c r="H389" s="17">
        <f>CHOOSE(CONTROL!$C$42, 18.3915, 18.3915) * CHOOSE(CONTROL!$C$21, $C$9, 100%, $E$9)</f>
        <v>18.391500000000001</v>
      </c>
      <c r="I389" s="17">
        <f>CHOOSE(CONTROL!$C$42, 18.1908, 18.1908)* CHOOSE(CONTROL!$C$21, $C$9, 100%, $E$9)</f>
        <v>18.190799999999999</v>
      </c>
      <c r="J389" s="17">
        <f>CHOOSE(CONTROL!$C$42, 18.1118, 18.1118)* CHOOSE(CONTROL!$C$21, $C$9, 100%, $E$9)</f>
        <v>18.111799999999999</v>
      </c>
      <c r="K389" s="53">
        <f>CHOOSE(CONTROL!$C$42, 18.1848, 18.1848) * CHOOSE(CONTROL!$C$21, $C$9, 100%, $E$9)</f>
        <v>18.184799999999999</v>
      </c>
      <c r="L389" s="17">
        <f>CHOOSE(CONTROL!$C$42, 18.9785, 18.9785) * CHOOSE(CONTROL!$C$21, $C$9, 100%, $E$9)</f>
        <v>18.9785</v>
      </c>
      <c r="M389" s="17">
        <f>CHOOSE(CONTROL!$C$42, 17.9559, 17.9559) * CHOOSE(CONTROL!$C$21, $C$9, 100%, $E$9)</f>
        <v>17.9559</v>
      </c>
      <c r="N389" s="17">
        <f>CHOOSE(CONTROL!$C$42, 17.9719, 17.9719) * CHOOSE(CONTROL!$C$21, $C$9, 100%, $E$9)</f>
        <v>17.971900000000002</v>
      </c>
      <c r="O389" s="17">
        <f>CHOOSE(CONTROL!$C$42, 18.2331, 18.2331) * CHOOSE(CONTROL!$C$21, $C$9, 100%, $E$9)</f>
        <v>18.2331</v>
      </c>
      <c r="P389" s="17">
        <f>CHOOSE(CONTROL!$C$42, 18.0338, 18.0338) * CHOOSE(CONTROL!$C$21, $C$9, 100%, $E$9)</f>
        <v>18.033799999999999</v>
      </c>
      <c r="Q389" s="17">
        <f>CHOOSE(CONTROL!$C$42, 18.8278, 18.8278) * CHOOSE(CONTROL!$C$21, $C$9, 100%, $E$9)</f>
        <v>18.8278</v>
      </c>
      <c r="R389" s="17">
        <f>CHOOSE(CONTROL!$C$42, 19.4619, 19.4619) * CHOOSE(CONTROL!$C$21, $C$9, 100%, $E$9)</f>
        <v>19.4619</v>
      </c>
      <c r="S389" s="17">
        <f>CHOOSE(CONTROL!$C$42, 17.5539, 17.5539) * CHOOSE(CONTROL!$C$21, $C$9, 100%, $E$9)</f>
        <v>17.553899999999999</v>
      </c>
      <c r="T389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389" s="57">
        <f>(1000*CHOOSE(CONTROL!$C$42, 695, 695)*CHOOSE(CONTROL!$C$42, 0.5599, 0.5599)*CHOOSE(CONTROL!$C$42, 31, 31))/1000000</f>
        <v>12.063045499999998</v>
      </c>
      <c r="V389" s="57">
        <f>(1000*CHOOSE(CONTROL!$C$42, 500, 500)*CHOOSE(CONTROL!$C$42, 0.275, 0.275)*CHOOSE(CONTROL!$C$42, 31, 31))/1000000</f>
        <v>4.2625000000000002</v>
      </c>
      <c r="W389" s="57">
        <f>(1000*CHOOSE(CONTROL!$C$42, 0.0916, 0.0916)*CHOOSE(CONTROL!$C$42, 121.5, 121.5)*CHOOSE(CONTROL!$C$42, 31, 31))/1000000</f>
        <v>0.34501139999999997</v>
      </c>
      <c r="X389" s="57">
        <f>(31*0.1790888*145000/1000000)+(31*0.2374*100000/1000000)</f>
        <v>1.5409441560000001</v>
      </c>
      <c r="Y389" s="57"/>
      <c r="Z389" s="17"/>
      <c r="AA389" s="56"/>
      <c r="AB389" s="49">
        <f>(B389*194.205+C389*267.466+D389*133.845+E389*153.484+F389*40+G389*85+H389*0+I389*100+J389*300)/(194.205+267.466+133.845+153.484+0+40+85+100+300)</f>
        <v>18.184872040188385</v>
      </c>
      <c r="AC389" s="46">
        <f>(M389*'RAP TEMPLATE-GAS AVAILABILITY'!O388+N389*'RAP TEMPLATE-GAS AVAILABILITY'!P388+O389*'RAP TEMPLATE-GAS AVAILABILITY'!Q388+P389*'RAP TEMPLATE-GAS AVAILABILITY'!R388)/('RAP TEMPLATE-GAS AVAILABILITY'!O388+'RAP TEMPLATE-GAS AVAILABILITY'!P388+'RAP TEMPLATE-GAS AVAILABILITY'!Q388+'RAP TEMPLATE-GAS AVAILABILITY'!R388)</f>
        <v>18.048567625899278</v>
      </c>
    </row>
    <row r="390" spans="1:29" ht="15.75" x14ac:dyDescent="0.25">
      <c r="A390" s="14">
        <v>52778</v>
      </c>
      <c r="B390" s="17">
        <f>CHOOSE(CONTROL!$C$42, 18.6279, 18.6279) * CHOOSE(CONTROL!$C$21, $C$9, 100%, $E$9)</f>
        <v>18.6279</v>
      </c>
      <c r="C390" s="17">
        <f>CHOOSE(CONTROL!$C$42, 18.6358, 18.6358) * CHOOSE(CONTROL!$C$21, $C$9, 100%, $E$9)</f>
        <v>18.6358</v>
      </c>
      <c r="D390" s="17">
        <f>CHOOSE(CONTROL!$C$42, 18.8855, 18.8855) * CHOOSE(CONTROL!$C$21, $C$9, 100%, $E$9)</f>
        <v>18.8855</v>
      </c>
      <c r="E390" s="17">
        <f>CHOOSE(CONTROL!$C$42, 18.9166, 18.9166) * CHOOSE(CONTROL!$C$21, $C$9, 100%, $E$9)</f>
        <v>18.916599999999999</v>
      </c>
      <c r="F390" s="17">
        <f>CHOOSE(CONTROL!$C$42, 18.633, 18.633)*CHOOSE(CONTROL!$C$21, $C$9, 100%, $E$9)</f>
        <v>18.632999999999999</v>
      </c>
      <c r="G390" s="17">
        <f>CHOOSE(CONTROL!$C$42, 18.6493, 18.6493)*CHOOSE(CONTROL!$C$21, $C$9, 100%, $E$9)</f>
        <v>18.6493</v>
      </c>
      <c r="H390" s="17">
        <f>CHOOSE(CONTROL!$C$42, 18.905, 18.905) * CHOOSE(CONTROL!$C$21, $C$9, 100%, $E$9)</f>
        <v>18.905000000000001</v>
      </c>
      <c r="I390" s="17">
        <f>CHOOSE(CONTROL!$C$42, 18.7059, 18.7059)* CHOOSE(CONTROL!$C$21, $C$9, 100%, $E$9)</f>
        <v>18.7059</v>
      </c>
      <c r="J390" s="17">
        <f>CHOOSE(CONTROL!$C$42, 18.6256, 18.6256)* CHOOSE(CONTROL!$C$21, $C$9, 100%, $E$9)</f>
        <v>18.625599999999999</v>
      </c>
      <c r="K390" s="53">
        <f>CHOOSE(CONTROL!$C$42, 18.6999, 18.6999) * CHOOSE(CONTROL!$C$21, $C$9, 100%, $E$9)</f>
        <v>18.6999</v>
      </c>
      <c r="L390" s="17">
        <f>CHOOSE(CONTROL!$C$42, 19.492, 19.492) * CHOOSE(CONTROL!$C$21, $C$9, 100%, $E$9)</f>
        <v>19.492000000000001</v>
      </c>
      <c r="M390" s="17">
        <f>CHOOSE(CONTROL!$C$42, 18.4651, 18.4651) * CHOOSE(CONTROL!$C$21, $C$9, 100%, $E$9)</f>
        <v>18.4651</v>
      </c>
      <c r="N390" s="17">
        <f>CHOOSE(CONTROL!$C$42, 18.4812, 18.4812) * CHOOSE(CONTROL!$C$21, $C$9, 100%, $E$9)</f>
        <v>18.481200000000001</v>
      </c>
      <c r="O390" s="17">
        <f>CHOOSE(CONTROL!$C$42, 18.742, 18.742) * CHOOSE(CONTROL!$C$21, $C$9, 100%, $E$9)</f>
        <v>18.742000000000001</v>
      </c>
      <c r="P390" s="17">
        <f>CHOOSE(CONTROL!$C$42, 18.5442, 18.5442) * CHOOSE(CONTROL!$C$21, $C$9, 100%, $E$9)</f>
        <v>18.5442</v>
      </c>
      <c r="Q390" s="17">
        <f>CHOOSE(CONTROL!$C$42, 19.3367, 19.3367) * CHOOSE(CONTROL!$C$21, $C$9, 100%, $E$9)</f>
        <v>19.3367</v>
      </c>
      <c r="R390" s="17">
        <f>CHOOSE(CONTROL!$C$42, 19.972, 19.972) * CHOOSE(CONTROL!$C$21, $C$9, 100%, $E$9)</f>
        <v>19.972000000000001</v>
      </c>
      <c r="S390" s="17">
        <f>CHOOSE(CONTROL!$C$42, 18.0519, 18.0519) * CHOOSE(CONTROL!$C$21, $C$9, 100%, $E$9)</f>
        <v>18.0519</v>
      </c>
      <c r="T390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390" s="57">
        <f>(1000*CHOOSE(CONTROL!$C$42, 695, 695)*CHOOSE(CONTROL!$C$42, 0.5599, 0.5599)*CHOOSE(CONTROL!$C$42, 30, 30))/1000000</f>
        <v>11.673914999999997</v>
      </c>
      <c r="V390" s="57">
        <f>(1000*CHOOSE(CONTROL!$C$42, 500, 500)*CHOOSE(CONTROL!$C$42, 0.275, 0.275)*CHOOSE(CONTROL!$C$42, 30, 30))/1000000</f>
        <v>4.125</v>
      </c>
      <c r="W390" s="57">
        <f>(1000*CHOOSE(CONTROL!$C$42, 0.0916, 0.0916)*CHOOSE(CONTROL!$C$42, 121.5, 121.5)*CHOOSE(CONTROL!$C$42, 30, 30))/1000000</f>
        <v>0.33388200000000001</v>
      </c>
      <c r="X390" s="57">
        <f>(30*0.1790888*145000/1000000)+(30*0.2374*100000/1000000)</f>
        <v>1.4912362799999999</v>
      </c>
      <c r="Y390" s="57"/>
      <c r="Z390" s="17"/>
      <c r="AA390" s="56"/>
      <c r="AB390" s="49">
        <f>(B390*194.205+C390*267.466+D390*133.845+E390*153.484+F390*40+G390*85+H390*0+I390*100+J390*300)/(194.205+267.466+133.845+153.484+0+40+85+100+300)</f>
        <v>18.698571337676608</v>
      </c>
      <c r="AC390" s="46">
        <f>(M390*'RAP TEMPLATE-GAS AVAILABILITY'!O389+N390*'RAP TEMPLATE-GAS AVAILABILITY'!P389+O390*'RAP TEMPLATE-GAS AVAILABILITY'!Q389+P390*'RAP TEMPLATE-GAS AVAILABILITY'!R389)/('RAP TEMPLATE-GAS AVAILABILITY'!O389+'RAP TEMPLATE-GAS AVAILABILITY'!P389+'RAP TEMPLATE-GAS AVAILABILITY'!Q389+'RAP TEMPLATE-GAS AVAILABILITY'!R389)</f>
        <v>18.557879136690648</v>
      </c>
    </row>
    <row r="391" spans="1:29" ht="15.75" x14ac:dyDescent="0.25">
      <c r="A391" s="14">
        <v>52809</v>
      </c>
      <c r="B391" s="17">
        <f>CHOOSE(CONTROL!$C$42, 18.2707, 18.2707) * CHOOSE(CONTROL!$C$21, $C$9, 100%, $E$9)</f>
        <v>18.270700000000001</v>
      </c>
      <c r="C391" s="17">
        <f>CHOOSE(CONTROL!$C$42, 18.2787, 18.2787) * CHOOSE(CONTROL!$C$21, $C$9, 100%, $E$9)</f>
        <v>18.278700000000001</v>
      </c>
      <c r="D391" s="17">
        <f>CHOOSE(CONTROL!$C$42, 18.5283, 18.5283) * CHOOSE(CONTROL!$C$21, $C$9, 100%, $E$9)</f>
        <v>18.528300000000002</v>
      </c>
      <c r="E391" s="17">
        <f>CHOOSE(CONTROL!$C$42, 18.5595, 18.5595) * CHOOSE(CONTROL!$C$21, $C$9, 100%, $E$9)</f>
        <v>18.5595</v>
      </c>
      <c r="F391" s="17">
        <f>CHOOSE(CONTROL!$C$42, 18.2764, 18.2764)*CHOOSE(CONTROL!$C$21, $C$9, 100%, $E$9)</f>
        <v>18.276399999999999</v>
      </c>
      <c r="G391" s="17">
        <f>CHOOSE(CONTROL!$C$42, 18.2928, 18.2928)*CHOOSE(CONTROL!$C$21, $C$9, 100%, $E$9)</f>
        <v>18.2928</v>
      </c>
      <c r="H391" s="17">
        <f>CHOOSE(CONTROL!$C$42, 18.5478, 18.5478) * CHOOSE(CONTROL!$C$21, $C$9, 100%, $E$9)</f>
        <v>18.547799999999999</v>
      </c>
      <c r="I391" s="17">
        <f>CHOOSE(CONTROL!$C$42, 18.3477, 18.3477)* CHOOSE(CONTROL!$C$21, $C$9, 100%, $E$9)</f>
        <v>18.3477</v>
      </c>
      <c r="J391" s="17">
        <f>CHOOSE(CONTROL!$C$42, 18.269, 18.269)* CHOOSE(CONTROL!$C$21, $C$9, 100%, $E$9)</f>
        <v>18.268999999999998</v>
      </c>
      <c r="K391" s="53">
        <f>CHOOSE(CONTROL!$C$42, 18.3416, 18.3416) * CHOOSE(CONTROL!$C$21, $C$9, 100%, $E$9)</f>
        <v>18.3416</v>
      </c>
      <c r="L391" s="17">
        <f>CHOOSE(CONTROL!$C$42, 19.1348, 19.1348) * CHOOSE(CONTROL!$C$21, $C$9, 100%, $E$9)</f>
        <v>19.134799999999998</v>
      </c>
      <c r="M391" s="17">
        <f>CHOOSE(CONTROL!$C$42, 18.1117, 18.1117) * CHOOSE(CONTROL!$C$21, $C$9, 100%, $E$9)</f>
        <v>18.111699999999999</v>
      </c>
      <c r="N391" s="17">
        <f>CHOOSE(CONTROL!$C$42, 18.1279, 18.1279) * CHOOSE(CONTROL!$C$21, $C$9, 100%, $E$9)</f>
        <v>18.1279</v>
      </c>
      <c r="O391" s="17">
        <f>CHOOSE(CONTROL!$C$42, 18.388, 18.388) * CHOOSE(CONTROL!$C$21, $C$9, 100%, $E$9)</f>
        <v>18.388000000000002</v>
      </c>
      <c r="P391" s="17">
        <f>CHOOSE(CONTROL!$C$42, 18.1892, 18.1892) * CHOOSE(CONTROL!$C$21, $C$9, 100%, $E$9)</f>
        <v>18.1892</v>
      </c>
      <c r="Q391" s="17">
        <f>CHOOSE(CONTROL!$C$42, 18.9827, 18.9827) * CHOOSE(CONTROL!$C$21, $C$9, 100%, $E$9)</f>
        <v>18.982700000000001</v>
      </c>
      <c r="R391" s="17">
        <f>CHOOSE(CONTROL!$C$42, 19.6172, 19.6172) * CHOOSE(CONTROL!$C$21, $C$9, 100%, $E$9)</f>
        <v>19.6172</v>
      </c>
      <c r="S391" s="17">
        <f>CHOOSE(CONTROL!$C$42, 17.7056, 17.7056) * CHOOSE(CONTROL!$C$21, $C$9, 100%, $E$9)</f>
        <v>17.7056</v>
      </c>
      <c r="T391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391" s="57">
        <f>(1000*CHOOSE(CONTROL!$C$42, 695, 695)*CHOOSE(CONTROL!$C$42, 0.5599, 0.5599)*CHOOSE(CONTROL!$C$42, 31, 31))/1000000</f>
        <v>12.063045499999998</v>
      </c>
      <c r="V391" s="57">
        <f>(1000*CHOOSE(CONTROL!$C$42, 500, 500)*CHOOSE(CONTROL!$C$42, 0.275, 0.275)*CHOOSE(CONTROL!$C$42, 31, 31))/1000000</f>
        <v>4.2625000000000002</v>
      </c>
      <c r="W391" s="57">
        <f>(1000*CHOOSE(CONTROL!$C$42, 0.0916, 0.0916)*CHOOSE(CONTROL!$C$42, 121.5, 121.5)*CHOOSE(CONTROL!$C$42, 31, 31))/1000000</f>
        <v>0.34501139999999997</v>
      </c>
      <c r="X391" s="57">
        <f>(31*0.1790888*145000/1000000)+(31*0.2374*100000/1000000)</f>
        <v>1.5409441560000001</v>
      </c>
      <c r="Y391" s="57"/>
      <c r="Z391" s="17"/>
      <c r="AA391" s="56"/>
      <c r="AB391" s="49">
        <f>(B391*194.205+C391*267.466+D391*133.845+E391*153.484+F391*40+G391*85+H391*0+I391*100+J391*300)/(194.205+267.466+133.845+153.484+0+40+85+100+300)</f>
        <v>18.341532715227633</v>
      </c>
      <c r="AC391" s="46">
        <f>(M391*'RAP TEMPLATE-GAS AVAILABILITY'!O390+N391*'RAP TEMPLATE-GAS AVAILABILITY'!P390+O391*'RAP TEMPLATE-GAS AVAILABILITY'!Q390+P391*'RAP TEMPLATE-GAS AVAILABILITY'!R390)/('RAP TEMPLATE-GAS AVAILABILITY'!O390+'RAP TEMPLATE-GAS AVAILABILITY'!P390+'RAP TEMPLATE-GAS AVAILABILITY'!Q390+'RAP TEMPLATE-GAS AVAILABILITY'!R390)</f>
        <v>18.204103597122302</v>
      </c>
    </row>
    <row r="392" spans="1:29" ht="15.75" x14ac:dyDescent="0.25">
      <c r="A392" s="14">
        <v>52840</v>
      </c>
      <c r="B392" s="17">
        <f>CHOOSE(CONTROL!$C$42, 17.3689, 17.3689) * CHOOSE(CONTROL!$C$21, $C$9, 100%, $E$9)</f>
        <v>17.3689</v>
      </c>
      <c r="C392" s="17">
        <f>CHOOSE(CONTROL!$C$42, 17.3769, 17.3769) * CHOOSE(CONTROL!$C$21, $C$9, 100%, $E$9)</f>
        <v>17.376899999999999</v>
      </c>
      <c r="D392" s="17">
        <f>CHOOSE(CONTROL!$C$42, 17.6265, 17.6265) * CHOOSE(CONTROL!$C$21, $C$9, 100%, $E$9)</f>
        <v>17.6265</v>
      </c>
      <c r="E392" s="17">
        <f>CHOOSE(CONTROL!$C$42, 17.6577, 17.6577) * CHOOSE(CONTROL!$C$21, $C$9, 100%, $E$9)</f>
        <v>17.657699999999998</v>
      </c>
      <c r="F392" s="17">
        <f>CHOOSE(CONTROL!$C$42, 17.3748, 17.3748)*CHOOSE(CONTROL!$C$21, $C$9, 100%, $E$9)</f>
        <v>17.3748</v>
      </c>
      <c r="G392" s="17">
        <f>CHOOSE(CONTROL!$C$42, 17.3913, 17.3913)*CHOOSE(CONTROL!$C$21, $C$9, 100%, $E$9)</f>
        <v>17.391300000000001</v>
      </c>
      <c r="H392" s="17">
        <f>CHOOSE(CONTROL!$C$42, 17.646, 17.646) * CHOOSE(CONTROL!$C$21, $C$9, 100%, $E$9)</f>
        <v>17.646000000000001</v>
      </c>
      <c r="I392" s="17">
        <f>CHOOSE(CONTROL!$C$42, 17.443, 17.443)* CHOOSE(CONTROL!$C$21, $C$9, 100%, $E$9)</f>
        <v>17.443000000000001</v>
      </c>
      <c r="J392" s="17">
        <f>CHOOSE(CONTROL!$C$42, 17.3674, 17.3674)* CHOOSE(CONTROL!$C$21, $C$9, 100%, $E$9)</f>
        <v>17.3674</v>
      </c>
      <c r="K392" s="53">
        <f>CHOOSE(CONTROL!$C$42, 17.437, 17.437) * CHOOSE(CONTROL!$C$21, $C$9, 100%, $E$9)</f>
        <v>17.437000000000001</v>
      </c>
      <c r="L392" s="17">
        <f>CHOOSE(CONTROL!$C$42, 18.233, 18.233) * CHOOSE(CONTROL!$C$21, $C$9, 100%, $E$9)</f>
        <v>18.233000000000001</v>
      </c>
      <c r="M392" s="17">
        <f>CHOOSE(CONTROL!$C$42, 17.2183, 17.2183) * CHOOSE(CONTROL!$C$21, $C$9, 100%, $E$9)</f>
        <v>17.218299999999999</v>
      </c>
      <c r="N392" s="17">
        <f>CHOOSE(CONTROL!$C$42, 17.2345, 17.2345) * CHOOSE(CONTROL!$C$21, $C$9, 100%, $E$9)</f>
        <v>17.234500000000001</v>
      </c>
      <c r="O392" s="17">
        <f>CHOOSE(CONTROL!$C$42, 17.4943, 17.4943) * CHOOSE(CONTROL!$C$21, $C$9, 100%, $E$9)</f>
        <v>17.494299999999999</v>
      </c>
      <c r="P392" s="17">
        <f>CHOOSE(CONTROL!$C$42, 17.2927, 17.2927) * CHOOSE(CONTROL!$C$21, $C$9, 100%, $E$9)</f>
        <v>17.2927</v>
      </c>
      <c r="Q392" s="17">
        <f>CHOOSE(CONTROL!$C$42, 18.089, 18.089) * CHOOSE(CONTROL!$C$21, $C$9, 100%, $E$9)</f>
        <v>18.088999999999999</v>
      </c>
      <c r="R392" s="17">
        <f>CHOOSE(CONTROL!$C$42, 18.7212, 18.7212) * CHOOSE(CONTROL!$C$21, $C$9, 100%, $E$9)</f>
        <v>18.7212</v>
      </c>
      <c r="S392" s="17">
        <f>CHOOSE(CONTROL!$C$42, 16.831, 16.831) * CHOOSE(CONTROL!$C$21, $C$9, 100%, $E$9)</f>
        <v>16.831</v>
      </c>
      <c r="T392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392" s="57">
        <f>(1000*CHOOSE(CONTROL!$C$42, 695, 695)*CHOOSE(CONTROL!$C$42, 0.5599, 0.5599)*CHOOSE(CONTROL!$C$42, 31, 31))/1000000</f>
        <v>12.063045499999998</v>
      </c>
      <c r="V392" s="57">
        <f>(1000*CHOOSE(CONTROL!$C$42, 500, 500)*CHOOSE(CONTROL!$C$42, 0.275, 0.275)*CHOOSE(CONTROL!$C$42, 31, 31))/1000000</f>
        <v>4.2625000000000002</v>
      </c>
      <c r="W392" s="57">
        <f>(1000*CHOOSE(CONTROL!$C$42, 0.0916, 0.0916)*CHOOSE(CONTROL!$C$42, 121.5, 121.5)*CHOOSE(CONTROL!$C$42, 31, 31))/1000000</f>
        <v>0.34501139999999997</v>
      </c>
      <c r="X392" s="57">
        <f>(31*0.1790888*145000/1000000)+(31*0.2374*100000/1000000)</f>
        <v>1.5409441560000001</v>
      </c>
      <c r="Y392" s="57"/>
      <c r="Z392" s="17"/>
      <c r="AA392" s="56"/>
      <c r="AB392" s="49">
        <f>(B392*194.205+C392*267.466+D392*133.845+E392*153.484+F392*40+G392*85+H392*0+I392*100+J392*300)/(194.205+267.466+133.845+153.484+0+40+85+100+300)</f>
        <v>17.439578476609107</v>
      </c>
      <c r="AC392" s="46">
        <f>(M392*'RAP TEMPLATE-GAS AVAILABILITY'!O391+N392*'RAP TEMPLATE-GAS AVAILABILITY'!P391+O392*'RAP TEMPLATE-GAS AVAILABILITY'!Q391+P392*'RAP TEMPLATE-GAS AVAILABILITY'!R391)/('RAP TEMPLATE-GAS AVAILABILITY'!O391+'RAP TEMPLATE-GAS AVAILABILITY'!P391+'RAP TEMPLATE-GAS AVAILABILITY'!Q391+'RAP TEMPLATE-GAS AVAILABILITY'!R391)</f>
        <v>17.310173381294966</v>
      </c>
    </row>
    <row r="393" spans="1:29" ht="15.75" x14ac:dyDescent="0.25">
      <c r="A393" s="14">
        <v>52870</v>
      </c>
      <c r="B393" s="17">
        <f>CHOOSE(CONTROL!$C$42, 16.2668, 16.2668) * CHOOSE(CONTROL!$C$21, $C$9, 100%, $E$9)</f>
        <v>16.2668</v>
      </c>
      <c r="C393" s="17">
        <f>CHOOSE(CONTROL!$C$42, 16.2747, 16.2747) * CHOOSE(CONTROL!$C$21, $C$9, 100%, $E$9)</f>
        <v>16.274699999999999</v>
      </c>
      <c r="D393" s="17">
        <f>CHOOSE(CONTROL!$C$42, 16.5244, 16.5244) * CHOOSE(CONTROL!$C$21, $C$9, 100%, $E$9)</f>
        <v>16.5244</v>
      </c>
      <c r="E393" s="17">
        <f>CHOOSE(CONTROL!$C$42, 16.5555, 16.5555) * CHOOSE(CONTROL!$C$21, $C$9, 100%, $E$9)</f>
        <v>16.555499999999999</v>
      </c>
      <c r="F393" s="17">
        <f>CHOOSE(CONTROL!$C$42, 16.2728, 16.2728)*CHOOSE(CONTROL!$C$21, $C$9, 100%, $E$9)</f>
        <v>16.2728</v>
      </c>
      <c r="G393" s="17">
        <f>CHOOSE(CONTROL!$C$42, 16.2892, 16.2892)*CHOOSE(CONTROL!$C$21, $C$9, 100%, $E$9)</f>
        <v>16.289200000000001</v>
      </c>
      <c r="H393" s="17">
        <f>CHOOSE(CONTROL!$C$42, 16.5439, 16.5439) * CHOOSE(CONTROL!$C$21, $C$9, 100%, $E$9)</f>
        <v>16.543900000000001</v>
      </c>
      <c r="I393" s="17">
        <f>CHOOSE(CONTROL!$C$42, 16.3375, 16.3375)* CHOOSE(CONTROL!$C$21, $C$9, 100%, $E$9)</f>
        <v>16.337499999999999</v>
      </c>
      <c r="J393" s="17">
        <f>CHOOSE(CONTROL!$C$42, 16.2654, 16.2654)* CHOOSE(CONTROL!$C$21, $C$9, 100%, $E$9)</f>
        <v>16.2654</v>
      </c>
      <c r="K393" s="53">
        <f>CHOOSE(CONTROL!$C$42, 16.3314, 16.3314) * CHOOSE(CONTROL!$C$21, $C$9, 100%, $E$9)</f>
        <v>16.331399999999999</v>
      </c>
      <c r="L393" s="17">
        <f>CHOOSE(CONTROL!$C$42, 17.1309, 17.1309) * CHOOSE(CONTROL!$C$21, $C$9, 100%, $E$9)</f>
        <v>17.1309</v>
      </c>
      <c r="M393" s="17">
        <f>CHOOSE(CONTROL!$C$42, 16.1261, 16.1261) * CHOOSE(CONTROL!$C$21, $C$9, 100%, $E$9)</f>
        <v>16.126100000000001</v>
      </c>
      <c r="N393" s="17">
        <f>CHOOSE(CONTROL!$C$42, 16.1424, 16.1424) * CHOOSE(CONTROL!$C$21, $C$9, 100%, $E$9)</f>
        <v>16.142399999999999</v>
      </c>
      <c r="O393" s="17">
        <f>CHOOSE(CONTROL!$C$42, 16.4021, 16.4021) * CHOOSE(CONTROL!$C$21, $C$9, 100%, $E$9)</f>
        <v>16.402100000000001</v>
      </c>
      <c r="P393" s="17">
        <f>CHOOSE(CONTROL!$C$42, 16.1971, 16.1971) * CHOOSE(CONTROL!$C$21, $C$9, 100%, $E$9)</f>
        <v>16.197099999999999</v>
      </c>
      <c r="Q393" s="17">
        <f>CHOOSE(CONTROL!$C$42, 16.9968, 16.9968) * CHOOSE(CONTROL!$C$21, $C$9, 100%, $E$9)</f>
        <v>16.9968</v>
      </c>
      <c r="R393" s="17">
        <f>CHOOSE(CONTROL!$C$42, 17.6263, 17.6263) * CHOOSE(CONTROL!$C$21, $C$9, 100%, $E$9)</f>
        <v>17.626300000000001</v>
      </c>
      <c r="S393" s="17">
        <f>CHOOSE(CONTROL!$C$42, 15.7623, 15.7623) * CHOOSE(CONTROL!$C$21, $C$9, 100%, $E$9)</f>
        <v>15.7623</v>
      </c>
      <c r="T393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393" s="57">
        <f>(1000*CHOOSE(CONTROL!$C$42, 695, 695)*CHOOSE(CONTROL!$C$42, 0.5599, 0.5599)*CHOOSE(CONTROL!$C$42, 30, 30))/1000000</f>
        <v>11.673914999999997</v>
      </c>
      <c r="V393" s="57">
        <f>(1000*CHOOSE(CONTROL!$C$42, 500, 500)*CHOOSE(CONTROL!$C$42, 0.275, 0.275)*CHOOSE(CONTROL!$C$42, 30, 30))/1000000</f>
        <v>4.125</v>
      </c>
      <c r="W393" s="57">
        <f>(1000*CHOOSE(CONTROL!$C$42, 0.0916, 0.0916)*CHOOSE(CONTROL!$C$42, 121.5, 121.5)*CHOOSE(CONTROL!$C$42, 30, 30))/1000000</f>
        <v>0.33388200000000001</v>
      </c>
      <c r="X393" s="57">
        <f>(30*0.1790888*145000/1000000)+(30*0.2374*100000/1000000)</f>
        <v>1.4912362799999999</v>
      </c>
      <c r="Y393" s="57"/>
      <c r="Z393" s="17"/>
      <c r="AA393" s="56"/>
      <c r="AB393" s="49">
        <f>(B393*194.205+C393*267.466+D393*133.845+E393*153.484+F393*40+G393*85+H393*0+I393*100+J393*300)/(194.205+267.466+133.845+153.484+0+40+85+100+300)</f>
        <v>16.337205246624805</v>
      </c>
      <c r="AC393" s="46">
        <f>(M393*'RAP TEMPLATE-GAS AVAILABILITY'!O392+N393*'RAP TEMPLATE-GAS AVAILABILITY'!P392+O393*'RAP TEMPLATE-GAS AVAILABILITY'!Q392+P393*'RAP TEMPLATE-GAS AVAILABILITY'!R392)/('RAP TEMPLATE-GAS AVAILABILITY'!O392+'RAP TEMPLATE-GAS AVAILABILITY'!P392+'RAP TEMPLATE-GAS AVAILABILITY'!Q392+'RAP TEMPLATE-GAS AVAILABILITY'!R392)</f>
        <v>16.217507194244604</v>
      </c>
    </row>
    <row r="394" spans="1:29" ht="15.75" x14ac:dyDescent="0.25">
      <c r="A394" s="14">
        <v>52901</v>
      </c>
      <c r="B394" s="17">
        <f>CHOOSE(CONTROL!$C$42, 15.935, 15.935) * CHOOSE(CONTROL!$C$21, $C$9, 100%, $E$9)</f>
        <v>15.935</v>
      </c>
      <c r="C394" s="17">
        <f>CHOOSE(CONTROL!$C$42, 15.9404, 15.9404) * CHOOSE(CONTROL!$C$21, $C$9, 100%, $E$9)</f>
        <v>15.9404</v>
      </c>
      <c r="D394" s="17">
        <f>CHOOSE(CONTROL!$C$42, 16.1948, 16.1948) * CHOOSE(CONTROL!$C$21, $C$9, 100%, $E$9)</f>
        <v>16.194800000000001</v>
      </c>
      <c r="E394" s="17">
        <f>CHOOSE(CONTROL!$C$42, 16.2237, 16.2237) * CHOOSE(CONTROL!$C$21, $C$9, 100%, $E$9)</f>
        <v>16.223700000000001</v>
      </c>
      <c r="F394" s="17">
        <f>CHOOSE(CONTROL!$C$42, 15.9432, 15.9432)*CHOOSE(CONTROL!$C$21, $C$9, 100%, $E$9)</f>
        <v>15.943199999999999</v>
      </c>
      <c r="G394" s="17">
        <f>CHOOSE(CONTROL!$C$42, 15.9595, 15.9595)*CHOOSE(CONTROL!$C$21, $C$9, 100%, $E$9)</f>
        <v>15.9595</v>
      </c>
      <c r="H394" s="17">
        <f>CHOOSE(CONTROL!$C$42, 16.2139, 16.2139) * CHOOSE(CONTROL!$C$21, $C$9, 100%, $E$9)</f>
        <v>16.213899999999999</v>
      </c>
      <c r="I394" s="17">
        <f>CHOOSE(CONTROL!$C$42, 16.0064, 16.0064)* CHOOSE(CONTROL!$C$21, $C$9, 100%, $E$9)</f>
        <v>16.006399999999999</v>
      </c>
      <c r="J394" s="17">
        <f>CHOOSE(CONTROL!$C$42, 15.9358, 15.9358)* CHOOSE(CONTROL!$C$21, $C$9, 100%, $E$9)</f>
        <v>15.9358</v>
      </c>
      <c r="K394" s="53">
        <f>CHOOSE(CONTROL!$C$42, 16.0004, 16.0004) * CHOOSE(CONTROL!$C$21, $C$9, 100%, $E$9)</f>
        <v>16.000399999999999</v>
      </c>
      <c r="L394" s="17">
        <f>CHOOSE(CONTROL!$C$42, 16.8009, 16.8009) * CHOOSE(CONTROL!$C$21, $C$9, 100%, $E$9)</f>
        <v>16.800899999999999</v>
      </c>
      <c r="M394" s="17">
        <f>CHOOSE(CONTROL!$C$42, 15.7995, 15.7995) * CHOOSE(CONTROL!$C$21, $C$9, 100%, $E$9)</f>
        <v>15.7995</v>
      </c>
      <c r="N394" s="17">
        <f>CHOOSE(CONTROL!$C$42, 15.8157, 15.8157) * CHOOSE(CONTROL!$C$21, $C$9, 100%, $E$9)</f>
        <v>15.8157</v>
      </c>
      <c r="O394" s="17">
        <f>CHOOSE(CONTROL!$C$42, 16.075, 16.075) * CHOOSE(CONTROL!$C$21, $C$9, 100%, $E$9)</f>
        <v>16.074999999999999</v>
      </c>
      <c r="P394" s="17">
        <f>CHOOSE(CONTROL!$C$42, 15.8691, 15.8691) * CHOOSE(CONTROL!$C$21, $C$9, 100%, $E$9)</f>
        <v>15.8691</v>
      </c>
      <c r="Q394" s="17">
        <f>CHOOSE(CONTROL!$C$42, 16.6697, 16.6697) * CHOOSE(CONTROL!$C$21, $C$9, 100%, $E$9)</f>
        <v>16.669699999999999</v>
      </c>
      <c r="R394" s="17">
        <f>CHOOSE(CONTROL!$C$42, 17.2984, 17.2984) * CHOOSE(CONTROL!$C$21, $C$9, 100%, $E$9)</f>
        <v>17.298400000000001</v>
      </c>
      <c r="S394" s="17">
        <f>CHOOSE(CONTROL!$C$42, 15.4423, 15.4423) * CHOOSE(CONTROL!$C$21, $C$9, 100%, $E$9)</f>
        <v>15.442299999999999</v>
      </c>
      <c r="T394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394" s="57">
        <f>(1000*CHOOSE(CONTROL!$C$42, 695, 695)*CHOOSE(CONTROL!$C$42, 0.5599, 0.5599)*CHOOSE(CONTROL!$C$42, 31, 31))/1000000</f>
        <v>12.063045499999998</v>
      </c>
      <c r="V394" s="57">
        <f>(1000*CHOOSE(CONTROL!$C$42, 500, 500)*CHOOSE(CONTROL!$C$42, 0.275, 0.275)*CHOOSE(CONTROL!$C$42, 31, 31))/1000000</f>
        <v>4.2625000000000002</v>
      </c>
      <c r="W394" s="57">
        <f>(1000*CHOOSE(CONTROL!$C$42, 0.0916, 0.0916)*CHOOSE(CONTROL!$C$42, 121.5, 121.5)*CHOOSE(CONTROL!$C$42, 31, 31))/1000000</f>
        <v>0.34501139999999997</v>
      </c>
      <c r="X394" s="57">
        <f>(31*0.1790888*145000/1000000)+(31*0.2374*100000/1000000)</f>
        <v>1.5409441560000001</v>
      </c>
      <c r="Y394" s="57"/>
      <c r="Z394" s="17"/>
      <c r="AA394" s="56"/>
      <c r="AB394" s="49">
        <f>(B394*131.881+C394*277.167+D394*79.08+E394*225.872+F394*40+G394*85+H394*0+I394*100+J394*300)/(131.881+277.167+79.08+225.872+0+40+85+100+300)</f>
        <v>16.013322382728006</v>
      </c>
      <c r="AC394" s="46">
        <f>(M394*'RAP TEMPLATE-GAS AVAILABILITY'!O393+N394*'RAP TEMPLATE-GAS AVAILABILITY'!P393+O394*'RAP TEMPLATE-GAS AVAILABILITY'!Q393+P394*'RAP TEMPLATE-GAS AVAILABILITY'!R393)/('RAP TEMPLATE-GAS AVAILABILITY'!O393+'RAP TEMPLATE-GAS AVAILABILITY'!P393+'RAP TEMPLATE-GAS AVAILABILITY'!Q393+'RAP TEMPLATE-GAS AVAILABILITY'!R393)</f>
        <v>15.890542446043165</v>
      </c>
    </row>
    <row r="395" spans="1:29" ht="15.75" x14ac:dyDescent="0.25">
      <c r="A395" s="14">
        <v>52931</v>
      </c>
      <c r="B395" s="17">
        <f>CHOOSE(CONTROL!$C$42, 16.3541, 16.3541) * CHOOSE(CONTROL!$C$21, $C$9, 100%, $E$9)</f>
        <v>16.354099999999999</v>
      </c>
      <c r="C395" s="17">
        <f>CHOOSE(CONTROL!$C$42, 16.3592, 16.3592) * CHOOSE(CONTROL!$C$21, $C$9, 100%, $E$9)</f>
        <v>16.359200000000001</v>
      </c>
      <c r="D395" s="17">
        <f>CHOOSE(CONTROL!$C$42, 16.4818, 16.4818) * CHOOSE(CONTROL!$C$21, $C$9, 100%, $E$9)</f>
        <v>16.4818</v>
      </c>
      <c r="E395" s="17">
        <f>CHOOSE(CONTROL!$C$42, 16.5156, 16.5156) * CHOOSE(CONTROL!$C$21, $C$9, 100%, $E$9)</f>
        <v>16.515599999999999</v>
      </c>
      <c r="F395" s="17">
        <f>CHOOSE(CONTROL!$C$42, 16.3691, 16.3691)*CHOOSE(CONTROL!$C$21, $C$9, 100%, $E$9)</f>
        <v>16.3691</v>
      </c>
      <c r="G395" s="17">
        <f>CHOOSE(CONTROL!$C$42, 16.3858, 16.3858)*CHOOSE(CONTROL!$C$21, $C$9, 100%, $E$9)</f>
        <v>16.3858</v>
      </c>
      <c r="H395" s="17">
        <f>CHOOSE(CONTROL!$C$42, 16.5045, 16.5045) * CHOOSE(CONTROL!$C$21, $C$9, 100%, $E$9)</f>
        <v>16.5045</v>
      </c>
      <c r="I395" s="17">
        <f>CHOOSE(CONTROL!$C$42, 16.4298, 16.4298)* CHOOSE(CONTROL!$C$21, $C$9, 100%, $E$9)</f>
        <v>16.4298</v>
      </c>
      <c r="J395" s="17">
        <f>CHOOSE(CONTROL!$C$42, 16.3617, 16.3617)* CHOOSE(CONTROL!$C$21, $C$9, 100%, $E$9)</f>
        <v>16.361699999999999</v>
      </c>
      <c r="K395" s="53">
        <f>CHOOSE(CONTROL!$C$42, 16.4238, 16.4238) * CHOOSE(CONTROL!$C$21, $C$9, 100%, $E$9)</f>
        <v>16.4238</v>
      </c>
      <c r="L395" s="17">
        <f>CHOOSE(CONTROL!$C$42, 17.0915, 17.0915) * CHOOSE(CONTROL!$C$21, $C$9, 100%, $E$9)</f>
        <v>17.0915</v>
      </c>
      <c r="M395" s="17">
        <f>CHOOSE(CONTROL!$C$42, 16.2216, 16.2216) * CHOOSE(CONTROL!$C$21, $C$9, 100%, $E$9)</f>
        <v>16.221599999999999</v>
      </c>
      <c r="N395" s="17">
        <f>CHOOSE(CONTROL!$C$42, 16.2381, 16.2381) * CHOOSE(CONTROL!$C$21, $C$9, 100%, $E$9)</f>
        <v>16.238099999999999</v>
      </c>
      <c r="O395" s="17">
        <f>CHOOSE(CONTROL!$C$42, 16.363, 16.363) * CHOOSE(CONTROL!$C$21, $C$9, 100%, $E$9)</f>
        <v>16.363</v>
      </c>
      <c r="P395" s="17">
        <f>CHOOSE(CONTROL!$C$42, 16.2887, 16.2887) * CHOOSE(CONTROL!$C$21, $C$9, 100%, $E$9)</f>
        <v>16.288699999999999</v>
      </c>
      <c r="Q395" s="17">
        <f>CHOOSE(CONTROL!$C$42, 16.9577, 16.9577) * CHOOSE(CONTROL!$C$21, $C$9, 100%, $E$9)</f>
        <v>16.957699999999999</v>
      </c>
      <c r="R395" s="17">
        <f>CHOOSE(CONTROL!$C$42, 17.5871, 17.5871) * CHOOSE(CONTROL!$C$21, $C$9, 100%, $E$9)</f>
        <v>17.5871</v>
      </c>
      <c r="S395" s="17">
        <f>CHOOSE(CONTROL!$C$42, 15.8491, 15.8491) * CHOOSE(CONTROL!$C$21, $C$9, 100%, $E$9)</f>
        <v>15.8491</v>
      </c>
      <c r="T395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395" s="57">
        <f>(1000*CHOOSE(CONTROL!$C$42, 695, 695)*CHOOSE(CONTROL!$C$42, 0.5599, 0.5599)*CHOOSE(CONTROL!$C$42, 30, 30))/1000000</f>
        <v>11.673914999999997</v>
      </c>
      <c r="V395" s="57">
        <f>(1000*CHOOSE(CONTROL!$C$42, 500, 500)*CHOOSE(CONTROL!$C$42, 0.275, 0.275)*CHOOSE(CONTROL!$C$42, 30, 30))/1000000</f>
        <v>4.125</v>
      </c>
      <c r="W395" s="57">
        <f>(1000*CHOOSE(CONTROL!$C$42, 0.0916, 0.0916)*CHOOSE(CONTROL!$C$42, 121.5, 121.5)*CHOOSE(CONTROL!$C$42, 30, 30))/1000000</f>
        <v>0.33388200000000001</v>
      </c>
      <c r="X395" s="57">
        <f>(30*0.2374*100000/1000000)</f>
        <v>0.71220000000000006</v>
      </c>
      <c r="Y395" s="57"/>
      <c r="Z395" s="17"/>
      <c r="AA395" s="56"/>
      <c r="AB395" s="49">
        <f>(B395*122.58+C395*297.941+D395*89.177+E395*140.302+F395*40+G395*60+H395*0+I395*100+J395*300)/(122.58+297.941+89.177+140.302+0+40+60+100+300)</f>
        <v>16.395767978260867</v>
      </c>
      <c r="AC395" s="46">
        <f>(M395*'RAP TEMPLATE-GAS AVAILABILITY'!O394+N395*'RAP TEMPLATE-GAS AVAILABILITY'!P394+O395*'RAP TEMPLATE-GAS AVAILABILITY'!Q394+P395*'RAP TEMPLATE-GAS AVAILABILITY'!R394)/('RAP TEMPLATE-GAS AVAILABILITY'!O394+'RAP TEMPLATE-GAS AVAILABILITY'!P394+'RAP TEMPLATE-GAS AVAILABILITY'!Q394+'RAP TEMPLATE-GAS AVAILABILITY'!R394)</f>
        <v>16.296292086330933</v>
      </c>
    </row>
    <row r="396" spans="1:29" ht="15.75" x14ac:dyDescent="0.25">
      <c r="A396" s="14">
        <v>52962</v>
      </c>
      <c r="B396" s="17">
        <f>CHOOSE(CONTROL!$C$42, 17.4684, 17.4684) * CHOOSE(CONTROL!$C$21, $C$9, 100%, $E$9)</f>
        <v>17.468399999999999</v>
      </c>
      <c r="C396" s="17">
        <f>CHOOSE(CONTROL!$C$42, 17.4735, 17.4735) * CHOOSE(CONTROL!$C$21, $C$9, 100%, $E$9)</f>
        <v>17.473500000000001</v>
      </c>
      <c r="D396" s="17">
        <f>CHOOSE(CONTROL!$C$42, 17.5961, 17.5961) * CHOOSE(CONTROL!$C$21, $C$9, 100%, $E$9)</f>
        <v>17.5961</v>
      </c>
      <c r="E396" s="17">
        <f>CHOOSE(CONTROL!$C$42, 17.6299, 17.6299) * CHOOSE(CONTROL!$C$21, $C$9, 100%, $E$9)</f>
        <v>17.629899999999999</v>
      </c>
      <c r="F396" s="17">
        <f>CHOOSE(CONTROL!$C$42, 17.4859, 17.4859)*CHOOSE(CONTROL!$C$21, $C$9, 100%, $E$9)</f>
        <v>17.485900000000001</v>
      </c>
      <c r="G396" s="17">
        <f>CHOOSE(CONTROL!$C$42, 17.5032, 17.5032)*CHOOSE(CONTROL!$C$21, $C$9, 100%, $E$9)</f>
        <v>17.5032</v>
      </c>
      <c r="H396" s="17">
        <f>CHOOSE(CONTROL!$C$42, 17.6188, 17.6188) * CHOOSE(CONTROL!$C$21, $C$9, 100%, $E$9)</f>
        <v>17.6188</v>
      </c>
      <c r="I396" s="17">
        <f>CHOOSE(CONTROL!$C$42, 17.5476, 17.5476)* CHOOSE(CONTROL!$C$21, $C$9, 100%, $E$9)</f>
        <v>17.547599999999999</v>
      </c>
      <c r="J396" s="17">
        <f>CHOOSE(CONTROL!$C$42, 17.4785, 17.4785)* CHOOSE(CONTROL!$C$21, $C$9, 100%, $E$9)</f>
        <v>17.4785</v>
      </c>
      <c r="K396" s="53">
        <f>CHOOSE(CONTROL!$C$42, 17.5415, 17.5415) * CHOOSE(CONTROL!$C$21, $C$9, 100%, $E$9)</f>
        <v>17.541499999999999</v>
      </c>
      <c r="L396" s="17">
        <f>CHOOSE(CONTROL!$C$42, 18.2058, 18.2058) * CHOOSE(CONTROL!$C$21, $C$9, 100%, $E$9)</f>
        <v>18.2058</v>
      </c>
      <c r="M396" s="17">
        <f>CHOOSE(CONTROL!$C$42, 17.3283, 17.3283) * CHOOSE(CONTROL!$C$21, $C$9, 100%, $E$9)</f>
        <v>17.328299999999999</v>
      </c>
      <c r="N396" s="17">
        <f>CHOOSE(CONTROL!$C$42, 17.3454, 17.3454) * CHOOSE(CONTROL!$C$21, $C$9, 100%, $E$9)</f>
        <v>17.345400000000001</v>
      </c>
      <c r="O396" s="17">
        <f>CHOOSE(CONTROL!$C$42, 17.4673, 17.4673) * CHOOSE(CONTROL!$C$21, $C$9, 100%, $E$9)</f>
        <v>17.467300000000002</v>
      </c>
      <c r="P396" s="17">
        <f>CHOOSE(CONTROL!$C$42, 17.3963, 17.3963) * CHOOSE(CONTROL!$C$21, $C$9, 100%, $E$9)</f>
        <v>17.3963</v>
      </c>
      <c r="Q396" s="17">
        <f>CHOOSE(CONTROL!$C$42, 18.062, 18.062) * CHOOSE(CONTROL!$C$21, $C$9, 100%, $E$9)</f>
        <v>18.062000000000001</v>
      </c>
      <c r="R396" s="17">
        <f>CHOOSE(CONTROL!$C$42, 18.6942, 18.6942) * CHOOSE(CONTROL!$C$21, $C$9, 100%, $E$9)</f>
        <v>18.694199999999999</v>
      </c>
      <c r="S396" s="17">
        <f>CHOOSE(CONTROL!$C$42, 16.9296, 16.9296) * CHOOSE(CONTROL!$C$21, $C$9, 100%, $E$9)</f>
        <v>16.929600000000001</v>
      </c>
      <c r="T396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396" s="57">
        <f>(1000*CHOOSE(CONTROL!$C$42, 695, 695)*CHOOSE(CONTROL!$C$42, 0.5599, 0.5599)*CHOOSE(CONTROL!$C$42, 31, 31))/1000000</f>
        <v>12.063045499999998</v>
      </c>
      <c r="V396" s="57">
        <f>(1000*CHOOSE(CONTROL!$C$42, 500, 500)*CHOOSE(CONTROL!$C$42, 0.275, 0.275)*CHOOSE(CONTROL!$C$42, 31, 31))/1000000</f>
        <v>4.2625000000000002</v>
      </c>
      <c r="W396" s="57">
        <f>(1000*CHOOSE(CONTROL!$C$42, 0.0916, 0.0916)*CHOOSE(CONTROL!$C$42, 121.5, 121.5)*CHOOSE(CONTROL!$C$42, 31, 31))/1000000</f>
        <v>0.34501139999999997</v>
      </c>
      <c r="X396" s="57">
        <f>(31*0.2374*100000/1000000)</f>
        <v>0.73594000000000004</v>
      </c>
      <c r="Y396" s="57"/>
      <c r="Z396" s="17"/>
      <c r="AA396" s="56"/>
      <c r="AB396" s="49">
        <f>(B396*122.58+C396*297.941+D396*89.177+E396*140.302+F396*40+G396*60+H396*0+I396*100+J396*300)/(122.58+297.941+89.177+140.302+0+40+60+100+300)</f>
        <v>17.511273195652176</v>
      </c>
      <c r="AC396" s="46">
        <f>(M396*'RAP TEMPLATE-GAS AVAILABILITY'!O395+N396*'RAP TEMPLATE-GAS AVAILABILITY'!P395+O396*'RAP TEMPLATE-GAS AVAILABILITY'!Q395+P396*'RAP TEMPLATE-GAS AVAILABILITY'!R395)/('RAP TEMPLATE-GAS AVAILABILITY'!O395+'RAP TEMPLATE-GAS AVAILABILITY'!P395+'RAP TEMPLATE-GAS AVAILABILITY'!Q395+'RAP TEMPLATE-GAS AVAILABILITY'!R395)</f>
        <v>17.402068345323741</v>
      </c>
    </row>
    <row r="397" spans="1:29" ht="15.75" x14ac:dyDescent="0.25">
      <c r="A397" s="14">
        <v>52993</v>
      </c>
      <c r="B397" s="17">
        <f>CHOOSE(CONTROL!$C$42, 18.9157, 18.9157) * CHOOSE(CONTROL!$C$21, $C$9, 100%, $E$9)</f>
        <v>18.915700000000001</v>
      </c>
      <c r="C397" s="17">
        <f>CHOOSE(CONTROL!$C$42, 18.9208, 18.9208) * CHOOSE(CONTROL!$C$21, $C$9, 100%, $E$9)</f>
        <v>18.9208</v>
      </c>
      <c r="D397" s="17">
        <f>CHOOSE(CONTROL!$C$42, 19.0382, 19.0382) * CHOOSE(CONTROL!$C$21, $C$9, 100%, $E$9)</f>
        <v>19.0382</v>
      </c>
      <c r="E397" s="17">
        <f>CHOOSE(CONTROL!$C$42, 19.072, 19.072) * CHOOSE(CONTROL!$C$21, $C$9, 100%, $E$9)</f>
        <v>19.071999999999999</v>
      </c>
      <c r="F397" s="17">
        <f>CHOOSE(CONTROL!$C$42, 18.9293, 18.9293)*CHOOSE(CONTROL!$C$21, $C$9, 100%, $E$9)</f>
        <v>18.929300000000001</v>
      </c>
      <c r="G397" s="17">
        <f>CHOOSE(CONTROL!$C$42, 18.9456, 18.9456)*CHOOSE(CONTROL!$C$21, $C$9, 100%, $E$9)</f>
        <v>18.945599999999999</v>
      </c>
      <c r="H397" s="17">
        <f>CHOOSE(CONTROL!$C$42, 19.0609, 19.0609) * CHOOSE(CONTROL!$C$21, $C$9, 100%, $E$9)</f>
        <v>19.0609</v>
      </c>
      <c r="I397" s="17">
        <f>CHOOSE(CONTROL!$C$42, 18.9978, 18.9978)* CHOOSE(CONTROL!$C$21, $C$9, 100%, $E$9)</f>
        <v>18.997800000000002</v>
      </c>
      <c r="J397" s="17">
        <f>CHOOSE(CONTROL!$C$42, 18.9219, 18.9219)* CHOOSE(CONTROL!$C$21, $C$9, 100%, $E$9)</f>
        <v>18.921900000000001</v>
      </c>
      <c r="K397" s="53">
        <f>CHOOSE(CONTROL!$C$42, 18.9917, 18.9917) * CHOOSE(CONTROL!$C$21, $C$9, 100%, $E$9)</f>
        <v>18.991700000000002</v>
      </c>
      <c r="L397" s="17">
        <f>CHOOSE(CONTROL!$C$42, 19.6479, 19.6479) * CHOOSE(CONTROL!$C$21, $C$9, 100%, $E$9)</f>
        <v>19.6479</v>
      </c>
      <c r="M397" s="17">
        <f>CHOOSE(CONTROL!$C$42, 18.7587, 18.7587) * CHOOSE(CONTROL!$C$21, $C$9, 100%, $E$9)</f>
        <v>18.758700000000001</v>
      </c>
      <c r="N397" s="17">
        <f>CHOOSE(CONTROL!$C$42, 18.7749, 18.7749) * CHOOSE(CONTROL!$C$21, $C$9, 100%, $E$9)</f>
        <v>18.774899999999999</v>
      </c>
      <c r="O397" s="17">
        <f>CHOOSE(CONTROL!$C$42, 18.8965, 18.8965) * CHOOSE(CONTROL!$C$21, $C$9, 100%, $E$9)</f>
        <v>18.8965</v>
      </c>
      <c r="P397" s="17">
        <f>CHOOSE(CONTROL!$C$42, 18.8335, 18.8335) * CHOOSE(CONTROL!$C$21, $C$9, 100%, $E$9)</f>
        <v>18.833500000000001</v>
      </c>
      <c r="Q397" s="17">
        <f>CHOOSE(CONTROL!$C$42, 19.4912, 19.4912) * CHOOSE(CONTROL!$C$21, $C$9, 100%, $E$9)</f>
        <v>19.491199999999999</v>
      </c>
      <c r="R397" s="17">
        <f>CHOOSE(CONTROL!$C$42, 20.1269, 20.1269) * CHOOSE(CONTROL!$C$21, $C$9, 100%, $E$9)</f>
        <v>20.126899999999999</v>
      </c>
      <c r="S397" s="17">
        <f>CHOOSE(CONTROL!$C$42, 18.333, 18.333) * CHOOSE(CONTROL!$C$21, $C$9, 100%, $E$9)</f>
        <v>18.332999999999998</v>
      </c>
      <c r="T397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397" s="57">
        <f>(1000*CHOOSE(CONTROL!$C$42, 695, 695)*CHOOSE(CONTROL!$C$42, 0.5599, 0.5599)*CHOOSE(CONTROL!$C$42, 31, 31))/1000000</f>
        <v>12.063045499999998</v>
      </c>
      <c r="V397" s="57">
        <f>(1000*CHOOSE(CONTROL!$C$42, 500, 500)*CHOOSE(CONTROL!$C$42, 0.275, 0.275)*CHOOSE(CONTROL!$C$42, 31, 31))/1000000</f>
        <v>4.2625000000000002</v>
      </c>
      <c r="W397" s="57">
        <f>(1000*CHOOSE(CONTROL!$C$42, 0.0916, 0.0916)*CHOOSE(CONTROL!$C$42, 121.5, 121.5)*CHOOSE(CONTROL!$C$42, 31, 31))/1000000</f>
        <v>0.34501139999999997</v>
      </c>
      <c r="X397" s="57">
        <f>(31*0.2374*100000/1000000)</f>
        <v>0.73594000000000004</v>
      </c>
      <c r="Y397" s="57"/>
      <c r="Z397" s="17"/>
      <c r="AA397" s="56"/>
      <c r="AB397" s="49">
        <f>(B397*122.58+C397*297.941+D397*89.177+E397*140.302+F397*40+G397*60+H397*0+I397*100+J397*300)/(122.58+297.941+89.177+140.302+0+40+60+100+300)</f>
        <v>18.956379029739132</v>
      </c>
      <c r="AC397" s="46">
        <f>(M397*'RAP TEMPLATE-GAS AVAILABILITY'!O396+N397*'RAP TEMPLATE-GAS AVAILABILITY'!P396+O397*'RAP TEMPLATE-GAS AVAILABILITY'!Q396+P397*'RAP TEMPLATE-GAS AVAILABILITY'!R396)/('RAP TEMPLATE-GAS AVAILABILITY'!O396+'RAP TEMPLATE-GAS AVAILABILITY'!P396+'RAP TEMPLATE-GAS AVAILABILITY'!Q396+'RAP TEMPLATE-GAS AVAILABILITY'!R396)</f>
        <v>18.832851079136695</v>
      </c>
    </row>
    <row r="398" spans="1:29" ht="15.75" x14ac:dyDescent="0.25">
      <c r="A398" s="14">
        <v>53021</v>
      </c>
      <c r="B398" s="17">
        <f>CHOOSE(CONTROL!$C$42, 19.2522, 19.2522) * CHOOSE(CONTROL!$C$21, $C$9, 100%, $E$9)</f>
        <v>19.252199999999998</v>
      </c>
      <c r="C398" s="17">
        <f>CHOOSE(CONTROL!$C$42, 19.2573, 19.2573) * CHOOSE(CONTROL!$C$21, $C$9, 100%, $E$9)</f>
        <v>19.257300000000001</v>
      </c>
      <c r="D398" s="17">
        <f>CHOOSE(CONTROL!$C$42, 19.3748, 19.3748) * CHOOSE(CONTROL!$C$21, $C$9, 100%, $E$9)</f>
        <v>19.3748</v>
      </c>
      <c r="E398" s="17">
        <f>CHOOSE(CONTROL!$C$42, 19.4085, 19.4085) * CHOOSE(CONTROL!$C$21, $C$9, 100%, $E$9)</f>
        <v>19.4085</v>
      </c>
      <c r="F398" s="17">
        <f>CHOOSE(CONTROL!$C$42, 19.2659, 19.2659)*CHOOSE(CONTROL!$C$21, $C$9, 100%, $E$9)</f>
        <v>19.265899999999998</v>
      </c>
      <c r="G398" s="17">
        <f>CHOOSE(CONTROL!$C$42, 19.2822, 19.2822)*CHOOSE(CONTROL!$C$21, $C$9, 100%, $E$9)</f>
        <v>19.2822</v>
      </c>
      <c r="H398" s="17">
        <f>CHOOSE(CONTROL!$C$42, 19.3974, 19.3974) * CHOOSE(CONTROL!$C$21, $C$9, 100%, $E$9)</f>
        <v>19.397400000000001</v>
      </c>
      <c r="I398" s="17">
        <f>CHOOSE(CONTROL!$C$42, 19.3354, 19.3354)* CHOOSE(CONTROL!$C$21, $C$9, 100%, $E$9)</f>
        <v>19.3354</v>
      </c>
      <c r="J398" s="17">
        <f>CHOOSE(CONTROL!$C$42, 19.2585, 19.2585)* CHOOSE(CONTROL!$C$21, $C$9, 100%, $E$9)</f>
        <v>19.258500000000002</v>
      </c>
      <c r="K398" s="53">
        <f>CHOOSE(CONTROL!$C$42, 19.3293, 19.3293) * CHOOSE(CONTROL!$C$21, $C$9, 100%, $E$9)</f>
        <v>19.3293</v>
      </c>
      <c r="L398" s="17">
        <f>CHOOSE(CONTROL!$C$42, 19.9844, 19.9844) * CHOOSE(CONTROL!$C$21, $C$9, 100%, $E$9)</f>
        <v>19.984400000000001</v>
      </c>
      <c r="M398" s="17">
        <f>CHOOSE(CONTROL!$C$42, 19.0923, 19.0923) * CHOOSE(CONTROL!$C$21, $C$9, 100%, $E$9)</f>
        <v>19.092300000000002</v>
      </c>
      <c r="N398" s="17">
        <f>CHOOSE(CONTROL!$C$42, 19.1084, 19.1084) * CHOOSE(CONTROL!$C$21, $C$9, 100%, $E$9)</f>
        <v>19.1084</v>
      </c>
      <c r="O398" s="17">
        <f>CHOOSE(CONTROL!$C$42, 19.23, 19.23) * CHOOSE(CONTROL!$C$21, $C$9, 100%, $E$9)</f>
        <v>19.23</v>
      </c>
      <c r="P398" s="17">
        <f>CHOOSE(CONTROL!$C$42, 19.168, 19.168) * CHOOSE(CONTROL!$C$21, $C$9, 100%, $E$9)</f>
        <v>19.167999999999999</v>
      </c>
      <c r="Q398" s="17">
        <f>CHOOSE(CONTROL!$C$42, 19.8247, 19.8247) * CHOOSE(CONTROL!$C$21, $C$9, 100%, $E$9)</f>
        <v>19.8247</v>
      </c>
      <c r="R398" s="17">
        <f>CHOOSE(CONTROL!$C$42, 20.4612, 20.4612) * CHOOSE(CONTROL!$C$21, $C$9, 100%, $E$9)</f>
        <v>20.461200000000002</v>
      </c>
      <c r="S398" s="17">
        <f>CHOOSE(CONTROL!$C$42, 18.6594, 18.6594) * CHOOSE(CONTROL!$C$21, $C$9, 100%, $E$9)</f>
        <v>18.659400000000002</v>
      </c>
      <c r="T398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398" s="57">
        <f>(1000*CHOOSE(CONTROL!$C$42, 695, 695)*CHOOSE(CONTROL!$C$42, 0.5599, 0.5599)*CHOOSE(CONTROL!$C$42, 28, 28))/1000000</f>
        <v>10.895653999999999</v>
      </c>
      <c r="V398" s="57">
        <f>(1000*CHOOSE(CONTROL!$C$42, 500, 500)*CHOOSE(CONTROL!$C$42, 0.275, 0.275)*CHOOSE(CONTROL!$C$42, 28, 28))/1000000</f>
        <v>3.85</v>
      </c>
      <c r="W398" s="57">
        <f>(1000*CHOOSE(CONTROL!$C$42, 0.0916, 0.0916)*CHOOSE(CONTROL!$C$42, 121.5, 121.5)*CHOOSE(CONTROL!$C$42, 28, 28))/1000000</f>
        <v>0.31162319999999999</v>
      </c>
      <c r="X398" s="57">
        <f>(28*0.2374*100000/1000000)</f>
        <v>0.66471999999999998</v>
      </c>
      <c r="Y398" s="57"/>
      <c r="Z398" s="17"/>
      <c r="AA398" s="56"/>
      <c r="AB398" s="49">
        <f>(B398*122.58+C398*297.941+D398*89.177+E398*140.302+F398*40+G398*60+H398*0+I398*100+J398*300)/(122.58+297.941+89.177+140.302+0+40+60+100+300)</f>
        <v>19.293017219043477</v>
      </c>
      <c r="AC398" s="46">
        <f>(M398*'RAP TEMPLATE-GAS AVAILABILITY'!O397+N398*'RAP TEMPLATE-GAS AVAILABILITY'!P397+O398*'RAP TEMPLATE-GAS AVAILABILITY'!Q397+P398*'RAP TEMPLATE-GAS AVAILABILITY'!R397)/('RAP TEMPLATE-GAS AVAILABILITY'!O397+'RAP TEMPLATE-GAS AVAILABILITY'!P397+'RAP TEMPLATE-GAS AVAILABILITY'!Q397+'RAP TEMPLATE-GAS AVAILABILITY'!R397)</f>
        <v>19.166529496402877</v>
      </c>
    </row>
    <row r="399" spans="1:29" ht="15.75" x14ac:dyDescent="0.25">
      <c r="A399" s="14">
        <v>53052</v>
      </c>
      <c r="B399" s="17">
        <f>CHOOSE(CONTROL!$C$42, 18.7059, 18.7059) * CHOOSE(CONTROL!$C$21, $C$9, 100%, $E$9)</f>
        <v>18.7059</v>
      </c>
      <c r="C399" s="17">
        <f>CHOOSE(CONTROL!$C$42, 18.711, 18.711) * CHOOSE(CONTROL!$C$21, $C$9, 100%, $E$9)</f>
        <v>18.710999999999999</v>
      </c>
      <c r="D399" s="17">
        <f>CHOOSE(CONTROL!$C$42, 18.8285, 18.8285) * CHOOSE(CONTROL!$C$21, $C$9, 100%, $E$9)</f>
        <v>18.828499999999998</v>
      </c>
      <c r="E399" s="17">
        <f>CHOOSE(CONTROL!$C$42, 18.8622, 18.8622) * CHOOSE(CONTROL!$C$21, $C$9, 100%, $E$9)</f>
        <v>18.862200000000001</v>
      </c>
      <c r="F399" s="17">
        <f>CHOOSE(CONTROL!$C$42, 18.7189, 18.7189)*CHOOSE(CONTROL!$C$21, $C$9, 100%, $E$9)</f>
        <v>18.718900000000001</v>
      </c>
      <c r="G399" s="17">
        <f>CHOOSE(CONTROL!$C$42, 18.7351, 18.7351)*CHOOSE(CONTROL!$C$21, $C$9, 100%, $E$9)</f>
        <v>18.735099999999999</v>
      </c>
      <c r="H399" s="17">
        <f>CHOOSE(CONTROL!$C$42, 18.8511, 18.8511) * CHOOSE(CONTROL!$C$21, $C$9, 100%, $E$9)</f>
        <v>18.851099999999999</v>
      </c>
      <c r="I399" s="17">
        <f>CHOOSE(CONTROL!$C$42, 18.7874, 18.7874)* CHOOSE(CONTROL!$C$21, $C$9, 100%, $E$9)</f>
        <v>18.787400000000002</v>
      </c>
      <c r="J399" s="17">
        <f>CHOOSE(CONTROL!$C$42, 18.7115, 18.7115)* CHOOSE(CONTROL!$C$21, $C$9, 100%, $E$9)</f>
        <v>18.711500000000001</v>
      </c>
      <c r="K399" s="53">
        <f>CHOOSE(CONTROL!$C$42, 18.7814, 18.7814) * CHOOSE(CONTROL!$C$21, $C$9, 100%, $E$9)</f>
        <v>18.781400000000001</v>
      </c>
      <c r="L399" s="17">
        <f>CHOOSE(CONTROL!$C$42, 19.4381, 19.4381) * CHOOSE(CONTROL!$C$21, $C$9, 100%, $E$9)</f>
        <v>19.438099999999999</v>
      </c>
      <c r="M399" s="17">
        <f>CHOOSE(CONTROL!$C$42, 18.5503, 18.5503) * CHOOSE(CONTROL!$C$21, $C$9, 100%, $E$9)</f>
        <v>18.5503</v>
      </c>
      <c r="N399" s="17">
        <f>CHOOSE(CONTROL!$C$42, 18.5663, 18.5663) * CHOOSE(CONTROL!$C$21, $C$9, 100%, $E$9)</f>
        <v>18.566299999999998</v>
      </c>
      <c r="O399" s="17">
        <f>CHOOSE(CONTROL!$C$42, 18.6886, 18.6886) * CHOOSE(CONTROL!$C$21, $C$9, 100%, $E$9)</f>
        <v>18.688600000000001</v>
      </c>
      <c r="P399" s="17">
        <f>CHOOSE(CONTROL!$C$42, 18.625, 18.625) * CHOOSE(CONTROL!$C$21, $C$9, 100%, $E$9)</f>
        <v>18.625</v>
      </c>
      <c r="Q399" s="17">
        <f>CHOOSE(CONTROL!$C$42, 19.2833, 19.2833) * CHOOSE(CONTROL!$C$21, $C$9, 100%, $E$9)</f>
        <v>19.283300000000001</v>
      </c>
      <c r="R399" s="17">
        <f>CHOOSE(CONTROL!$C$42, 19.9185, 19.9185) * CHOOSE(CONTROL!$C$21, $C$9, 100%, $E$9)</f>
        <v>19.918500000000002</v>
      </c>
      <c r="S399" s="17">
        <f>CHOOSE(CONTROL!$C$42, 18.1296, 18.1296) * CHOOSE(CONTROL!$C$21, $C$9, 100%, $E$9)</f>
        <v>18.1296</v>
      </c>
      <c r="T399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399" s="57">
        <f>(1000*CHOOSE(CONTROL!$C$42, 695, 695)*CHOOSE(CONTROL!$C$42, 0.5599, 0.5599)*CHOOSE(CONTROL!$C$42, 31, 31))/1000000</f>
        <v>12.063045499999998</v>
      </c>
      <c r="V399" s="57">
        <f>(1000*CHOOSE(CONTROL!$C$42, 500, 500)*CHOOSE(CONTROL!$C$42, 0.275, 0.275)*CHOOSE(CONTROL!$C$42, 31, 31))/1000000</f>
        <v>4.2625000000000002</v>
      </c>
      <c r="W399" s="57">
        <f>(1000*CHOOSE(CONTROL!$C$42, 0.0916, 0.0916)*CHOOSE(CONTROL!$C$42, 121.5, 121.5)*CHOOSE(CONTROL!$C$42, 31, 31))/1000000</f>
        <v>0.34501139999999997</v>
      </c>
      <c r="X399" s="57">
        <f>(31*0.2374*100000/1000000)</f>
        <v>0.73594000000000004</v>
      </c>
      <c r="Y399" s="57"/>
      <c r="Z399" s="17"/>
      <c r="AA399" s="56"/>
      <c r="AB399" s="49">
        <f>(B399*122.58+C399*297.941+D399*89.177+E399*140.302+F399*40+G399*60+H399*0+I399*100+J399*300)/(122.58+297.941+89.177+140.302+0+40+60+100+300)</f>
        <v>18.746320697304345</v>
      </c>
      <c r="AC399" s="46">
        <f>(M399*'RAP TEMPLATE-GAS AVAILABILITY'!O398+N399*'RAP TEMPLATE-GAS AVAILABILITY'!P398+O399*'RAP TEMPLATE-GAS AVAILABILITY'!Q398+P399*'RAP TEMPLATE-GAS AVAILABILITY'!R398)/('RAP TEMPLATE-GAS AVAILABILITY'!O398+'RAP TEMPLATE-GAS AVAILABILITY'!P398+'RAP TEMPLATE-GAS AVAILABILITY'!Q398+'RAP TEMPLATE-GAS AVAILABILITY'!R398)</f>
        <v>18.624651798561153</v>
      </c>
    </row>
    <row r="400" spans="1:29" ht="15.75" x14ac:dyDescent="0.25">
      <c r="A400" s="14">
        <v>53082</v>
      </c>
      <c r="B400" s="17">
        <f>CHOOSE(CONTROL!$C$42, 18.651, 18.651) * CHOOSE(CONTROL!$C$21, $C$9, 100%, $E$9)</f>
        <v>18.651</v>
      </c>
      <c r="C400" s="17">
        <f>CHOOSE(CONTROL!$C$42, 18.6555, 18.6555) * CHOOSE(CONTROL!$C$21, $C$9, 100%, $E$9)</f>
        <v>18.6555</v>
      </c>
      <c r="D400" s="17">
        <f>CHOOSE(CONTROL!$C$42, 18.9082, 18.9082) * CHOOSE(CONTROL!$C$21, $C$9, 100%, $E$9)</f>
        <v>18.908200000000001</v>
      </c>
      <c r="E400" s="17">
        <f>CHOOSE(CONTROL!$C$42, 18.94, 18.94) * CHOOSE(CONTROL!$C$21, $C$9, 100%, $E$9)</f>
        <v>18.940000000000001</v>
      </c>
      <c r="F400" s="17">
        <f>CHOOSE(CONTROL!$C$42, 18.6569, 18.6569)*CHOOSE(CONTROL!$C$21, $C$9, 100%, $E$9)</f>
        <v>18.6569</v>
      </c>
      <c r="G400" s="17">
        <f>CHOOSE(CONTROL!$C$42, 18.6728, 18.6728)*CHOOSE(CONTROL!$C$21, $C$9, 100%, $E$9)</f>
        <v>18.672799999999999</v>
      </c>
      <c r="H400" s="17">
        <f>CHOOSE(CONTROL!$C$42, 18.9294, 18.9294) * CHOOSE(CONTROL!$C$21, $C$9, 100%, $E$9)</f>
        <v>18.929400000000001</v>
      </c>
      <c r="I400" s="17">
        <f>CHOOSE(CONTROL!$C$42, 18.7304, 18.7304)* CHOOSE(CONTROL!$C$21, $C$9, 100%, $E$9)</f>
        <v>18.730399999999999</v>
      </c>
      <c r="J400" s="17">
        <f>CHOOSE(CONTROL!$C$42, 18.6495, 18.6495)* CHOOSE(CONTROL!$C$21, $C$9, 100%, $E$9)</f>
        <v>18.6495</v>
      </c>
      <c r="K400" s="53">
        <f>CHOOSE(CONTROL!$C$42, 18.7244, 18.7244) * CHOOSE(CONTROL!$C$21, $C$9, 100%, $E$9)</f>
        <v>18.724399999999999</v>
      </c>
      <c r="L400" s="17">
        <f>CHOOSE(CONTROL!$C$42, 19.5164, 19.5164) * CHOOSE(CONTROL!$C$21, $C$9, 100%, $E$9)</f>
        <v>19.516400000000001</v>
      </c>
      <c r="M400" s="17">
        <f>CHOOSE(CONTROL!$C$42, 18.4888, 18.4888) * CHOOSE(CONTROL!$C$21, $C$9, 100%, $E$9)</f>
        <v>18.488800000000001</v>
      </c>
      <c r="N400" s="17">
        <f>CHOOSE(CONTROL!$C$42, 18.5045, 18.5045) * CHOOSE(CONTROL!$C$21, $C$9, 100%, $E$9)</f>
        <v>18.5045</v>
      </c>
      <c r="O400" s="17">
        <f>CHOOSE(CONTROL!$C$42, 18.7662, 18.7662) * CHOOSE(CONTROL!$C$21, $C$9, 100%, $E$9)</f>
        <v>18.766200000000001</v>
      </c>
      <c r="P400" s="17">
        <f>CHOOSE(CONTROL!$C$42, 18.5685, 18.5685) * CHOOSE(CONTROL!$C$21, $C$9, 100%, $E$9)</f>
        <v>18.5685</v>
      </c>
      <c r="Q400" s="17">
        <f>CHOOSE(CONTROL!$C$42, 19.3609, 19.3609) * CHOOSE(CONTROL!$C$21, $C$9, 100%, $E$9)</f>
        <v>19.360900000000001</v>
      </c>
      <c r="R400" s="17">
        <f>CHOOSE(CONTROL!$C$42, 19.9963, 19.9963) * CHOOSE(CONTROL!$C$21, $C$9, 100%, $E$9)</f>
        <v>19.996300000000002</v>
      </c>
      <c r="S400" s="17">
        <f>CHOOSE(CONTROL!$C$42, 18.0756, 18.0756) * CHOOSE(CONTROL!$C$21, $C$9, 100%, $E$9)</f>
        <v>18.075600000000001</v>
      </c>
      <c r="T400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400" s="57">
        <f>(1000*CHOOSE(CONTROL!$C$42, 695, 695)*CHOOSE(CONTROL!$C$42, 0.5599, 0.5599)*CHOOSE(CONTROL!$C$42, 30, 30))/1000000</f>
        <v>11.673914999999997</v>
      </c>
      <c r="V400" s="57">
        <f>(1000*CHOOSE(CONTROL!$C$42, 500, 500)*CHOOSE(CONTROL!$C$42, 0.275, 0.275)*CHOOSE(CONTROL!$C$42, 30, 30))/1000000</f>
        <v>4.125</v>
      </c>
      <c r="W400" s="57">
        <f>(1000*CHOOSE(CONTROL!$C$42, 0.0916, 0.0916)*CHOOSE(CONTROL!$C$42, 121.5, 121.5)*CHOOSE(CONTROL!$C$42, 30, 30))/1000000</f>
        <v>0.33388200000000001</v>
      </c>
      <c r="X400" s="57">
        <f>(30*0.1790888*145000/1000000)+(30*0.2374*100000/1000000)</f>
        <v>1.4912362799999999</v>
      </c>
      <c r="Y400" s="57"/>
      <c r="Z400" s="17"/>
      <c r="AA400" s="56"/>
      <c r="AB400" s="49">
        <f>(B400*141.293+C400*267.993+D400*115.016+E400*189.698+F400*40+G400*85+H400*0+I400*100+J400*300)/(141.293+267.993+115.016+189.698+0+40+85+100+300)</f>
        <v>18.727827930347054</v>
      </c>
      <c r="AC400" s="46">
        <f>(M400*'RAP TEMPLATE-GAS AVAILABILITY'!O399+N400*'RAP TEMPLATE-GAS AVAILABILITY'!P399+O400*'RAP TEMPLATE-GAS AVAILABILITY'!Q399+P400*'RAP TEMPLATE-GAS AVAILABILITY'!R399)/('RAP TEMPLATE-GAS AVAILABILITY'!O399+'RAP TEMPLATE-GAS AVAILABILITY'!P399+'RAP TEMPLATE-GAS AVAILABILITY'!Q399+'RAP TEMPLATE-GAS AVAILABILITY'!R399)</f>
        <v>18.581713669064751</v>
      </c>
    </row>
    <row r="401" spans="1:29" ht="15.75" x14ac:dyDescent="0.25">
      <c r="A401" s="14">
        <v>53113</v>
      </c>
      <c r="B401" s="17">
        <f>CHOOSE(CONTROL!$C$42, 18.8168, 18.8168) * CHOOSE(CONTROL!$C$21, $C$9, 100%, $E$9)</f>
        <v>18.816800000000001</v>
      </c>
      <c r="C401" s="17">
        <f>CHOOSE(CONTROL!$C$42, 18.8248, 18.8248) * CHOOSE(CONTROL!$C$21, $C$9, 100%, $E$9)</f>
        <v>18.8248</v>
      </c>
      <c r="D401" s="17">
        <f>CHOOSE(CONTROL!$C$42, 19.0744, 19.0744) * CHOOSE(CONTROL!$C$21, $C$9, 100%, $E$9)</f>
        <v>19.074400000000001</v>
      </c>
      <c r="E401" s="17">
        <f>CHOOSE(CONTROL!$C$42, 19.1056, 19.1056) * CHOOSE(CONTROL!$C$21, $C$9, 100%, $E$9)</f>
        <v>19.105599999999999</v>
      </c>
      <c r="F401" s="17">
        <f>CHOOSE(CONTROL!$C$42, 18.8217, 18.8217)*CHOOSE(CONTROL!$C$21, $C$9, 100%, $E$9)</f>
        <v>18.8217</v>
      </c>
      <c r="G401" s="17">
        <f>CHOOSE(CONTROL!$C$42, 18.8378, 18.8378)*CHOOSE(CONTROL!$C$21, $C$9, 100%, $E$9)</f>
        <v>18.837800000000001</v>
      </c>
      <c r="H401" s="17">
        <f>CHOOSE(CONTROL!$C$42, 19.0939, 19.0939) * CHOOSE(CONTROL!$C$21, $C$9, 100%, $E$9)</f>
        <v>19.093900000000001</v>
      </c>
      <c r="I401" s="17">
        <f>CHOOSE(CONTROL!$C$42, 18.8955, 18.8955)* CHOOSE(CONTROL!$C$21, $C$9, 100%, $E$9)</f>
        <v>18.895499999999998</v>
      </c>
      <c r="J401" s="17">
        <f>CHOOSE(CONTROL!$C$42, 18.8143, 18.8143)* CHOOSE(CONTROL!$C$21, $C$9, 100%, $E$9)</f>
        <v>18.814299999999999</v>
      </c>
      <c r="K401" s="53">
        <f>CHOOSE(CONTROL!$C$42, 18.8894, 18.8894) * CHOOSE(CONTROL!$C$21, $C$9, 100%, $E$9)</f>
        <v>18.889399999999998</v>
      </c>
      <c r="L401" s="17">
        <f>CHOOSE(CONTROL!$C$42, 19.6809, 19.6809) * CHOOSE(CONTROL!$C$21, $C$9, 100%, $E$9)</f>
        <v>19.680900000000001</v>
      </c>
      <c r="M401" s="17">
        <f>CHOOSE(CONTROL!$C$42, 18.6521, 18.6521) * CHOOSE(CONTROL!$C$21, $C$9, 100%, $E$9)</f>
        <v>18.652100000000001</v>
      </c>
      <c r="N401" s="17">
        <f>CHOOSE(CONTROL!$C$42, 18.6681, 18.6681) * CHOOSE(CONTROL!$C$21, $C$9, 100%, $E$9)</f>
        <v>18.668099999999999</v>
      </c>
      <c r="O401" s="17">
        <f>CHOOSE(CONTROL!$C$42, 18.9292, 18.9292) * CHOOSE(CONTROL!$C$21, $C$9, 100%, $E$9)</f>
        <v>18.929200000000002</v>
      </c>
      <c r="P401" s="17">
        <f>CHOOSE(CONTROL!$C$42, 18.7321, 18.7321) * CHOOSE(CONTROL!$C$21, $C$9, 100%, $E$9)</f>
        <v>18.732099999999999</v>
      </c>
      <c r="Q401" s="17">
        <f>CHOOSE(CONTROL!$C$42, 19.5239, 19.5239) * CHOOSE(CONTROL!$C$21, $C$9, 100%, $E$9)</f>
        <v>19.523900000000001</v>
      </c>
      <c r="R401" s="17">
        <f>CHOOSE(CONTROL!$C$42, 20.1597, 20.1597) * CHOOSE(CONTROL!$C$21, $C$9, 100%, $E$9)</f>
        <v>20.159700000000001</v>
      </c>
      <c r="S401" s="17">
        <f>CHOOSE(CONTROL!$C$42, 18.2351, 18.2351) * CHOOSE(CONTROL!$C$21, $C$9, 100%, $E$9)</f>
        <v>18.235099999999999</v>
      </c>
      <c r="T401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401" s="57">
        <f>(1000*CHOOSE(CONTROL!$C$42, 695, 695)*CHOOSE(CONTROL!$C$42, 0.5599, 0.5599)*CHOOSE(CONTROL!$C$42, 31, 31))/1000000</f>
        <v>12.063045499999998</v>
      </c>
      <c r="V401" s="57">
        <f>(1000*CHOOSE(CONTROL!$C$42, 500, 500)*CHOOSE(CONTROL!$C$42, 0.275, 0.275)*CHOOSE(CONTROL!$C$42, 31, 31))/1000000</f>
        <v>4.2625000000000002</v>
      </c>
      <c r="W401" s="57">
        <f>(1000*CHOOSE(CONTROL!$C$42, 0.0916, 0.0916)*CHOOSE(CONTROL!$C$42, 121.5, 121.5)*CHOOSE(CONTROL!$C$42, 31, 31))/1000000</f>
        <v>0.34501139999999997</v>
      </c>
      <c r="X401" s="57">
        <f>(31*0.1790888*145000/1000000)+(31*0.2374*100000/1000000)</f>
        <v>1.5409441560000001</v>
      </c>
      <c r="Y401" s="57"/>
      <c r="Z401" s="17"/>
      <c r="AA401" s="56"/>
      <c r="AB401" s="49">
        <f>(B401*194.205+C401*267.466+D401*133.845+E401*153.484+F401*40+G401*85+H401*0+I401*100+J401*300)/(194.205+267.466+133.845+153.484+0+40+85+100+300)</f>
        <v>18.887479261538463</v>
      </c>
      <c r="AC401" s="46">
        <f>(M401*'RAP TEMPLATE-GAS AVAILABILITY'!O400+N401*'RAP TEMPLATE-GAS AVAILABILITY'!P400+O401*'RAP TEMPLATE-GAS AVAILABILITY'!Q400+P401*'RAP TEMPLATE-GAS AVAILABILITY'!R400)/('RAP TEMPLATE-GAS AVAILABILITY'!O400+'RAP TEMPLATE-GAS AVAILABILITY'!P400+'RAP TEMPLATE-GAS AVAILABILITY'!Q400+'RAP TEMPLATE-GAS AVAILABILITY'!R400)</f>
        <v>18.745041726618705</v>
      </c>
    </row>
    <row r="402" spans="1:29" ht="15.75" x14ac:dyDescent="0.25">
      <c r="A402" s="14">
        <v>53143</v>
      </c>
      <c r="B402" s="17">
        <f>CHOOSE(CONTROL!$C$42, 19.3502, 19.3502) * CHOOSE(CONTROL!$C$21, $C$9, 100%, $E$9)</f>
        <v>19.350200000000001</v>
      </c>
      <c r="C402" s="17">
        <f>CHOOSE(CONTROL!$C$42, 19.3582, 19.3582) * CHOOSE(CONTROL!$C$21, $C$9, 100%, $E$9)</f>
        <v>19.3582</v>
      </c>
      <c r="D402" s="17">
        <f>CHOOSE(CONTROL!$C$42, 19.6078, 19.6078) * CHOOSE(CONTROL!$C$21, $C$9, 100%, $E$9)</f>
        <v>19.607800000000001</v>
      </c>
      <c r="E402" s="17">
        <f>CHOOSE(CONTROL!$C$42, 19.639, 19.639) * CHOOSE(CONTROL!$C$21, $C$9, 100%, $E$9)</f>
        <v>19.638999999999999</v>
      </c>
      <c r="F402" s="17">
        <f>CHOOSE(CONTROL!$C$42, 19.3554, 19.3554)*CHOOSE(CONTROL!$C$21, $C$9, 100%, $E$9)</f>
        <v>19.355399999999999</v>
      </c>
      <c r="G402" s="17">
        <f>CHOOSE(CONTROL!$C$42, 19.3717, 19.3717)*CHOOSE(CONTROL!$C$21, $C$9, 100%, $E$9)</f>
        <v>19.371700000000001</v>
      </c>
      <c r="H402" s="17">
        <f>CHOOSE(CONTROL!$C$42, 19.6274, 19.6274) * CHOOSE(CONTROL!$C$21, $C$9, 100%, $E$9)</f>
        <v>19.627400000000002</v>
      </c>
      <c r="I402" s="17">
        <f>CHOOSE(CONTROL!$C$42, 19.4305, 19.4305)* CHOOSE(CONTROL!$C$21, $C$9, 100%, $E$9)</f>
        <v>19.430499999999999</v>
      </c>
      <c r="J402" s="17">
        <f>CHOOSE(CONTROL!$C$42, 19.348, 19.348)* CHOOSE(CONTROL!$C$21, $C$9, 100%, $E$9)</f>
        <v>19.347999999999999</v>
      </c>
      <c r="K402" s="53">
        <f>CHOOSE(CONTROL!$C$42, 19.4245, 19.4245) * CHOOSE(CONTROL!$C$21, $C$9, 100%, $E$9)</f>
        <v>19.424499999999998</v>
      </c>
      <c r="L402" s="17">
        <f>CHOOSE(CONTROL!$C$42, 20.2144, 20.2144) * CHOOSE(CONTROL!$C$21, $C$9, 100%, $E$9)</f>
        <v>20.214400000000001</v>
      </c>
      <c r="M402" s="17">
        <f>CHOOSE(CONTROL!$C$42, 19.181, 19.181) * CHOOSE(CONTROL!$C$21, $C$9, 100%, $E$9)</f>
        <v>19.181000000000001</v>
      </c>
      <c r="N402" s="17">
        <f>CHOOSE(CONTROL!$C$42, 19.1971, 19.1971) * CHOOSE(CONTROL!$C$21, $C$9, 100%, $E$9)</f>
        <v>19.197099999999999</v>
      </c>
      <c r="O402" s="17">
        <f>CHOOSE(CONTROL!$C$42, 19.4578, 19.4578) * CHOOSE(CONTROL!$C$21, $C$9, 100%, $E$9)</f>
        <v>19.457799999999999</v>
      </c>
      <c r="P402" s="17">
        <f>CHOOSE(CONTROL!$C$42, 19.2623, 19.2623) * CHOOSE(CONTROL!$C$21, $C$9, 100%, $E$9)</f>
        <v>19.2623</v>
      </c>
      <c r="Q402" s="17">
        <f>CHOOSE(CONTROL!$C$42, 20.0525, 20.0525) * CHOOSE(CONTROL!$C$21, $C$9, 100%, $E$9)</f>
        <v>20.052499999999998</v>
      </c>
      <c r="R402" s="17">
        <f>CHOOSE(CONTROL!$C$42, 20.6897, 20.6897) * CHOOSE(CONTROL!$C$21, $C$9, 100%, $E$9)</f>
        <v>20.689699999999998</v>
      </c>
      <c r="S402" s="17">
        <f>CHOOSE(CONTROL!$C$42, 18.7524, 18.7524) * CHOOSE(CONTROL!$C$21, $C$9, 100%, $E$9)</f>
        <v>18.752400000000002</v>
      </c>
      <c r="T402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402" s="57">
        <f>(1000*CHOOSE(CONTROL!$C$42, 695, 695)*CHOOSE(CONTROL!$C$42, 0.5599, 0.5599)*CHOOSE(CONTROL!$C$42, 30, 30))/1000000</f>
        <v>11.673914999999997</v>
      </c>
      <c r="V402" s="57">
        <f>(1000*CHOOSE(CONTROL!$C$42, 500, 500)*CHOOSE(CONTROL!$C$42, 0.275, 0.275)*CHOOSE(CONTROL!$C$42, 30, 30))/1000000</f>
        <v>4.125</v>
      </c>
      <c r="W402" s="57">
        <f>(1000*CHOOSE(CONTROL!$C$42, 0.0916, 0.0916)*CHOOSE(CONTROL!$C$42, 121.5, 121.5)*CHOOSE(CONTROL!$C$42, 30, 30))/1000000</f>
        <v>0.33388200000000001</v>
      </c>
      <c r="X402" s="57">
        <f>(30*0.1790888*145000/1000000)+(30*0.2374*100000/1000000)</f>
        <v>1.4912362799999999</v>
      </c>
      <c r="Y402" s="57"/>
      <c r="Z402" s="17"/>
      <c r="AA402" s="56"/>
      <c r="AB402" s="49">
        <f>(B402*194.205+C402*267.466+D402*133.845+E402*153.484+F402*40+G402*85+H402*0+I402*100+J402*300)/(194.205+267.466+133.845+153.484+0+40+85+100+300)</f>
        <v>19.421118272527472</v>
      </c>
      <c r="AC402" s="46">
        <f>(M402*'RAP TEMPLATE-GAS AVAILABILITY'!O401+N402*'RAP TEMPLATE-GAS AVAILABILITY'!P401+O402*'RAP TEMPLATE-GAS AVAILABILITY'!Q401+P402*'RAP TEMPLATE-GAS AVAILABILITY'!R401)/('RAP TEMPLATE-GAS AVAILABILITY'!O401+'RAP TEMPLATE-GAS AVAILABILITY'!P401+'RAP TEMPLATE-GAS AVAILABILITY'!Q401+'RAP TEMPLATE-GAS AVAILABILITY'!R401)</f>
        <v>19.274067625899278</v>
      </c>
    </row>
    <row r="403" spans="1:29" ht="15.75" x14ac:dyDescent="0.25">
      <c r="A403" s="14">
        <v>53174</v>
      </c>
      <c r="B403" s="17">
        <f>CHOOSE(CONTROL!$C$42, 18.9793, 18.9793) * CHOOSE(CONTROL!$C$21, $C$9, 100%, $E$9)</f>
        <v>18.979299999999999</v>
      </c>
      <c r="C403" s="17">
        <f>CHOOSE(CONTROL!$C$42, 18.9872, 18.9872) * CHOOSE(CONTROL!$C$21, $C$9, 100%, $E$9)</f>
        <v>18.987200000000001</v>
      </c>
      <c r="D403" s="17">
        <f>CHOOSE(CONTROL!$C$42, 19.2369, 19.2369) * CHOOSE(CONTROL!$C$21, $C$9, 100%, $E$9)</f>
        <v>19.236899999999999</v>
      </c>
      <c r="E403" s="17">
        <f>CHOOSE(CONTROL!$C$42, 19.268, 19.268) * CHOOSE(CONTROL!$C$21, $C$9, 100%, $E$9)</f>
        <v>19.268000000000001</v>
      </c>
      <c r="F403" s="17">
        <f>CHOOSE(CONTROL!$C$42, 18.9849, 18.9849)*CHOOSE(CONTROL!$C$21, $C$9, 100%, $E$9)</f>
        <v>18.9849</v>
      </c>
      <c r="G403" s="17">
        <f>CHOOSE(CONTROL!$C$42, 19.0013, 19.0013)*CHOOSE(CONTROL!$C$21, $C$9, 100%, $E$9)</f>
        <v>19.001300000000001</v>
      </c>
      <c r="H403" s="17">
        <f>CHOOSE(CONTROL!$C$42, 19.2564, 19.2564) * CHOOSE(CONTROL!$C$21, $C$9, 100%, $E$9)</f>
        <v>19.256399999999999</v>
      </c>
      <c r="I403" s="17">
        <f>CHOOSE(CONTROL!$C$42, 19.0584, 19.0584)* CHOOSE(CONTROL!$C$21, $C$9, 100%, $E$9)</f>
        <v>19.058399999999999</v>
      </c>
      <c r="J403" s="17">
        <f>CHOOSE(CONTROL!$C$42, 18.9775, 18.9775)* CHOOSE(CONTROL!$C$21, $C$9, 100%, $E$9)</f>
        <v>18.977499999999999</v>
      </c>
      <c r="K403" s="53">
        <f>CHOOSE(CONTROL!$C$42, 19.0523, 19.0523) * CHOOSE(CONTROL!$C$21, $C$9, 100%, $E$9)</f>
        <v>19.052299999999999</v>
      </c>
      <c r="L403" s="17">
        <f>CHOOSE(CONTROL!$C$42, 19.8434, 19.8434) * CHOOSE(CONTROL!$C$21, $C$9, 100%, $E$9)</f>
        <v>19.843399999999999</v>
      </c>
      <c r="M403" s="17">
        <f>CHOOSE(CONTROL!$C$42, 18.8139, 18.8139) * CHOOSE(CONTROL!$C$21, $C$9, 100%, $E$9)</f>
        <v>18.8139</v>
      </c>
      <c r="N403" s="17">
        <f>CHOOSE(CONTROL!$C$42, 18.8301, 18.8301) * CHOOSE(CONTROL!$C$21, $C$9, 100%, $E$9)</f>
        <v>18.830100000000002</v>
      </c>
      <c r="O403" s="17">
        <f>CHOOSE(CONTROL!$C$42, 19.0902, 19.0902) * CHOOSE(CONTROL!$C$21, $C$9, 100%, $E$9)</f>
        <v>19.090199999999999</v>
      </c>
      <c r="P403" s="17">
        <f>CHOOSE(CONTROL!$C$42, 18.8935, 18.8935) * CHOOSE(CONTROL!$C$21, $C$9, 100%, $E$9)</f>
        <v>18.8935</v>
      </c>
      <c r="Q403" s="17">
        <f>CHOOSE(CONTROL!$C$42, 19.6849, 19.6849) * CHOOSE(CONTROL!$C$21, $C$9, 100%, $E$9)</f>
        <v>19.684899999999999</v>
      </c>
      <c r="R403" s="17">
        <f>CHOOSE(CONTROL!$C$42, 20.3211, 20.3211) * CHOOSE(CONTROL!$C$21, $C$9, 100%, $E$9)</f>
        <v>20.321100000000001</v>
      </c>
      <c r="S403" s="17">
        <f>CHOOSE(CONTROL!$C$42, 18.3926, 18.3926) * CHOOSE(CONTROL!$C$21, $C$9, 100%, $E$9)</f>
        <v>18.392600000000002</v>
      </c>
      <c r="T403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403" s="57">
        <f>(1000*CHOOSE(CONTROL!$C$42, 695, 695)*CHOOSE(CONTROL!$C$42, 0.5599, 0.5599)*CHOOSE(CONTROL!$C$42, 31, 31))/1000000</f>
        <v>12.063045499999998</v>
      </c>
      <c r="V403" s="57">
        <f>(1000*CHOOSE(CONTROL!$C$42, 500, 500)*CHOOSE(CONTROL!$C$42, 0.275, 0.275)*CHOOSE(CONTROL!$C$42, 31, 31))/1000000</f>
        <v>4.2625000000000002</v>
      </c>
      <c r="W403" s="57">
        <f>(1000*CHOOSE(CONTROL!$C$42, 0.0916, 0.0916)*CHOOSE(CONTROL!$C$42, 121.5, 121.5)*CHOOSE(CONTROL!$C$42, 31, 31))/1000000</f>
        <v>0.34501139999999997</v>
      </c>
      <c r="X403" s="57">
        <f>(31*0.1790888*145000/1000000)+(31*0.2374*100000/1000000)</f>
        <v>1.5409441560000001</v>
      </c>
      <c r="Y403" s="57"/>
      <c r="Z403" s="17"/>
      <c r="AA403" s="56"/>
      <c r="AB403" s="49">
        <f>(B403*194.205+C403*267.466+D403*133.845+E403*153.484+F403*40+G403*85+H403*0+I403*100+J403*300)/(194.205+267.466+133.845+153.484+0+40+85+100+300)</f>
        <v>19.050231149293563</v>
      </c>
      <c r="AC403" s="46">
        <f>(M403*'RAP TEMPLATE-GAS AVAILABILITY'!O402+N403*'RAP TEMPLATE-GAS AVAILABILITY'!P402+O403*'RAP TEMPLATE-GAS AVAILABILITY'!Q402+P403*'RAP TEMPLATE-GAS AVAILABILITY'!R402)/('RAP TEMPLATE-GAS AVAILABILITY'!O402+'RAP TEMPLATE-GAS AVAILABILITY'!P402+'RAP TEMPLATE-GAS AVAILABILITY'!Q402+'RAP TEMPLATE-GAS AVAILABILITY'!R402)</f>
        <v>18.906605755395685</v>
      </c>
    </row>
    <row r="404" spans="1:29" ht="15.75" x14ac:dyDescent="0.25">
      <c r="A404" s="14">
        <v>53205</v>
      </c>
      <c r="B404" s="17">
        <f>CHOOSE(CONTROL!$C$42, 18.0424, 18.0424) * CHOOSE(CONTROL!$C$21, $C$9, 100%, $E$9)</f>
        <v>18.042400000000001</v>
      </c>
      <c r="C404" s="17">
        <f>CHOOSE(CONTROL!$C$42, 18.0504, 18.0504) * CHOOSE(CONTROL!$C$21, $C$9, 100%, $E$9)</f>
        <v>18.0504</v>
      </c>
      <c r="D404" s="17">
        <f>CHOOSE(CONTROL!$C$42, 18.3, 18.3) * CHOOSE(CONTROL!$C$21, $C$9, 100%, $E$9)</f>
        <v>18.3</v>
      </c>
      <c r="E404" s="17">
        <f>CHOOSE(CONTROL!$C$42, 18.3312, 18.3312) * CHOOSE(CONTROL!$C$21, $C$9, 100%, $E$9)</f>
        <v>18.331199999999999</v>
      </c>
      <c r="F404" s="17">
        <f>CHOOSE(CONTROL!$C$42, 18.0484, 18.0484)*CHOOSE(CONTROL!$C$21, $C$9, 100%, $E$9)</f>
        <v>18.048400000000001</v>
      </c>
      <c r="G404" s="17">
        <f>CHOOSE(CONTROL!$C$42, 18.0648, 18.0648)*CHOOSE(CONTROL!$C$21, $C$9, 100%, $E$9)</f>
        <v>18.064800000000002</v>
      </c>
      <c r="H404" s="17">
        <f>CHOOSE(CONTROL!$C$42, 18.3195, 18.3195) * CHOOSE(CONTROL!$C$21, $C$9, 100%, $E$9)</f>
        <v>18.319500000000001</v>
      </c>
      <c r="I404" s="17">
        <f>CHOOSE(CONTROL!$C$42, 18.1186, 18.1186)* CHOOSE(CONTROL!$C$21, $C$9, 100%, $E$9)</f>
        <v>18.118600000000001</v>
      </c>
      <c r="J404" s="17">
        <f>CHOOSE(CONTROL!$C$42, 18.041, 18.041)* CHOOSE(CONTROL!$C$21, $C$9, 100%, $E$9)</f>
        <v>18.041</v>
      </c>
      <c r="K404" s="53">
        <f>CHOOSE(CONTROL!$C$42, 18.1126, 18.1126) * CHOOSE(CONTROL!$C$21, $C$9, 100%, $E$9)</f>
        <v>18.1126</v>
      </c>
      <c r="L404" s="17">
        <f>CHOOSE(CONTROL!$C$42, 18.9065, 18.9065) * CHOOSE(CONTROL!$C$21, $C$9, 100%, $E$9)</f>
        <v>18.906500000000001</v>
      </c>
      <c r="M404" s="17">
        <f>CHOOSE(CONTROL!$C$42, 17.8857, 17.8857) * CHOOSE(CONTROL!$C$21, $C$9, 100%, $E$9)</f>
        <v>17.8857</v>
      </c>
      <c r="N404" s="17">
        <f>CHOOSE(CONTROL!$C$42, 17.902, 17.902) * CHOOSE(CONTROL!$C$21, $C$9, 100%, $E$9)</f>
        <v>17.902000000000001</v>
      </c>
      <c r="O404" s="17">
        <f>CHOOSE(CONTROL!$C$42, 18.1618, 18.1618) * CHOOSE(CONTROL!$C$21, $C$9, 100%, $E$9)</f>
        <v>18.161799999999999</v>
      </c>
      <c r="P404" s="17">
        <f>CHOOSE(CONTROL!$C$42, 17.9622, 17.9622) * CHOOSE(CONTROL!$C$21, $C$9, 100%, $E$9)</f>
        <v>17.962199999999999</v>
      </c>
      <c r="Q404" s="17">
        <f>CHOOSE(CONTROL!$C$42, 18.7565, 18.7565) * CHOOSE(CONTROL!$C$21, $C$9, 100%, $E$9)</f>
        <v>18.756499999999999</v>
      </c>
      <c r="R404" s="17">
        <f>CHOOSE(CONTROL!$C$42, 19.3904, 19.3904) * CHOOSE(CONTROL!$C$21, $C$9, 100%, $E$9)</f>
        <v>19.3904</v>
      </c>
      <c r="S404" s="17">
        <f>CHOOSE(CONTROL!$C$42, 17.4841, 17.4841) * CHOOSE(CONTROL!$C$21, $C$9, 100%, $E$9)</f>
        <v>17.484100000000002</v>
      </c>
      <c r="T404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404" s="57">
        <f>(1000*CHOOSE(CONTROL!$C$42, 695, 695)*CHOOSE(CONTROL!$C$42, 0.5599, 0.5599)*CHOOSE(CONTROL!$C$42, 31, 31))/1000000</f>
        <v>12.063045499999998</v>
      </c>
      <c r="V404" s="57">
        <f>(1000*CHOOSE(CONTROL!$C$42, 500, 500)*CHOOSE(CONTROL!$C$42, 0.275, 0.275)*CHOOSE(CONTROL!$C$42, 31, 31))/1000000</f>
        <v>4.2625000000000002</v>
      </c>
      <c r="W404" s="57">
        <f>(1000*CHOOSE(CONTROL!$C$42, 0.0916, 0.0916)*CHOOSE(CONTROL!$C$42, 121.5, 121.5)*CHOOSE(CONTROL!$C$42, 31, 31))/1000000</f>
        <v>0.34501139999999997</v>
      </c>
      <c r="X404" s="57">
        <f>(31*0.1790888*145000/1000000)+(31*0.2374*100000/1000000)</f>
        <v>1.5409441560000001</v>
      </c>
      <c r="Y404" s="57"/>
      <c r="Z404" s="17"/>
      <c r="AA404" s="56"/>
      <c r="AB404" s="49">
        <f>(B404*194.205+C404*267.466+D404*133.845+E404*153.484+F404*40+G404*85+H404*0+I404*100+J404*300)/(194.205+267.466+133.845+153.484+0+40+85+100+300)</f>
        <v>18.113269999372054</v>
      </c>
      <c r="AC404" s="46">
        <f>(M404*'RAP TEMPLATE-GAS AVAILABILITY'!O403+N404*'RAP TEMPLATE-GAS AVAILABILITY'!P403+O404*'RAP TEMPLATE-GAS AVAILABILITY'!Q403+P404*'RAP TEMPLATE-GAS AVAILABILITY'!R403)/('RAP TEMPLATE-GAS AVAILABILITY'!O403+'RAP TEMPLATE-GAS AVAILABILITY'!P403+'RAP TEMPLATE-GAS AVAILABILITY'!Q403+'RAP TEMPLATE-GAS AVAILABILITY'!R403)</f>
        <v>17.977926618705034</v>
      </c>
    </row>
    <row r="405" spans="1:29" ht="15.75" x14ac:dyDescent="0.25">
      <c r="A405" s="14">
        <v>53235</v>
      </c>
      <c r="B405" s="17">
        <f>CHOOSE(CONTROL!$C$42, 16.8975, 16.8975) * CHOOSE(CONTROL!$C$21, $C$9, 100%, $E$9)</f>
        <v>16.897500000000001</v>
      </c>
      <c r="C405" s="17">
        <f>CHOOSE(CONTROL!$C$42, 16.9055, 16.9055) * CHOOSE(CONTROL!$C$21, $C$9, 100%, $E$9)</f>
        <v>16.9055</v>
      </c>
      <c r="D405" s="17">
        <f>CHOOSE(CONTROL!$C$42, 17.1551, 17.1551) * CHOOSE(CONTROL!$C$21, $C$9, 100%, $E$9)</f>
        <v>17.155100000000001</v>
      </c>
      <c r="E405" s="17">
        <f>CHOOSE(CONTROL!$C$42, 17.1863, 17.1863) * CHOOSE(CONTROL!$C$21, $C$9, 100%, $E$9)</f>
        <v>17.186299999999999</v>
      </c>
      <c r="F405" s="17">
        <f>CHOOSE(CONTROL!$C$42, 16.9035, 16.9035)*CHOOSE(CONTROL!$C$21, $C$9, 100%, $E$9)</f>
        <v>16.903500000000001</v>
      </c>
      <c r="G405" s="17">
        <f>CHOOSE(CONTROL!$C$42, 16.92, 16.92)*CHOOSE(CONTROL!$C$21, $C$9, 100%, $E$9)</f>
        <v>16.920000000000002</v>
      </c>
      <c r="H405" s="17">
        <f>CHOOSE(CONTROL!$C$42, 17.1746, 17.1746) * CHOOSE(CONTROL!$C$21, $C$9, 100%, $E$9)</f>
        <v>17.174600000000002</v>
      </c>
      <c r="I405" s="17">
        <f>CHOOSE(CONTROL!$C$42, 16.9702, 16.9702)* CHOOSE(CONTROL!$C$21, $C$9, 100%, $E$9)</f>
        <v>16.970199999999998</v>
      </c>
      <c r="J405" s="17">
        <f>CHOOSE(CONTROL!$C$42, 16.8961, 16.8961)* CHOOSE(CONTROL!$C$21, $C$9, 100%, $E$9)</f>
        <v>16.896100000000001</v>
      </c>
      <c r="K405" s="53">
        <f>CHOOSE(CONTROL!$C$42, 16.9641, 16.9641) * CHOOSE(CONTROL!$C$21, $C$9, 100%, $E$9)</f>
        <v>16.964099999999998</v>
      </c>
      <c r="L405" s="17">
        <f>CHOOSE(CONTROL!$C$42, 17.7616, 17.7616) * CHOOSE(CONTROL!$C$21, $C$9, 100%, $E$9)</f>
        <v>17.761600000000001</v>
      </c>
      <c r="M405" s="17">
        <f>CHOOSE(CONTROL!$C$42, 16.7512, 16.7512) * CHOOSE(CONTROL!$C$21, $C$9, 100%, $E$9)</f>
        <v>16.751200000000001</v>
      </c>
      <c r="N405" s="17">
        <f>CHOOSE(CONTROL!$C$42, 16.7675, 16.7675) * CHOOSE(CONTROL!$C$21, $C$9, 100%, $E$9)</f>
        <v>16.767499999999998</v>
      </c>
      <c r="O405" s="17">
        <f>CHOOSE(CONTROL!$C$42, 17.0272, 17.0272) * CHOOSE(CONTROL!$C$21, $C$9, 100%, $E$9)</f>
        <v>17.027200000000001</v>
      </c>
      <c r="P405" s="17">
        <f>CHOOSE(CONTROL!$C$42, 16.8242, 16.8242) * CHOOSE(CONTROL!$C$21, $C$9, 100%, $E$9)</f>
        <v>16.824200000000001</v>
      </c>
      <c r="Q405" s="17">
        <f>CHOOSE(CONTROL!$C$42, 17.6219, 17.6219) * CHOOSE(CONTROL!$C$21, $C$9, 100%, $E$9)</f>
        <v>17.6219</v>
      </c>
      <c r="R405" s="17">
        <f>CHOOSE(CONTROL!$C$42, 18.2529, 18.2529) * CHOOSE(CONTROL!$C$21, $C$9, 100%, $E$9)</f>
        <v>18.2529</v>
      </c>
      <c r="S405" s="17">
        <f>CHOOSE(CONTROL!$C$42, 16.374, 16.374) * CHOOSE(CONTROL!$C$21, $C$9, 100%, $E$9)</f>
        <v>16.373999999999999</v>
      </c>
      <c r="T405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405" s="57">
        <f>(1000*CHOOSE(CONTROL!$C$42, 695, 695)*CHOOSE(CONTROL!$C$42, 0.5599, 0.5599)*CHOOSE(CONTROL!$C$42, 30, 30))/1000000</f>
        <v>11.673914999999997</v>
      </c>
      <c r="V405" s="57">
        <f>(1000*CHOOSE(CONTROL!$C$42, 500, 500)*CHOOSE(CONTROL!$C$42, 0.275, 0.275)*CHOOSE(CONTROL!$C$42, 30, 30))/1000000</f>
        <v>4.125</v>
      </c>
      <c r="W405" s="57">
        <f>(1000*CHOOSE(CONTROL!$C$42, 0.0916, 0.0916)*CHOOSE(CONTROL!$C$42, 121.5, 121.5)*CHOOSE(CONTROL!$C$42, 30, 30))/1000000</f>
        <v>0.33388200000000001</v>
      </c>
      <c r="X405" s="57">
        <f>(30*0.1790888*145000/1000000)+(30*0.2374*100000/1000000)</f>
        <v>1.4912362799999999</v>
      </c>
      <c r="Y405" s="57"/>
      <c r="Z405" s="17"/>
      <c r="AA405" s="56"/>
      <c r="AB405" s="49">
        <f>(B405*194.205+C405*267.466+D405*133.845+E405*153.484+F405*40+G405*85+H405*0+I405*100+J405*300)/(194.205+267.466+133.845+153.484+0+40+85+100+300)</f>
        <v>16.96810194599686</v>
      </c>
      <c r="AC405" s="46">
        <f>(M405*'RAP TEMPLATE-GAS AVAILABILITY'!O404+N405*'RAP TEMPLATE-GAS AVAILABILITY'!P404+O405*'RAP TEMPLATE-GAS AVAILABILITY'!Q404+P405*'RAP TEMPLATE-GAS AVAILABILITY'!R404)/('RAP TEMPLATE-GAS AVAILABILITY'!O404+'RAP TEMPLATE-GAS AVAILABILITY'!P404+'RAP TEMPLATE-GAS AVAILABILITY'!Q404+'RAP TEMPLATE-GAS AVAILABILITY'!R404)</f>
        <v>16.842894964028776</v>
      </c>
    </row>
    <row r="406" spans="1:29" ht="15.75" x14ac:dyDescent="0.25">
      <c r="A406" s="14">
        <v>53266</v>
      </c>
      <c r="B406" s="17">
        <f>CHOOSE(CONTROL!$C$42, 16.553, 16.553) * CHOOSE(CONTROL!$C$21, $C$9, 100%, $E$9)</f>
        <v>16.553000000000001</v>
      </c>
      <c r="C406" s="17">
        <f>CHOOSE(CONTROL!$C$42, 16.5583, 16.5583) * CHOOSE(CONTROL!$C$21, $C$9, 100%, $E$9)</f>
        <v>16.558299999999999</v>
      </c>
      <c r="D406" s="17">
        <f>CHOOSE(CONTROL!$C$42, 16.8128, 16.8128) * CHOOSE(CONTROL!$C$21, $C$9, 100%, $E$9)</f>
        <v>16.812799999999999</v>
      </c>
      <c r="E406" s="17">
        <f>CHOOSE(CONTROL!$C$42, 16.8417, 16.8417) * CHOOSE(CONTROL!$C$21, $C$9, 100%, $E$9)</f>
        <v>16.841699999999999</v>
      </c>
      <c r="F406" s="17">
        <f>CHOOSE(CONTROL!$C$42, 16.5612, 16.5612)*CHOOSE(CONTROL!$C$21, $C$9, 100%, $E$9)</f>
        <v>16.561199999999999</v>
      </c>
      <c r="G406" s="17">
        <f>CHOOSE(CONTROL!$C$42, 16.5775, 16.5775)*CHOOSE(CONTROL!$C$21, $C$9, 100%, $E$9)</f>
        <v>16.577500000000001</v>
      </c>
      <c r="H406" s="17">
        <f>CHOOSE(CONTROL!$C$42, 16.8318, 16.8318) * CHOOSE(CONTROL!$C$21, $C$9, 100%, $E$9)</f>
        <v>16.831800000000001</v>
      </c>
      <c r="I406" s="17">
        <f>CHOOSE(CONTROL!$C$42, 16.6263, 16.6263)* CHOOSE(CONTROL!$C$21, $C$9, 100%, $E$9)</f>
        <v>16.626300000000001</v>
      </c>
      <c r="J406" s="17">
        <f>CHOOSE(CONTROL!$C$42, 16.5538, 16.5538)* CHOOSE(CONTROL!$C$21, $C$9, 100%, $E$9)</f>
        <v>16.553799999999999</v>
      </c>
      <c r="K406" s="53">
        <f>CHOOSE(CONTROL!$C$42, 16.6203, 16.6203) * CHOOSE(CONTROL!$C$21, $C$9, 100%, $E$9)</f>
        <v>16.6203</v>
      </c>
      <c r="L406" s="17">
        <f>CHOOSE(CONTROL!$C$42, 17.4188, 17.4188) * CHOOSE(CONTROL!$C$21, $C$9, 100%, $E$9)</f>
        <v>17.418800000000001</v>
      </c>
      <c r="M406" s="17">
        <f>CHOOSE(CONTROL!$C$42, 16.4119, 16.4119) * CHOOSE(CONTROL!$C$21, $C$9, 100%, $E$9)</f>
        <v>16.411899999999999</v>
      </c>
      <c r="N406" s="17">
        <f>CHOOSE(CONTROL!$C$42, 16.4281, 16.4281) * CHOOSE(CONTROL!$C$21, $C$9, 100%, $E$9)</f>
        <v>16.428100000000001</v>
      </c>
      <c r="O406" s="17">
        <f>CHOOSE(CONTROL!$C$42, 16.6874, 16.6874) * CHOOSE(CONTROL!$C$21, $C$9, 100%, $E$9)</f>
        <v>16.6874</v>
      </c>
      <c r="P406" s="17">
        <f>CHOOSE(CONTROL!$C$42, 16.4834, 16.4834) * CHOOSE(CONTROL!$C$21, $C$9, 100%, $E$9)</f>
        <v>16.4834</v>
      </c>
      <c r="Q406" s="17">
        <f>CHOOSE(CONTROL!$C$42, 17.2821, 17.2821) * CHOOSE(CONTROL!$C$21, $C$9, 100%, $E$9)</f>
        <v>17.2821</v>
      </c>
      <c r="R406" s="17">
        <f>CHOOSE(CONTROL!$C$42, 17.9123, 17.9123) * CHOOSE(CONTROL!$C$21, $C$9, 100%, $E$9)</f>
        <v>17.912299999999998</v>
      </c>
      <c r="S406" s="17">
        <f>CHOOSE(CONTROL!$C$42, 16.0415, 16.0415) * CHOOSE(CONTROL!$C$21, $C$9, 100%, $E$9)</f>
        <v>16.041499999999999</v>
      </c>
      <c r="T406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406" s="57">
        <f>(1000*CHOOSE(CONTROL!$C$42, 695, 695)*CHOOSE(CONTROL!$C$42, 0.5599, 0.5599)*CHOOSE(CONTROL!$C$42, 31, 31))/1000000</f>
        <v>12.063045499999998</v>
      </c>
      <c r="V406" s="57">
        <f>(1000*CHOOSE(CONTROL!$C$42, 500, 500)*CHOOSE(CONTROL!$C$42, 0.275, 0.275)*CHOOSE(CONTROL!$C$42, 31, 31))/1000000</f>
        <v>4.2625000000000002</v>
      </c>
      <c r="W406" s="57">
        <f>(1000*CHOOSE(CONTROL!$C$42, 0.0916, 0.0916)*CHOOSE(CONTROL!$C$42, 121.5, 121.5)*CHOOSE(CONTROL!$C$42, 31, 31))/1000000</f>
        <v>0.34501139999999997</v>
      </c>
      <c r="X406" s="57">
        <f>(31*0.1790888*145000/1000000)+(31*0.2374*100000/1000000)</f>
        <v>1.5409441560000001</v>
      </c>
      <c r="Y406" s="57"/>
      <c r="Z406" s="17"/>
      <c r="AA406" s="56"/>
      <c r="AB406" s="49">
        <f>(B406*131.881+C406*277.167+D406*79.08+E406*225.872+F406*40+G406*85+H406*0+I406*100+J406*300)/(131.881+277.167+79.08+225.872+0+40+85+100+300)</f>
        <v>16.631453361985471</v>
      </c>
      <c r="AC406" s="46">
        <f>(M406*'RAP TEMPLATE-GAS AVAILABILITY'!O405+N406*'RAP TEMPLATE-GAS AVAILABILITY'!P405+O406*'RAP TEMPLATE-GAS AVAILABILITY'!Q405+P406*'RAP TEMPLATE-GAS AVAILABILITY'!R405)/('RAP TEMPLATE-GAS AVAILABILITY'!O405+'RAP TEMPLATE-GAS AVAILABILITY'!P405+'RAP TEMPLATE-GAS AVAILABILITY'!Q405+'RAP TEMPLATE-GAS AVAILABILITY'!R405)</f>
        <v>16.503215827338131</v>
      </c>
    </row>
    <row r="407" spans="1:29" ht="15.75" x14ac:dyDescent="0.25">
      <c r="A407" s="14">
        <v>53296</v>
      </c>
      <c r="B407" s="17">
        <f>CHOOSE(CONTROL!$C$42, 16.9884, 16.9884) * CHOOSE(CONTROL!$C$21, $C$9, 100%, $E$9)</f>
        <v>16.988399999999999</v>
      </c>
      <c r="C407" s="17">
        <f>CHOOSE(CONTROL!$C$42, 16.9934, 16.9934) * CHOOSE(CONTROL!$C$21, $C$9, 100%, $E$9)</f>
        <v>16.993400000000001</v>
      </c>
      <c r="D407" s="17">
        <f>CHOOSE(CONTROL!$C$42, 17.1161, 17.1161) * CHOOSE(CONTROL!$C$21, $C$9, 100%, $E$9)</f>
        <v>17.116099999999999</v>
      </c>
      <c r="E407" s="17">
        <f>CHOOSE(CONTROL!$C$42, 17.1498, 17.1498) * CHOOSE(CONTROL!$C$21, $C$9, 100%, $E$9)</f>
        <v>17.149799999999999</v>
      </c>
      <c r="F407" s="17">
        <f>CHOOSE(CONTROL!$C$42, 17.0034, 17.0034)*CHOOSE(CONTROL!$C$21, $C$9, 100%, $E$9)</f>
        <v>17.003399999999999</v>
      </c>
      <c r="G407" s="17">
        <f>CHOOSE(CONTROL!$C$42, 17.02, 17.02)*CHOOSE(CONTROL!$C$21, $C$9, 100%, $E$9)</f>
        <v>17.02</v>
      </c>
      <c r="H407" s="17">
        <f>CHOOSE(CONTROL!$C$42, 17.1387, 17.1387) * CHOOSE(CONTROL!$C$21, $C$9, 100%, $E$9)</f>
        <v>17.1387</v>
      </c>
      <c r="I407" s="17">
        <f>CHOOSE(CONTROL!$C$42, 17.066, 17.066)* CHOOSE(CONTROL!$C$21, $C$9, 100%, $E$9)</f>
        <v>17.065999999999999</v>
      </c>
      <c r="J407" s="17">
        <f>CHOOSE(CONTROL!$C$42, 16.996, 16.996)* CHOOSE(CONTROL!$C$21, $C$9, 100%, $E$9)</f>
        <v>16.995999999999999</v>
      </c>
      <c r="K407" s="53">
        <f>CHOOSE(CONTROL!$C$42, 17.06, 17.06) * CHOOSE(CONTROL!$C$21, $C$9, 100%, $E$9)</f>
        <v>17.059999999999999</v>
      </c>
      <c r="L407" s="17">
        <f>CHOOSE(CONTROL!$C$42, 17.7257, 17.7257) * CHOOSE(CONTROL!$C$21, $C$9, 100%, $E$9)</f>
        <v>17.7257</v>
      </c>
      <c r="M407" s="17">
        <f>CHOOSE(CONTROL!$C$42, 16.8501, 16.8501) * CHOOSE(CONTROL!$C$21, $C$9, 100%, $E$9)</f>
        <v>16.850100000000001</v>
      </c>
      <c r="N407" s="17">
        <f>CHOOSE(CONTROL!$C$42, 16.8666, 16.8666) * CHOOSE(CONTROL!$C$21, $C$9, 100%, $E$9)</f>
        <v>16.866599999999998</v>
      </c>
      <c r="O407" s="17">
        <f>CHOOSE(CONTROL!$C$42, 16.9916, 16.9916) * CHOOSE(CONTROL!$C$21, $C$9, 100%, $E$9)</f>
        <v>16.991599999999998</v>
      </c>
      <c r="P407" s="17">
        <f>CHOOSE(CONTROL!$C$42, 16.9191, 16.9191) * CHOOSE(CONTROL!$C$21, $C$9, 100%, $E$9)</f>
        <v>16.9191</v>
      </c>
      <c r="Q407" s="17">
        <f>CHOOSE(CONTROL!$C$42, 17.5863, 17.5863) * CHOOSE(CONTROL!$C$21, $C$9, 100%, $E$9)</f>
        <v>17.586300000000001</v>
      </c>
      <c r="R407" s="17">
        <f>CHOOSE(CONTROL!$C$42, 18.2172, 18.2172) * CHOOSE(CONTROL!$C$21, $C$9, 100%, $E$9)</f>
        <v>18.217199999999998</v>
      </c>
      <c r="S407" s="17">
        <f>CHOOSE(CONTROL!$C$42, 16.4641, 16.4641) * CHOOSE(CONTROL!$C$21, $C$9, 100%, $E$9)</f>
        <v>16.464099999999998</v>
      </c>
      <c r="T407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407" s="57">
        <f>(1000*CHOOSE(CONTROL!$C$42, 695, 695)*CHOOSE(CONTROL!$C$42, 0.5599, 0.5599)*CHOOSE(CONTROL!$C$42, 30, 30))/1000000</f>
        <v>11.673914999999997</v>
      </c>
      <c r="V407" s="57">
        <f>(1000*CHOOSE(CONTROL!$C$42, 500, 500)*CHOOSE(CONTROL!$C$42, 0.275, 0.275)*CHOOSE(CONTROL!$C$42, 30, 30))/1000000</f>
        <v>4.125</v>
      </c>
      <c r="W407" s="57">
        <f>(1000*CHOOSE(CONTROL!$C$42, 0.0916, 0.0916)*CHOOSE(CONTROL!$C$42, 121.5, 121.5)*CHOOSE(CONTROL!$C$42, 30, 30))/1000000</f>
        <v>0.33388200000000001</v>
      </c>
      <c r="X407" s="57">
        <f>(30*0.2374*100000/1000000)</f>
        <v>0.71220000000000006</v>
      </c>
      <c r="Y407" s="57"/>
      <c r="Z407" s="17"/>
      <c r="AA407" s="56"/>
      <c r="AB407" s="49">
        <f>(B407*122.58+C407*297.941+D407*89.177+E407*140.302+F407*40+G407*60+H407*0+I407*100+J407*300)/(122.58+297.941+89.177+140.302+0+40+60+100+300)</f>
        <v>17.030189870173913</v>
      </c>
      <c r="AC407" s="46">
        <f>(M407*'RAP TEMPLATE-GAS AVAILABILITY'!O406+N407*'RAP TEMPLATE-GAS AVAILABILITY'!P406+O407*'RAP TEMPLATE-GAS AVAILABILITY'!Q406+P407*'RAP TEMPLATE-GAS AVAILABILITY'!R406)/('RAP TEMPLATE-GAS AVAILABILITY'!O406+'RAP TEMPLATE-GAS AVAILABILITY'!P406+'RAP TEMPLATE-GAS AVAILABILITY'!Q406+'RAP TEMPLATE-GAS AVAILABILITY'!R406)</f>
        <v>16.925110791366905</v>
      </c>
    </row>
    <row r="408" spans="1:29" ht="15.75" x14ac:dyDescent="0.25">
      <c r="A408" s="14">
        <v>53327</v>
      </c>
      <c r="B408" s="17">
        <f>CHOOSE(CONTROL!$C$42, 18.1459, 18.1459) * CHOOSE(CONTROL!$C$21, $C$9, 100%, $E$9)</f>
        <v>18.145900000000001</v>
      </c>
      <c r="C408" s="17">
        <f>CHOOSE(CONTROL!$C$42, 18.151, 18.151) * CHOOSE(CONTROL!$C$21, $C$9, 100%, $E$9)</f>
        <v>18.151</v>
      </c>
      <c r="D408" s="17">
        <f>CHOOSE(CONTROL!$C$42, 18.2736, 18.2736) * CHOOSE(CONTROL!$C$21, $C$9, 100%, $E$9)</f>
        <v>18.273599999999998</v>
      </c>
      <c r="E408" s="17">
        <f>CHOOSE(CONTROL!$C$42, 18.3074, 18.3074) * CHOOSE(CONTROL!$C$21, $C$9, 100%, $E$9)</f>
        <v>18.307400000000001</v>
      </c>
      <c r="F408" s="17">
        <f>CHOOSE(CONTROL!$C$42, 18.1633, 18.1633)*CHOOSE(CONTROL!$C$21, $C$9, 100%, $E$9)</f>
        <v>18.1633</v>
      </c>
      <c r="G408" s="17">
        <f>CHOOSE(CONTROL!$C$42, 18.1806, 18.1806)*CHOOSE(CONTROL!$C$21, $C$9, 100%, $E$9)</f>
        <v>18.180599999999998</v>
      </c>
      <c r="H408" s="17">
        <f>CHOOSE(CONTROL!$C$42, 18.2962, 18.2962) * CHOOSE(CONTROL!$C$21, $C$9, 100%, $E$9)</f>
        <v>18.296199999999999</v>
      </c>
      <c r="I408" s="17">
        <f>CHOOSE(CONTROL!$C$42, 18.2272, 18.2272)* CHOOSE(CONTROL!$C$21, $C$9, 100%, $E$9)</f>
        <v>18.2272</v>
      </c>
      <c r="J408" s="17">
        <f>CHOOSE(CONTROL!$C$42, 18.1559, 18.1559)* CHOOSE(CONTROL!$C$21, $C$9, 100%, $E$9)</f>
        <v>18.155899999999999</v>
      </c>
      <c r="K408" s="53">
        <f>CHOOSE(CONTROL!$C$42, 18.2211, 18.2211) * CHOOSE(CONTROL!$C$21, $C$9, 100%, $E$9)</f>
        <v>18.2211</v>
      </c>
      <c r="L408" s="17">
        <f>CHOOSE(CONTROL!$C$42, 18.8832, 18.8832) * CHOOSE(CONTROL!$C$21, $C$9, 100%, $E$9)</f>
        <v>18.883199999999999</v>
      </c>
      <c r="M408" s="17">
        <f>CHOOSE(CONTROL!$C$42, 17.9997, 17.9997) * CHOOSE(CONTROL!$C$21, $C$9, 100%, $E$9)</f>
        <v>17.999700000000001</v>
      </c>
      <c r="N408" s="17">
        <f>CHOOSE(CONTROL!$C$42, 18.0168, 18.0168) * CHOOSE(CONTROL!$C$21, $C$9, 100%, $E$9)</f>
        <v>18.0168</v>
      </c>
      <c r="O408" s="17">
        <f>CHOOSE(CONTROL!$C$42, 18.1387, 18.1387) * CHOOSE(CONTROL!$C$21, $C$9, 100%, $E$9)</f>
        <v>18.1387</v>
      </c>
      <c r="P408" s="17">
        <f>CHOOSE(CONTROL!$C$42, 18.0698, 18.0698) * CHOOSE(CONTROL!$C$21, $C$9, 100%, $E$9)</f>
        <v>18.069800000000001</v>
      </c>
      <c r="Q408" s="17">
        <f>CHOOSE(CONTROL!$C$42, 18.7334, 18.7334) * CHOOSE(CONTROL!$C$21, $C$9, 100%, $E$9)</f>
        <v>18.7334</v>
      </c>
      <c r="R408" s="17">
        <f>CHOOSE(CONTROL!$C$42, 19.3672, 19.3672) * CHOOSE(CONTROL!$C$21, $C$9, 100%, $E$9)</f>
        <v>19.3672</v>
      </c>
      <c r="S408" s="17">
        <f>CHOOSE(CONTROL!$C$42, 17.5866, 17.5866) * CHOOSE(CONTROL!$C$21, $C$9, 100%, $E$9)</f>
        <v>17.586600000000001</v>
      </c>
      <c r="T408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408" s="57">
        <f>(1000*CHOOSE(CONTROL!$C$42, 695, 695)*CHOOSE(CONTROL!$C$42, 0.5599, 0.5599)*CHOOSE(CONTROL!$C$42, 31, 31))/1000000</f>
        <v>12.063045499999998</v>
      </c>
      <c r="V408" s="57">
        <f>(1000*CHOOSE(CONTROL!$C$42, 500, 500)*CHOOSE(CONTROL!$C$42, 0.275, 0.275)*CHOOSE(CONTROL!$C$42, 31, 31))/1000000</f>
        <v>4.2625000000000002</v>
      </c>
      <c r="W408" s="57">
        <f>(1000*CHOOSE(CONTROL!$C$42, 0.0916, 0.0916)*CHOOSE(CONTROL!$C$42, 121.5, 121.5)*CHOOSE(CONTROL!$C$42, 31, 31))/1000000</f>
        <v>0.34501139999999997</v>
      </c>
      <c r="X408" s="57">
        <f>(31*0.2374*100000/1000000)</f>
        <v>0.73594000000000004</v>
      </c>
      <c r="Y408" s="57"/>
      <c r="Z408" s="17"/>
      <c r="AA408" s="56"/>
      <c r="AB408" s="49">
        <f>(B408*122.58+C408*297.941+D408*89.177+E408*140.302+F408*40+G408*60+H408*0+I408*100+J408*300)/(122.58+297.941+89.177+140.302+0+40+60+100+300)</f>
        <v>18.188921021739127</v>
      </c>
      <c r="AC408" s="46">
        <f>(M408*'RAP TEMPLATE-GAS AVAILABILITY'!O407+N408*'RAP TEMPLATE-GAS AVAILABILITY'!P407+O408*'RAP TEMPLATE-GAS AVAILABILITY'!Q407+P408*'RAP TEMPLATE-GAS AVAILABILITY'!R407)/('RAP TEMPLATE-GAS AVAILABILITY'!O407+'RAP TEMPLATE-GAS AVAILABILITY'!P407+'RAP TEMPLATE-GAS AVAILABILITY'!Q407+'RAP TEMPLATE-GAS AVAILABILITY'!R407)</f>
        <v>18.073770503597121</v>
      </c>
    </row>
    <row r="409" spans="1:29" ht="15.75" x14ac:dyDescent="0.25">
      <c r="A409" s="14">
        <v>53358</v>
      </c>
      <c r="B409" s="17">
        <f>CHOOSE(CONTROL!$C$42, 19.6493, 19.6493) * CHOOSE(CONTROL!$C$21, $C$9, 100%, $E$9)</f>
        <v>19.6493</v>
      </c>
      <c r="C409" s="17">
        <f>CHOOSE(CONTROL!$C$42, 19.6544, 19.6544) * CHOOSE(CONTROL!$C$21, $C$9, 100%, $E$9)</f>
        <v>19.654399999999999</v>
      </c>
      <c r="D409" s="17">
        <f>CHOOSE(CONTROL!$C$42, 19.7719, 19.7719) * CHOOSE(CONTROL!$C$21, $C$9, 100%, $E$9)</f>
        <v>19.771899999999999</v>
      </c>
      <c r="E409" s="17">
        <f>CHOOSE(CONTROL!$C$42, 19.8056, 19.8056) * CHOOSE(CONTROL!$C$21, $C$9, 100%, $E$9)</f>
        <v>19.805599999999998</v>
      </c>
      <c r="F409" s="17">
        <f>CHOOSE(CONTROL!$C$42, 19.663, 19.663)*CHOOSE(CONTROL!$C$21, $C$9, 100%, $E$9)</f>
        <v>19.663</v>
      </c>
      <c r="G409" s="17">
        <f>CHOOSE(CONTROL!$C$42, 19.6793, 19.6793)*CHOOSE(CONTROL!$C$21, $C$9, 100%, $E$9)</f>
        <v>19.679300000000001</v>
      </c>
      <c r="H409" s="17">
        <f>CHOOSE(CONTROL!$C$42, 19.7945, 19.7945) * CHOOSE(CONTROL!$C$21, $C$9, 100%, $E$9)</f>
        <v>19.794499999999999</v>
      </c>
      <c r="I409" s="17">
        <f>CHOOSE(CONTROL!$C$42, 19.7337, 19.7337)* CHOOSE(CONTROL!$C$21, $C$9, 100%, $E$9)</f>
        <v>19.733699999999999</v>
      </c>
      <c r="J409" s="17">
        <f>CHOOSE(CONTROL!$C$42, 19.6556, 19.6556)* CHOOSE(CONTROL!$C$21, $C$9, 100%, $E$9)</f>
        <v>19.6556</v>
      </c>
      <c r="K409" s="53">
        <f>CHOOSE(CONTROL!$C$42, 19.7277, 19.7277) * CHOOSE(CONTROL!$C$21, $C$9, 100%, $E$9)</f>
        <v>19.727699999999999</v>
      </c>
      <c r="L409" s="17">
        <f>CHOOSE(CONTROL!$C$42, 20.3815, 20.3815) * CHOOSE(CONTROL!$C$21, $C$9, 100%, $E$9)</f>
        <v>20.381499999999999</v>
      </c>
      <c r="M409" s="17">
        <f>CHOOSE(CONTROL!$C$42, 19.4858, 19.4858) * CHOOSE(CONTROL!$C$21, $C$9, 100%, $E$9)</f>
        <v>19.485800000000001</v>
      </c>
      <c r="N409" s="17">
        <f>CHOOSE(CONTROL!$C$42, 19.5019, 19.5019) * CHOOSE(CONTROL!$C$21, $C$9, 100%, $E$9)</f>
        <v>19.501899999999999</v>
      </c>
      <c r="O409" s="17">
        <f>CHOOSE(CONTROL!$C$42, 19.6235, 19.6235) * CHOOSE(CONTROL!$C$21, $C$9, 100%, $E$9)</f>
        <v>19.6235</v>
      </c>
      <c r="P409" s="17">
        <f>CHOOSE(CONTROL!$C$42, 19.5627, 19.5627) * CHOOSE(CONTROL!$C$21, $C$9, 100%, $E$9)</f>
        <v>19.5627</v>
      </c>
      <c r="Q409" s="17">
        <f>CHOOSE(CONTROL!$C$42, 20.2182, 20.2182) * CHOOSE(CONTROL!$C$21, $C$9, 100%, $E$9)</f>
        <v>20.2182</v>
      </c>
      <c r="R409" s="17">
        <f>CHOOSE(CONTROL!$C$42, 20.8557, 20.8557) * CHOOSE(CONTROL!$C$21, $C$9, 100%, $E$9)</f>
        <v>20.855699999999999</v>
      </c>
      <c r="S409" s="17">
        <f>CHOOSE(CONTROL!$C$42, 19.0444, 19.0444) * CHOOSE(CONTROL!$C$21, $C$9, 100%, $E$9)</f>
        <v>19.0444</v>
      </c>
      <c r="T409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409" s="57">
        <f>(1000*CHOOSE(CONTROL!$C$42, 695, 695)*CHOOSE(CONTROL!$C$42, 0.5599, 0.5599)*CHOOSE(CONTROL!$C$42, 31, 31))/1000000</f>
        <v>12.063045499999998</v>
      </c>
      <c r="V409" s="57">
        <f>(1000*CHOOSE(CONTROL!$C$42, 500, 500)*CHOOSE(CONTROL!$C$42, 0.275, 0.275)*CHOOSE(CONTROL!$C$42, 31, 31))/1000000</f>
        <v>4.2625000000000002</v>
      </c>
      <c r="W409" s="57">
        <f>(1000*CHOOSE(CONTROL!$C$42, 0.0916, 0.0916)*CHOOSE(CONTROL!$C$42, 121.5, 121.5)*CHOOSE(CONTROL!$C$42, 31, 31))/1000000</f>
        <v>0.34501139999999997</v>
      </c>
      <c r="X409" s="57">
        <f>(31*0.2374*100000/1000000)</f>
        <v>0.73594000000000004</v>
      </c>
      <c r="Y409" s="57"/>
      <c r="Z409" s="17"/>
      <c r="AA409" s="56"/>
      <c r="AB409" s="49">
        <f>(B409*122.58+C409*297.941+D409*89.177+E409*140.302+F409*40+G409*60+H409*0+I409*100+J409*300)/(122.58+297.941+89.177+140.302+0+40+60+100+300)</f>
        <v>19.690221566869564</v>
      </c>
      <c r="AC409" s="46">
        <f>(M409*'RAP TEMPLATE-GAS AVAILABILITY'!O408+N409*'RAP TEMPLATE-GAS AVAILABILITY'!P408+O409*'RAP TEMPLATE-GAS AVAILABILITY'!Q408+P409*'RAP TEMPLATE-GAS AVAILABILITY'!R408)/('RAP TEMPLATE-GAS AVAILABILITY'!O408+'RAP TEMPLATE-GAS AVAILABILITY'!P408+'RAP TEMPLATE-GAS AVAILABILITY'!Q408+'RAP TEMPLATE-GAS AVAILABILITY'!R408)</f>
        <v>19.560202158273384</v>
      </c>
    </row>
    <row r="410" spans="1:29" ht="15.75" x14ac:dyDescent="0.25">
      <c r="A410" s="14">
        <v>53386</v>
      </c>
      <c r="B410" s="17">
        <f>CHOOSE(CONTROL!$C$42, 19.9989, 19.9989) * CHOOSE(CONTROL!$C$21, $C$9, 100%, $E$9)</f>
        <v>19.998899999999999</v>
      </c>
      <c r="C410" s="17">
        <f>CHOOSE(CONTROL!$C$42, 20.004, 20.004) * CHOOSE(CONTROL!$C$21, $C$9, 100%, $E$9)</f>
        <v>20.004000000000001</v>
      </c>
      <c r="D410" s="17">
        <f>CHOOSE(CONTROL!$C$42, 20.1215, 20.1215) * CHOOSE(CONTROL!$C$21, $C$9, 100%, $E$9)</f>
        <v>20.121500000000001</v>
      </c>
      <c r="E410" s="17">
        <f>CHOOSE(CONTROL!$C$42, 20.1552, 20.1552) * CHOOSE(CONTROL!$C$21, $C$9, 100%, $E$9)</f>
        <v>20.155200000000001</v>
      </c>
      <c r="F410" s="17">
        <f>CHOOSE(CONTROL!$C$42, 20.0126, 20.0126)*CHOOSE(CONTROL!$C$21, $C$9, 100%, $E$9)</f>
        <v>20.012599999999999</v>
      </c>
      <c r="G410" s="17">
        <f>CHOOSE(CONTROL!$C$42, 20.0289, 20.0289)*CHOOSE(CONTROL!$C$21, $C$9, 100%, $E$9)</f>
        <v>20.0289</v>
      </c>
      <c r="H410" s="17">
        <f>CHOOSE(CONTROL!$C$42, 20.1441, 20.1441) * CHOOSE(CONTROL!$C$21, $C$9, 100%, $E$9)</f>
        <v>20.144100000000002</v>
      </c>
      <c r="I410" s="17">
        <f>CHOOSE(CONTROL!$C$42, 20.0844, 20.0844)* CHOOSE(CONTROL!$C$21, $C$9, 100%, $E$9)</f>
        <v>20.084399999999999</v>
      </c>
      <c r="J410" s="17">
        <f>CHOOSE(CONTROL!$C$42, 20.0052, 20.0052)* CHOOSE(CONTROL!$C$21, $C$9, 100%, $E$9)</f>
        <v>20.005199999999999</v>
      </c>
      <c r="K410" s="53">
        <f>CHOOSE(CONTROL!$C$42, 20.0784, 20.0784) * CHOOSE(CONTROL!$C$21, $C$9, 100%, $E$9)</f>
        <v>20.078399999999998</v>
      </c>
      <c r="L410" s="17">
        <f>CHOOSE(CONTROL!$C$42, 20.7311, 20.7311) * CHOOSE(CONTROL!$C$21, $C$9, 100%, $E$9)</f>
        <v>20.731100000000001</v>
      </c>
      <c r="M410" s="17">
        <f>CHOOSE(CONTROL!$C$42, 19.8323, 19.8323) * CHOOSE(CONTROL!$C$21, $C$9, 100%, $E$9)</f>
        <v>19.8323</v>
      </c>
      <c r="N410" s="17">
        <f>CHOOSE(CONTROL!$C$42, 19.8484, 19.8484) * CHOOSE(CONTROL!$C$21, $C$9, 100%, $E$9)</f>
        <v>19.848400000000002</v>
      </c>
      <c r="O410" s="17">
        <f>CHOOSE(CONTROL!$C$42, 19.9699, 19.9699) * CHOOSE(CONTROL!$C$21, $C$9, 100%, $E$9)</f>
        <v>19.969899999999999</v>
      </c>
      <c r="P410" s="17">
        <f>CHOOSE(CONTROL!$C$42, 19.9103, 19.9103) * CHOOSE(CONTROL!$C$21, $C$9, 100%, $E$9)</f>
        <v>19.910299999999999</v>
      </c>
      <c r="Q410" s="17">
        <f>CHOOSE(CONTROL!$C$42, 20.5646, 20.5646) * CHOOSE(CONTROL!$C$21, $C$9, 100%, $E$9)</f>
        <v>20.564599999999999</v>
      </c>
      <c r="R410" s="17">
        <f>CHOOSE(CONTROL!$C$42, 21.2031, 21.2031) * CHOOSE(CONTROL!$C$21, $C$9, 100%, $E$9)</f>
        <v>21.203099999999999</v>
      </c>
      <c r="S410" s="17">
        <f>CHOOSE(CONTROL!$C$42, 19.3835, 19.3835) * CHOOSE(CONTROL!$C$21, $C$9, 100%, $E$9)</f>
        <v>19.383500000000002</v>
      </c>
      <c r="T410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410" s="57">
        <f>(1000*CHOOSE(CONTROL!$C$42, 695, 695)*CHOOSE(CONTROL!$C$42, 0.5599, 0.5599)*CHOOSE(CONTROL!$C$42, 28, 28))/1000000</f>
        <v>10.895653999999999</v>
      </c>
      <c r="V410" s="57">
        <f>(1000*CHOOSE(CONTROL!$C$42, 500, 500)*CHOOSE(CONTROL!$C$42, 0.275, 0.275)*CHOOSE(CONTROL!$C$42, 28, 28))/1000000</f>
        <v>3.85</v>
      </c>
      <c r="W410" s="57">
        <f>(1000*CHOOSE(CONTROL!$C$42, 0.0916, 0.0916)*CHOOSE(CONTROL!$C$42, 121.5, 121.5)*CHOOSE(CONTROL!$C$42, 28, 28))/1000000</f>
        <v>0.31162319999999999</v>
      </c>
      <c r="X410" s="57">
        <f>(28*0.2374*100000/1000000)</f>
        <v>0.66471999999999998</v>
      </c>
      <c r="Y410" s="57"/>
      <c r="Z410" s="17"/>
      <c r="AA410" s="56"/>
      <c r="AB410" s="49">
        <f>(B410*122.58+C410*297.941+D410*89.177+E410*140.302+F410*40+G410*60+H410*0+I410*100+J410*300)/(122.58+297.941+89.177+140.302+0+40+60+100+300)</f>
        <v>20.039917219043474</v>
      </c>
      <c r="AC410" s="46">
        <f>(M410*'RAP TEMPLATE-GAS AVAILABILITY'!O409+N410*'RAP TEMPLATE-GAS AVAILABILITY'!P409+O410*'RAP TEMPLATE-GAS AVAILABILITY'!Q409+P410*'RAP TEMPLATE-GAS AVAILABILITY'!R409)/('RAP TEMPLATE-GAS AVAILABILITY'!O409+'RAP TEMPLATE-GAS AVAILABILITY'!P409+'RAP TEMPLATE-GAS AVAILABILITY'!Q409+'RAP TEMPLATE-GAS AVAILABILITY'!R409)</f>
        <v>19.906815107913669</v>
      </c>
    </row>
    <row r="411" spans="1:29" ht="15.75" x14ac:dyDescent="0.25">
      <c r="A411" s="14">
        <v>53417</v>
      </c>
      <c r="B411" s="17">
        <f>CHOOSE(CONTROL!$C$42, 19.4314, 19.4314) * CHOOSE(CONTROL!$C$21, $C$9, 100%, $E$9)</f>
        <v>19.4314</v>
      </c>
      <c r="C411" s="17">
        <f>CHOOSE(CONTROL!$C$42, 19.4365, 19.4365) * CHOOSE(CONTROL!$C$21, $C$9, 100%, $E$9)</f>
        <v>19.436499999999999</v>
      </c>
      <c r="D411" s="17">
        <f>CHOOSE(CONTROL!$C$42, 19.554, 19.554) * CHOOSE(CONTROL!$C$21, $C$9, 100%, $E$9)</f>
        <v>19.553999999999998</v>
      </c>
      <c r="E411" s="17">
        <f>CHOOSE(CONTROL!$C$42, 19.5877, 19.5877) * CHOOSE(CONTROL!$C$21, $C$9, 100%, $E$9)</f>
        <v>19.587700000000002</v>
      </c>
      <c r="F411" s="17">
        <f>CHOOSE(CONTROL!$C$42, 19.4444, 19.4444)*CHOOSE(CONTROL!$C$21, $C$9, 100%, $E$9)</f>
        <v>19.444400000000002</v>
      </c>
      <c r="G411" s="17">
        <f>CHOOSE(CONTROL!$C$42, 19.4606, 19.4606)*CHOOSE(CONTROL!$C$21, $C$9, 100%, $E$9)</f>
        <v>19.460599999999999</v>
      </c>
      <c r="H411" s="17">
        <f>CHOOSE(CONTROL!$C$42, 19.5766, 19.5766) * CHOOSE(CONTROL!$C$21, $C$9, 100%, $E$9)</f>
        <v>19.576599999999999</v>
      </c>
      <c r="I411" s="17">
        <f>CHOOSE(CONTROL!$C$42, 19.5151, 19.5151)* CHOOSE(CONTROL!$C$21, $C$9, 100%, $E$9)</f>
        <v>19.5151</v>
      </c>
      <c r="J411" s="17">
        <f>CHOOSE(CONTROL!$C$42, 19.437, 19.437)* CHOOSE(CONTROL!$C$21, $C$9, 100%, $E$9)</f>
        <v>19.437000000000001</v>
      </c>
      <c r="K411" s="53">
        <f>CHOOSE(CONTROL!$C$42, 19.5091, 19.5091) * CHOOSE(CONTROL!$C$21, $C$9, 100%, $E$9)</f>
        <v>19.5091</v>
      </c>
      <c r="L411" s="17">
        <f>CHOOSE(CONTROL!$C$42, 20.1636, 20.1636) * CHOOSE(CONTROL!$C$21, $C$9, 100%, $E$9)</f>
        <v>20.163599999999999</v>
      </c>
      <c r="M411" s="17">
        <f>CHOOSE(CONTROL!$C$42, 19.2692, 19.2692) * CHOOSE(CONTROL!$C$21, $C$9, 100%, $E$9)</f>
        <v>19.269200000000001</v>
      </c>
      <c r="N411" s="17">
        <f>CHOOSE(CONTROL!$C$42, 19.2852, 19.2852) * CHOOSE(CONTROL!$C$21, $C$9, 100%, $E$9)</f>
        <v>19.2852</v>
      </c>
      <c r="O411" s="17">
        <f>CHOOSE(CONTROL!$C$42, 19.4076, 19.4076) * CHOOSE(CONTROL!$C$21, $C$9, 100%, $E$9)</f>
        <v>19.407599999999999</v>
      </c>
      <c r="P411" s="17">
        <f>CHOOSE(CONTROL!$C$42, 19.3462, 19.3462) * CHOOSE(CONTROL!$C$21, $C$9, 100%, $E$9)</f>
        <v>19.3462</v>
      </c>
      <c r="Q411" s="17">
        <f>CHOOSE(CONTROL!$C$42, 20.0023, 20.0023) * CHOOSE(CONTROL!$C$21, $C$9, 100%, $E$9)</f>
        <v>20.002300000000002</v>
      </c>
      <c r="R411" s="17">
        <f>CHOOSE(CONTROL!$C$42, 20.6393, 20.6393) * CHOOSE(CONTROL!$C$21, $C$9, 100%, $E$9)</f>
        <v>20.639299999999999</v>
      </c>
      <c r="S411" s="17">
        <f>CHOOSE(CONTROL!$C$42, 18.8332, 18.8332) * CHOOSE(CONTROL!$C$21, $C$9, 100%, $E$9)</f>
        <v>18.833200000000001</v>
      </c>
      <c r="T411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411" s="57">
        <f>(1000*CHOOSE(CONTROL!$C$42, 695, 695)*CHOOSE(CONTROL!$C$42, 0.5599, 0.5599)*CHOOSE(CONTROL!$C$42, 31, 31))/1000000</f>
        <v>12.063045499999998</v>
      </c>
      <c r="V411" s="57">
        <f>(1000*CHOOSE(CONTROL!$C$42, 500, 500)*CHOOSE(CONTROL!$C$42, 0.275, 0.275)*CHOOSE(CONTROL!$C$42, 31, 31))/1000000</f>
        <v>4.2625000000000002</v>
      </c>
      <c r="W411" s="57">
        <f>(1000*CHOOSE(CONTROL!$C$42, 0.0916, 0.0916)*CHOOSE(CONTROL!$C$42, 121.5, 121.5)*CHOOSE(CONTROL!$C$42, 31, 31))/1000000</f>
        <v>0.34501139999999997</v>
      </c>
      <c r="X411" s="57">
        <f>(31*0.2374*100000/1000000)</f>
        <v>0.73594000000000004</v>
      </c>
      <c r="Y411" s="57"/>
      <c r="Z411" s="17"/>
      <c r="AA411" s="56"/>
      <c r="AB411" s="49">
        <f>(B411*122.58+C411*297.941+D411*89.177+E411*140.302+F411*40+G411*60+H411*0+I411*100+J411*300)/(122.58+297.941+89.177+140.302+0+40+60+100+300)</f>
        <v>19.472012001652171</v>
      </c>
      <c r="AC411" s="46">
        <f>(M411*'RAP TEMPLATE-GAS AVAILABILITY'!O410+N411*'RAP TEMPLATE-GAS AVAILABILITY'!P410+O411*'RAP TEMPLATE-GAS AVAILABILITY'!Q410+P411*'RAP TEMPLATE-GAS AVAILABILITY'!R410)/('RAP TEMPLATE-GAS AVAILABILITY'!O410+'RAP TEMPLATE-GAS AVAILABILITY'!P410+'RAP TEMPLATE-GAS AVAILABILITY'!Q410+'RAP TEMPLATE-GAS AVAILABILITY'!R410)</f>
        <v>19.343928057553956</v>
      </c>
    </row>
    <row r="412" spans="1:29" ht="15.75" x14ac:dyDescent="0.25">
      <c r="A412" s="14">
        <v>53447</v>
      </c>
      <c r="B412" s="17">
        <f>CHOOSE(CONTROL!$C$42, 19.3743, 19.3743) * CHOOSE(CONTROL!$C$21, $C$9, 100%, $E$9)</f>
        <v>19.374300000000002</v>
      </c>
      <c r="C412" s="17">
        <f>CHOOSE(CONTROL!$C$42, 19.3788, 19.3788) * CHOOSE(CONTROL!$C$21, $C$9, 100%, $E$9)</f>
        <v>19.378799999999998</v>
      </c>
      <c r="D412" s="17">
        <f>CHOOSE(CONTROL!$C$42, 19.6315, 19.6315) * CHOOSE(CONTROL!$C$21, $C$9, 100%, $E$9)</f>
        <v>19.631499999999999</v>
      </c>
      <c r="E412" s="17">
        <f>CHOOSE(CONTROL!$C$42, 19.6633, 19.6633) * CHOOSE(CONTROL!$C$21, $C$9, 100%, $E$9)</f>
        <v>19.6633</v>
      </c>
      <c r="F412" s="17">
        <f>CHOOSE(CONTROL!$C$42, 19.3803, 19.3803)*CHOOSE(CONTROL!$C$21, $C$9, 100%, $E$9)</f>
        <v>19.380299999999998</v>
      </c>
      <c r="G412" s="17">
        <f>CHOOSE(CONTROL!$C$42, 19.3961, 19.3961)*CHOOSE(CONTROL!$C$21, $C$9, 100%, $E$9)</f>
        <v>19.396100000000001</v>
      </c>
      <c r="H412" s="17">
        <f>CHOOSE(CONTROL!$C$42, 19.6528, 19.6528) * CHOOSE(CONTROL!$C$21, $C$9, 100%, $E$9)</f>
        <v>19.652799999999999</v>
      </c>
      <c r="I412" s="17">
        <f>CHOOSE(CONTROL!$C$42, 19.456, 19.456)* CHOOSE(CONTROL!$C$21, $C$9, 100%, $E$9)</f>
        <v>19.456</v>
      </c>
      <c r="J412" s="17">
        <f>CHOOSE(CONTROL!$C$42, 19.3729, 19.3729)* CHOOSE(CONTROL!$C$21, $C$9, 100%, $E$9)</f>
        <v>19.372900000000001</v>
      </c>
      <c r="K412" s="53">
        <f>CHOOSE(CONTROL!$C$42, 19.45, 19.45) * CHOOSE(CONTROL!$C$21, $C$9, 100%, $E$9)</f>
        <v>19.45</v>
      </c>
      <c r="L412" s="17">
        <f>CHOOSE(CONTROL!$C$42, 20.2398, 20.2398) * CHOOSE(CONTROL!$C$21, $C$9, 100%, $E$9)</f>
        <v>20.239799999999999</v>
      </c>
      <c r="M412" s="17">
        <f>CHOOSE(CONTROL!$C$42, 19.2056, 19.2056) * CHOOSE(CONTROL!$C$21, $C$9, 100%, $E$9)</f>
        <v>19.2056</v>
      </c>
      <c r="N412" s="17">
        <f>CHOOSE(CONTROL!$C$42, 19.2213, 19.2213) * CHOOSE(CONTROL!$C$21, $C$9, 100%, $E$9)</f>
        <v>19.221299999999999</v>
      </c>
      <c r="O412" s="17">
        <f>CHOOSE(CONTROL!$C$42, 19.483, 19.483) * CHOOSE(CONTROL!$C$21, $C$9, 100%, $E$9)</f>
        <v>19.483000000000001</v>
      </c>
      <c r="P412" s="17">
        <f>CHOOSE(CONTROL!$C$42, 19.2876, 19.2876) * CHOOSE(CONTROL!$C$21, $C$9, 100%, $E$9)</f>
        <v>19.287600000000001</v>
      </c>
      <c r="Q412" s="17">
        <f>CHOOSE(CONTROL!$C$42, 20.0777, 20.0777) * CHOOSE(CONTROL!$C$21, $C$9, 100%, $E$9)</f>
        <v>20.0777</v>
      </c>
      <c r="R412" s="17">
        <f>CHOOSE(CONTROL!$C$42, 20.7149, 20.7149) * CHOOSE(CONTROL!$C$21, $C$9, 100%, $E$9)</f>
        <v>20.7149</v>
      </c>
      <c r="S412" s="17">
        <f>CHOOSE(CONTROL!$C$42, 18.777, 18.777) * CHOOSE(CONTROL!$C$21, $C$9, 100%, $E$9)</f>
        <v>18.777000000000001</v>
      </c>
      <c r="T412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412" s="57">
        <f>(1000*CHOOSE(CONTROL!$C$42, 695, 695)*CHOOSE(CONTROL!$C$42, 0.5599, 0.5599)*CHOOSE(CONTROL!$C$42, 30, 30))/1000000</f>
        <v>11.673914999999997</v>
      </c>
      <c r="V412" s="57">
        <f>(1000*CHOOSE(CONTROL!$C$42, 500, 500)*CHOOSE(CONTROL!$C$42, 0.275, 0.275)*CHOOSE(CONTROL!$C$42, 30, 30))/1000000</f>
        <v>4.125</v>
      </c>
      <c r="W412" s="57">
        <f>(1000*CHOOSE(CONTROL!$C$42, 0.0916, 0.0916)*CHOOSE(CONTROL!$C$42, 121.5, 121.5)*CHOOSE(CONTROL!$C$42, 30, 30))/1000000</f>
        <v>0.33388200000000001</v>
      </c>
      <c r="X412" s="57">
        <f>(30*0.1790888*145000/1000000)+(30*0.2374*100000/1000000)</f>
        <v>1.4912362799999999</v>
      </c>
      <c r="Y412" s="57"/>
      <c r="Z412" s="17"/>
      <c r="AA412" s="56"/>
      <c r="AB412" s="49">
        <f>(B412*141.293+C412*267.993+D412*115.016+E412*189.698+F412*40+G412*85+H412*0+I412*100+J412*300)/(141.293+267.993+115.016+189.698+0+40+85+100+300)</f>
        <v>19.451341005407585</v>
      </c>
      <c r="AC412" s="46">
        <f>(M412*'RAP TEMPLATE-GAS AVAILABILITY'!O411+N412*'RAP TEMPLATE-GAS AVAILABILITY'!P411+O412*'RAP TEMPLATE-GAS AVAILABILITY'!Q411+P412*'RAP TEMPLATE-GAS AVAILABILITY'!R411)/('RAP TEMPLATE-GAS AVAILABILITY'!O411+'RAP TEMPLATE-GAS AVAILABILITY'!P411+'RAP TEMPLATE-GAS AVAILABILITY'!Q411+'RAP TEMPLATE-GAS AVAILABILITY'!R411)</f>
        <v>19.298844604316546</v>
      </c>
    </row>
    <row r="413" spans="1:29" ht="15.75" x14ac:dyDescent="0.25">
      <c r="A413" s="14">
        <v>53478</v>
      </c>
      <c r="B413" s="17">
        <f>CHOOSE(CONTROL!$C$42, 19.5466, 19.5466) * CHOOSE(CONTROL!$C$21, $C$9, 100%, $E$9)</f>
        <v>19.546600000000002</v>
      </c>
      <c r="C413" s="17">
        <f>CHOOSE(CONTROL!$C$42, 19.5545, 19.5545) * CHOOSE(CONTROL!$C$21, $C$9, 100%, $E$9)</f>
        <v>19.554500000000001</v>
      </c>
      <c r="D413" s="17">
        <f>CHOOSE(CONTROL!$C$42, 19.8042, 19.8042) * CHOOSE(CONTROL!$C$21, $C$9, 100%, $E$9)</f>
        <v>19.804200000000002</v>
      </c>
      <c r="E413" s="17">
        <f>CHOOSE(CONTROL!$C$42, 19.8353, 19.8353) * CHOOSE(CONTROL!$C$21, $C$9, 100%, $E$9)</f>
        <v>19.8353</v>
      </c>
      <c r="F413" s="17">
        <f>CHOOSE(CONTROL!$C$42, 19.5514, 19.5514)*CHOOSE(CONTROL!$C$21, $C$9, 100%, $E$9)</f>
        <v>19.551400000000001</v>
      </c>
      <c r="G413" s="17">
        <f>CHOOSE(CONTROL!$C$42, 19.5675, 19.5675)*CHOOSE(CONTROL!$C$21, $C$9, 100%, $E$9)</f>
        <v>19.567499999999999</v>
      </c>
      <c r="H413" s="17">
        <f>CHOOSE(CONTROL!$C$42, 19.8237, 19.8237) * CHOOSE(CONTROL!$C$21, $C$9, 100%, $E$9)</f>
        <v>19.823699999999999</v>
      </c>
      <c r="I413" s="17">
        <f>CHOOSE(CONTROL!$C$42, 19.6274, 19.6274)* CHOOSE(CONTROL!$C$21, $C$9, 100%, $E$9)</f>
        <v>19.627400000000002</v>
      </c>
      <c r="J413" s="17">
        <f>CHOOSE(CONTROL!$C$42, 19.544, 19.544)* CHOOSE(CONTROL!$C$21, $C$9, 100%, $E$9)</f>
        <v>19.544</v>
      </c>
      <c r="K413" s="53">
        <f>CHOOSE(CONTROL!$C$42, 19.6214, 19.6214) * CHOOSE(CONTROL!$C$21, $C$9, 100%, $E$9)</f>
        <v>19.621400000000001</v>
      </c>
      <c r="L413" s="17">
        <f>CHOOSE(CONTROL!$C$42, 20.4107, 20.4107) * CHOOSE(CONTROL!$C$21, $C$9, 100%, $E$9)</f>
        <v>20.410699999999999</v>
      </c>
      <c r="M413" s="17">
        <f>CHOOSE(CONTROL!$C$42, 19.3752, 19.3752) * CHOOSE(CONTROL!$C$21, $C$9, 100%, $E$9)</f>
        <v>19.3752</v>
      </c>
      <c r="N413" s="17">
        <f>CHOOSE(CONTROL!$C$42, 19.3912, 19.3912) * CHOOSE(CONTROL!$C$21, $C$9, 100%, $E$9)</f>
        <v>19.391200000000001</v>
      </c>
      <c r="O413" s="17">
        <f>CHOOSE(CONTROL!$C$42, 19.6524, 19.6524) * CHOOSE(CONTROL!$C$21, $C$9, 100%, $E$9)</f>
        <v>19.6524</v>
      </c>
      <c r="P413" s="17">
        <f>CHOOSE(CONTROL!$C$42, 19.4574, 19.4574) * CHOOSE(CONTROL!$C$21, $C$9, 100%, $E$9)</f>
        <v>19.4574</v>
      </c>
      <c r="Q413" s="17">
        <f>CHOOSE(CONTROL!$C$42, 20.2471, 20.2471) * CHOOSE(CONTROL!$C$21, $C$9, 100%, $E$9)</f>
        <v>20.2471</v>
      </c>
      <c r="R413" s="17">
        <f>CHOOSE(CONTROL!$C$42, 20.8847, 20.8847) * CHOOSE(CONTROL!$C$21, $C$9, 100%, $E$9)</f>
        <v>20.884699999999999</v>
      </c>
      <c r="S413" s="17">
        <f>CHOOSE(CONTROL!$C$42, 18.9427, 18.9427) * CHOOSE(CONTROL!$C$21, $C$9, 100%, $E$9)</f>
        <v>18.942699999999999</v>
      </c>
      <c r="T413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413" s="57">
        <f>(1000*CHOOSE(CONTROL!$C$42, 695, 695)*CHOOSE(CONTROL!$C$42, 0.5599, 0.5599)*CHOOSE(CONTROL!$C$42, 31, 31))/1000000</f>
        <v>12.063045499999998</v>
      </c>
      <c r="V413" s="57">
        <f>(1000*CHOOSE(CONTROL!$C$42, 500, 500)*CHOOSE(CONTROL!$C$42, 0.275, 0.275)*CHOOSE(CONTROL!$C$42, 31, 31))/1000000</f>
        <v>4.2625000000000002</v>
      </c>
      <c r="W413" s="57">
        <f>(1000*CHOOSE(CONTROL!$C$42, 0.0916, 0.0916)*CHOOSE(CONTROL!$C$42, 121.5, 121.5)*CHOOSE(CONTROL!$C$42, 31, 31))/1000000</f>
        <v>0.34501139999999997</v>
      </c>
      <c r="X413" s="57">
        <f>(31*0.1790888*145000/1000000)+(31*0.2374*100000/1000000)</f>
        <v>1.5409441560000001</v>
      </c>
      <c r="Y413" s="57"/>
      <c r="Z413" s="17"/>
      <c r="AA413" s="56"/>
      <c r="AB413" s="49">
        <f>(B413*194.205+C413*267.466+D413*133.845+E413*153.484+F413*40+G413*85+H413*0+I413*100+J413*300)/(194.205+267.466+133.845+153.484+0+40+85+100+300)</f>
        <v>19.6173776956044</v>
      </c>
      <c r="AC413" s="46">
        <f>(M413*'RAP TEMPLATE-GAS AVAILABILITY'!O412+N413*'RAP TEMPLATE-GAS AVAILABILITY'!P412+O413*'RAP TEMPLATE-GAS AVAILABILITY'!Q412+P413*'RAP TEMPLATE-GAS AVAILABILITY'!R412)/('RAP TEMPLATE-GAS AVAILABILITY'!O412+'RAP TEMPLATE-GAS AVAILABILITY'!P412+'RAP TEMPLATE-GAS AVAILABILITY'!Q412+'RAP TEMPLATE-GAS AVAILABILITY'!R412)</f>
        <v>19.468486330935253</v>
      </c>
    </row>
    <row r="414" spans="1:29" ht="15.75" x14ac:dyDescent="0.25">
      <c r="A414" s="14">
        <v>53508</v>
      </c>
      <c r="B414" s="17">
        <f>CHOOSE(CONTROL!$C$42, 20.1007, 20.1007) * CHOOSE(CONTROL!$C$21, $C$9, 100%, $E$9)</f>
        <v>20.1007</v>
      </c>
      <c r="C414" s="17">
        <f>CHOOSE(CONTROL!$C$42, 20.1086, 20.1086) * CHOOSE(CONTROL!$C$21, $C$9, 100%, $E$9)</f>
        <v>20.108599999999999</v>
      </c>
      <c r="D414" s="17">
        <f>CHOOSE(CONTROL!$C$42, 20.3583, 20.3583) * CHOOSE(CONTROL!$C$21, $C$9, 100%, $E$9)</f>
        <v>20.3583</v>
      </c>
      <c r="E414" s="17">
        <f>CHOOSE(CONTROL!$C$42, 20.3894, 20.3894) * CHOOSE(CONTROL!$C$21, $C$9, 100%, $E$9)</f>
        <v>20.389399999999998</v>
      </c>
      <c r="F414" s="17">
        <f>CHOOSE(CONTROL!$C$42, 20.1058, 20.1058)*CHOOSE(CONTROL!$C$21, $C$9, 100%, $E$9)</f>
        <v>20.105799999999999</v>
      </c>
      <c r="G414" s="17">
        <f>CHOOSE(CONTROL!$C$42, 20.1221, 20.1221)*CHOOSE(CONTROL!$C$21, $C$9, 100%, $E$9)</f>
        <v>20.1221</v>
      </c>
      <c r="H414" s="17">
        <f>CHOOSE(CONTROL!$C$42, 20.3778, 20.3778) * CHOOSE(CONTROL!$C$21, $C$9, 100%, $E$9)</f>
        <v>20.377800000000001</v>
      </c>
      <c r="I414" s="17">
        <f>CHOOSE(CONTROL!$C$42, 20.1833, 20.1833)* CHOOSE(CONTROL!$C$21, $C$9, 100%, $E$9)</f>
        <v>20.183299999999999</v>
      </c>
      <c r="J414" s="17">
        <f>CHOOSE(CONTROL!$C$42, 20.0984, 20.0984)* CHOOSE(CONTROL!$C$21, $C$9, 100%, $E$9)</f>
        <v>20.098400000000002</v>
      </c>
      <c r="K414" s="53">
        <f>CHOOSE(CONTROL!$C$42, 20.1772, 20.1772) * CHOOSE(CONTROL!$C$21, $C$9, 100%, $E$9)</f>
        <v>20.177199999999999</v>
      </c>
      <c r="L414" s="17">
        <f>CHOOSE(CONTROL!$C$42, 20.9648, 20.9648) * CHOOSE(CONTROL!$C$21, $C$9, 100%, $E$9)</f>
        <v>20.9648</v>
      </c>
      <c r="M414" s="17">
        <f>CHOOSE(CONTROL!$C$42, 19.9247, 19.9247) * CHOOSE(CONTROL!$C$21, $C$9, 100%, $E$9)</f>
        <v>19.924700000000001</v>
      </c>
      <c r="N414" s="17">
        <f>CHOOSE(CONTROL!$C$42, 19.9408, 19.9408) * CHOOSE(CONTROL!$C$21, $C$9, 100%, $E$9)</f>
        <v>19.940799999999999</v>
      </c>
      <c r="O414" s="17">
        <f>CHOOSE(CONTROL!$C$42, 20.2015, 20.2015) * CHOOSE(CONTROL!$C$21, $C$9, 100%, $E$9)</f>
        <v>20.201499999999999</v>
      </c>
      <c r="P414" s="17">
        <f>CHOOSE(CONTROL!$C$42, 20.0082, 20.0082) * CHOOSE(CONTROL!$C$21, $C$9, 100%, $E$9)</f>
        <v>20.008199999999999</v>
      </c>
      <c r="Q414" s="17">
        <f>CHOOSE(CONTROL!$C$42, 20.7962, 20.7962) * CHOOSE(CONTROL!$C$21, $C$9, 100%, $E$9)</f>
        <v>20.796199999999999</v>
      </c>
      <c r="R414" s="17">
        <f>CHOOSE(CONTROL!$C$42, 21.4352, 21.4352) * CHOOSE(CONTROL!$C$21, $C$9, 100%, $E$9)</f>
        <v>21.435199999999998</v>
      </c>
      <c r="S414" s="17">
        <f>CHOOSE(CONTROL!$C$42, 19.48, 19.48) * CHOOSE(CONTROL!$C$21, $C$9, 100%, $E$9)</f>
        <v>19.48</v>
      </c>
      <c r="T414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414" s="57">
        <f>(1000*CHOOSE(CONTROL!$C$42, 695, 695)*CHOOSE(CONTROL!$C$42, 0.5599, 0.5599)*CHOOSE(CONTROL!$C$42, 30, 30))/1000000</f>
        <v>11.673914999999997</v>
      </c>
      <c r="V414" s="57">
        <f>(1000*CHOOSE(CONTROL!$C$42, 500, 500)*CHOOSE(CONTROL!$C$42, 0.275, 0.275)*CHOOSE(CONTROL!$C$42, 30, 30))/1000000</f>
        <v>4.125</v>
      </c>
      <c r="W414" s="57">
        <f>(1000*CHOOSE(CONTROL!$C$42, 0.0916, 0.0916)*CHOOSE(CONTROL!$C$42, 121.5, 121.5)*CHOOSE(CONTROL!$C$42, 30, 30))/1000000</f>
        <v>0.33388200000000001</v>
      </c>
      <c r="X414" s="57">
        <f>(30*0.1790888*145000/1000000)+(30*0.2374*100000/1000000)</f>
        <v>1.4912362799999999</v>
      </c>
      <c r="Y414" s="57"/>
      <c r="Z414" s="17"/>
      <c r="AA414" s="56"/>
      <c r="AB414" s="49">
        <f>(B414*194.205+C414*267.466+D414*133.845+E414*153.484+F414*40+G414*85+H414*0+I414*100+J414*300)/(194.205+267.466+133.845+153.484+0+40+85+100+300)</f>
        <v>20.171732405180535</v>
      </c>
      <c r="AC414" s="46">
        <f>(M414*'RAP TEMPLATE-GAS AVAILABILITY'!O413+N414*'RAP TEMPLATE-GAS AVAILABILITY'!P413+O414*'RAP TEMPLATE-GAS AVAILABILITY'!Q413+P414*'RAP TEMPLATE-GAS AVAILABILITY'!R413)/('RAP TEMPLATE-GAS AVAILABILITY'!O413+'RAP TEMPLATE-GAS AVAILABILITY'!P413+'RAP TEMPLATE-GAS AVAILABILITY'!Q413+'RAP TEMPLATE-GAS AVAILABILITY'!R413)</f>
        <v>20.018084172661869</v>
      </c>
    </row>
    <row r="415" spans="1:29" ht="15.75" x14ac:dyDescent="0.25">
      <c r="A415" s="14">
        <v>53539</v>
      </c>
      <c r="B415" s="17">
        <f>CHOOSE(CONTROL!$C$42, 19.7153, 19.7153) * CHOOSE(CONTROL!$C$21, $C$9, 100%, $E$9)</f>
        <v>19.715299999999999</v>
      </c>
      <c r="C415" s="17">
        <f>CHOOSE(CONTROL!$C$42, 19.7233, 19.7233) * CHOOSE(CONTROL!$C$21, $C$9, 100%, $E$9)</f>
        <v>19.723299999999998</v>
      </c>
      <c r="D415" s="17">
        <f>CHOOSE(CONTROL!$C$42, 19.9729, 19.9729) * CHOOSE(CONTROL!$C$21, $C$9, 100%, $E$9)</f>
        <v>19.972899999999999</v>
      </c>
      <c r="E415" s="17">
        <f>CHOOSE(CONTROL!$C$42, 20.0041, 20.0041) * CHOOSE(CONTROL!$C$21, $C$9, 100%, $E$9)</f>
        <v>20.004100000000001</v>
      </c>
      <c r="F415" s="17">
        <f>CHOOSE(CONTROL!$C$42, 19.721, 19.721)*CHOOSE(CONTROL!$C$21, $C$9, 100%, $E$9)</f>
        <v>19.721</v>
      </c>
      <c r="G415" s="17">
        <f>CHOOSE(CONTROL!$C$42, 19.7373, 19.7373)*CHOOSE(CONTROL!$C$21, $C$9, 100%, $E$9)</f>
        <v>19.737300000000001</v>
      </c>
      <c r="H415" s="17">
        <f>CHOOSE(CONTROL!$C$42, 19.9924, 19.9924) * CHOOSE(CONTROL!$C$21, $C$9, 100%, $E$9)</f>
        <v>19.9924</v>
      </c>
      <c r="I415" s="17">
        <f>CHOOSE(CONTROL!$C$42, 19.7967, 19.7967)* CHOOSE(CONTROL!$C$21, $C$9, 100%, $E$9)</f>
        <v>19.796700000000001</v>
      </c>
      <c r="J415" s="17">
        <f>CHOOSE(CONTROL!$C$42, 19.7136, 19.7136)* CHOOSE(CONTROL!$C$21, $C$9, 100%, $E$9)</f>
        <v>19.7136</v>
      </c>
      <c r="K415" s="53">
        <f>CHOOSE(CONTROL!$C$42, 19.7906, 19.7906) * CHOOSE(CONTROL!$C$21, $C$9, 100%, $E$9)</f>
        <v>19.790600000000001</v>
      </c>
      <c r="L415" s="17">
        <f>CHOOSE(CONTROL!$C$42, 20.5794, 20.5794) * CHOOSE(CONTROL!$C$21, $C$9, 100%, $E$9)</f>
        <v>20.5794</v>
      </c>
      <c r="M415" s="17">
        <f>CHOOSE(CONTROL!$C$42, 19.5433, 19.5433) * CHOOSE(CONTROL!$C$21, $C$9, 100%, $E$9)</f>
        <v>19.543299999999999</v>
      </c>
      <c r="N415" s="17">
        <f>CHOOSE(CONTROL!$C$42, 19.5595, 19.5595) * CHOOSE(CONTROL!$C$21, $C$9, 100%, $E$9)</f>
        <v>19.5595</v>
      </c>
      <c r="O415" s="17">
        <f>CHOOSE(CONTROL!$C$42, 19.8196, 19.8196) * CHOOSE(CONTROL!$C$21, $C$9, 100%, $E$9)</f>
        <v>19.819600000000001</v>
      </c>
      <c r="P415" s="17">
        <f>CHOOSE(CONTROL!$C$42, 19.6252, 19.6252) * CHOOSE(CONTROL!$C$21, $C$9, 100%, $E$9)</f>
        <v>19.6252</v>
      </c>
      <c r="Q415" s="17">
        <f>CHOOSE(CONTROL!$C$42, 20.4143, 20.4143) * CHOOSE(CONTROL!$C$21, $C$9, 100%, $E$9)</f>
        <v>20.414300000000001</v>
      </c>
      <c r="R415" s="17">
        <f>CHOOSE(CONTROL!$C$42, 21.0523, 21.0523) * CHOOSE(CONTROL!$C$21, $C$9, 100%, $E$9)</f>
        <v>21.052299999999999</v>
      </c>
      <c r="S415" s="17">
        <f>CHOOSE(CONTROL!$C$42, 19.1063, 19.1063) * CHOOSE(CONTROL!$C$21, $C$9, 100%, $E$9)</f>
        <v>19.106300000000001</v>
      </c>
      <c r="T415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415" s="57">
        <f>(1000*CHOOSE(CONTROL!$C$42, 695, 695)*CHOOSE(CONTROL!$C$42, 0.5599, 0.5599)*CHOOSE(CONTROL!$C$42, 31, 31))/1000000</f>
        <v>12.063045499999998</v>
      </c>
      <c r="V415" s="57">
        <f>(1000*CHOOSE(CONTROL!$C$42, 500, 500)*CHOOSE(CONTROL!$C$42, 0.275, 0.275)*CHOOSE(CONTROL!$C$42, 31, 31))/1000000</f>
        <v>4.2625000000000002</v>
      </c>
      <c r="W415" s="57">
        <f>(1000*CHOOSE(CONTROL!$C$42, 0.0916, 0.0916)*CHOOSE(CONTROL!$C$42, 121.5, 121.5)*CHOOSE(CONTROL!$C$42, 31, 31))/1000000</f>
        <v>0.34501139999999997</v>
      </c>
      <c r="X415" s="57">
        <f>(31*0.1790888*145000/1000000)+(31*0.2374*100000/1000000)</f>
        <v>1.5409441560000001</v>
      </c>
      <c r="Y415" s="57"/>
      <c r="Z415" s="17"/>
      <c r="AA415" s="56"/>
      <c r="AB415" s="49">
        <f>(B415*194.205+C415*267.466+D415*133.845+E415*153.484+F415*40+G415*85+H415*0+I415*100+J415*300)/(194.205+267.466+133.845+153.484+0+40+85+100+300)</f>
        <v>19.7864714122449</v>
      </c>
      <c r="AC415" s="46">
        <f>(M415*'RAP TEMPLATE-GAS AVAILABILITY'!O414+N415*'RAP TEMPLATE-GAS AVAILABILITY'!P414+O415*'RAP TEMPLATE-GAS AVAILABILITY'!Q414+P415*'RAP TEMPLATE-GAS AVAILABILITY'!R414)/('RAP TEMPLATE-GAS AVAILABILITY'!O414+'RAP TEMPLATE-GAS AVAILABILITY'!P414+'RAP TEMPLATE-GAS AVAILABILITY'!Q414+'RAP TEMPLATE-GAS AVAILABILITY'!R414)</f>
        <v>19.636336690647482</v>
      </c>
    </row>
    <row r="416" spans="1:29" ht="15.75" x14ac:dyDescent="0.25">
      <c r="A416" s="14">
        <v>53570</v>
      </c>
      <c r="B416" s="17">
        <f>CHOOSE(CONTROL!$C$42, 18.7421, 18.7421) * CHOOSE(CONTROL!$C$21, $C$9, 100%, $E$9)</f>
        <v>18.742100000000001</v>
      </c>
      <c r="C416" s="17">
        <f>CHOOSE(CONTROL!$C$42, 18.7501, 18.7501) * CHOOSE(CONTROL!$C$21, $C$9, 100%, $E$9)</f>
        <v>18.7501</v>
      </c>
      <c r="D416" s="17">
        <f>CHOOSE(CONTROL!$C$42, 18.9997, 18.9997) * CHOOSE(CONTROL!$C$21, $C$9, 100%, $E$9)</f>
        <v>18.999700000000001</v>
      </c>
      <c r="E416" s="17">
        <f>CHOOSE(CONTROL!$C$42, 19.0309, 19.0309) * CHOOSE(CONTROL!$C$21, $C$9, 100%, $E$9)</f>
        <v>19.030899999999999</v>
      </c>
      <c r="F416" s="17">
        <f>CHOOSE(CONTROL!$C$42, 18.748, 18.748)*CHOOSE(CONTROL!$C$21, $C$9, 100%, $E$9)</f>
        <v>18.748000000000001</v>
      </c>
      <c r="G416" s="17">
        <f>CHOOSE(CONTROL!$C$42, 18.7645, 18.7645)*CHOOSE(CONTROL!$C$21, $C$9, 100%, $E$9)</f>
        <v>18.764500000000002</v>
      </c>
      <c r="H416" s="17">
        <f>CHOOSE(CONTROL!$C$42, 19.0192, 19.0192) * CHOOSE(CONTROL!$C$21, $C$9, 100%, $E$9)</f>
        <v>19.019200000000001</v>
      </c>
      <c r="I416" s="17">
        <f>CHOOSE(CONTROL!$C$42, 18.8205, 18.8205)* CHOOSE(CONTROL!$C$21, $C$9, 100%, $E$9)</f>
        <v>18.820499999999999</v>
      </c>
      <c r="J416" s="17">
        <f>CHOOSE(CONTROL!$C$42, 18.7406, 18.7406)* CHOOSE(CONTROL!$C$21, $C$9, 100%, $E$9)</f>
        <v>18.740600000000001</v>
      </c>
      <c r="K416" s="53">
        <f>CHOOSE(CONTROL!$C$42, 18.8144, 18.8144) * CHOOSE(CONTROL!$C$21, $C$9, 100%, $E$9)</f>
        <v>18.814399999999999</v>
      </c>
      <c r="L416" s="17">
        <f>CHOOSE(CONTROL!$C$42, 19.6062, 19.6062) * CHOOSE(CONTROL!$C$21, $C$9, 100%, $E$9)</f>
        <v>19.606200000000001</v>
      </c>
      <c r="M416" s="17">
        <f>CHOOSE(CONTROL!$C$42, 18.5791, 18.5791) * CHOOSE(CONTROL!$C$21, $C$9, 100%, $E$9)</f>
        <v>18.5791</v>
      </c>
      <c r="N416" s="17">
        <f>CHOOSE(CONTROL!$C$42, 18.5954, 18.5954) * CHOOSE(CONTROL!$C$21, $C$9, 100%, $E$9)</f>
        <v>18.595400000000001</v>
      </c>
      <c r="O416" s="17">
        <f>CHOOSE(CONTROL!$C$42, 18.8551, 18.8551) * CHOOSE(CONTROL!$C$21, $C$9, 100%, $E$9)</f>
        <v>18.8551</v>
      </c>
      <c r="P416" s="17">
        <f>CHOOSE(CONTROL!$C$42, 18.6577, 18.6577) * CHOOSE(CONTROL!$C$21, $C$9, 100%, $E$9)</f>
        <v>18.657699999999998</v>
      </c>
      <c r="Q416" s="17">
        <f>CHOOSE(CONTROL!$C$42, 19.4498, 19.4498) * CHOOSE(CONTROL!$C$21, $C$9, 100%, $E$9)</f>
        <v>19.4498</v>
      </c>
      <c r="R416" s="17">
        <f>CHOOSE(CONTROL!$C$42, 20.0855, 20.0855) * CHOOSE(CONTROL!$C$21, $C$9, 100%, $E$9)</f>
        <v>20.0855</v>
      </c>
      <c r="S416" s="17">
        <f>CHOOSE(CONTROL!$C$42, 18.1626, 18.1626) * CHOOSE(CONTROL!$C$21, $C$9, 100%, $E$9)</f>
        <v>18.162600000000001</v>
      </c>
      <c r="T416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416" s="57">
        <f>(1000*CHOOSE(CONTROL!$C$42, 695, 695)*CHOOSE(CONTROL!$C$42, 0.5599, 0.5599)*CHOOSE(CONTROL!$C$42, 31, 31))/1000000</f>
        <v>12.063045499999998</v>
      </c>
      <c r="V416" s="57">
        <f>(1000*CHOOSE(CONTROL!$C$42, 500, 500)*CHOOSE(CONTROL!$C$42, 0.275, 0.275)*CHOOSE(CONTROL!$C$42, 31, 31))/1000000</f>
        <v>4.2625000000000002</v>
      </c>
      <c r="W416" s="57">
        <f>(1000*CHOOSE(CONTROL!$C$42, 0.0916, 0.0916)*CHOOSE(CONTROL!$C$42, 121.5, 121.5)*CHOOSE(CONTROL!$C$42, 31, 31))/1000000</f>
        <v>0.34501139999999997</v>
      </c>
      <c r="X416" s="57">
        <f>(31*0.1790888*145000/1000000)+(31*0.2374*100000/1000000)</f>
        <v>1.5409441560000001</v>
      </c>
      <c r="Y416" s="57"/>
      <c r="Z416" s="17"/>
      <c r="AA416" s="56"/>
      <c r="AB416" s="49">
        <f>(B416*194.205+C416*267.466+D416*133.845+E416*153.484+F416*40+G416*85+H416*0+I416*100+J416*300)/(194.205+267.466+133.845+153.484+0+40+85+100+300)</f>
        <v>18.813115996232337</v>
      </c>
      <c r="AC416" s="46">
        <f>(M416*'RAP TEMPLATE-GAS AVAILABILITY'!O415+N416*'RAP TEMPLATE-GAS AVAILABILITY'!P415+O416*'RAP TEMPLATE-GAS AVAILABILITY'!Q415+P416*'RAP TEMPLATE-GAS AVAILABILITY'!R415)/('RAP TEMPLATE-GAS AVAILABILITY'!O415+'RAP TEMPLATE-GAS AVAILABILITY'!P415+'RAP TEMPLATE-GAS AVAILABILITY'!Q415+'RAP TEMPLATE-GAS AVAILABILITY'!R415)</f>
        <v>18.671600719424461</v>
      </c>
    </row>
    <row r="417" spans="1:29" ht="15.75" x14ac:dyDescent="0.25">
      <c r="A417" s="14">
        <v>53600</v>
      </c>
      <c r="B417" s="17">
        <f>CHOOSE(CONTROL!$C$42, 17.5528, 17.5528) * CHOOSE(CONTROL!$C$21, $C$9, 100%, $E$9)</f>
        <v>17.552800000000001</v>
      </c>
      <c r="C417" s="17">
        <f>CHOOSE(CONTROL!$C$42, 17.5608, 17.5608) * CHOOSE(CONTROL!$C$21, $C$9, 100%, $E$9)</f>
        <v>17.5608</v>
      </c>
      <c r="D417" s="17">
        <f>CHOOSE(CONTROL!$C$42, 17.8104, 17.8104) * CHOOSE(CONTROL!$C$21, $C$9, 100%, $E$9)</f>
        <v>17.810400000000001</v>
      </c>
      <c r="E417" s="17">
        <f>CHOOSE(CONTROL!$C$42, 17.8415, 17.8415) * CHOOSE(CONTROL!$C$21, $C$9, 100%, $E$9)</f>
        <v>17.8415</v>
      </c>
      <c r="F417" s="17">
        <f>CHOOSE(CONTROL!$C$42, 17.5588, 17.5588)*CHOOSE(CONTROL!$C$21, $C$9, 100%, $E$9)</f>
        <v>17.558800000000002</v>
      </c>
      <c r="G417" s="17">
        <f>CHOOSE(CONTROL!$C$42, 17.5752, 17.5752)*CHOOSE(CONTROL!$C$21, $C$9, 100%, $E$9)</f>
        <v>17.575199999999999</v>
      </c>
      <c r="H417" s="17">
        <f>CHOOSE(CONTROL!$C$42, 17.8299, 17.8299) * CHOOSE(CONTROL!$C$21, $C$9, 100%, $E$9)</f>
        <v>17.829899999999999</v>
      </c>
      <c r="I417" s="17">
        <f>CHOOSE(CONTROL!$C$42, 17.6275, 17.6275)* CHOOSE(CONTROL!$C$21, $C$9, 100%, $E$9)</f>
        <v>17.627500000000001</v>
      </c>
      <c r="J417" s="17">
        <f>CHOOSE(CONTROL!$C$42, 17.5514, 17.5514)* CHOOSE(CONTROL!$C$21, $C$9, 100%, $E$9)</f>
        <v>17.551400000000001</v>
      </c>
      <c r="K417" s="53">
        <f>CHOOSE(CONTROL!$C$42, 17.6214, 17.6214) * CHOOSE(CONTROL!$C$21, $C$9, 100%, $E$9)</f>
        <v>17.621400000000001</v>
      </c>
      <c r="L417" s="17">
        <f>CHOOSE(CONTROL!$C$42, 18.4169, 18.4169) * CHOOSE(CONTROL!$C$21, $C$9, 100%, $E$9)</f>
        <v>18.416899999999998</v>
      </c>
      <c r="M417" s="17">
        <f>CHOOSE(CONTROL!$C$42, 17.4005, 17.4005) * CHOOSE(CONTROL!$C$21, $C$9, 100%, $E$9)</f>
        <v>17.400500000000001</v>
      </c>
      <c r="N417" s="17">
        <f>CHOOSE(CONTROL!$C$42, 17.4168, 17.4168) * CHOOSE(CONTROL!$C$21, $C$9, 100%, $E$9)</f>
        <v>17.416799999999999</v>
      </c>
      <c r="O417" s="17">
        <f>CHOOSE(CONTROL!$C$42, 17.6765, 17.6765) * CHOOSE(CONTROL!$C$21, $C$9, 100%, $E$9)</f>
        <v>17.676500000000001</v>
      </c>
      <c r="P417" s="17">
        <f>CHOOSE(CONTROL!$C$42, 17.4755, 17.4755) * CHOOSE(CONTROL!$C$21, $C$9, 100%, $E$9)</f>
        <v>17.4755</v>
      </c>
      <c r="Q417" s="17">
        <f>CHOOSE(CONTROL!$C$42, 18.2712, 18.2712) * CHOOSE(CONTROL!$C$21, $C$9, 100%, $E$9)</f>
        <v>18.2712</v>
      </c>
      <c r="R417" s="17">
        <f>CHOOSE(CONTROL!$C$42, 18.9039, 18.9039) * CHOOSE(CONTROL!$C$21, $C$9, 100%, $E$9)</f>
        <v>18.9039</v>
      </c>
      <c r="S417" s="17">
        <f>CHOOSE(CONTROL!$C$42, 17.0093, 17.0093) * CHOOSE(CONTROL!$C$21, $C$9, 100%, $E$9)</f>
        <v>17.0093</v>
      </c>
      <c r="T417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417" s="57">
        <f>(1000*CHOOSE(CONTROL!$C$42, 695, 695)*CHOOSE(CONTROL!$C$42, 0.5599, 0.5599)*CHOOSE(CONTROL!$C$42, 30, 30))/1000000</f>
        <v>11.673914999999997</v>
      </c>
      <c r="V417" s="57">
        <f>(1000*CHOOSE(CONTROL!$C$42, 500, 500)*CHOOSE(CONTROL!$C$42, 0.275, 0.275)*CHOOSE(CONTROL!$C$42, 30, 30))/1000000</f>
        <v>4.125</v>
      </c>
      <c r="W417" s="57">
        <f>(1000*CHOOSE(CONTROL!$C$42, 0.0916, 0.0916)*CHOOSE(CONTROL!$C$42, 121.5, 121.5)*CHOOSE(CONTROL!$C$42, 30, 30))/1000000</f>
        <v>0.33388200000000001</v>
      </c>
      <c r="X417" s="57">
        <f>(30*0.1790888*145000/1000000)+(30*0.2374*100000/1000000)</f>
        <v>1.4912362799999999</v>
      </c>
      <c r="Y417" s="57"/>
      <c r="Z417" s="17"/>
      <c r="AA417" s="56"/>
      <c r="AB417" s="49">
        <f>(B417*194.205+C417*267.466+D417*133.845+E417*153.484+F417*40+G417*85+H417*0+I417*100+J417*300)/(194.205+267.466+133.845+153.484+0+40+85+100+300)</f>
        <v>17.623540212558872</v>
      </c>
      <c r="AC417" s="46">
        <f>(M417*'RAP TEMPLATE-GAS AVAILABILITY'!O416+N417*'RAP TEMPLATE-GAS AVAILABILITY'!P416+O417*'RAP TEMPLATE-GAS AVAILABILITY'!Q416+P417*'RAP TEMPLATE-GAS AVAILABILITY'!R416)/('RAP TEMPLATE-GAS AVAILABILITY'!O416+'RAP TEMPLATE-GAS AVAILABILITY'!P416+'RAP TEMPLATE-GAS AVAILABILITY'!Q416+'RAP TEMPLATE-GAS AVAILABILITY'!R416)</f>
        <v>17.492482733812945</v>
      </c>
    </row>
    <row r="418" spans="1:29" ht="15.75" x14ac:dyDescent="0.25">
      <c r="A418" s="14">
        <v>53631</v>
      </c>
      <c r="B418" s="17">
        <f>CHOOSE(CONTROL!$C$42, 17.1949, 17.1949) * CHOOSE(CONTROL!$C$21, $C$9, 100%, $E$9)</f>
        <v>17.194900000000001</v>
      </c>
      <c r="C418" s="17">
        <f>CHOOSE(CONTROL!$C$42, 17.2002, 17.2002) * CHOOSE(CONTROL!$C$21, $C$9, 100%, $E$9)</f>
        <v>17.200199999999999</v>
      </c>
      <c r="D418" s="17">
        <f>CHOOSE(CONTROL!$C$42, 17.4547, 17.4547) * CHOOSE(CONTROL!$C$21, $C$9, 100%, $E$9)</f>
        <v>17.454699999999999</v>
      </c>
      <c r="E418" s="17">
        <f>CHOOSE(CONTROL!$C$42, 17.4836, 17.4836) * CHOOSE(CONTROL!$C$21, $C$9, 100%, $E$9)</f>
        <v>17.483599999999999</v>
      </c>
      <c r="F418" s="17">
        <f>CHOOSE(CONTROL!$C$42, 17.2031, 17.2031)*CHOOSE(CONTROL!$C$21, $C$9, 100%, $E$9)</f>
        <v>17.203099999999999</v>
      </c>
      <c r="G418" s="17">
        <f>CHOOSE(CONTROL!$C$42, 17.2194, 17.2194)*CHOOSE(CONTROL!$C$21, $C$9, 100%, $E$9)</f>
        <v>17.2194</v>
      </c>
      <c r="H418" s="17">
        <f>CHOOSE(CONTROL!$C$42, 17.4737, 17.4737) * CHOOSE(CONTROL!$C$21, $C$9, 100%, $E$9)</f>
        <v>17.473700000000001</v>
      </c>
      <c r="I418" s="17">
        <f>CHOOSE(CONTROL!$C$42, 17.2702, 17.2702)* CHOOSE(CONTROL!$C$21, $C$9, 100%, $E$9)</f>
        <v>17.270199999999999</v>
      </c>
      <c r="J418" s="17">
        <f>CHOOSE(CONTROL!$C$42, 17.1957, 17.1957)* CHOOSE(CONTROL!$C$21, $C$9, 100%, $E$9)</f>
        <v>17.195699999999999</v>
      </c>
      <c r="K418" s="53">
        <f>CHOOSE(CONTROL!$C$42, 17.2642, 17.2642) * CHOOSE(CONTROL!$C$21, $C$9, 100%, $E$9)</f>
        <v>17.264199999999999</v>
      </c>
      <c r="L418" s="17">
        <f>CHOOSE(CONTROL!$C$42, 18.0607, 18.0607) * CHOOSE(CONTROL!$C$21, $C$9, 100%, $E$9)</f>
        <v>18.060700000000001</v>
      </c>
      <c r="M418" s="17">
        <f>CHOOSE(CONTROL!$C$42, 17.0481, 17.0481) * CHOOSE(CONTROL!$C$21, $C$9, 100%, $E$9)</f>
        <v>17.048100000000002</v>
      </c>
      <c r="N418" s="17">
        <f>CHOOSE(CONTROL!$C$42, 17.0642, 17.0642) * CHOOSE(CONTROL!$C$21, $C$9, 100%, $E$9)</f>
        <v>17.0642</v>
      </c>
      <c r="O418" s="17">
        <f>CHOOSE(CONTROL!$C$42, 17.3236, 17.3236) * CHOOSE(CONTROL!$C$21, $C$9, 100%, $E$9)</f>
        <v>17.323599999999999</v>
      </c>
      <c r="P418" s="17">
        <f>CHOOSE(CONTROL!$C$42, 17.1215, 17.1215) * CHOOSE(CONTROL!$C$21, $C$9, 100%, $E$9)</f>
        <v>17.121500000000001</v>
      </c>
      <c r="Q418" s="17">
        <f>CHOOSE(CONTROL!$C$42, 17.9183, 17.9183) * CHOOSE(CONTROL!$C$21, $C$9, 100%, $E$9)</f>
        <v>17.918299999999999</v>
      </c>
      <c r="R418" s="17">
        <f>CHOOSE(CONTROL!$C$42, 18.5501, 18.5501) * CHOOSE(CONTROL!$C$21, $C$9, 100%, $E$9)</f>
        <v>18.5501</v>
      </c>
      <c r="S418" s="17">
        <f>CHOOSE(CONTROL!$C$42, 16.664, 16.664) * CHOOSE(CONTROL!$C$21, $C$9, 100%, $E$9)</f>
        <v>16.664000000000001</v>
      </c>
      <c r="T418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418" s="57">
        <f>(1000*CHOOSE(CONTROL!$C$42, 695, 695)*CHOOSE(CONTROL!$C$42, 0.5599, 0.5599)*CHOOSE(CONTROL!$C$42, 31, 31))/1000000</f>
        <v>12.063045499999998</v>
      </c>
      <c r="V418" s="57">
        <f>(1000*CHOOSE(CONTROL!$C$42, 500, 500)*CHOOSE(CONTROL!$C$42, 0.275, 0.275)*CHOOSE(CONTROL!$C$42, 31, 31))/1000000</f>
        <v>4.2625000000000002</v>
      </c>
      <c r="W418" s="57">
        <f>(1000*CHOOSE(CONTROL!$C$42, 0.0916, 0.0916)*CHOOSE(CONTROL!$C$42, 121.5, 121.5)*CHOOSE(CONTROL!$C$42, 31, 31))/1000000</f>
        <v>0.34501139999999997</v>
      </c>
      <c r="X418" s="57">
        <f>(31*0.1790888*145000/1000000)+(31*0.2374*100000/1000000)</f>
        <v>1.5409441560000001</v>
      </c>
      <c r="Y418" s="57"/>
      <c r="Z418" s="17"/>
      <c r="AA418" s="56"/>
      <c r="AB418" s="49">
        <f>(B418*131.881+C418*277.167+D418*79.08+E418*225.872+F418*40+G418*85+H418*0+I418*100+J418*300)/(131.881+277.167+79.08+225.872+0+40+85+100+300)</f>
        <v>17.273514782485876</v>
      </c>
      <c r="AC418" s="46">
        <f>(M418*'RAP TEMPLATE-GAS AVAILABILITY'!O417+N418*'RAP TEMPLATE-GAS AVAILABILITY'!P417+O418*'RAP TEMPLATE-GAS AVAILABILITY'!Q417+P418*'RAP TEMPLATE-GAS AVAILABILITY'!R417)/('RAP TEMPLATE-GAS AVAILABILITY'!O417+'RAP TEMPLATE-GAS AVAILABILITY'!P417+'RAP TEMPLATE-GAS AVAILABILITY'!Q417+'RAP TEMPLATE-GAS AVAILABILITY'!R417)</f>
        <v>17.139666187050363</v>
      </c>
    </row>
    <row r="419" spans="1:29" ht="15.75" x14ac:dyDescent="0.25">
      <c r="A419" s="14">
        <v>53661</v>
      </c>
      <c r="B419" s="17">
        <f>CHOOSE(CONTROL!$C$42, 17.6472, 17.6472) * CHOOSE(CONTROL!$C$21, $C$9, 100%, $E$9)</f>
        <v>17.647200000000002</v>
      </c>
      <c r="C419" s="17">
        <f>CHOOSE(CONTROL!$C$42, 17.6523, 17.6523) * CHOOSE(CONTROL!$C$21, $C$9, 100%, $E$9)</f>
        <v>17.6523</v>
      </c>
      <c r="D419" s="17">
        <f>CHOOSE(CONTROL!$C$42, 17.7749, 17.7749) * CHOOSE(CONTROL!$C$21, $C$9, 100%, $E$9)</f>
        <v>17.774899999999999</v>
      </c>
      <c r="E419" s="17">
        <f>CHOOSE(CONTROL!$C$42, 17.8087, 17.8087) * CHOOSE(CONTROL!$C$21, $C$9, 100%, $E$9)</f>
        <v>17.808700000000002</v>
      </c>
      <c r="F419" s="17">
        <f>CHOOSE(CONTROL!$C$42, 17.6622, 17.6622)*CHOOSE(CONTROL!$C$21, $C$9, 100%, $E$9)</f>
        <v>17.662199999999999</v>
      </c>
      <c r="G419" s="17">
        <f>CHOOSE(CONTROL!$C$42, 17.6789, 17.6789)*CHOOSE(CONTROL!$C$21, $C$9, 100%, $E$9)</f>
        <v>17.678899999999999</v>
      </c>
      <c r="H419" s="17">
        <f>CHOOSE(CONTROL!$C$42, 17.7975, 17.7975) * CHOOSE(CONTROL!$C$21, $C$9, 100%, $E$9)</f>
        <v>17.797499999999999</v>
      </c>
      <c r="I419" s="17">
        <f>CHOOSE(CONTROL!$C$42, 17.7269, 17.7269)* CHOOSE(CONTROL!$C$21, $C$9, 100%, $E$9)</f>
        <v>17.726900000000001</v>
      </c>
      <c r="J419" s="17">
        <f>CHOOSE(CONTROL!$C$42, 17.6548, 17.6548)* CHOOSE(CONTROL!$C$21, $C$9, 100%, $E$9)</f>
        <v>17.654800000000002</v>
      </c>
      <c r="K419" s="53">
        <f>CHOOSE(CONTROL!$C$42, 17.7209, 17.7209) * CHOOSE(CONTROL!$C$21, $C$9, 100%, $E$9)</f>
        <v>17.7209</v>
      </c>
      <c r="L419" s="17">
        <f>CHOOSE(CONTROL!$C$42, 18.3845, 18.3845) * CHOOSE(CONTROL!$C$21, $C$9, 100%, $E$9)</f>
        <v>18.384499999999999</v>
      </c>
      <c r="M419" s="17">
        <f>CHOOSE(CONTROL!$C$42, 17.503, 17.503) * CHOOSE(CONTROL!$C$21, $C$9, 100%, $E$9)</f>
        <v>17.503</v>
      </c>
      <c r="N419" s="17">
        <f>CHOOSE(CONTROL!$C$42, 17.5196, 17.5196) * CHOOSE(CONTROL!$C$21, $C$9, 100%, $E$9)</f>
        <v>17.519600000000001</v>
      </c>
      <c r="O419" s="17">
        <f>CHOOSE(CONTROL!$C$42, 17.6445, 17.6445) * CHOOSE(CONTROL!$C$21, $C$9, 100%, $E$9)</f>
        <v>17.644500000000001</v>
      </c>
      <c r="P419" s="17">
        <f>CHOOSE(CONTROL!$C$42, 17.5741, 17.5741) * CHOOSE(CONTROL!$C$21, $C$9, 100%, $E$9)</f>
        <v>17.574100000000001</v>
      </c>
      <c r="Q419" s="17">
        <f>CHOOSE(CONTROL!$C$42, 18.2392, 18.2392) * CHOOSE(CONTROL!$C$21, $C$9, 100%, $E$9)</f>
        <v>18.2392</v>
      </c>
      <c r="R419" s="17">
        <f>CHOOSE(CONTROL!$C$42, 18.8718, 18.8718) * CHOOSE(CONTROL!$C$21, $C$9, 100%, $E$9)</f>
        <v>18.8718</v>
      </c>
      <c r="S419" s="17">
        <f>CHOOSE(CONTROL!$C$42, 17.103, 17.103) * CHOOSE(CONTROL!$C$21, $C$9, 100%, $E$9)</f>
        <v>17.103000000000002</v>
      </c>
      <c r="T419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419" s="57">
        <f>(1000*CHOOSE(CONTROL!$C$42, 695, 695)*CHOOSE(CONTROL!$C$42, 0.5599, 0.5599)*CHOOSE(CONTROL!$C$42, 30, 30))/1000000</f>
        <v>11.673914999999997</v>
      </c>
      <c r="V419" s="57">
        <f>(1000*CHOOSE(CONTROL!$C$42, 500, 500)*CHOOSE(CONTROL!$C$42, 0.275, 0.275)*CHOOSE(CONTROL!$C$42, 30, 30))/1000000</f>
        <v>4.125</v>
      </c>
      <c r="W419" s="57">
        <f>(1000*CHOOSE(CONTROL!$C$42, 0.0916, 0.0916)*CHOOSE(CONTROL!$C$42, 121.5, 121.5)*CHOOSE(CONTROL!$C$42, 30, 30))/1000000</f>
        <v>0.33388200000000001</v>
      </c>
      <c r="X419" s="57">
        <f>(30*0.2374*100000/1000000)</f>
        <v>0.71220000000000006</v>
      </c>
      <c r="Y419" s="57"/>
      <c r="Z419" s="17"/>
      <c r="AA419" s="56"/>
      <c r="AB419" s="49">
        <f>(B419*122.58+C419*297.941+D419*89.177+E419*140.302+F419*40+G419*60+H419*0+I419*100+J419*300)/(122.58+297.941+89.177+140.302+0+40+60+100+300)</f>
        <v>17.689215804347825</v>
      </c>
      <c r="AC419" s="46">
        <f>(M419*'RAP TEMPLATE-GAS AVAILABILITY'!O418+N419*'RAP TEMPLATE-GAS AVAILABILITY'!P418+O419*'RAP TEMPLATE-GAS AVAILABILITY'!Q418+P419*'RAP TEMPLATE-GAS AVAILABILITY'!R418)/('RAP TEMPLATE-GAS AVAILABILITY'!O418+'RAP TEMPLATE-GAS AVAILABILITY'!P418+'RAP TEMPLATE-GAS AVAILABILITY'!Q418+'RAP TEMPLATE-GAS AVAILABILITY'!R418)</f>
        <v>17.578318705035969</v>
      </c>
    </row>
    <row r="420" spans="1:29" ht="15.75" x14ac:dyDescent="0.25">
      <c r="A420" s="14">
        <v>53692</v>
      </c>
      <c r="B420" s="17">
        <f>CHOOSE(CONTROL!$C$42, 18.8497, 18.8497) * CHOOSE(CONTROL!$C$21, $C$9, 100%, $E$9)</f>
        <v>18.849699999999999</v>
      </c>
      <c r="C420" s="17">
        <f>CHOOSE(CONTROL!$C$42, 18.8548, 18.8548) * CHOOSE(CONTROL!$C$21, $C$9, 100%, $E$9)</f>
        <v>18.854800000000001</v>
      </c>
      <c r="D420" s="17">
        <f>CHOOSE(CONTROL!$C$42, 18.9774, 18.9774) * CHOOSE(CONTROL!$C$21, $C$9, 100%, $E$9)</f>
        <v>18.977399999999999</v>
      </c>
      <c r="E420" s="17">
        <f>CHOOSE(CONTROL!$C$42, 19.0111, 19.0111) * CHOOSE(CONTROL!$C$21, $C$9, 100%, $E$9)</f>
        <v>19.011099999999999</v>
      </c>
      <c r="F420" s="17">
        <f>CHOOSE(CONTROL!$C$42, 18.8671, 18.8671)*CHOOSE(CONTROL!$C$21, $C$9, 100%, $E$9)</f>
        <v>18.867100000000001</v>
      </c>
      <c r="G420" s="17">
        <f>CHOOSE(CONTROL!$C$42, 18.8844, 18.8844)*CHOOSE(CONTROL!$C$21, $C$9, 100%, $E$9)</f>
        <v>18.884399999999999</v>
      </c>
      <c r="H420" s="17">
        <f>CHOOSE(CONTROL!$C$42, 19, 19) * CHOOSE(CONTROL!$C$21, $C$9, 100%, $E$9)</f>
        <v>19</v>
      </c>
      <c r="I420" s="17">
        <f>CHOOSE(CONTROL!$C$42, 18.9331, 18.9331)* CHOOSE(CONTROL!$C$21, $C$9, 100%, $E$9)</f>
        <v>18.9331</v>
      </c>
      <c r="J420" s="17">
        <f>CHOOSE(CONTROL!$C$42, 18.8597, 18.8597)* CHOOSE(CONTROL!$C$21, $C$9, 100%, $E$9)</f>
        <v>18.8597</v>
      </c>
      <c r="K420" s="53">
        <f>CHOOSE(CONTROL!$C$42, 18.9271, 18.9271) * CHOOSE(CONTROL!$C$21, $C$9, 100%, $E$9)</f>
        <v>18.927099999999999</v>
      </c>
      <c r="L420" s="17">
        <f>CHOOSE(CONTROL!$C$42, 19.587, 19.587) * CHOOSE(CONTROL!$C$21, $C$9, 100%, $E$9)</f>
        <v>19.587</v>
      </c>
      <c r="M420" s="17">
        <f>CHOOSE(CONTROL!$C$42, 18.6971, 18.6971) * CHOOSE(CONTROL!$C$21, $C$9, 100%, $E$9)</f>
        <v>18.697099999999999</v>
      </c>
      <c r="N420" s="17">
        <f>CHOOSE(CONTROL!$C$42, 18.7142, 18.7142) * CHOOSE(CONTROL!$C$21, $C$9, 100%, $E$9)</f>
        <v>18.714200000000002</v>
      </c>
      <c r="O420" s="17">
        <f>CHOOSE(CONTROL!$C$42, 18.8361, 18.8361) * CHOOSE(CONTROL!$C$21, $C$9, 100%, $E$9)</f>
        <v>18.836099999999998</v>
      </c>
      <c r="P420" s="17">
        <f>CHOOSE(CONTROL!$C$42, 18.7694, 18.7694) * CHOOSE(CONTROL!$C$21, $C$9, 100%, $E$9)</f>
        <v>18.769400000000001</v>
      </c>
      <c r="Q420" s="17">
        <f>CHOOSE(CONTROL!$C$42, 19.4308, 19.4308) * CHOOSE(CONTROL!$C$21, $C$9, 100%, $E$9)</f>
        <v>19.430800000000001</v>
      </c>
      <c r="R420" s="17">
        <f>CHOOSE(CONTROL!$C$42, 20.0664, 20.0664) * CHOOSE(CONTROL!$C$21, $C$9, 100%, $E$9)</f>
        <v>20.066400000000002</v>
      </c>
      <c r="S420" s="17">
        <f>CHOOSE(CONTROL!$C$42, 18.269, 18.269) * CHOOSE(CONTROL!$C$21, $C$9, 100%, $E$9)</f>
        <v>18.268999999999998</v>
      </c>
      <c r="T420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420" s="57">
        <f>(1000*CHOOSE(CONTROL!$C$42, 695, 695)*CHOOSE(CONTROL!$C$42, 0.5599, 0.5599)*CHOOSE(CONTROL!$C$42, 31, 31))/1000000</f>
        <v>12.063045499999998</v>
      </c>
      <c r="V420" s="57">
        <f>(1000*CHOOSE(CONTROL!$C$42, 500, 500)*CHOOSE(CONTROL!$C$42, 0.275, 0.275)*CHOOSE(CONTROL!$C$42, 31, 31))/1000000</f>
        <v>4.2625000000000002</v>
      </c>
      <c r="W420" s="57">
        <f>(1000*CHOOSE(CONTROL!$C$42, 0.0916, 0.0916)*CHOOSE(CONTROL!$C$42, 121.5, 121.5)*CHOOSE(CONTROL!$C$42, 31, 31))/1000000</f>
        <v>0.34501139999999997</v>
      </c>
      <c r="X420" s="57">
        <f>(31*0.2374*100000/1000000)</f>
        <v>0.73594000000000004</v>
      </c>
      <c r="Y420" s="57"/>
      <c r="Z420" s="17"/>
      <c r="AA420" s="56"/>
      <c r="AB420" s="49">
        <f>(B420*122.58+C420*297.941+D420*89.177+E420*140.302+F420*40+G420*60+H420*0+I420*100+J420*300)/(122.58+297.941+89.177+140.302+0+40+60+100+300)</f>
        <v>18.892891430260871</v>
      </c>
      <c r="AC420" s="46">
        <f>(M420*'RAP TEMPLATE-GAS AVAILABILITY'!O419+N420*'RAP TEMPLATE-GAS AVAILABILITY'!P419+O420*'RAP TEMPLATE-GAS AVAILABILITY'!Q419+P420*'RAP TEMPLATE-GAS AVAILABILITY'!R419)/('RAP TEMPLATE-GAS AVAILABILITY'!O419+'RAP TEMPLATE-GAS AVAILABILITY'!P419+'RAP TEMPLATE-GAS AVAILABILITY'!Q419+'RAP TEMPLATE-GAS AVAILABILITY'!R419)</f>
        <v>18.771487050359713</v>
      </c>
    </row>
    <row r="421" spans="1:29" ht="15.75" x14ac:dyDescent="0.25">
      <c r="A421" s="14">
        <v>53723</v>
      </c>
      <c r="B421" s="17">
        <f>CHOOSE(CONTROL!$C$42, 20.4114, 20.4114) * CHOOSE(CONTROL!$C$21, $C$9, 100%, $E$9)</f>
        <v>20.4114</v>
      </c>
      <c r="C421" s="17">
        <f>CHOOSE(CONTROL!$C$42, 20.4165, 20.4165) * CHOOSE(CONTROL!$C$21, $C$9, 100%, $E$9)</f>
        <v>20.416499999999999</v>
      </c>
      <c r="D421" s="17">
        <f>CHOOSE(CONTROL!$C$42, 20.534, 20.534) * CHOOSE(CONTROL!$C$21, $C$9, 100%, $E$9)</f>
        <v>20.533999999999999</v>
      </c>
      <c r="E421" s="17">
        <f>CHOOSE(CONTROL!$C$42, 20.5677, 20.5677) * CHOOSE(CONTROL!$C$21, $C$9, 100%, $E$9)</f>
        <v>20.567699999999999</v>
      </c>
      <c r="F421" s="17">
        <f>CHOOSE(CONTROL!$C$42, 20.4251, 20.4251)*CHOOSE(CONTROL!$C$21, $C$9, 100%, $E$9)</f>
        <v>20.4251</v>
      </c>
      <c r="G421" s="17">
        <f>CHOOSE(CONTROL!$C$42, 20.4414, 20.4414)*CHOOSE(CONTROL!$C$21, $C$9, 100%, $E$9)</f>
        <v>20.441400000000002</v>
      </c>
      <c r="H421" s="17">
        <f>CHOOSE(CONTROL!$C$42, 20.5566, 20.5566) * CHOOSE(CONTROL!$C$21, $C$9, 100%, $E$9)</f>
        <v>20.5566</v>
      </c>
      <c r="I421" s="17">
        <f>CHOOSE(CONTROL!$C$42, 20.4982, 20.4982)* CHOOSE(CONTROL!$C$21, $C$9, 100%, $E$9)</f>
        <v>20.498200000000001</v>
      </c>
      <c r="J421" s="17">
        <f>CHOOSE(CONTROL!$C$42, 20.4177, 20.4177)* CHOOSE(CONTROL!$C$21, $C$9, 100%, $E$9)</f>
        <v>20.4177</v>
      </c>
      <c r="K421" s="53">
        <f>CHOOSE(CONTROL!$C$42, 20.4921, 20.4921) * CHOOSE(CONTROL!$C$21, $C$9, 100%, $E$9)</f>
        <v>20.492100000000001</v>
      </c>
      <c r="L421" s="17">
        <f>CHOOSE(CONTROL!$C$42, 21.1436, 21.1436) * CHOOSE(CONTROL!$C$21, $C$9, 100%, $E$9)</f>
        <v>21.143599999999999</v>
      </c>
      <c r="M421" s="17">
        <f>CHOOSE(CONTROL!$C$42, 20.241, 20.241) * CHOOSE(CONTROL!$C$21, $C$9, 100%, $E$9)</f>
        <v>20.241</v>
      </c>
      <c r="N421" s="17">
        <f>CHOOSE(CONTROL!$C$42, 20.2572, 20.2572) * CHOOSE(CONTROL!$C$21, $C$9, 100%, $E$9)</f>
        <v>20.257200000000001</v>
      </c>
      <c r="O421" s="17">
        <f>CHOOSE(CONTROL!$C$42, 20.3788, 20.3788) * CHOOSE(CONTROL!$C$21, $C$9, 100%, $E$9)</f>
        <v>20.378799999999998</v>
      </c>
      <c r="P421" s="17">
        <f>CHOOSE(CONTROL!$C$42, 20.3203, 20.3203) * CHOOSE(CONTROL!$C$21, $C$9, 100%, $E$9)</f>
        <v>20.3203</v>
      </c>
      <c r="Q421" s="17">
        <f>CHOOSE(CONTROL!$C$42, 20.9735, 20.9735) * CHOOSE(CONTROL!$C$21, $C$9, 100%, $E$9)</f>
        <v>20.973500000000001</v>
      </c>
      <c r="R421" s="17">
        <f>CHOOSE(CONTROL!$C$42, 21.6129, 21.6129) * CHOOSE(CONTROL!$C$21, $C$9, 100%, $E$9)</f>
        <v>21.6129</v>
      </c>
      <c r="S421" s="17">
        <f>CHOOSE(CONTROL!$C$42, 19.7835, 19.7835) * CHOOSE(CONTROL!$C$21, $C$9, 100%, $E$9)</f>
        <v>19.7835</v>
      </c>
      <c r="T421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421" s="57">
        <f>(1000*CHOOSE(CONTROL!$C$42, 695, 695)*CHOOSE(CONTROL!$C$42, 0.5599, 0.5599)*CHOOSE(CONTROL!$C$42, 31, 31))/1000000</f>
        <v>12.063045499999998</v>
      </c>
      <c r="V421" s="57">
        <f>(1000*CHOOSE(CONTROL!$C$42, 500, 500)*CHOOSE(CONTROL!$C$42, 0.275, 0.275)*CHOOSE(CONTROL!$C$42, 31, 31))/1000000</f>
        <v>4.2625000000000002</v>
      </c>
      <c r="W421" s="57">
        <f>(1000*CHOOSE(CONTROL!$C$42, 0.0916, 0.0916)*CHOOSE(CONTROL!$C$42, 121.5, 121.5)*CHOOSE(CONTROL!$C$42, 31, 31))/1000000</f>
        <v>0.34501139999999997</v>
      </c>
      <c r="X421" s="57">
        <f>(31*0.2374*100000/1000000)</f>
        <v>0.73594000000000004</v>
      </c>
      <c r="Y421" s="57"/>
      <c r="Z421" s="17"/>
      <c r="AA421" s="56"/>
      <c r="AB421" s="49">
        <f>(B421*122.58+C421*297.941+D421*89.177+E421*140.302+F421*40+G421*60+H421*0+I421*100+J421*300)/(122.58+297.941+89.177+140.302+0+40+60+100+300)</f>
        <v>20.452530262521741</v>
      </c>
      <c r="AC421" s="46">
        <f>(M421*'RAP TEMPLATE-GAS AVAILABILITY'!O420+N421*'RAP TEMPLATE-GAS AVAILABILITY'!P420+O421*'RAP TEMPLATE-GAS AVAILABILITY'!Q420+P421*'RAP TEMPLATE-GAS AVAILABILITY'!R420)/('RAP TEMPLATE-GAS AVAILABILITY'!O420+'RAP TEMPLATE-GAS AVAILABILITY'!P420+'RAP TEMPLATE-GAS AVAILABILITY'!Q420+'RAP TEMPLATE-GAS AVAILABILITY'!R420)</f>
        <v>20.31579856115108</v>
      </c>
    </row>
    <row r="422" spans="1:29" ht="15.75" x14ac:dyDescent="0.25">
      <c r="A422" s="14">
        <v>53751</v>
      </c>
      <c r="B422" s="17">
        <f>CHOOSE(CONTROL!$C$42, 20.7746, 20.7746) * CHOOSE(CONTROL!$C$21, $C$9, 100%, $E$9)</f>
        <v>20.7746</v>
      </c>
      <c r="C422" s="17">
        <f>CHOOSE(CONTROL!$C$42, 20.7797, 20.7797) * CHOOSE(CONTROL!$C$21, $C$9, 100%, $E$9)</f>
        <v>20.779699999999998</v>
      </c>
      <c r="D422" s="17">
        <f>CHOOSE(CONTROL!$C$42, 20.8971, 20.8971) * CHOOSE(CONTROL!$C$21, $C$9, 100%, $E$9)</f>
        <v>20.897099999999998</v>
      </c>
      <c r="E422" s="17">
        <f>CHOOSE(CONTROL!$C$42, 20.9309, 20.9309) * CHOOSE(CONTROL!$C$21, $C$9, 100%, $E$9)</f>
        <v>20.930900000000001</v>
      </c>
      <c r="F422" s="17">
        <f>CHOOSE(CONTROL!$C$42, 20.7882, 20.7882)*CHOOSE(CONTROL!$C$21, $C$9, 100%, $E$9)</f>
        <v>20.7882</v>
      </c>
      <c r="G422" s="17">
        <f>CHOOSE(CONTROL!$C$42, 20.8046, 20.8046)*CHOOSE(CONTROL!$C$21, $C$9, 100%, $E$9)</f>
        <v>20.804600000000001</v>
      </c>
      <c r="H422" s="17">
        <f>CHOOSE(CONTROL!$C$42, 20.9198, 20.9198) * CHOOSE(CONTROL!$C$21, $C$9, 100%, $E$9)</f>
        <v>20.919799999999999</v>
      </c>
      <c r="I422" s="17">
        <f>CHOOSE(CONTROL!$C$42, 20.8625, 20.8625)* CHOOSE(CONTROL!$C$21, $C$9, 100%, $E$9)</f>
        <v>20.862500000000001</v>
      </c>
      <c r="J422" s="17">
        <f>CHOOSE(CONTROL!$C$42, 20.7808, 20.7808)* CHOOSE(CONTROL!$C$21, $C$9, 100%, $E$9)</f>
        <v>20.780799999999999</v>
      </c>
      <c r="K422" s="53">
        <f>CHOOSE(CONTROL!$C$42, 20.8564, 20.8564) * CHOOSE(CONTROL!$C$21, $C$9, 100%, $E$9)</f>
        <v>20.856400000000001</v>
      </c>
      <c r="L422" s="17">
        <f>CHOOSE(CONTROL!$C$42, 21.5068, 21.5068) * CHOOSE(CONTROL!$C$21, $C$9, 100%, $E$9)</f>
        <v>21.506799999999998</v>
      </c>
      <c r="M422" s="17">
        <f>CHOOSE(CONTROL!$C$42, 20.601, 20.601) * CHOOSE(CONTROL!$C$21, $C$9, 100%, $E$9)</f>
        <v>20.600999999999999</v>
      </c>
      <c r="N422" s="17">
        <f>CHOOSE(CONTROL!$C$42, 20.6171, 20.6171) * CHOOSE(CONTROL!$C$21, $C$9, 100%, $E$9)</f>
        <v>20.617100000000001</v>
      </c>
      <c r="O422" s="17">
        <f>CHOOSE(CONTROL!$C$42, 20.7387, 20.7387) * CHOOSE(CONTROL!$C$21, $C$9, 100%, $E$9)</f>
        <v>20.738700000000001</v>
      </c>
      <c r="P422" s="17">
        <f>CHOOSE(CONTROL!$C$42, 20.6813, 20.6813) * CHOOSE(CONTROL!$C$21, $C$9, 100%, $E$9)</f>
        <v>20.6813</v>
      </c>
      <c r="Q422" s="17">
        <f>CHOOSE(CONTROL!$C$42, 21.3334, 21.3334) * CHOOSE(CONTROL!$C$21, $C$9, 100%, $E$9)</f>
        <v>21.333400000000001</v>
      </c>
      <c r="R422" s="17">
        <f>CHOOSE(CONTROL!$C$42, 21.9737, 21.9737) * CHOOSE(CONTROL!$C$21, $C$9, 100%, $E$9)</f>
        <v>21.973700000000001</v>
      </c>
      <c r="S422" s="17">
        <f>CHOOSE(CONTROL!$C$42, 20.1356, 20.1356) * CHOOSE(CONTROL!$C$21, $C$9, 100%, $E$9)</f>
        <v>20.1356</v>
      </c>
      <c r="T422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422" s="57">
        <f>(1000*CHOOSE(CONTROL!$C$42, 695, 695)*CHOOSE(CONTROL!$C$42, 0.5599, 0.5599)*CHOOSE(CONTROL!$C$42, 28, 28))/1000000</f>
        <v>10.895653999999999</v>
      </c>
      <c r="V422" s="57">
        <f>(1000*CHOOSE(CONTROL!$C$42, 500, 500)*CHOOSE(CONTROL!$C$42, 0.275, 0.275)*CHOOSE(CONTROL!$C$42, 28, 28))/1000000</f>
        <v>3.85</v>
      </c>
      <c r="W422" s="57">
        <f>(1000*CHOOSE(CONTROL!$C$42, 0.0916, 0.0916)*CHOOSE(CONTROL!$C$42, 121.5, 121.5)*CHOOSE(CONTROL!$C$42, 28, 28))/1000000</f>
        <v>0.31162319999999999</v>
      </c>
      <c r="X422" s="57">
        <f>(28*0.2374*100000/1000000)</f>
        <v>0.66471999999999998</v>
      </c>
      <c r="Y422" s="57"/>
      <c r="Z422" s="17"/>
      <c r="AA422" s="56"/>
      <c r="AB422" s="49">
        <f>(B422*122.58+C422*297.941+D422*89.177+E422*140.302+F422*40+G422*60+H422*0+I422*100+J422*300)/(122.58+297.941+89.177+140.302+0+40+60+100+300)</f>
        <v>20.815788594956519</v>
      </c>
      <c r="AC422" s="46">
        <f>(M422*'RAP TEMPLATE-GAS AVAILABILITY'!O421+N422*'RAP TEMPLATE-GAS AVAILABILITY'!P421+O422*'RAP TEMPLATE-GAS AVAILABILITY'!Q421+P422*'RAP TEMPLATE-GAS AVAILABILITY'!R421)/('RAP TEMPLATE-GAS AVAILABILITY'!O421+'RAP TEMPLATE-GAS AVAILABILITY'!P421+'RAP TEMPLATE-GAS AVAILABILITY'!Q421+'RAP TEMPLATE-GAS AVAILABILITY'!R421)</f>
        <v>20.675891366906477</v>
      </c>
    </row>
    <row r="423" spans="1:29" ht="15.75" x14ac:dyDescent="0.25">
      <c r="A423" s="14">
        <v>53782</v>
      </c>
      <c r="B423" s="17">
        <f>CHOOSE(CONTROL!$C$42, 20.1851, 20.1851) * CHOOSE(CONTROL!$C$21, $C$9, 100%, $E$9)</f>
        <v>20.185099999999998</v>
      </c>
      <c r="C423" s="17">
        <f>CHOOSE(CONTROL!$C$42, 20.1902, 20.1902) * CHOOSE(CONTROL!$C$21, $C$9, 100%, $E$9)</f>
        <v>20.190200000000001</v>
      </c>
      <c r="D423" s="17">
        <f>CHOOSE(CONTROL!$C$42, 20.3076, 20.3076) * CHOOSE(CONTROL!$C$21, $C$9, 100%, $E$9)</f>
        <v>20.307600000000001</v>
      </c>
      <c r="E423" s="17">
        <f>CHOOSE(CONTROL!$C$42, 20.3414, 20.3414) * CHOOSE(CONTROL!$C$21, $C$9, 100%, $E$9)</f>
        <v>20.3414</v>
      </c>
      <c r="F423" s="17">
        <f>CHOOSE(CONTROL!$C$42, 20.1981, 20.1981)*CHOOSE(CONTROL!$C$21, $C$9, 100%, $E$9)</f>
        <v>20.1981</v>
      </c>
      <c r="G423" s="17">
        <f>CHOOSE(CONTROL!$C$42, 20.2142, 20.2142)*CHOOSE(CONTROL!$C$21, $C$9, 100%, $E$9)</f>
        <v>20.214200000000002</v>
      </c>
      <c r="H423" s="17">
        <f>CHOOSE(CONTROL!$C$42, 20.3303, 20.3303) * CHOOSE(CONTROL!$C$21, $C$9, 100%, $E$9)</f>
        <v>20.330300000000001</v>
      </c>
      <c r="I423" s="17">
        <f>CHOOSE(CONTROL!$C$42, 20.2711, 20.2711)* CHOOSE(CONTROL!$C$21, $C$9, 100%, $E$9)</f>
        <v>20.271100000000001</v>
      </c>
      <c r="J423" s="17">
        <f>CHOOSE(CONTROL!$C$42, 20.1907, 20.1907)* CHOOSE(CONTROL!$C$21, $C$9, 100%, $E$9)</f>
        <v>20.1907</v>
      </c>
      <c r="K423" s="53">
        <f>CHOOSE(CONTROL!$C$42, 20.2651, 20.2651) * CHOOSE(CONTROL!$C$21, $C$9, 100%, $E$9)</f>
        <v>20.2651</v>
      </c>
      <c r="L423" s="17">
        <f>CHOOSE(CONTROL!$C$42, 20.9173, 20.9173) * CHOOSE(CONTROL!$C$21, $C$9, 100%, $E$9)</f>
        <v>20.917300000000001</v>
      </c>
      <c r="M423" s="17">
        <f>CHOOSE(CONTROL!$C$42, 20.0161, 20.0161) * CHOOSE(CONTROL!$C$21, $C$9, 100%, $E$9)</f>
        <v>20.016100000000002</v>
      </c>
      <c r="N423" s="17">
        <f>CHOOSE(CONTROL!$C$42, 20.0321, 20.0321) * CHOOSE(CONTROL!$C$21, $C$9, 100%, $E$9)</f>
        <v>20.0321</v>
      </c>
      <c r="O423" s="17">
        <f>CHOOSE(CONTROL!$C$42, 20.1544, 20.1544) * CHOOSE(CONTROL!$C$21, $C$9, 100%, $E$9)</f>
        <v>20.154399999999999</v>
      </c>
      <c r="P423" s="17">
        <f>CHOOSE(CONTROL!$C$42, 20.0953, 20.0953) * CHOOSE(CONTROL!$C$21, $C$9, 100%, $E$9)</f>
        <v>20.095300000000002</v>
      </c>
      <c r="Q423" s="17">
        <f>CHOOSE(CONTROL!$C$42, 20.7491, 20.7491) * CHOOSE(CONTROL!$C$21, $C$9, 100%, $E$9)</f>
        <v>20.749099999999999</v>
      </c>
      <c r="R423" s="17">
        <f>CHOOSE(CONTROL!$C$42, 21.388, 21.388) * CHOOSE(CONTROL!$C$21, $C$9, 100%, $E$9)</f>
        <v>21.388000000000002</v>
      </c>
      <c r="S423" s="17">
        <f>CHOOSE(CONTROL!$C$42, 19.564, 19.564) * CHOOSE(CONTROL!$C$21, $C$9, 100%, $E$9)</f>
        <v>19.564</v>
      </c>
      <c r="T423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423" s="57">
        <f>(1000*CHOOSE(CONTROL!$C$42, 695, 695)*CHOOSE(CONTROL!$C$42, 0.5599, 0.5599)*CHOOSE(CONTROL!$C$42, 31, 31))/1000000</f>
        <v>12.063045499999998</v>
      </c>
      <c r="V423" s="57">
        <f>(1000*CHOOSE(CONTROL!$C$42, 500, 500)*CHOOSE(CONTROL!$C$42, 0.275, 0.275)*CHOOSE(CONTROL!$C$42, 31, 31))/1000000</f>
        <v>4.2625000000000002</v>
      </c>
      <c r="W423" s="57">
        <f>(1000*CHOOSE(CONTROL!$C$42, 0.0916, 0.0916)*CHOOSE(CONTROL!$C$42, 121.5, 121.5)*CHOOSE(CONTROL!$C$42, 31, 31))/1000000</f>
        <v>0.34501139999999997</v>
      </c>
      <c r="X423" s="57">
        <f>(31*0.2374*100000/1000000)</f>
        <v>0.73594000000000004</v>
      </c>
      <c r="Y423" s="57"/>
      <c r="Z423" s="17"/>
      <c r="AA423" s="56"/>
      <c r="AB423" s="49">
        <f>(B423*122.58+C423*297.941+D423*89.177+E423*140.302+F423*40+G423*60+H423*0+I423*100+J423*300)/(122.58+297.941+89.177+140.302+0+40+60+100+300)</f>
        <v>20.225899029739129</v>
      </c>
      <c r="AC423" s="46">
        <f>(M423*'RAP TEMPLATE-GAS AVAILABILITY'!O422+N423*'RAP TEMPLATE-GAS AVAILABILITY'!P422+O423*'RAP TEMPLATE-GAS AVAILABILITY'!Q422+P423*'RAP TEMPLATE-GAS AVAILABILITY'!R422)/('RAP TEMPLATE-GAS AVAILABILITY'!O422+'RAP TEMPLATE-GAS AVAILABILITY'!P422+'RAP TEMPLATE-GAS AVAILABILITY'!Q422+'RAP TEMPLATE-GAS AVAILABILITY'!R422)</f>
        <v>20.091099280575541</v>
      </c>
    </row>
    <row r="424" spans="1:29" ht="15.75" x14ac:dyDescent="0.25">
      <c r="A424" s="14">
        <v>53812</v>
      </c>
      <c r="B424" s="17">
        <f>CHOOSE(CONTROL!$C$42, 20.1257, 20.1257) * CHOOSE(CONTROL!$C$21, $C$9, 100%, $E$9)</f>
        <v>20.125699999999998</v>
      </c>
      <c r="C424" s="17">
        <f>CHOOSE(CONTROL!$C$42, 20.1302, 20.1302) * CHOOSE(CONTROL!$C$21, $C$9, 100%, $E$9)</f>
        <v>20.130199999999999</v>
      </c>
      <c r="D424" s="17">
        <f>CHOOSE(CONTROL!$C$42, 20.3829, 20.3829) * CHOOSE(CONTROL!$C$21, $C$9, 100%, $E$9)</f>
        <v>20.382899999999999</v>
      </c>
      <c r="E424" s="17">
        <f>CHOOSE(CONTROL!$C$42, 20.4147, 20.4147) * CHOOSE(CONTROL!$C$21, $C$9, 100%, $E$9)</f>
        <v>20.4147</v>
      </c>
      <c r="F424" s="17">
        <f>CHOOSE(CONTROL!$C$42, 20.1317, 20.1317)*CHOOSE(CONTROL!$C$21, $C$9, 100%, $E$9)</f>
        <v>20.131699999999999</v>
      </c>
      <c r="G424" s="17">
        <f>CHOOSE(CONTROL!$C$42, 20.1475, 20.1475)*CHOOSE(CONTROL!$C$21, $C$9, 100%, $E$9)</f>
        <v>20.147500000000001</v>
      </c>
      <c r="H424" s="17">
        <f>CHOOSE(CONTROL!$C$42, 20.4042, 20.4042) * CHOOSE(CONTROL!$C$21, $C$9, 100%, $E$9)</f>
        <v>20.404199999999999</v>
      </c>
      <c r="I424" s="17">
        <f>CHOOSE(CONTROL!$C$42, 20.2097, 20.2097)* CHOOSE(CONTROL!$C$21, $C$9, 100%, $E$9)</f>
        <v>20.209700000000002</v>
      </c>
      <c r="J424" s="17">
        <f>CHOOSE(CONTROL!$C$42, 20.1243, 20.1243)* CHOOSE(CONTROL!$C$21, $C$9, 100%, $E$9)</f>
        <v>20.124300000000002</v>
      </c>
      <c r="K424" s="53">
        <f>CHOOSE(CONTROL!$C$42, 20.2037, 20.2037) * CHOOSE(CONTROL!$C$21, $C$9, 100%, $E$9)</f>
        <v>20.203700000000001</v>
      </c>
      <c r="L424" s="17">
        <f>CHOOSE(CONTROL!$C$42, 20.9912, 20.9912) * CHOOSE(CONTROL!$C$21, $C$9, 100%, $E$9)</f>
        <v>20.991199999999999</v>
      </c>
      <c r="M424" s="17">
        <f>CHOOSE(CONTROL!$C$42, 19.9503, 19.9503) * CHOOSE(CONTROL!$C$21, $C$9, 100%, $E$9)</f>
        <v>19.950299999999999</v>
      </c>
      <c r="N424" s="17">
        <f>CHOOSE(CONTROL!$C$42, 19.966, 19.966) * CHOOSE(CONTROL!$C$21, $C$9, 100%, $E$9)</f>
        <v>19.966000000000001</v>
      </c>
      <c r="O424" s="17">
        <f>CHOOSE(CONTROL!$C$42, 20.2277, 20.2277) * CHOOSE(CONTROL!$C$21, $C$9, 100%, $E$9)</f>
        <v>20.227699999999999</v>
      </c>
      <c r="P424" s="17">
        <f>CHOOSE(CONTROL!$C$42, 20.0345, 20.0345) * CHOOSE(CONTROL!$C$21, $C$9, 100%, $E$9)</f>
        <v>20.034500000000001</v>
      </c>
      <c r="Q424" s="17">
        <f>CHOOSE(CONTROL!$C$42, 20.8224, 20.8224) * CHOOSE(CONTROL!$C$21, $C$9, 100%, $E$9)</f>
        <v>20.822399999999998</v>
      </c>
      <c r="R424" s="17">
        <f>CHOOSE(CONTROL!$C$42, 21.4614, 21.4614) * CHOOSE(CONTROL!$C$21, $C$9, 100%, $E$9)</f>
        <v>21.461400000000001</v>
      </c>
      <c r="S424" s="17">
        <f>CHOOSE(CONTROL!$C$42, 19.5056, 19.5056) * CHOOSE(CONTROL!$C$21, $C$9, 100%, $E$9)</f>
        <v>19.505600000000001</v>
      </c>
      <c r="T424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424" s="57">
        <f>(1000*CHOOSE(CONTROL!$C$42, 695, 695)*CHOOSE(CONTROL!$C$42, 0.5599, 0.5599)*CHOOSE(CONTROL!$C$42, 30, 30))/1000000</f>
        <v>11.673914999999997</v>
      </c>
      <c r="V424" s="57">
        <f>(1000*CHOOSE(CONTROL!$C$42, 500, 500)*CHOOSE(CONTROL!$C$42, 0.275, 0.275)*CHOOSE(CONTROL!$C$42, 30, 30))/1000000</f>
        <v>4.125</v>
      </c>
      <c r="W424" s="57">
        <f>(1000*CHOOSE(CONTROL!$C$42, 0.0916, 0.0916)*CHOOSE(CONTROL!$C$42, 121.5, 121.5)*CHOOSE(CONTROL!$C$42, 30, 30))/1000000</f>
        <v>0.33388200000000001</v>
      </c>
      <c r="X424" s="57">
        <f>(30*0.1790888*145000/1000000)+(30*0.2374*100000/1000000)</f>
        <v>1.4912362799999999</v>
      </c>
      <c r="Y424" s="57"/>
      <c r="Z424" s="17"/>
      <c r="AA424" s="56"/>
      <c r="AB424" s="49">
        <f>(B424*141.293+C424*267.993+D424*115.016+E424*189.698+F424*40+G424*85+H424*0+I424*100+J424*300)/(141.293+267.993+115.016+189.698+0+40+85+100+300)</f>
        <v>20.202926638983051</v>
      </c>
      <c r="AC424" s="46">
        <f>(M424*'RAP TEMPLATE-GAS AVAILABILITY'!O423+N424*'RAP TEMPLATE-GAS AVAILABILITY'!P423+O424*'RAP TEMPLATE-GAS AVAILABILITY'!Q423+P424*'RAP TEMPLATE-GAS AVAILABILITY'!R423)/('RAP TEMPLATE-GAS AVAILABILITY'!O423+'RAP TEMPLATE-GAS AVAILABILITY'!P423+'RAP TEMPLATE-GAS AVAILABILITY'!Q423+'RAP TEMPLATE-GAS AVAILABILITY'!R423)</f>
        <v>20.043861151079138</v>
      </c>
    </row>
    <row r="425" spans="1:29" ht="15.75" x14ac:dyDescent="0.25">
      <c r="A425" s="14">
        <v>53843</v>
      </c>
      <c r="B425" s="17">
        <f>CHOOSE(CONTROL!$C$42, 20.3046, 20.3046) * CHOOSE(CONTROL!$C$21, $C$9, 100%, $E$9)</f>
        <v>20.304600000000001</v>
      </c>
      <c r="C425" s="17">
        <f>CHOOSE(CONTROL!$C$42, 20.3126, 20.3126) * CHOOSE(CONTROL!$C$21, $C$9, 100%, $E$9)</f>
        <v>20.3126</v>
      </c>
      <c r="D425" s="17">
        <f>CHOOSE(CONTROL!$C$42, 20.5622, 20.5622) * CHOOSE(CONTROL!$C$21, $C$9, 100%, $E$9)</f>
        <v>20.562200000000001</v>
      </c>
      <c r="E425" s="17">
        <f>CHOOSE(CONTROL!$C$42, 20.5934, 20.5934) * CHOOSE(CONTROL!$C$21, $C$9, 100%, $E$9)</f>
        <v>20.593399999999999</v>
      </c>
      <c r="F425" s="17">
        <f>CHOOSE(CONTROL!$C$42, 20.3094, 20.3094)*CHOOSE(CONTROL!$C$21, $C$9, 100%, $E$9)</f>
        <v>20.3094</v>
      </c>
      <c r="G425" s="17">
        <f>CHOOSE(CONTROL!$C$42, 20.3256, 20.3256)*CHOOSE(CONTROL!$C$21, $C$9, 100%, $E$9)</f>
        <v>20.325600000000001</v>
      </c>
      <c r="H425" s="17">
        <f>CHOOSE(CONTROL!$C$42, 20.5817, 20.5817) * CHOOSE(CONTROL!$C$21, $C$9, 100%, $E$9)</f>
        <v>20.581700000000001</v>
      </c>
      <c r="I425" s="17">
        <f>CHOOSE(CONTROL!$C$42, 20.3878, 20.3878)* CHOOSE(CONTROL!$C$21, $C$9, 100%, $E$9)</f>
        <v>20.387799999999999</v>
      </c>
      <c r="J425" s="17">
        <f>CHOOSE(CONTROL!$C$42, 20.302, 20.302)* CHOOSE(CONTROL!$C$21, $C$9, 100%, $E$9)</f>
        <v>20.302</v>
      </c>
      <c r="K425" s="53">
        <f>CHOOSE(CONTROL!$C$42, 20.3818, 20.3818) * CHOOSE(CONTROL!$C$21, $C$9, 100%, $E$9)</f>
        <v>20.381799999999998</v>
      </c>
      <c r="L425" s="17">
        <f>CHOOSE(CONTROL!$C$42, 21.1687, 21.1687) * CHOOSE(CONTROL!$C$21, $C$9, 100%, $E$9)</f>
        <v>21.168700000000001</v>
      </c>
      <c r="M425" s="17">
        <f>CHOOSE(CONTROL!$C$42, 20.1264, 20.1264) * CHOOSE(CONTROL!$C$21, $C$9, 100%, $E$9)</f>
        <v>20.1264</v>
      </c>
      <c r="N425" s="17">
        <f>CHOOSE(CONTROL!$C$42, 20.1424, 20.1424) * CHOOSE(CONTROL!$C$21, $C$9, 100%, $E$9)</f>
        <v>20.142399999999999</v>
      </c>
      <c r="O425" s="17">
        <f>CHOOSE(CONTROL!$C$42, 20.4036, 20.4036) * CHOOSE(CONTROL!$C$21, $C$9, 100%, $E$9)</f>
        <v>20.403600000000001</v>
      </c>
      <c r="P425" s="17">
        <f>CHOOSE(CONTROL!$C$42, 20.211, 20.211) * CHOOSE(CONTROL!$C$21, $C$9, 100%, $E$9)</f>
        <v>20.210999999999999</v>
      </c>
      <c r="Q425" s="17">
        <f>CHOOSE(CONTROL!$C$42, 20.9983, 20.9983) * CHOOSE(CONTROL!$C$21, $C$9, 100%, $E$9)</f>
        <v>20.9983</v>
      </c>
      <c r="R425" s="17">
        <f>CHOOSE(CONTROL!$C$42, 21.6378, 21.6378) * CHOOSE(CONTROL!$C$21, $C$9, 100%, $E$9)</f>
        <v>21.637799999999999</v>
      </c>
      <c r="S425" s="17">
        <f>CHOOSE(CONTROL!$C$42, 19.6778, 19.6778) * CHOOSE(CONTROL!$C$21, $C$9, 100%, $E$9)</f>
        <v>19.677800000000001</v>
      </c>
      <c r="T425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425" s="57">
        <f>(1000*CHOOSE(CONTROL!$C$42, 695, 695)*CHOOSE(CONTROL!$C$42, 0.5599, 0.5599)*CHOOSE(CONTROL!$C$42, 31, 31))/1000000</f>
        <v>12.063045499999998</v>
      </c>
      <c r="V425" s="57">
        <f>(1000*CHOOSE(CONTROL!$C$42, 500, 500)*CHOOSE(CONTROL!$C$42, 0.275, 0.275)*CHOOSE(CONTROL!$C$42, 31, 31))/1000000</f>
        <v>4.2625000000000002</v>
      </c>
      <c r="W425" s="57">
        <f>(1000*CHOOSE(CONTROL!$C$42, 0.0916, 0.0916)*CHOOSE(CONTROL!$C$42, 121.5, 121.5)*CHOOSE(CONTROL!$C$42, 31, 31))/1000000</f>
        <v>0.34501139999999997</v>
      </c>
      <c r="X425" s="57">
        <f>(31*0.1790888*145000/1000000)+(31*0.2374*100000/1000000)</f>
        <v>1.5409441560000001</v>
      </c>
      <c r="Y425" s="57"/>
      <c r="Z425" s="17"/>
      <c r="AA425" s="56"/>
      <c r="AB425" s="49">
        <f>(B425*194.205+C425*267.466+D425*133.845+E425*153.484+F425*40+G425*85+H425*0+I425*100+J425*300)/(194.205+267.466+133.845+153.484+0+40+85+100+300)</f>
        <v>20.375605792150704</v>
      </c>
      <c r="AC425" s="46">
        <f>(M425*'RAP TEMPLATE-GAS AVAILABILITY'!O424+N425*'RAP TEMPLATE-GAS AVAILABILITY'!P424+O425*'RAP TEMPLATE-GAS AVAILABILITY'!Q424+P425*'RAP TEMPLATE-GAS AVAILABILITY'!R424)/('RAP TEMPLATE-GAS AVAILABILITY'!O424+'RAP TEMPLATE-GAS AVAILABILITY'!P424+'RAP TEMPLATE-GAS AVAILABILITY'!Q424+'RAP TEMPLATE-GAS AVAILABILITY'!R424)</f>
        <v>20.220031654676259</v>
      </c>
    </row>
    <row r="426" spans="1:29" ht="15.75" x14ac:dyDescent="0.25">
      <c r="A426" s="14">
        <v>53873</v>
      </c>
      <c r="B426" s="17">
        <f>CHOOSE(CONTROL!$C$42, 20.8802, 20.8802) * CHOOSE(CONTROL!$C$21, $C$9, 100%, $E$9)</f>
        <v>20.880199999999999</v>
      </c>
      <c r="C426" s="17">
        <f>CHOOSE(CONTROL!$C$42, 20.8882, 20.8882) * CHOOSE(CONTROL!$C$21, $C$9, 100%, $E$9)</f>
        <v>20.888200000000001</v>
      </c>
      <c r="D426" s="17">
        <f>CHOOSE(CONTROL!$C$42, 21.1378, 21.1378) * CHOOSE(CONTROL!$C$21, $C$9, 100%, $E$9)</f>
        <v>21.137799999999999</v>
      </c>
      <c r="E426" s="17">
        <f>CHOOSE(CONTROL!$C$42, 21.169, 21.169) * CHOOSE(CONTROL!$C$21, $C$9, 100%, $E$9)</f>
        <v>21.169</v>
      </c>
      <c r="F426" s="17">
        <f>CHOOSE(CONTROL!$C$42, 20.8854, 20.8854)*CHOOSE(CONTROL!$C$21, $C$9, 100%, $E$9)</f>
        <v>20.885400000000001</v>
      </c>
      <c r="G426" s="17">
        <f>CHOOSE(CONTROL!$C$42, 20.9016, 20.9016)*CHOOSE(CONTROL!$C$21, $C$9, 100%, $E$9)</f>
        <v>20.901599999999998</v>
      </c>
      <c r="H426" s="17">
        <f>CHOOSE(CONTROL!$C$42, 21.1573, 21.1573) * CHOOSE(CONTROL!$C$21, $C$9, 100%, $E$9)</f>
        <v>21.157299999999999</v>
      </c>
      <c r="I426" s="17">
        <f>CHOOSE(CONTROL!$C$42, 20.9652, 20.9652)* CHOOSE(CONTROL!$C$21, $C$9, 100%, $E$9)</f>
        <v>20.965199999999999</v>
      </c>
      <c r="J426" s="17">
        <f>CHOOSE(CONTROL!$C$42, 20.878, 20.878)* CHOOSE(CONTROL!$C$21, $C$9, 100%, $E$9)</f>
        <v>20.878</v>
      </c>
      <c r="K426" s="53">
        <f>CHOOSE(CONTROL!$C$42, 20.9592, 20.9592) * CHOOSE(CONTROL!$C$21, $C$9, 100%, $E$9)</f>
        <v>20.959199999999999</v>
      </c>
      <c r="L426" s="17">
        <f>CHOOSE(CONTROL!$C$42, 21.7443, 21.7443) * CHOOSE(CONTROL!$C$21, $C$9, 100%, $E$9)</f>
        <v>21.744299999999999</v>
      </c>
      <c r="M426" s="17">
        <f>CHOOSE(CONTROL!$C$42, 20.6972, 20.6972) * CHOOSE(CONTROL!$C$21, $C$9, 100%, $E$9)</f>
        <v>20.697199999999999</v>
      </c>
      <c r="N426" s="17">
        <f>CHOOSE(CONTROL!$C$42, 20.7133, 20.7133) * CHOOSE(CONTROL!$C$21, $C$9, 100%, $E$9)</f>
        <v>20.7133</v>
      </c>
      <c r="O426" s="17">
        <f>CHOOSE(CONTROL!$C$42, 20.974, 20.974) * CHOOSE(CONTROL!$C$21, $C$9, 100%, $E$9)</f>
        <v>20.974</v>
      </c>
      <c r="P426" s="17">
        <f>CHOOSE(CONTROL!$C$42, 20.7831, 20.7831) * CHOOSE(CONTROL!$C$21, $C$9, 100%, $E$9)</f>
        <v>20.783100000000001</v>
      </c>
      <c r="Q426" s="17">
        <f>CHOOSE(CONTROL!$C$42, 21.5687, 21.5687) * CHOOSE(CONTROL!$C$21, $C$9, 100%, $E$9)</f>
        <v>21.5687</v>
      </c>
      <c r="R426" s="17">
        <f>CHOOSE(CONTROL!$C$42, 22.2096, 22.2096) * CHOOSE(CONTROL!$C$21, $C$9, 100%, $E$9)</f>
        <v>22.209599999999998</v>
      </c>
      <c r="S426" s="17">
        <f>CHOOSE(CONTROL!$C$42, 20.2359, 20.2359) * CHOOSE(CONTROL!$C$21, $C$9, 100%, $E$9)</f>
        <v>20.235900000000001</v>
      </c>
      <c r="T426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426" s="57">
        <f>(1000*CHOOSE(CONTROL!$C$42, 695, 695)*CHOOSE(CONTROL!$C$42, 0.5599, 0.5599)*CHOOSE(CONTROL!$C$42, 30, 30))/1000000</f>
        <v>11.673914999999997</v>
      </c>
      <c r="V426" s="57">
        <f>(1000*CHOOSE(CONTROL!$C$42, 500, 500)*CHOOSE(CONTROL!$C$42, 0.275, 0.275)*CHOOSE(CONTROL!$C$42, 30, 30))/1000000</f>
        <v>4.125</v>
      </c>
      <c r="W426" s="57">
        <f>(1000*CHOOSE(CONTROL!$C$42, 0.0916, 0.0916)*CHOOSE(CONTROL!$C$42, 121.5, 121.5)*CHOOSE(CONTROL!$C$42, 30, 30))/1000000</f>
        <v>0.33388200000000001</v>
      </c>
      <c r="X426" s="57">
        <f>(30*0.1790888*145000/1000000)+(30*0.2374*100000/1000000)</f>
        <v>1.4912362799999999</v>
      </c>
      <c r="Y426" s="57"/>
      <c r="Z426" s="17"/>
      <c r="AA426" s="56"/>
      <c r="AB426" s="49">
        <f>(B426*194.205+C426*267.466+D426*133.845+E426*153.484+F426*40+G426*85+H426*0+I426*100+J426*300)/(194.205+267.466+133.845+153.484+0+40+85+100+300)</f>
        <v>20.951480517425431</v>
      </c>
      <c r="AC426" s="46">
        <f>(M426*'RAP TEMPLATE-GAS AVAILABILITY'!O425+N426*'RAP TEMPLATE-GAS AVAILABILITY'!P425+O426*'RAP TEMPLATE-GAS AVAILABILITY'!Q425+P426*'RAP TEMPLATE-GAS AVAILABILITY'!R425)/('RAP TEMPLATE-GAS AVAILABILITY'!O425+'RAP TEMPLATE-GAS AVAILABILITY'!P425+'RAP TEMPLATE-GAS AVAILABILITY'!Q425+'RAP TEMPLATE-GAS AVAILABILITY'!R425)</f>
        <v>20.790929496402878</v>
      </c>
    </row>
    <row r="427" spans="1:29" ht="15.75" x14ac:dyDescent="0.25">
      <c r="A427" s="14">
        <v>53904</v>
      </c>
      <c r="B427" s="17">
        <f>CHOOSE(CONTROL!$C$42, 20.4799, 20.4799) * CHOOSE(CONTROL!$C$21, $C$9, 100%, $E$9)</f>
        <v>20.479900000000001</v>
      </c>
      <c r="C427" s="17">
        <f>CHOOSE(CONTROL!$C$42, 20.4878, 20.4878) * CHOOSE(CONTROL!$C$21, $C$9, 100%, $E$9)</f>
        <v>20.4878</v>
      </c>
      <c r="D427" s="17">
        <f>CHOOSE(CONTROL!$C$42, 20.7375, 20.7375) * CHOOSE(CONTROL!$C$21, $C$9, 100%, $E$9)</f>
        <v>20.737500000000001</v>
      </c>
      <c r="E427" s="17">
        <f>CHOOSE(CONTROL!$C$42, 20.7686, 20.7686) * CHOOSE(CONTROL!$C$21, $C$9, 100%, $E$9)</f>
        <v>20.768599999999999</v>
      </c>
      <c r="F427" s="17">
        <f>CHOOSE(CONTROL!$C$42, 20.4855, 20.4855)*CHOOSE(CONTROL!$C$21, $C$9, 100%, $E$9)</f>
        <v>20.485499999999998</v>
      </c>
      <c r="G427" s="17">
        <f>CHOOSE(CONTROL!$C$42, 20.5019, 20.5019)*CHOOSE(CONTROL!$C$21, $C$9, 100%, $E$9)</f>
        <v>20.501899999999999</v>
      </c>
      <c r="H427" s="17">
        <f>CHOOSE(CONTROL!$C$42, 20.757, 20.757) * CHOOSE(CONTROL!$C$21, $C$9, 100%, $E$9)</f>
        <v>20.757000000000001</v>
      </c>
      <c r="I427" s="17">
        <f>CHOOSE(CONTROL!$C$42, 20.5636, 20.5636)* CHOOSE(CONTROL!$C$21, $C$9, 100%, $E$9)</f>
        <v>20.563600000000001</v>
      </c>
      <c r="J427" s="17">
        <f>CHOOSE(CONTROL!$C$42, 20.4781, 20.4781)* CHOOSE(CONTROL!$C$21, $C$9, 100%, $E$9)</f>
        <v>20.478100000000001</v>
      </c>
      <c r="K427" s="53">
        <f>CHOOSE(CONTROL!$C$42, 20.5576, 20.5576) * CHOOSE(CONTROL!$C$21, $C$9, 100%, $E$9)</f>
        <v>20.557600000000001</v>
      </c>
      <c r="L427" s="17">
        <f>CHOOSE(CONTROL!$C$42, 21.344, 21.344) * CHOOSE(CONTROL!$C$21, $C$9, 100%, $E$9)</f>
        <v>21.344000000000001</v>
      </c>
      <c r="M427" s="17">
        <f>CHOOSE(CONTROL!$C$42, 20.301, 20.301) * CHOOSE(CONTROL!$C$21, $C$9, 100%, $E$9)</f>
        <v>20.300999999999998</v>
      </c>
      <c r="N427" s="17">
        <f>CHOOSE(CONTROL!$C$42, 20.3172, 20.3172) * CHOOSE(CONTROL!$C$21, $C$9, 100%, $E$9)</f>
        <v>20.3172</v>
      </c>
      <c r="O427" s="17">
        <f>CHOOSE(CONTROL!$C$42, 20.5773, 20.5773) * CHOOSE(CONTROL!$C$21, $C$9, 100%, $E$9)</f>
        <v>20.577300000000001</v>
      </c>
      <c r="P427" s="17">
        <f>CHOOSE(CONTROL!$C$42, 20.3852, 20.3852) * CHOOSE(CONTROL!$C$21, $C$9, 100%, $E$9)</f>
        <v>20.385200000000001</v>
      </c>
      <c r="Q427" s="17">
        <f>CHOOSE(CONTROL!$C$42, 21.172, 21.172) * CHOOSE(CONTROL!$C$21, $C$9, 100%, $E$9)</f>
        <v>21.172000000000001</v>
      </c>
      <c r="R427" s="17">
        <f>CHOOSE(CONTROL!$C$42, 21.8119, 21.8119) * CHOOSE(CONTROL!$C$21, $C$9, 100%, $E$9)</f>
        <v>21.811900000000001</v>
      </c>
      <c r="S427" s="17">
        <f>CHOOSE(CONTROL!$C$42, 19.8477, 19.8477) * CHOOSE(CONTROL!$C$21, $C$9, 100%, $E$9)</f>
        <v>19.8477</v>
      </c>
      <c r="T427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427" s="57">
        <f>(1000*CHOOSE(CONTROL!$C$42, 695, 695)*CHOOSE(CONTROL!$C$42, 0.5599, 0.5599)*CHOOSE(CONTROL!$C$42, 31, 31))/1000000</f>
        <v>12.063045499999998</v>
      </c>
      <c r="V427" s="57">
        <f>(1000*CHOOSE(CONTROL!$C$42, 500, 500)*CHOOSE(CONTROL!$C$42, 0.275, 0.275)*CHOOSE(CONTROL!$C$42, 31, 31))/1000000</f>
        <v>4.2625000000000002</v>
      </c>
      <c r="W427" s="57">
        <f>(1000*CHOOSE(CONTROL!$C$42, 0.0916, 0.0916)*CHOOSE(CONTROL!$C$42, 121.5, 121.5)*CHOOSE(CONTROL!$C$42, 31, 31))/1000000</f>
        <v>0.34501139999999997</v>
      </c>
      <c r="X427" s="57">
        <f>(31*0.1790888*145000/1000000)+(31*0.2374*100000/1000000)</f>
        <v>1.5409441560000001</v>
      </c>
      <c r="Y427" s="57"/>
      <c r="Z427" s="17"/>
      <c r="AA427" s="56"/>
      <c r="AB427" s="49">
        <f>(B427*194.205+C427*267.466+D427*133.845+E427*153.484+F427*40+G427*85+H427*0+I427*100+J427*300)/(194.205+267.466+133.845+153.484+0+40+85+100+300)</f>
        <v>20.551192216797492</v>
      </c>
      <c r="AC427" s="46">
        <f>(M427*'RAP TEMPLATE-GAS AVAILABILITY'!O426+N427*'RAP TEMPLATE-GAS AVAILABILITY'!P426+O427*'RAP TEMPLATE-GAS AVAILABILITY'!Q426+P427*'RAP TEMPLATE-GAS AVAILABILITY'!R426)/('RAP TEMPLATE-GAS AVAILABILITY'!O426+'RAP TEMPLATE-GAS AVAILABILITY'!P426+'RAP TEMPLATE-GAS AVAILABILITY'!Q426+'RAP TEMPLATE-GAS AVAILABILITY'!R426)</f>
        <v>20.394367625899282</v>
      </c>
    </row>
    <row r="428" spans="1:29" ht="15.75" x14ac:dyDescent="0.25">
      <c r="A428" s="14">
        <v>53935</v>
      </c>
      <c r="B428" s="17">
        <f>CHOOSE(CONTROL!$C$42, 19.4689, 19.4689) * CHOOSE(CONTROL!$C$21, $C$9, 100%, $E$9)</f>
        <v>19.468900000000001</v>
      </c>
      <c r="C428" s="17">
        <f>CHOOSE(CONTROL!$C$42, 19.4769, 19.4769) * CHOOSE(CONTROL!$C$21, $C$9, 100%, $E$9)</f>
        <v>19.476900000000001</v>
      </c>
      <c r="D428" s="17">
        <f>CHOOSE(CONTROL!$C$42, 19.7265, 19.7265) * CHOOSE(CONTROL!$C$21, $C$9, 100%, $E$9)</f>
        <v>19.726500000000001</v>
      </c>
      <c r="E428" s="17">
        <f>CHOOSE(CONTROL!$C$42, 19.7577, 19.7577) * CHOOSE(CONTROL!$C$21, $C$9, 100%, $E$9)</f>
        <v>19.7577</v>
      </c>
      <c r="F428" s="17">
        <f>CHOOSE(CONTROL!$C$42, 19.4748, 19.4748)*CHOOSE(CONTROL!$C$21, $C$9, 100%, $E$9)</f>
        <v>19.474799999999998</v>
      </c>
      <c r="G428" s="17">
        <f>CHOOSE(CONTROL!$C$42, 19.4913, 19.4913)*CHOOSE(CONTROL!$C$21, $C$9, 100%, $E$9)</f>
        <v>19.491299999999999</v>
      </c>
      <c r="H428" s="17">
        <f>CHOOSE(CONTROL!$C$42, 19.746, 19.746) * CHOOSE(CONTROL!$C$21, $C$9, 100%, $E$9)</f>
        <v>19.745999999999999</v>
      </c>
      <c r="I428" s="17">
        <f>CHOOSE(CONTROL!$C$42, 19.5495, 19.5495)* CHOOSE(CONTROL!$C$21, $C$9, 100%, $E$9)</f>
        <v>19.549499999999998</v>
      </c>
      <c r="J428" s="17">
        <f>CHOOSE(CONTROL!$C$42, 19.4674, 19.4674)* CHOOSE(CONTROL!$C$21, $C$9, 100%, $E$9)</f>
        <v>19.467400000000001</v>
      </c>
      <c r="K428" s="53">
        <f>CHOOSE(CONTROL!$C$42, 19.5435, 19.5435) * CHOOSE(CONTROL!$C$21, $C$9, 100%, $E$9)</f>
        <v>19.543500000000002</v>
      </c>
      <c r="L428" s="17">
        <f>CHOOSE(CONTROL!$C$42, 20.333, 20.333) * CHOOSE(CONTROL!$C$21, $C$9, 100%, $E$9)</f>
        <v>20.332999999999998</v>
      </c>
      <c r="M428" s="17">
        <f>CHOOSE(CONTROL!$C$42, 19.2994, 19.2994) * CHOOSE(CONTROL!$C$21, $C$9, 100%, $E$9)</f>
        <v>19.299399999999999</v>
      </c>
      <c r="N428" s="17">
        <f>CHOOSE(CONTROL!$C$42, 19.3156, 19.3156) * CHOOSE(CONTROL!$C$21, $C$9, 100%, $E$9)</f>
        <v>19.3156</v>
      </c>
      <c r="O428" s="17">
        <f>CHOOSE(CONTROL!$C$42, 19.5754, 19.5754) * CHOOSE(CONTROL!$C$21, $C$9, 100%, $E$9)</f>
        <v>19.575399999999998</v>
      </c>
      <c r="P428" s="17">
        <f>CHOOSE(CONTROL!$C$42, 19.3802, 19.3802) * CHOOSE(CONTROL!$C$21, $C$9, 100%, $E$9)</f>
        <v>19.380199999999999</v>
      </c>
      <c r="Q428" s="17">
        <f>CHOOSE(CONTROL!$C$42, 20.1701, 20.1701) * CHOOSE(CONTROL!$C$21, $C$9, 100%, $E$9)</f>
        <v>20.170100000000001</v>
      </c>
      <c r="R428" s="17">
        <f>CHOOSE(CONTROL!$C$42, 20.8075, 20.8075) * CHOOSE(CONTROL!$C$21, $C$9, 100%, $E$9)</f>
        <v>20.807500000000001</v>
      </c>
      <c r="S428" s="17">
        <f>CHOOSE(CONTROL!$C$42, 18.8674, 18.8674) * CHOOSE(CONTROL!$C$21, $C$9, 100%, $E$9)</f>
        <v>18.8674</v>
      </c>
      <c r="T428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428" s="57">
        <f>(1000*CHOOSE(CONTROL!$C$42, 695, 695)*CHOOSE(CONTROL!$C$42, 0.5599, 0.5599)*CHOOSE(CONTROL!$C$42, 31, 31))/1000000</f>
        <v>12.063045499999998</v>
      </c>
      <c r="V428" s="57">
        <f>(1000*CHOOSE(CONTROL!$C$42, 500, 500)*CHOOSE(CONTROL!$C$42, 0.275, 0.275)*CHOOSE(CONTROL!$C$42, 31, 31))/1000000</f>
        <v>4.2625000000000002</v>
      </c>
      <c r="W428" s="57">
        <f>(1000*CHOOSE(CONTROL!$C$42, 0.0916, 0.0916)*CHOOSE(CONTROL!$C$42, 121.5, 121.5)*CHOOSE(CONTROL!$C$42, 31, 31))/1000000</f>
        <v>0.34501139999999997</v>
      </c>
      <c r="X428" s="57">
        <f>(31*0.1790888*145000/1000000)+(31*0.2374*100000/1000000)</f>
        <v>1.5409441560000001</v>
      </c>
      <c r="Y428" s="57"/>
      <c r="Z428" s="17"/>
      <c r="AA428" s="56"/>
      <c r="AB428" s="49">
        <f>(B428*194.205+C428*267.466+D428*133.845+E428*153.484+F428*40+G428*85+H428*0+I428*100+J428*300)/(194.205+267.466+133.845+153.484+0+40+85+100+300)</f>
        <v>19.54008868069074</v>
      </c>
      <c r="AC428" s="46">
        <f>(M428*'RAP TEMPLATE-GAS AVAILABILITY'!O427+N428*'RAP TEMPLATE-GAS AVAILABILITY'!P427+O428*'RAP TEMPLATE-GAS AVAILABILITY'!Q427+P428*'RAP TEMPLATE-GAS AVAILABILITY'!R427)/('RAP TEMPLATE-GAS AVAILABILITY'!O427+'RAP TEMPLATE-GAS AVAILABILITY'!P427+'RAP TEMPLATE-GAS AVAILABILITY'!Q427+'RAP TEMPLATE-GAS AVAILABILITY'!R427)</f>
        <v>19.392194244604319</v>
      </c>
    </row>
    <row r="429" spans="1:29" ht="15.75" x14ac:dyDescent="0.25">
      <c r="A429" s="14">
        <v>53965</v>
      </c>
      <c r="B429" s="17">
        <f>CHOOSE(CONTROL!$C$42, 18.2334, 18.2334) * CHOOSE(CONTROL!$C$21, $C$9, 100%, $E$9)</f>
        <v>18.2334</v>
      </c>
      <c r="C429" s="17">
        <f>CHOOSE(CONTROL!$C$42, 18.2414, 18.2414) * CHOOSE(CONTROL!$C$21, $C$9, 100%, $E$9)</f>
        <v>18.241399999999999</v>
      </c>
      <c r="D429" s="17">
        <f>CHOOSE(CONTROL!$C$42, 18.491, 18.491) * CHOOSE(CONTROL!$C$21, $C$9, 100%, $E$9)</f>
        <v>18.491</v>
      </c>
      <c r="E429" s="17">
        <f>CHOOSE(CONTROL!$C$42, 18.5222, 18.5222) * CHOOSE(CONTROL!$C$21, $C$9, 100%, $E$9)</f>
        <v>18.522200000000002</v>
      </c>
      <c r="F429" s="17">
        <f>CHOOSE(CONTROL!$C$42, 18.2394, 18.2394)*CHOOSE(CONTROL!$C$21, $C$9, 100%, $E$9)</f>
        <v>18.2394</v>
      </c>
      <c r="G429" s="17">
        <f>CHOOSE(CONTROL!$C$42, 18.2559, 18.2559)*CHOOSE(CONTROL!$C$21, $C$9, 100%, $E$9)</f>
        <v>18.2559</v>
      </c>
      <c r="H429" s="17">
        <f>CHOOSE(CONTROL!$C$42, 18.5105, 18.5105) * CHOOSE(CONTROL!$C$21, $C$9, 100%, $E$9)</f>
        <v>18.5105</v>
      </c>
      <c r="I429" s="17">
        <f>CHOOSE(CONTROL!$C$42, 18.3102, 18.3102)* CHOOSE(CONTROL!$C$21, $C$9, 100%, $E$9)</f>
        <v>18.310199999999998</v>
      </c>
      <c r="J429" s="17">
        <f>CHOOSE(CONTROL!$C$42, 18.232, 18.232)* CHOOSE(CONTROL!$C$21, $C$9, 100%, $E$9)</f>
        <v>18.231999999999999</v>
      </c>
      <c r="K429" s="53">
        <f>CHOOSE(CONTROL!$C$42, 18.3042, 18.3042) * CHOOSE(CONTROL!$C$21, $C$9, 100%, $E$9)</f>
        <v>18.304200000000002</v>
      </c>
      <c r="L429" s="17">
        <f>CHOOSE(CONTROL!$C$42, 19.0975, 19.0975) * CHOOSE(CONTROL!$C$21, $C$9, 100%, $E$9)</f>
        <v>19.0975</v>
      </c>
      <c r="M429" s="17">
        <f>CHOOSE(CONTROL!$C$42, 18.0751, 18.0751) * CHOOSE(CONTROL!$C$21, $C$9, 100%, $E$9)</f>
        <v>18.075099999999999</v>
      </c>
      <c r="N429" s="17">
        <f>CHOOSE(CONTROL!$C$42, 18.0914, 18.0914) * CHOOSE(CONTROL!$C$21, $C$9, 100%, $E$9)</f>
        <v>18.0914</v>
      </c>
      <c r="O429" s="17">
        <f>CHOOSE(CONTROL!$C$42, 18.3511, 18.3511) * CHOOSE(CONTROL!$C$21, $C$9, 100%, $E$9)</f>
        <v>18.351099999999999</v>
      </c>
      <c r="P429" s="17">
        <f>CHOOSE(CONTROL!$C$42, 18.1521, 18.1521) * CHOOSE(CONTROL!$C$21, $C$9, 100%, $E$9)</f>
        <v>18.152100000000001</v>
      </c>
      <c r="Q429" s="17">
        <f>CHOOSE(CONTROL!$C$42, 18.9458, 18.9458) * CHOOSE(CONTROL!$C$21, $C$9, 100%, $E$9)</f>
        <v>18.945799999999998</v>
      </c>
      <c r="R429" s="17">
        <f>CHOOSE(CONTROL!$C$42, 19.5801, 19.5801) * CHOOSE(CONTROL!$C$21, $C$9, 100%, $E$9)</f>
        <v>19.580100000000002</v>
      </c>
      <c r="S429" s="17">
        <f>CHOOSE(CONTROL!$C$42, 17.6694, 17.6694) * CHOOSE(CONTROL!$C$21, $C$9, 100%, $E$9)</f>
        <v>17.6694</v>
      </c>
      <c r="T429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429" s="57">
        <f>(1000*CHOOSE(CONTROL!$C$42, 695, 695)*CHOOSE(CONTROL!$C$42, 0.5599, 0.5599)*CHOOSE(CONTROL!$C$42, 30, 30))/1000000</f>
        <v>11.673914999999997</v>
      </c>
      <c r="V429" s="57">
        <f>(1000*CHOOSE(CONTROL!$C$42, 500, 500)*CHOOSE(CONTROL!$C$42, 0.275, 0.275)*CHOOSE(CONTROL!$C$42, 30, 30))/1000000</f>
        <v>4.125</v>
      </c>
      <c r="W429" s="57">
        <f>(1000*CHOOSE(CONTROL!$C$42, 0.0916, 0.0916)*CHOOSE(CONTROL!$C$42, 121.5, 121.5)*CHOOSE(CONTROL!$C$42, 30, 30))/1000000</f>
        <v>0.33388200000000001</v>
      </c>
      <c r="X429" s="57">
        <f>(30*0.1790888*145000/1000000)+(30*0.2374*100000/1000000)</f>
        <v>1.4912362799999999</v>
      </c>
      <c r="Y429" s="57"/>
      <c r="Z429" s="17"/>
      <c r="AA429" s="56"/>
      <c r="AB429" s="49">
        <f>(B429*194.205+C429*267.466+D429*133.845+E429*153.484+F429*40+G429*85+H429*0+I429*100+J429*300)/(194.205+267.466+133.845+153.484+0+40+85+100+300)</f>
        <v>18.304323767032965</v>
      </c>
      <c r="AC429" s="46">
        <f>(M429*'RAP TEMPLATE-GAS AVAILABILITY'!O428+N429*'RAP TEMPLATE-GAS AVAILABILITY'!P428+O429*'RAP TEMPLATE-GAS AVAILABILITY'!Q428+P429*'RAP TEMPLATE-GAS AVAILABILITY'!R428)/('RAP TEMPLATE-GAS AVAILABILITY'!O428+'RAP TEMPLATE-GAS AVAILABILITY'!P428+'RAP TEMPLATE-GAS AVAILABILITY'!Q428+'RAP TEMPLATE-GAS AVAILABILITY'!R428)</f>
        <v>18.16737050359712</v>
      </c>
    </row>
    <row r="430" spans="1:29" ht="15.75" x14ac:dyDescent="0.25">
      <c r="A430" s="14">
        <v>53996</v>
      </c>
      <c r="B430" s="17">
        <f>CHOOSE(CONTROL!$C$42, 17.8618, 17.8618) * CHOOSE(CONTROL!$C$21, $C$9, 100%, $E$9)</f>
        <v>17.861799999999999</v>
      </c>
      <c r="C430" s="17">
        <f>CHOOSE(CONTROL!$C$42, 17.8671, 17.8671) * CHOOSE(CONTROL!$C$21, $C$9, 100%, $E$9)</f>
        <v>17.867100000000001</v>
      </c>
      <c r="D430" s="17">
        <f>CHOOSE(CONTROL!$C$42, 18.1216, 18.1216) * CHOOSE(CONTROL!$C$21, $C$9, 100%, $E$9)</f>
        <v>18.121600000000001</v>
      </c>
      <c r="E430" s="17">
        <f>CHOOSE(CONTROL!$C$42, 18.1505, 18.1505) * CHOOSE(CONTROL!$C$21, $C$9, 100%, $E$9)</f>
        <v>18.150500000000001</v>
      </c>
      <c r="F430" s="17">
        <f>CHOOSE(CONTROL!$C$42, 17.87, 17.87)*CHOOSE(CONTROL!$C$21, $C$9, 100%, $E$9)</f>
        <v>17.87</v>
      </c>
      <c r="G430" s="17">
        <f>CHOOSE(CONTROL!$C$42, 17.8863, 17.8863)*CHOOSE(CONTROL!$C$21, $C$9, 100%, $E$9)</f>
        <v>17.886299999999999</v>
      </c>
      <c r="H430" s="17">
        <f>CHOOSE(CONTROL!$C$42, 18.1406, 18.1406) * CHOOSE(CONTROL!$C$21, $C$9, 100%, $E$9)</f>
        <v>18.140599999999999</v>
      </c>
      <c r="I430" s="17">
        <f>CHOOSE(CONTROL!$C$42, 17.9391, 17.9391)* CHOOSE(CONTROL!$C$21, $C$9, 100%, $E$9)</f>
        <v>17.9391</v>
      </c>
      <c r="J430" s="17">
        <f>CHOOSE(CONTROL!$C$42, 17.8626, 17.8626)* CHOOSE(CONTROL!$C$21, $C$9, 100%, $E$9)</f>
        <v>17.8626</v>
      </c>
      <c r="K430" s="53">
        <f>CHOOSE(CONTROL!$C$42, 17.9331, 17.9331) * CHOOSE(CONTROL!$C$21, $C$9, 100%, $E$9)</f>
        <v>17.9331</v>
      </c>
      <c r="L430" s="17">
        <f>CHOOSE(CONTROL!$C$42, 18.7276, 18.7276) * CHOOSE(CONTROL!$C$21, $C$9, 100%, $E$9)</f>
        <v>18.727599999999999</v>
      </c>
      <c r="M430" s="17">
        <f>CHOOSE(CONTROL!$C$42, 17.7089, 17.7089) * CHOOSE(CONTROL!$C$21, $C$9, 100%, $E$9)</f>
        <v>17.7089</v>
      </c>
      <c r="N430" s="17">
        <f>CHOOSE(CONTROL!$C$42, 17.7251, 17.7251) * CHOOSE(CONTROL!$C$21, $C$9, 100%, $E$9)</f>
        <v>17.725100000000001</v>
      </c>
      <c r="O430" s="17">
        <f>CHOOSE(CONTROL!$C$42, 17.9844, 17.9844) * CHOOSE(CONTROL!$C$21, $C$9, 100%, $E$9)</f>
        <v>17.984400000000001</v>
      </c>
      <c r="P430" s="17">
        <f>CHOOSE(CONTROL!$C$42, 17.7844, 17.7844) * CHOOSE(CONTROL!$C$21, $C$9, 100%, $E$9)</f>
        <v>17.784400000000002</v>
      </c>
      <c r="Q430" s="17">
        <f>CHOOSE(CONTROL!$C$42, 18.5791, 18.5791) * CHOOSE(CONTROL!$C$21, $C$9, 100%, $E$9)</f>
        <v>18.5791</v>
      </c>
      <c r="R430" s="17">
        <f>CHOOSE(CONTROL!$C$42, 19.2126, 19.2126) * CHOOSE(CONTROL!$C$21, $C$9, 100%, $E$9)</f>
        <v>19.212599999999998</v>
      </c>
      <c r="S430" s="17">
        <f>CHOOSE(CONTROL!$C$42, 17.3106, 17.3106) * CHOOSE(CONTROL!$C$21, $C$9, 100%, $E$9)</f>
        <v>17.310600000000001</v>
      </c>
      <c r="T430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430" s="57">
        <f>(1000*CHOOSE(CONTROL!$C$42, 695, 695)*CHOOSE(CONTROL!$C$42, 0.5599, 0.5599)*CHOOSE(CONTROL!$C$42, 31, 31))/1000000</f>
        <v>12.063045499999998</v>
      </c>
      <c r="V430" s="57">
        <f>(1000*CHOOSE(CONTROL!$C$42, 500, 500)*CHOOSE(CONTROL!$C$42, 0.275, 0.275)*CHOOSE(CONTROL!$C$42, 31, 31))/1000000</f>
        <v>4.2625000000000002</v>
      </c>
      <c r="W430" s="57">
        <f>(1000*CHOOSE(CONTROL!$C$42, 0.0916, 0.0916)*CHOOSE(CONTROL!$C$42, 121.5, 121.5)*CHOOSE(CONTROL!$C$42, 31, 31))/1000000</f>
        <v>0.34501139999999997</v>
      </c>
      <c r="X430" s="57">
        <f>(31*0.1790888*145000/1000000)+(31*0.2374*100000/1000000)</f>
        <v>1.5409441560000001</v>
      </c>
      <c r="Y430" s="57"/>
      <c r="Z430" s="17"/>
      <c r="AA430" s="56"/>
      <c r="AB430" s="49">
        <f>(B430*131.881+C430*277.167+D430*79.08+E430*225.872+F430*40+G430*85+H430*0+I430*100+J430*300)/(131.881+277.167+79.08+225.872+0+40+85+100+300)</f>
        <v>17.940576202986275</v>
      </c>
      <c r="AC430" s="46">
        <f>(M430*'RAP TEMPLATE-GAS AVAILABILITY'!O429+N430*'RAP TEMPLATE-GAS AVAILABILITY'!P429+O430*'RAP TEMPLATE-GAS AVAILABILITY'!Q429+P430*'RAP TEMPLATE-GAS AVAILABILITY'!R429)/('RAP TEMPLATE-GAS AVAILABILITY'!O429+'RAP TEMPLATE-GAS AVAILABILITY'!P429+'RAP TEMPLATE-GAS AVAILABILITY'!Q429+'RAP TEMPLATE-GAS AVAILABILITY'!R429)</f>
        <v>17.800791366906477</v>
      </c>
    </row>
    <row r="431" spans="1:29" ht="15.75" x14ac:dyDescent="0.25">
      <c r="A431" s="14">
        <v>54026</v>
      </c>
      <c r="B431" s="17">
        <f>CHOOSE(CONTROL!$C$42, 18.3316, 18.3316) * CHOOSE(CONTROL!$C$21, $C$9, 100%, $E$9)</f>
        <v>18.331600000000002</v>
      </c>
      <c r="C431" s="17">
        <f>CHOOSE(CONTROL!$C$42, 18.3367, 18.3367) * CHOOSE(CONTROL!$C$21, $C$9, 100%, $E$9)</f>
        <v>18.3367</v>
      </c>
      <c r="D431" s="17">
        <f>CHOOSE(CONTROL!$C$42, 18.4593, 18.4593) * CHOOSE(CONTROL!$C$21, $C$9, 100%, $E$9)</f>
        <v>18.459299999999999</v>
      </c>
      <c r="E431" s="17">
        <f>CHOOSE(CONTROL!$C$42, 18.4931, 18.4931) * CHOOSE(CONTROL!$C$21, $C$9, 100%, $E$9)</f>
        <v>18.493099999999998</v>
      </c>
      <c r="F431" s="17">
        <f>CHOOSE(CONTROL!$C$42, 18.3466, 18.3466)*CHOOSE(CONTROL!$C$21, $C$9, 100%, $E$9)</f>
        <v>18.346599999999999</v>
      </c>
      <c r="G431" s="17">
        <f>CHOOSE(CONTROL!$C$42, 18.3633, 18.3633)*CHOOSE(CONTROL!$C$21, $C$9, 100%, $E$9)</f>
        <v>18.363299999999999</v>
      </c>
      <c r="H431" s="17">
        <f>CHOOSE(CONTROL!$C$42, 18.482, 18.482) * CHOOSE(CONTROL!$C$21, $C$9, 100%, $E$9)</f>
        <v>18.481999999999999</v>
      </c>
      <c r="I431" s="17">
        <f>CHOOSE(CONTROL!$C$42, 18.4135, 18.4135)* CHOOSE(CONTROL!$C$21, $C$9, 100%, $E$9)</f>
        <v>18.413499999999999</v>
      </c>
      <c r="J431" s="17">
        <f>CHOOSE(CONTROL!$C$42, 18.3392, 18.3392)* CHOOSE(CONTROL!$C$21, $C$9, 100%, $E$9)</f>
        <v>18.339200000000002</v>
      </c>
      <c r="K431" s="53">
        <f>CHOOSE(CONTROL!$C$42, 18.4074, 18.4074) * CHOOSE(CONTROL!$C$21, $C$9, 100%, $E$9)</f>
        <v>18.407399999999999</v>
      </c>
      <c r="L431" s="17">
        <f>CHOOSE(CONTROL!$C$42, 19.069, 19.069) * CHOOSE(CONTROL!$C$21, $C$9, 100%, $E$9)</f>
        <v>19.068999999999999</v>
      </c>
      <c r="M431" s="17">
        <f>CHOOSE(CONTROL!$C$42, 18.1813, 18.1813) * CHOOSE(CONTROL!$C$21, $C$9, 100%, $E$9)</f>
        <v>18.1813</v>
      </c>
      <c r="N431" s="17">
        <f>CHOOSE(CONTROL!$C$42, 18.1978, 18.1978) * CHOOSE(CONTROL!$C$21, $C$9, 100%, $E$9)</f>
        <v>18.197800000000001</v>
      </c>
      <c r="O431" s="17">
        <f>CHOOSE(CONTROL!$C$42, 18.3227, 18.3227) * CHOOSE(CONTROL!$C$21, $C$9, 100%, $E$9)</f>
        <v>18.322700000000001</v>
      </c>
      <c r="P431" s="17">
        <f>CHOOSE(CONTROL!$C$42, 18.2544, 18.2544) * CHOOSE(CONTROL!$C$21, $C$9, 100%, $E$9)</f>
        <v>18.2544</v>
      </c>
      <c r="Q431" s="17">
        <f>CHOOSE(CONTROL!$C$42, 18.9174, 18.9174) * CHOOSE(CONTROL!$C$21, $C$9, 100%, $E$9)</f>
        <v>18.917400000000001</v>
      </c>
      <c r="R431" s="17">
        <f>CHOOSE(CONTROL!$C$42, 19.5517, 19.5517) * CHOOSE(CONTROL!$C$21, $C$9, 100%, $E$9)</f>
        <v>19.5517</v>
      </c>
      <c r="S431" s="17">
        <f>CHOOSE(CONTROL!$C$42, 17.7667, 17.7667) * CHOOSE(CONTROL!$C$21, $C$9, 100%, $E$9)</f>
        <v>17.7667</v>
      </c>
      <c r="T431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431" s="57">
        <f>(1000*CHOOSE(CONTROL!$C$42, 695, 695)*CHOOSE(CONTROL!$C$42, 0.5599, 0.5599)*CHOOSE(CONTROL!$C$42, 30, 30))/1000000</f>
        <v>11.673914999999997</v>
      </c>
      <c r="V431" s="57">
        <f>(1000*CHOOSE(CONTROL!$C$42, 500, 500)*CHOOSE(CONTROL!$C$42, 0.275, 0.275)*CHOOSE(CONTROL!$C$42, 30, 30))/1000000</f>
        <v>4.125</v>
      </c>
      <c r="W431" s="57">
        <f>(1000*CHOOSE(CONTROL!$C$42, 0.0916, 0.0916)*CHOOSE(CONTROL!$C$42, 121.5, 121.5)*CHOOSE(CONTROL!$C$42, 30, 30))/1000000</f>
        <v>0.33388200000000001</v>
      </c>
      <c r="X431" s="57">
        <f>(30*0.2374*100000/1000000)</f>
        <v>0.71220000000000006</v>
      </c>
      <c r="Y431" s="57"/>
      <c r="Z431" s="17"/>
      <c r="AA431" s="56"/>
      <c r="AB431" s="49">
        <f>(B431*122.58+C431*297.941+D431*89.177+E431*140.302+F431*40+G431*60+H431*0+I431*100+J431*300)/(122.58+297.941+89.177+140.302+0+40+60+100+300)</f>
        <v>18.373807108695651</v>
      </c>
      <c r="AC431" s="46">
        <f>(M431*'RAP TEMPLATE-GAS AVAILABILITY'!O430+N431*'RAP TEMPLATE-GAS AVAILABILITY'!P430+O431*'RAP TEMPLATE-GAS AVAILABILITY'!Q430+P431*'RAP TEMPLATE-GAS AVAILABILITY'!R430)/('RAP TEMPLATE-GAS AVAILABILITY'!O430+'RAP TEMPLATE-GAS AVAILABILITY'!P430+'RAP TEMPLATE-GAS AVAILABILITY'!Q430+'RAP TEMPLATE-GAS AVAILABILITY'!R430)</f>
        <v>18.256855395683456</v>
      </c>
    </row>
    <row r="432" spans="1:29" ht="15.75" x14ac:dyDescent="0.25">
      <c r="A432" s="14">
        <v>54057</v>
      </c>
      <c r="B432" s="17">
        <f>CHOOSE(CONTROL!$C$42, 19.5807, 19.5807) * CHOOSE(CONTROL!$C$21, $C$9, 100%, $E$9)</f>
        <v>19.5807</v>
      </c>
      <c r="C432" s="17">
        <f>CHOOSE(CONTROL!$C$42, 19.5858, 19.5858) * CHOOSE(CONTROL!$C$21, $C$9, 100%, $E$9)</f>
        <v>19.585799999999999</v>
      </c>
      <c r="D432" s="17">
        <f>CHOOSE(CONTROL!$C$42, 19.7084, 19.7084) * CHOOSE(CONTROL!$C$21, $C$9, 100%, $E$9)</f>
        <v>19.708400000000001</v>
      </c>
      <c r="E432" s="17">
        <f>CHOOSE(CONTROL!$C$42, 19.7422, 19.7422) * CHOOSE(CONTROL!$C$21, $C$9, 100%, $E$9)</f>
        <v>19.7422</v>
      </c>
      <c r="F432" s="17">
        <f>CHOOSE(CONTROL!$C$42, 19.5982, 19.5982)*CHOOSE(CONTROL!$C$21, $C$9, 100%, $E$9)</f>
        <v>19.598199999999999</v>
      </c>
      <c r="G432" s="17">
        <f>CHOOSE(CONTROL!$C$42, 19.6155, 19.6155)*CHOOSE(CONTROL!$C$21, $C$9, 100%, $E$9)</f>
        <v>19.615500000000001</v>
      </c>
      <c r="H432" s="17">
        <f>CHOOSE(CONTROL!$C$42, 19.7311, 19.7311) * CHOOSE(CONTROL!$C$21, $C$9, 100%, $E$9)</f>
        <v>19.731100000000001</v>
      </c>
      <c r="I432" s="17">
        <f>CHOOSE(CONTROL!$C$42, 19.6665, 19.6665)* CHOOSE(CONTROL!$C$21, $C$9, 100%, $E$9)</f>
        <v>19.666499999999999</v>
      </c>
      <c r="J432" s="17">
        <f>CHOOSE(CONTROL!$C$42, 19.5908, 19.5908)* CHOOSE(CONTROL!$C$21, $C$9, 100%, $E$9)</f>
        <v>19.590800000000002</v>
      </c>
      <c r="K432" s="53">
        <f>CHOOSE(CONTROL!$C$42, 19.6604, 19.6604) * CHOOSE(CONTROL!$C$21, $C$9, 100%, $E$9)</f>
        <v>19.660399999999999</v>
      </c>
      <c r="L432" s="17">
        <f>CHOOSE(CONTROL!$C$42, 20.3181, 20.3181) * CHOOSE(CONTROL!$C$21, $C$9, 100%, $E$9)</f>
        <v>20.318100000000001</v>
      </c>
      <c r="M432" s="17">
        <f>CHOOSE(CONTROL!$C$42, 19.4216, 19.4216) * CHOOSE(CONTROL!$C$21, $C$9, 100%, $E$9)</f>
        <v>19.421600000000002</v>
      </c>
      <c r="N432" s="17">
        <f>CHOOSE(CONTROL!$C$42, 19.4387, 19.4387) * CHOOSE(CONTROL!$C$21, $C$9, 100%, $E$9)</f>
        <v>19.438700000000001</v>
      </c>
      <c r="O432" s="17">
        <f>CHOOSE(CONTROL!$C$42, 19.5606, 19.5606) * CHOOSE(CONTROL!$C$21, $C$9, 100%, $E$9)</f>
        <v>19.560600000000001</v>
      </c>
      <c r="P432" s="17">
        <f>CHOOSE(CONTROL!$C$42, 19.4961, 19.4961) * CHOOSE(CONTROL!$C$21, $C$9, 100%, $E$9)</f>
        <v>19.496099999999998</v>
      </c>
      <c r="Q432" s="17">
        <f>CHOOSE(CONTROL!$C$42, 20.1553, 20.1553) * CHOOSE(CONTROL!$C$21, $C$9, 100%, $E$9)</f>
        <v>20.1553</v>
      </c>
      <c r="R432" s="17">
        <f>CHOOSE(CONTROL!$C$42, 20.7927, 20.7927) * CHOOSE(CONTROL!$C$21, $C$9, 100%, $E$9)</f>
        <v>20.7927</v>
      </c>
      <c r="S432" s="17">
        <f>CHOOSE(CONTROL!$C$42, 18.9779, 18.9779) * CHOOSE(CONTROL!$C$21, $C$9, 100%, $E$9)</f>
        <v>18.977900000000002</v>
      </c>
      <c r="T432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432" s="57">
        <f>(1000*CHOOSE(CONTROL!$C$42, 695, 695)*CHOOSE(CONTROL!$C$42, 0.5599, 0.5599)*CHOOSE(CONTROL!$C$42, 31, 31))/1000000</f>
        <v>12.063045499999998</v>
      </c>
      <c r="V432" s="57">
        <f>(1000*CHOOSE(CONTROL!$C$42, 500, 500)*CHOOSE(CONTROL!$C$42, 0.275, 0.275)*CHOOSE(CONTROL!$C$42, 31, 31))/1000000</f>
        <v>4.2625000000000002</v>
      </c>
      <c r="W432" s="57">
        <f>(1000*CHOOSE(CONTROL!$C$42, 0.0916, 0.0916)*CHOOSE(CONTROL!$C$42, 121.5, 121.5)*CHOOSE(CONTROL!$C$42, 31, 31))/1000000</f>
        <v>0.34501139999999997</v>
      </c>
      <c r="X432" s="57">
        <f>(31*0.2374*100000/1000000)</f>
        <v>0.73594000000000004</v>
      </c>
      <c r="Y432" s="57"/>
      <c r="Z432" s="17"/>
      <c r="AA432" s="56"/>
      <c r="AB432" s="49">
        <f>(B432*122.58+C432*297.941+D432*89.177+E432*140.302+F432*40+G432*60+H432*0+I432*100+J432*300)/(122.58+297.941+89.177+140.302+0+40+60+100+300)</f>
        <v>19.624147108695652</v>
      </c>
      <c r="AC432" s="46">
        <f>(M432*'RAP TEMPLATE-GAS AVAILABILITY'!O431+N432*'RAP TEMPLATE-GAS AVAILABILITY'!P431+O432*'RAP TEMPLATE-GAS AVAILABILITY'!Q431+P432*'RAP TEMPLATE-GAS AVAILABILITY'!R431)/('RAP TEMPLATE-GAS AVAILABILITY'!O431+'RAP TEMPLATE-GAS AVAILABILITY'!P431+'RAP TEMPLATE-GAS AVAILABILITY'!Q431+'RAP TEMPLATE-GAS AVAILABILITY'!R431)</f>
        <v>19.496303597122303</v>
      </c>
    </row>
    <row r="433" spans="1:29" ht="15.75" x14ac:dyDescent="0.25">
      <c r="A433" s="14">
        <v>54088</v>
      </c>
      <c r="B433" s="17">
        <f>CHOOSE(CONTROL!$C$42, 21.2031, 21.2031) * CHOOSE(CONTROL!$C$21, $C$9, 100%, $E$9)</f>
        <v>21.203099999999999</v>
      </c>
      <c r="C433" s="17">
        <f>CHOOSE(CONTROL!$C$42, 21.2082, 21.2082) * CHOOSE(CONTROL!$C$21, $C$9, 100%, $E$9)</f>
        <v>21.208200000000001</v>
      </c>
      <c r="D433" s="17">
        <f>CHOOSE(CONTROL!$C$42, 21.3257, 21.3257) * CHOOSE(CONTROL!$C$21, $C$9, 100%, $E$9)</f>
        <v>21.325700000000001</v>
      </c>
      <c r="E433" s="17">
        <f>CHOOSE(CONTROL!$C$42, 21.3594, 21.3594) * CHOOSE(CONTROL!$C$21, $C$9, 100%, $E$9)</f>
        <v>21.359400000000001</v>
      </c>
      <c r="F433" s="17">
        <f>CHOOSE(CONTROL!$C$42, 21.2168, 21.2168)*CHOOSE(CONTROL!$C$21, $C$9, 100%, $E$9)</f>
        <v>21.216799999999999</v>
      </c>
      <c r="G433" s="17">
        <f>CHOOSE(CONTROL!$C$42, 21.2331, 21.2331)*CHOOSE(CONTROL!$C$21, $C$9, 100%, $E$9)</f>
        <v>21.2331</v>
      </c>
      <c r="H433" s="17">
        <f>CHOOSE(CONTROL!$C$42, 21.3483, 21.3483) * CHOOSE(CONTROL!$C$21, $C$9, 100%, $E$9)</f>
        <v>21.348299999999998</v>
      </c>
      <c r="I433" s="17">
        <f>CHOOSE(CONTROL!$C$42, 21.2923, 21.2923)* CHOOSE(CONTROL!$C$21, $C$9, 100%, $E$9)</f>
        <v>21.292300000000001</v>
      </c>
      <c r="J433" s="17">
        <f>CHOOSE(CONTROL!$C$42, 21.2094, 21.2094)* CHOOSE(CONTROL!$C$21, $C$9, 100%, $E$9)</f>
        <v>21.209399999999999</v>
      </c>
      <c r="K433" s="53">
        <f>CHOOSE(CONTROL!$C$42, 21.2863, 21.2863) * CHOOSE(CONTROL!$C$21, $C$9, 100%, $E$9)</f>
        <v>21.286300000000001</v>
      </c>
      <c r="L433" s="17">
        <f>CHOOSE(CONTROL!$C$42, 21.9353, 21.9353) * CHOOSE(CONTROL!$C$21, $C$9, 100%, $E$9)</f>
        <v>21.935300000000002</v>
      </c>
      <c r="M433" s="17">
        <f>CHOOSE(CONTROL!$C$42, 21.0256, 21.0256) * CHOOSE(CONTROL!$C$21, $C$9, 100%, $E$9)</f>
        <v>21.025600000000001</v>
      </c>
      <c r="N433" s="17">
        <f>CHOOSE(CONTROL!$C$42, 21.0418, 21.0418) * CHOOSE(CONTROL!$C$21, $C$9, 100%, $E$9)</f>
        <v>21.041799999999999</v>
      </c>
      <c r="O433" s="17">
        <f>CHOOSE(CONTROL!$C$42, 21.1633, 21.1633) * CHOOSE(CONTROL!$C$21, $C$9, 100%, $E$9)</f>
        <v>21.1633</v>
      </c>
      <c r="P433" s="17">
        <f>CHOOSE(CONTROL!$C$42, 21.1073, 21.1073) * CHOOSE(CONTROL!$C$21, $C$9, 100%, $E$9)</f>
        <v>21.107299999999999</v>
      </c>
      <c r="Q433" s="17">
        <f>CHOOSE(CONTROL!$C$42, 21.758, 21.758) * CHOOSE(CONTROL!$C$21, $C$9, 100%, $E$9)</f>
        <v>21.757999999999999</v>
      </c>
      <c r="R433" s="17">
        <f>CHOOSE(CONTROL!$C$42, 22.3994, 22.3994) * CHOOSE(CONTROL!$C$21, $C$9, 100%, $E$9)</f>
        <v>22.3994</v>
      </c>
      <c r="S433" s="17">
        <f>CHOOSE(CONTROL!$C$42, 20.5512, 20.5512) * CHOOSE(CONTROL!$C$21, $C$9, 100%, $E$9)</f>
        <v>20.551200000000001</v>
      </c>
      <c r="T433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433" s="57">
        <f>(1000*CHOOSE(CONTROL!$C$42, 695, 695)*CHOOSE(CONTROL!$C$42, 0.5599, 0.5599)*CHOOSE(CONTROL!$C$42, 31, 31))/1000000</f>
        <v>12.063045499999998</v>
      </c>
      <c r="V433" s="57">
        <f>(1000*CHOOSE(CONTROL!$C$42, 500, 500)*CHOOSE(CONTROL!$C$42, 0.275, 0.275)*CHOOSE(CONTROL!$C$42, 31, 31))/1000000</f>
        <v>4.2625000000000002</v>
      </c>
      <c r="W433" s="57">
        <f>(1000*CHOOSE(CONTROL!$C$42, 0.0916, 0.0916)*CHOOSE(CONTROL!$C$42, 121.5, 121.5)*CHOOSE(CONTROL!$C$42, 31, 31))/1000000</f>
        <v>0.34501139999999997</v>
      </c>
      <c r="X433" s="57">
        <f>(31*0.2374*100000/1000000)</f>
        <v>0.73594000000000004</v>
      </c>
      <c r="Y433" s="57"/>
      <c r="Z433" s="17"/>
      <c r="AA433" s="56"/>
      <c r="AB433" s="49">
        <f>(B433*122.58+C433*297.941+D433*89.177+E433*140.302+F433*40+G433*60+H433*0+I433*100+J433*300)/(122.58+297.941+89.177+140.302+0+40+60+100+300)</f>
        <v>21.244438958173912</v>
      </c>
      <c r="AC433" s="46">
        <f>(M433*'RAP TEMPLATE-GAS AVAILABILITY'!O432+N433*'RAP TEMPLATE-GAS AVAILABILITY'!P432+O433*'RAP TEMPLATE-GAS AVAILABILITY'!Q432+P433*'RAP TEMPLATE-GAS AVAILABILITY'!R432)/('RAP TEMPLATE-GAS AVAILABILITY'!O432+'RAP TEMPLATE-GAS AVAILABILITY'!P432+'RAP TEMPLATE-GAS AVAILABILITY'!Q432+'RAP TEMPLATE-GAS AVAILABILITY'!R432)</f>
        <v>21.100698561151077</v>
      </c>
    </row>
    <row r="434" spans="1:29" ht="15.75" x14ac:dyDescent="0.25">
      <c r="A434" s="14">
        <v>54116</v>
      </c>
      <c r="B434" s="17">
        <f>CHOOSE(CONTROL!$C$42, 21.5804, 21.5804) * CHOOSE(CONTROL!$C$21, $C$9, 100%, $E$9)</f>
        <v>21.580400000000001</v>
      </c>
      <c r="C434" s="17">
        <f>CHOOSE(CONTROL!$C$42, 21.5855, 21.5855) * CHOOSE(CONTROL!$C$21, $C$9, 100%, $E$9)</f>
        <v>21.5855</v>
      </c>
      <c r="D434" s="17">
        <f>CHOOSE(CONTROL!$C$42, 21.7029, 21.7029) * CHOOSE(CONTROL!$C$21, $C$9, 100%, $E$9)</f>
        <v>21.7029</v>
      </c>
      <c r="E434" s="17">
        <f>CHOOSE(CONTROL!$C$42, 21.7367, 21.7367) * CHOOSE(CONTROL!$C$21, $C$9, 100%, $E$9)</f>
        <v>21.736699999999999</v>
      </c>
      <c r="F434" s="17">
        <f>CHOOSE(CONTROL!$C$42, 21.594, 21.594)*CHOOSE(CONTROL!$C$21, $C$9, 100%, $E$9)</f>
        <v>21.594000000000001</v>
      </c>
      <c r="G434" s="17">
        <f>CHOOSE(CONTROL!$C$42, 21.6103, 21.6103)*CHOOSE(CONTROL!$C$21, $C$9, 100%, $E$9)</f>
        <v>21.610299999999999</v>
      </c>
      <c r="H434" s="17">
        <f>CHOOSE(CONTROL!$C$42, 21.7256, 21.7256) * CHOOSE(CONTROL!$C$21, $C$9, 100%, $E$9)</f>
        <v>21.7256</v>
      </c>
      <c r="I434" s="17">
        <f>CHOOSE(CONTROL!$C$42, 21.6708, 21.6708)* CHOOSE(CONTROL!$C$21, $C$9, 100%, $E$9)</f>
        <v>21.6708</v>
      </c>
      <c r="J434" s="17">
        <f>CHOOSE(CONTROL!$C$42, 21.5866, 21.5866)* CHOOSE(CONTROL!$C$21, $C$9, 100%, $E$9)</f>
        <v>21.586600000000001</v>
      </c>
      <c r="K434" s="53">
        <f>CHOOSE(CONTROL!$C$42, 21.6647, 21.6647) * CHOOSE(CONTROL!$C$21, $C$9, 100%, $E$9)</f>
        <v>21.6647</v>
      </c>
      <c r="L434" s="17">
        <f>CHOOSE(CONTROL!$C$42, 22.3126, 22.3126) * CHOOSE(CONTROL!$C$21, $C$9, 100%, $E$9)</f>
        <v>22.3126</v>
      </c>
      <c r="M434" s="17">
        <f>CHOOSE(CONTROL!$C$42, 21.3995, 21.3995) * CHOOSE(CONTROL!$C$21, $C$9, 100%, $E$9)</f>
        <v>21.3995</v>
      </c>
      <c r="N434" s="17">
        <f>CHOOSE(CONTROL!$C$42, 21.4157, 21.4157) * CHOOSE(CONTROL!$C$21, $C$9, 100%, $E$9)</f>
        <v>21.415700000000001</v>
      </c>
      <c r="O434" s="17">
        <f>CHOOSE(CONTROL!$C$42, 21.5372, 21.5372) * CHOOSE(CONTROL!$C$21, $C$9, 100%, $E$9)</f>
        <v>21.537199999999999</v>
      </c>
      <c r="P434" s="17">
        <f>CHOOSE(CONTROL!$C$42, 21.4823, 21.4823) * CHOOSE(CONTROL!$C$21, $C$9, 100%, $E$9)</f>
        <v>21.482299999999999</v>
      </c>
      <c r="Q434" s="17">
        <f>CHOOSE(CONTROL!$C$42, 22.1319, 22.1319) * CHOOSE(CONTROL!$C$21, $C$9, 100%, $E$9)</f>
        <v>22.131900000000002</v>
      </c>
      <c r="R434" s="17">
        <f>CHOOSE(CONTROL!$C$42, 22.7742, 22.7742) * CHOOSE(CONTROL!$C$21, $C$9, 100%, $E$9)</f>
        <v>22.7742</v>
      </c>
      <c r="S434" s="17">
        <f>CHOOSE(CONTROL!$C$42, 20.917, 20.917) * CHOOSE(CONTROL!$C$21, $C$9, 100%, $E$9)</f>
        <v>20.917000000000002</v>
      </c>
      <c r="T434" s="57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434" s="57">
        <f>(1000*CHOOSE(CONTROL!$C$42, 695, 695)*CHOOSE(CONTROL!$C$42, 0.5599, 0.5599)*CHOOSE(CONTROL!$C$42, 29, 29))/1000000</f>
        <v>11.284784499999999</v>
      </c>
      <c r="V434" s="57">
        <f>(1000*CHOOSE(CONTROL!$C$42, 500, 500)*CHOOSE(CONTROL!$C$42, 0.275, 0.275)*CHOOSE(CONTROL!$C$42, 29, 29))/1000000</f>
        <v>3.9874999999999998</v>
      </c>
      <c r="W434" s="57">
        <f>(1000*CHOOSE(CONTROL!$C$42, 0.0916, 0.0916)*CHOOSE(CONTROL!$C$42, 121.5, 121.5)*CHOOSE(CONTROL!$C$42, 29, 29))/1000000</f>
        <v>0.3227526</v>
      </c>
      <c r="X434" s="57">
        <f>(29*0.2374*100000/1000000)</f>
        <v>0.68845999999999996</v>
      </c>
      <c r="Y434" s="57"/>
      <c r="Z434" s="17"/>
      <c r="AA434" s="56"/>
      <c r="AB434" s="49">
        <f>(B434*122.58+C434*297.941+D434*89.177+E434*140.302+F434*40+G434*60+H434*0+I434*100+J434*300)/(122.58+297.941+89.177+140.302+0+40+60+100+300)</f>
        <v>21.621800768869566</v>
      </c>
      <c r="AC434" s="46">
        <f>(M434*'RAP TEMPLATE-GAS AVAILABILITY'!O433+N434*'RAP TEMPLATE-GAS AVAILABILITY'!P433+O434*'RAP TEMPLATE-GAS AVAILABILITY'!Q433+P434*'RAP TEMPLATE-GAS AVAILABILITY'!R433)/('RAP TEMPLATE-GAS AVAILABILITY'!O433+'RAP TEMPLATE-GAS AVAILABILITY'!P433+'RAP TEMPLATE-GAS AVAILABILITY'!Q433+'RAP TEMPLATE-GAS AVAILABILITY'!R433)</f>
        <v>21.474756834532371</v>
      </c>
    </row>
    <row r="435" spans="1:29" ht="15.75" x14ac:dyDescent="0.25">
      <c r="A435" s="14">
        <v>54148</v>
      </c>
      <c r="B435" s="17">
        <f>CHOOSE(CONTROL!$C$42, 20.968, 20.968) * CHOOSE(CONTROL!$C$21, $C$9, 100%, $E$9)</f>
        <v>20.968</v>
      </c>
      <c r="C435" s="17">
        <f>CHOOSE(CONTROL!$C$42, 20.9731, 20.9731) * CHOOSE(CONTROL!$C$21, $C$9, 100%, $E$9)</f>
        <v>20.973099999999999</v>
      </c>
      <c r="D435" s="17">
        <f>CHOOSE(CONTROL!$C$42, 21.0905, 21.0905) * CHOOSE(CONTROL!$C$21, $C$9, 100%, $E$9)</f>
        <v>21.090499999999999</v>
      </c>
      <c r="E435" s="17">
        <f>CHOOSE(CONTROL!$C$42, 21.1243, 21.1243) * CHOOSE(CONTROL!$C$21, $C$9, 100%, $E$9)</f>
        <v>21.124300000000002</v>
      </c>
      <c r="F435" s="17">
        <f>CHOOSE(CONTROL!$C$42, 20.981, 20.981)*CHOOSE(CONTROL!$C$21, $C$9, 100%, $E$9)</f>
        <v>20.981000000000002</v>
      </c>
      <c r="G435" s="17">
        <f>CHOOSE(CONTROL!$C$42, 20.9971, 20.9971)*CHOOSE(CONTROL!$C$21, $C$9, 100%, $E$9)</f>
        <v>20.9971</v>
      </c>
      <c r="H435" s="17">
        <f>CHOOSE(CONTROL!$C$42, 21.1132, 21.1132) * CHOOSE(CONTROL!$C$21, $C$9, 100%, $E$9)</f>
        <v>21.113199999999999</v>
      </c>
      <c r="I435" s="17">
        <f>CHOOSE(CONTROL!$C$42, 21.0565, 21.0565)* CHOOSE(CONTROL!$C$21, $C$9, 100%, $E$9)</f>
        <v>21.0565</v>
      </c>
      <c r="J435" s="17">
        <f>CHOOSE(CONTROL!$C$42, 20.9736, 20.9736)* CHOOSE(CONTROL!$C$21, $C$9, 100%, $E$9)</f>
        <v>20.973600000000001</v>
      </c>
      <c r="K435" s="53">
        <f>CHOOSE(CONTROL!$C$42, 21.0504, 21.0504) * CHOOSE(CONTROL!$C$21, $C$9, 100%, $E$9)</f>
        <v>21.0504</v>
      </c>
      <c r="L435" s="17">
        <f>CHOOSE(CONTROL!$C$42, 21.7002, 21.7002) * CHOOSE(CONTROL!$C$21, $C$9, 100%, $E$9)</f>
        <v>21.700199999999999</v>
      </c>
      <c r="M435" s="17">
        <f>CHOOSE(CONTROL!$C$42, 20.792, 20.792) * CHOOSE(CONTROL!$C$21, $C$9, 100%, $E$9)</f>
        <v>20.792000000000002</v>
      </c>
      <c r="N435" s="17">
        <f>CHOOSE(CONTROL!$C$42, 20.808, 20.808) * CHOOSE(CONTROL!$C$21, $C$9, 100%, $E$9)</f>
        <v>20.808</v>
      </c>
      <c r="O435" s="17">
        <f>CHOOSE(CONTROL!$C$42, 20.9303, 20.9303) * CHOOSE(CONTROL!$C$21, $C$9, 100%, $E$9)</f>
        <v>20.930299999999999</v>
      </c>
      <c r="P435" s="17">
        <f>CHOOSE(CONTROL!$C$42, 20.8736, 20.8736) * CHOOSE(CONTROL!$C$21, $C$9, 100%, $E$9)</f>
        <v>20.8736</v>
      </c>
      <c r="Q435" s="17">
        <f>CHOOSE(CONTROL!$C$42, 21.525, 21.525) * CHOOSE(CONTROL!$C$21, $C$9, 100%, $E$9)</f>
        <v>21.524999999999999</v>
      </c>
      <c r="R435" s="17">
        <f>CHOOSE(CONTROL!$C$42, 22.1658, 22.1658) * CHOOSE(CONTROL!$C$21, $C$9, 100%, $E$9)</f>
        <v>22.165800000000001</v>
      </c>
      <c r="S435" s="17">
        <f>CHOOSE(CONTROL!$C$42, 20.3232, 20.3232) * CHOOSE(CONTROL!$C$21, $C$9, 100%, $E$9)</f>
        <v>20.3232</v>
      </c>
      <c r="T435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435" s="57">
        <f>(1000*CHOOSE(CONTROL!$C$42, 695, 695)*CHOOSE(CONTROL!$C$42, 0.5599, 0.5599)*CHOOSE(CONTROL!$C$42, 31, 31))/1000000</f>
        <v>12.063045499999998</v>
      </c>
      <c r="V435" s="57">
        <f>(1000*CHOOSE(CONTROL!$C$42, 500, 500)*CHOOSE(CONTROL!$C$42, 0.275, 0.275)*CHOOSE(CONTROL!$C$42, 31, 31))/1000000</f>
        <v>4.2625000000000002</v>
      </c>
      <c r="W435" s="57">
        <f>(1000*CHOOSE(CONTROL!$C$42, 0.0916, 0.0916)*CHOOSE(CONTROL!$C$42, 121.5, 121.5)*CHOOSE(CONTROL!$C$42, 31, 31))/1000000</f>
        <v>0.34501139999999997</v>
      </c>
      <c r="X435" s="57">
        <f>(31*0.2374*100000/1000000)</f>
        <v>0.73594000000000004</v>
      </c>
      <c r="Y435" s="57"/>
      <c r="Z435" s="17"/>
      <c r="AA435" s="56"/>
      <c r="AB435" s="49">
        <f>(B435*122.58+C435*297.941+D435*89.177+E435*140.302+F435*40+G435*60+H435*0+I435*100+J435*300)/(122.58+297.941+89.177+140.302+0+40+60+100+300)</f>
        <v>21.009016421043476</v>
      </c>
      <c r="AC435" s="46">
        <f>(M435*'RAP TEMPLATE-GAS AVAILABILITY'!O434+N435*'RAP TEMPLATE-GAS AVAILABILITY'!P434+O435*'RAP TEMPLATE-GAS AVAILABILITY'!Q434+P435*'RAP TEMPLATE-GAS AVAILABILITY'!R434)/('RAP TEMPLATE-GAS AVAILABILITY'!O434+'RAP TEMPLATE-GAS AVAILABILITY'!P434+'RAP TEMPLATE-GAS AVAILABILITY'!Q434+'RAP TEMPLATE-GAS AVAILABILITY'!R434)</f>
        <v>20.867344604316546</v>
      </c>
    </row>
    <row r="436" spans="1:29" ht="15.75" x14ac:dyDescent="0.25">
      <c r="A436" s="14">
        <v>54178</v>
      </c>
      <c r="B436" s="17">
        <f>CHOOSE(CONTROL!$C$42, 20.9062, 20.9062) * CHOOSE(CONTROL!$C$21, $C$9, 100%, $E$9)</f>
        <v>20.906199999999998</v>
      </c>
      <c r="C436" s="17">
        <f>CHOOSE(CONTROL!$C$42, 20.9108, 20.9108) * CHOOSE(CONTROL!$C$21, $C$9, 100%, $E$9)</f>
        <v>20.910799999999998</v>
      </c>
      <c r="D436" s="17">
        <f>CHOOSE(CONTROL!$C$42, 21.1635, 21.1635) * CHOOSE(CONTROL!$C$21, $C$9, 100%, $E$9)</f>
        <v>21.163499999999999</v>
      </c>
      <c r="E436" s="17">
        <f>CHOOSE(CONTROL!$C$42, 21.1953, 21.1953) * CHOOSE(CONTROL!$C$21, $C$9, 100%, $E$9)</f>
        <v>21.1953</v>
      </c>
      <c r="F436" s="17">
        <f>CHOOSE(CONTROL!$C$42, 20.9122, 20.9122)*CHOOSE(CONTROL!$C$21, $C$9, 100%, $E$9)</f>
        <v>20.912199999999999</v>
      </c>
      <c r="G436" s="17">
        <f>CHOOSE(CONTROL!$C$42, 20.9281, 20.9281)*CHOOSE(CONTROL!$C$21, $C$9, 100%, $E$9)</f>
        <v>20.928100000000001</v>
      </c>
      <c r="H436" s="17">
        <f>CHOOSE(CONTROL!$C$42, 21.1847, 21.1847) * CHOOSE(CONTROL!$C$21, $C$9, 100%, $E$9)</f>
        <v>21.184699999999999</v>
      </c>
      <c r="I436" s="17">
        <f>CHOOSE(CONTROL!$C$42, 20.9927, 20.9927)* CHOOSE(CONTROL!$C$21, $C$9, 100%, $E$9)</f>
        <v>20.992699999999999</v>
      </c>
      <c r="J436" s="17">
        <f>CHOOSE(CONTROL!$C$42, 20.9048, 20.9048)* CHOOSE(CONTROL!$C$21, $C$9, 100%, $E$9)</f>
        <v>20.904800000000002</v>
      </c>
      <c r="K436" s="53">
        <f>CHOOSE(CONTROL!$C$42, 20.9867, 20.9867) * CHOOSE(CONTROL!$C$21, $C$9, 100%, $E$9)</f>
        <v>20.986699999999999</v>
      </c>
      <c r="L436" s="17">
        <f>CHOOSE(CONTROL!$C$42, 21.7717, 21.7717) * CHOOSE(CONTROL!$C$21, $C$9, 100%, $E$9)</f>
        <v>21.771699999999999</v>
      </c>
      <c r="M436" s="17">
        <f>CHOOSE(CONTROL!$C$42, 20.7238, 20.7238) * CHOOSE(CONTROL!$C$21, $C$9, 100%, $E$9)</f>
        <v>20.723800000000001</v>
      </c>
      <c r="N436" s="17">
        <f>CHOOSE(CONTROL!$C$42, 20.7395, 20.7395) * CHOOSE(CONTROL!$C$21, $C$9, 100%, $E$9)</f>
        <v>20.7395</v>
      </c>
      <c r="O436" s="17">
        <f>CHOOSE(CONTROL!$C$42, 21.0012, 21.0012) * CHOOSE(CONTROL!$C$21, $C$9, 100%, $E$9)</f>
        <v>21.001200000000001</v>
      </c>
      <c r="P436" s="17">
        <f>CHOOSE(CONTROL!$C$42, 20.8104, 20.8104) * CHOOSE(CONTROL!$C$21, $C$9, 100%, $E$9)</f>
        <v>20.810400000000001</v>
      </c>
      <c r="Q436" s="17">
        <f>CHOOSE(CONTROL!$C$42, 21.5959, 21.5959) * CHOOSE(CONTROL!$C$21, $C$9, 100%, $E$9)</f>
        <v>21.5959</v>
      </c>
      <c r="R436" s="17">
        <f>CHOOSE(CONTROL!$C$42, 22.2369, 22.2369) * CHOOSE(CONTROL!$C$21, $C$9, 100%, $E$9)</f>
        <v>22.236899999999999</v>
      </c>
      <c r="S436" s="17">
        <f>CHOOSE(CONTROL!$C$42, 20.2625, 20.2625) * CHOOSE(CONTROL!$C$21, $C$9, 100%, $E$9)</f>
        <v>20.262499999999999</v>
      </c>
      <c r="T436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436" s="57">
        <f>(1000*CHOOSE(CONTROL!$C$42, 695, 695)*CHOOSE(CONTROL!$C$42, 0.5599, 0.5599)*CHOOSE(CONTROL!$C$42, 30, 30))/1000000</f>
        <v>11.673914999999997</v>
      </c>
      <c r="V436" s="57">
        <f>(1000*CHOOSE(CONTROL!$C$42, 500, 500)*CHOOSE(CONTROL!$C$42, 0.275, 0.275)*CHOOSE(CONTROL!$C$42, 30, 30))/1000000</f>
        <v>4.125</v>
      </c>
      <c r="W436" s="57">
        <f>(1000*CHOOSE(CONTROL!$C$42, 0.0916, 0.0916)*CHOOSE(CONTROL!$C$42, 121.5, 121.5)*CHOOSE(CONTROL!$C$42, 30, 30))/1000000</f>
        <v>0.33388200000000001</v>
      </c>
      <c r="X436" s="57">
        <f>(30*0.1790888*145000/1000000)+(30*0.2374*100000/1000000)</f>
        <v>1.4912362799999999</v>
      </c>
      <c r="Y436" s="57"/>
      <c r="Z436" s="17"/>
      <c r="AA436" s="56"/>
      <c r="AB436" s="49">
        <f>(B436*141.293+C436*267.993+D436*115.016+E436*189.698+F436*40+G436*85+H436*0+I436*100+J436*300)/(141.293+267.993+115.016+189.698+0+40+85+100+300)</f>
        <v>20.983681498305085</v>
      </c>
      <c r="AC436" s="46">
        <f>(M436*'RAP TEMPLATE-GAS AVAILABILITY'!O435+N436*'RAP TEMPLATE-GAS AVAILABILITY'!P435+O436*'RAP TEMPLATE-GAS AVAILABILITY'!Q435+P436*'RAP TEMPLATE-GAS AVAILABILITY'!R435)/('RAP TEMPLATE-GAS AVAILABILITY'!O435+'RAP TEMPLATE-GAS AVAILABILITY'!P435+'RAP TEMPLATE-GAS AVAILABILITY'!Q435+'RAP TEMPLATE-GAS AVAILABILITY'!R435)</f>
        <v>20.817706474820145</v>
      </c>
    </row>
    <row r="437" spans="1:29" ht="15.75" x14ac:dyDescent="0.25">
      <c r="A437" s="14">
        <v>54209</v>
      </c>
      <c r="B437" s="17">
        <f>CHOOSE(CONTROL!$C$42, 21.092, 21.092) * CHOOSE(CONTROL!$C$21, $C$9, 100%, $E$9)</f>
        <v>21.091999999999999</v>
      </c>
      <c r="C437" s="17">
        <f>CHOOSE(CONTROL!$C$42, 21.1, 21.1) * CHOOSE(CONTROL!$C$21, $C$9, 100%, $E$9)</f>
        <v>21.1</v>
      </c>
      <c r="D437" s="17">
        <f>CHOOSE(CONTROL!$C$42, 21.3496, 21.3496) * CHOOSE(CONTROL!$C$21, $C$9, 100%, $E$9)</f>
        <v>21.349599999999999</v>
      </c>
      <c r="E437" s="17">
        <f>CHOOSE(CONTROL!$C$42, 21.3808, 21.3808) * CHOOSE(CONTROL!$C$21, $C$9, 100%, $E$9)</f>
        <v>21.380800000000001</v>
      </c>
      <c r="F437" s="17">
        <f>CHOOSE(CONTROL!$C$42, 21.0969, 21.0969)*CHOOSE(CONTROL!$C$21, $C$9, 100%, $E$9)</f>
        <v>21.096900000000002</v>
      </c>
      <c r="G437" s="17">
        <f>CHOOSE(CONTROL!$C$42, 21.113, 21.113)*CHOOSE(CONTROL!$C$21, $C$9, 100%, $E$9)</f>
        <v>21.113</v>
      </c>
      <c r="H437" s="17">
        <f>CHOOSE(CONTROL!$C$42, 21.3691, 21.3691) * CHOOSE(CONTROL!$C$21, $C$9, 100%, $E$9)</f>
        <v>21.3691</v>
      </c>
      <c r="I437" s="17">
        <f>CHOOSE(CONTROL!$C$42, 21.1777, 21.1777)* CHOOSE(CONTROL!$C$21, $C$9, 100%, $E$9)</f>
        <v>21.177700000000002</v>
      </c>
      <c r="J437" s="17">
        <f>CHOOSE(CONTROL!$C$42, 21.0895, 21.0895)* CHOOSE(CONTROL!$C$21, $C$9, 100%, $E$9)</f>
        <v>21.089500000000001</v>
      </c>
      <c r="K437" s="53">
        <f>CHOOSE(CONTROL!$C$42, 21.1717, 21.1717) * CHOOSE(CONTROL!$C$21, $C$9, 100%, $E$9)</f>
        <v>21.171700000000001</v>
      </c>
      <c r="L437" s="17">
        <f>CHOOSE(CONTROL!$C$42, 21.9561, 21.9561) * CHOOSE(CONTROL!$C$21, $C$9, 100%, $E$9)</f>
        <v>21.956099999999999</v>
      </c>
      <c r="M437" s="17">
        <f>CHOOSE(CONTROL!$C$42, 20.9068, 20.9068) * CHOOSE(CONTROL!$C$21, $C$9, 100%, $E$9)</f>
        <v>20.9068</v>
      </c>
      <c r="N437" s="17">
        <f>CHOOSE(CONTROL!$C$42, 20.9228, 20.9228) * CHOOSE(CONTROL!$C$21, $C$9, 100%, $E$9)</f>
        <v>20.922799999999999</v>
      </c>
      <c r="O437" s="17">
        <f>CHOOSE(CONTROL!$C$42, 21.184, 21.184) * CHOOSE(CONTROL!$C$21, $C$9, 100%, $E$9)</f>
        <v>21.184000000000001</v>
      </c>
      <c r="P437" s="17">
        <f>CHOOSE(CONTROL!$C$42, 20.9937, 20.9937) * CHOOSE(CONTROL!$C$21, $C$9, 100%, $E$9)</f>
        <v>20.9937</v>
      </c>
      <c r="Q437" s="17">
        <f>CHOOSE(CONTROL!$C$42, 21.7787, 21.7787) * CHOOSE(CONTROL!$C$21, $C$9, 100%, $E$9)</f>
        <v>21.778700000000001</v>
      </c>
      <c r="R437" s="17">
        <f>CHOOSE(CONTROL!$C$42, 22.4201, 22.4201) * CHOOSE(CONTROL!$C$21, $C$9, 100%, $E$9)</f>
        <v>22.420100000000001</v>
      </c>
      <c r="S437" s="17">
        <f>CHOOSE(CONTROL!$C$42, 20.4414, 20.4414) * CHOOSE(CONTROL!$C$21, $C$9, 100%, $E$9)</f>
        <v>20.441400000000002</v>
      </c>
      <c r="T437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437" s="57">
        <f>(1000*CHOOSE(CONTROL!$C$42, 695, 695)*CHOOSE(CONTROL!$C$42, 0.5599, 0.5599)*CHOOSE(CONTROL!$C$42, 31, 31))/1000000</f>
        <v>12.063045499999998</v>
      </c>
      <c r="V437" s="57">
        <f>(1000*CHOOSE(CONTROL!$C$42, 500, 500)*CHOOSE(CONTROL!$C$42, 0.275, 0.275)*CHOOSE(CONTROL!$C$42, 31, 31))/1000000</f>
        <v>4.2625000000000002</v>
      </c>
      <c r="W437" s="57">
        <f>(1000*CHOOSE(CONTROL!$C$42, 0.0916, 0.0916)*CHOOSE(CONTROL!$C$42, 121.5, 121.5)*CHOOSE(CONTROL!$C$42, 31, 31))/1000000</f>
        <v>0.34501139999999997</v>
      </c>
      <c r="X437" s="57">
        <f>(31*0.1790888*145000/1000000)+(31*0.2374*100000/1000000)</f>
        <v>1.5409441560000001</v>
      </c>
      <c r="Y437" s="57"/>
      <c r="Z437" s="17"/>
      <c r="AA437" s="56"/>
      <c r="AB437" s="49">
        <f>(B437*194.205+C437*267.466+D437*133.845+E437*153.484+F437*40+G437*85+H437*0+I437*100+J437*300)/(194.205+267.466+133.845+153.484+0+40+85+100+300)</f>
        <v>21.163228712087911</v>
      </c>
      <c r="AC437" s="46">
        <f>(M437*'RAP TEMPLATE-GAS AVAILABILITY'!O436+N437*'RAP TEMPLATE-GAS AVAILABILITY'!P436+O437*'RAP TEMPLATE-GAS AVAILABILITY'!Q436+P437*'RAP TEMPLATE-GAS AVAILABILITY'!R436)/('RAP TEMPLATE-GAS AVAILABILITY'!O436+'RAP TEMPLATE-GAS AVAILABILITY'!P436+'RAP TEMPLATE-GAS AVAILABILITY'!Q436+'RAP TEMPLATE-GAS AVAILABILITY'!R436)</f>
        <v>21.000762589928055</v>
      </c>
    </row>
    <row r="438" spans="1:29" ht="15.75" x14ac:dyDescent="0.25">
      <c r="A438" s="14">
        <v>54239</v>
      </c>
      <c r="B438" s="17">
        <f>CHOOSE(CONTROL!$C$42, 21.69, 21.69) * CHOOSE(CONTROL!$C$21, $C$9, 100%, $E$9)</f>
        <v>21.69</v>
      </c>
      <c r="C438" s="17">
        <f>CHOOSE(CONTROL!$C$42, 21.698, 21.698) * CHOOSE(CONTROL!$C$21, $C$9, 100%, $E$9)</f>
        <v>21.698</v>
      </c>
      <c r="D438" s="17">
        <f>CHOOSE(CONTROL!$C$42, 21.9476, 21.9476) * CHOOSE(CONTROL!$C$21, $C$9, 100%, $E$9)</f>
        <v>21.947600000000001</v>
      </c>
      <c r="E438" s="17">
        <f>CHOOSE(CONTROL!$C$42, 21.9788, 21.9788) * CHOOSE(CONTROL!$C$21, $C$9, 100%, $E$9)</f>
        <v>21.9788</v>
      </c>
      <c r="F438" s="17">
        <f>CHOOSE(CONTROL!$C$42, 21.6952, 21.6952)*CHOOSE(CONTROL!$C$21, $C$9, 100%, $E$9)</f>
        <v>21.6952</v>
      </c>
      <c r="G438" s="17">
        <f>CHOOSE(CONTROL!$C$42, 21.7114, 21.7114)*CHOOSE(CONTROL!$C$21, $C$9, 100%, $E$9)</f>
        <v>21.711400000000001</v>
      </c>
      <c r="H438" s="17">
        <f>CHOOSE(CONTROL!$C$42, 21.9671, 21.9671) * CHOOSE(CONTROL!$C$21, $C$9, 100%, $E$9)</f>
        <v>21.967099999999999</v>
      </c>
      <c r="I438" s="17">
        <f>CHOOSE(CONTROL!$C$42, 21.7775, 21.7775)* CHOOSE(CONTROL!$C$21, $C$9, 100%, $E$9)</f>
        <v>21.7775</v>
      </c>
      <c r="J438" s="17">
        <f>CHOOSE(CONTROL!$C$42, 21.6878, 21.6878)* CHOOSE(CONTROL!$C$21, $C$9, 100%, $E$9)</f>
        <v>21.687799999999999</v>
      </c>
      <c r="K438" s="53">
        <f>CHOOSE(CONTROL!$C$42, 21.7715, 21.7715) * CHOOSE(CONTROL!$C$21, $C$9, 100%, $E$9)</f>
        <v>21.7715</v>
      </c>
      <c r="L438" s="17">
        <f>CHOOSE(CONTROL!$C$42, 22.5541, 22.5541) * CHOOSE(CONTROL!$C$21, $C$9, 100%, $E$9)</f>
        <v>22.554099999999998</v>
      </c>
      <c r="M438" s="17">
        <f>CHOOSE(CONTROL!$C$42, 21.4997, 21.4997) * CHOOSE(CONTROL!$C$21, $C$9, 100%, $E$9)</f>
        <v>21.499700000000001</v>
      </c>
      <c r="N438" s="17">
        <f>CHOOSE(CONTROL!$C$42, 21.5158, 21.5158) * CHOOSE(CONTROL!$C$21, $C$9, 100%, $E$9)</f>
        <v>21.515799999999999</v>
      </c>
      <c r="O438" s="17">
        <f>CHOOSE(CONTROL!$C$42, 21.7765, 21.7765) * CHOOSE(CONTROL!$C$21, $C$9, 100%, $E$9)</f>
        <v>21.776499999999999</v>
      </c>
      <c r="P438" s="17">
        <f>CHOOSE(CONTROL!$C$42, 21.5881, 21.5881) * CHOOSE(CONTROL!$C$21, $C$9, 100%, $E$9)</f>
        <v>21.588100000000001</v>
      </c>
      <c r="Q438" s="17">
        <f>CHOOSE(CONTROL!$C$42, 22.3712, 22.3712) * CHOOSE(CONTROL!$C$21, $C$9, 100%, $E$9)</f>
        <v>22.371200000000002</v>
      </c>
      <c r="R438" s="17">
        <f>CHOOSE(CONTROL!$C$42, 23.0142, 23.0142) * CHOOSE(CONTROL!$C$21, $C$9, 100%, $E$9)</f>
        <v>23.014199999999999</v>
      </c>
      <c r="S438" s="17">
        <f>CHOOSE(CONTROL!$C$42, 21.0212, 21.0212) * CHOOSE(CONTROL!$C$21, $C$9, 100%, $E$9)</f>
        <v>21.0212</v>
      </c>
      <c r="T438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438" s="57">
        <f>(1000*CHOOSE(CONTROL!$C$42, 695, 695)*CHOOSE(CONTROL!$C$42, 0.5599, 0.5599)*CHOOSE(CONTROL!$C$42, 30, 30))/1000000</f>
        <v>11.673914999999997</v>
      </c>
      <c r="V438" s="57">
        <f>(1000*CHOOSE(CONTROL!$C$42, 500, 500)*CHOOSE(CONTROL!$C$42, 0.275, 0.275)*CHOOSE(CONTROL!$C$42, 30, 30))/1000000</f>
        <v>4.125</v>
      </c>
      <c r="W438" s="57">
        <f>(1000*CHOOSE(CONTROL!$C$42, 0.0916, 0.0916)*CHOOSE(CONTROL!$C$42, 121.5, 121.5)*CHOOSE(CONTROL!$C$42, 30, 30))/1000000</f>
        <v>0.33388200000000001</v>
      </c>
      <c r="X438" s="57">
        <f>(30*0.1790888*145000/1000000)+(30*0.2374*100000/1000000)</f>
        <v>1.4912362799999999</v>
      </c>
      <c r="Y438" s="57"/>
      <c r="Z438" s="17"/>
      <c r="AA438" s="56"/>
      <c r="AB438" s="49">
        <f>(B438*194.205+C438*267.466+D438*133.845+E438*153.484+F438*40+G438*85+H438*0+I438*100+J438*300)/(194.205+267.466+133.845+153.484+0+40+85+100+300)</f>
        <v>21.761476749764523</v>
      </c>
      <c r="AC438" s="46">
        <f>(M438*'RAP TEMPLATE-GAS AVAILABILITY'!O437+N438*'RAP TEMPLATE-GAS AVAILABILITY'!P437+O438*'RAP TEMPLATE-GAS AVAILABILITY'!Q437+P438*'RAP TEMPLATE-GAS AVAILABILITY'!R437)/('RAP TEMPLATE-GAS AVAILABILITY'!O437+'RAP TEMPLATE-GAS AVAILABILITY'!P437+'RAP TEMPLATE-GAS AVAILABILITY'!Q437+'RAP TEMPLATE-GAS AVAILABILITY'!R437)</f>
        <v>21.593789208633094</v>
      </c>
    </row>
    <row r="439" spans="1:29" ht="15.75" x14ac:dyDescent="0.25">
      <c r="A439" s="14">
        <v>54270</v>
      </c>
      <c r="B439" s="17">
        <f>CHOOSE(CONTROL!$C$42, 21.2741, 21.2741) * CHOOSE(CONTROL!$C$21, $C$9, 100%, $E$9)</f>
        <v>21.274100000000001</v>
      </c>
      <c r="C439" s="17">
        <f>CHOOSE(CONTROL!$C$42, 21.2821, 21.2821) * CHOOSE(CONTROL!$C$21, $C$9, 100%, $E$9)</f>
        <v>21.2821</v>
      </c>
      <c r="D439" s="17">
        <f>CHOOSE(CONTROL!$C$42, 21.5317, 21.5317) * CHOOSE(CONTROL!$C$21, $C$9, 100%, $E$9)</f>
        <v>21.531700000000001</v>
      </c>
      <c r="E439" s="17">
        <f>CHOOSE(CONTROL!$C$42, 21.5629, 21.5629) * CHOOSE(CONTROL!$C$21, $C$9, 100%, $E$9)</f>
        <v>21.562899999999999</v>
      </c>
      <c r="F439" s="17">
        <f>CHOOSE(CONTROL!$C$42, 21.2798, 21.2798)*CHOOSE(CONTROL!$C$21, $C$9, 100%, $E$9)</f>
        <v>21.279800000000002</v>
      </c>
      <c r="G439" s="17">
        <f>CHOOSE(CONTROL!$C$42, 21.2961, 21.2961)*CHOOSE(CONTROL!$C$21, $C$9, 100%, $E$9)</f>
        <v>21.296099999999999</v>
      </c>
      <c r="H439" s="17">
        <f>CHOOSE(CONTROL!$C$42, 21.5512, 21.5512) * CHOOSE(CONTROL!$C$21, $C$9, 100%, $E$9)</f>
        <v>21.551200000000001</v>
      </c>
      <c r="I439" s="17">
        <f>CHOOSE(CONTROL!$C$42, 21.3603, 21.3603)* CHOOSE(CONTROL!$C$21, $C$9, 100%, $E$9)</f>
        <v>21.360299999999999</v>
      </c>
      <c r="J439" s="17">
        <f>CHOOSE(CONTROL!$C$42, 21.2724, 21.2724)* CHOOSE(CONTROL!$C$21, $C$9, 100%, $E$9)</f>
        <v>21.272400000000001</v>
      </c>
      <c r="K439" s="53">
        <f>CHOOSE(CONTROL!$C$42, 21.3543, 21.3543) * CHOOSE(CONTROL!$C$21, $C$9, 100%, $E$9)</f>
        <v>21.354299999999999</v>
      </c>
      <c r="L439" s="17">
        <f>CHOOSE(CONTROL!$C$42, 22.1382, 22.1382) * CHOOSE(CONTROL!$C$21, $C$9, 100%, $E$9)</f>
        <v>22.138200000000001</v>
      </c>
      <c r="M439" s="17">
        <f>CHOOSE(CONTROL!$C$42, 21.0881, 21.0881) * CHOOSE(CONTROL!$C$21, $C$9, 100%, $E$9)</f>
        <v>21.088100000000001</v>
      </c>
      <c r="N439" s="17">
        <f>CHOOSE(CONTROL!$C$42, 21.1043, 21.1043) * CHOOSE(CONTROL!$C$21, $C$9, 100%, $E$9)</f>
        <v>21.104299999999999</v>
      </c>
      <c r="O439" s="17">
        <f>CHOOSE(CONTROL!$C$42, 21.3644, 21.3644) * CHOOSE(CONTROL!$C$21, $C$9, 100%, $E$9)</f>
        <v>21.3644</v>
      </c>
      <c r="P439" s="17">
        <f>CHOOSE(CONTROL!$C$42, 21.1747, 21.1747) * CHOOSE(CONTROL!$C$21, $C$9, 100%, $E$9)</f>
        <v>21.174700000000001</v>
      </c>
      <c r="Q439" s="17">
        <f>CHOOSE(CONTROL!$C$42, 21.9591, 21.9591) * CHOOSE(CONTROL!$C$21, $C$9, 100%, $E$9)</f>
        <v>21.959099999999999</v>
      </c>
      <c r="R439" s="17">
        <f>CHOOSE(CONTROL!$C$42, 22.601, 22.601) * CHOOSE(CONTROL!$C$21, $C$9, 100%, $E$9)</f>
        <v>22.600999999999999</v>
      </c>
      <c r="S439" s="17">
        <f>CHOOSE(CONTROL!$C$42, 20.6179, 20.6179) * CHOOSE(CONTROL!$C$21, $C$9, 100%, $E$9)</f>
        <v>20.617899999999999</v>
      </c>
      <c r="T439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439" s="57">
        <f>(1000*CHOOSE(CONTROL!$C$42, 695, 695)*CHOOSE(CONTROL!$C$42, 0.5599, 0.5599)*CHOOSE(CONTROL!$C$42, 31, 31))/1000000</f>
        <v>12.063045499999998</v>
      </c>
      <c r="V439" s="57">
        <f>(1000*CHOOSE(CONTROL!$C$42, 500, 500)*CHOOSE(CONTROL!$C$42, 0.275, 0.275)*CHOOSE(CONTROL!$C$42, 31, 31))/1000000</f>
        <v>4.2625000000000002</v>
      </c>
      <c r="W439" s="57">
        <f>(1000*CHOOSE(CONTROL!$C$42, 0.0916, 0.0916)*CHOOSE(CONTROL!$C$42, 121.5, 121.5)*CHOOSE(CONTROL!$C$42, 31, 31))/1000000</f>
        <v>0.34501139999999997</v>
      </c>
      <c r="X439" s="57">
        <f>(31*0.1790888*145000/1000000)+(31*0.2374*100000/1000000)</f>
        <v>1.5409441560000001</v>
      </c>
      <c r="Y439" s="57"/>
      <c r="Z439" s="17"/>
      <c r="AA439" s="56"/>
      <c r="AB439" s="49">
        <f>(B439*194.205+C439*267.466+D439*133.845+E439*153.484+F439*40+G439*85+H439*0+I439*100+J439*300)/(194.205+267.466+133.845+153.484+0+40+85+100+300)</f>
        <v>21.345648178335949</v>
      </c>
      <c r="AC439" s="46">
        <f>(M439*'RAP TEMPLATE-GAS AVAILABILITY'!O438+N439*'RAP TEMPLATE-GAS AVAILABILITY'!P438+O439*'RAP TEMPLATE-GAS AVAILABILITY'!Q438+P439*'RAP TEMPLATE-GAS AVAILABILITY'!R438)/('RAP TEMPLATE-GAS AVAILABILITY'!O438+'RAP TEMPLATE-GAS AVAILABILITY'!P438+'RAP TEMPLATE-GAS AVAILABILITY'!Q438+'RAP TEMPLATE-GAS AVAILABILITY'!R438)</f>
        <v>21.181812949640289</v>
      </c>
    </row>
    <row r="440" spans="1:29" ht="15.75" x14ac:dyDescent="0.25">
      <c r="A440" s="14">
        <v>54301</v>
      </c>
      <c r="B440" s="17">
        <f>CHOOSE(CONTROL!$C$42, 20.2239, 20.2239) * CHOOSE(CONTROL!$C$21, $C$9, 100%, $E$9)</f>
        <v>20.2239</v>
      </c>
      <c r="C440" s="17">
        <f>CHOOSE(CONTROL!$C$42, 20.2319, 20.2319) * CHOOSE(CONTROL!$C$21, $C$9, 100%, $E$9)</f>
        <v>20.2319</v>
      </c>
      <c r="D440" s="17">
        <f>CHOOSE(CONTROL!$C$42, 20.4815, 20.4815) * CHOOSE(CONTROL!$C$21, $C$9, 100%, $E$9)</f>
        <v>20.4815</v>
      </c>
      <c r="E440" s="17">
        <f>CHOOSE(CONTROL!$C$42, 20.5127, 20.5127) * CHOOSE(CONTROL!$C$21, $C$9, 100%, $E$9)</f>
        <v>20.512699999999999</v>
      </c>
      <c r="F440" s="17">
        <f>CHOOSE(CONTROL!$C$42, 20.2299, 20.2299)*CHOOSE(CONTROL!$C$21, $C$9, 100%, $E$9)</f>
        <v>20.229900000000001</v>
      </c>
      <c r="G440" s="17">
        <f>CHOOSE(CONTROL!$C$42, 20.2463, 20.2463)*CHOOSE(CONTROL!$C$21, $C$9, 100%, $E$9)</f>
        <v>20.246300000000002</v>
      </c>
      <c r="H440" s="17">
        <f>CHOOSE(CONTROL!$C$42, 20.501, 20.501) * CHOOSE(CONTROL!$C$21, $C$9, 100%, $E$9)</f>
        <v>20.501000000000001</v>
      </c>
      <c r="I440" s="17">
        <f>CHOOSE(CONTROL!$C$42, 20.3069, 20.3069)* CHOOSE(CONTROL!$C$21, $C$9, 100%, $E$9)</f>
        <v>20.306899999999999</v>
      </c>
      <c r="J440" s="17">
        <f>CHOOSE(CONTROL!$C$42, 20.2225, 20.2225)* CHOOSE(CONTROL!$C$21, $C$9, 100%, $E$9)</f>
        <v>20.2225</v>
      </c>
      <c r="K440" s="53">
        <f>CHOOSE(CONTROL!$C$42, 20.3008, 20.3008) * CHOOSE(CONTROL!$C$21, $C$9, 100%, $E$9)</f>
        <v>20.300799999999999</v>
      </c>
      <c r="L440" s="17">
        <f>CHOOSE(CONTROL!$C$42, 21.088, 21.088) * CHOOSE(CONTROL!$C$21, $C$9, 100%, $E$9)</f>
        <v>21.088000000000001</v>
      </c>
      <c r="M440" s="17">
        <f>CHOOSE(CONTROL!$C$42, 20.0476, 20.0476) * CHOOSE(CONTROL!$C$21, $C$9, 100%, $E$9)</f>
        <v>20.047599999999999</v>
      </c>
      <c r="N440" s="17">
        <f>CHOOSE(CONTROL!$C$42, 20.0639, 20.0639) * CHOOSE(CONTROL!$C$21, $C$9, 100%, $E$9)</f>
        <v>20.0639</v>
      </c>
      <c r="O440" s="17">
        <f>CHOOSE(CONTROL!$C$42, 20.3236, 20.3236) * CHOOSE(CONTROL!$C$21, $C$9, 100%, $E$9)</f>
        <v>20.323599999999999</v>
      </c>
      <c r="P440" s="17">
        <f>CHOOSE(CONTROL!$C$42, 20.1308, 20.1308) * CHOOSE(CONTROL!$C$21, $C$9, 100%, $E$9)</f>
        <v>20.130800000000001</v>
      </c>
      <c r="Q440" s="17">
        <f>CHOOSE(CONTROL!$C$42, 20.9183, 20.9183) * CHOOSE(CONTROL!$C$21, $C$9, 100%, $E$9)</f>
        <v>20.918299999999999</v>
      </c>
      <c r="R440" s="17">
        <f>CHOOSE(CONTROL!$C$42, 21.5576, 21.5576) * CHOOSE(CONTROL!$C$21, $C$9, 100%, $E$9)</f>
        <v>21.557600000000001</v>
      </c>
      <c r="S440" s="17">
        <f>CHOOSE(CONTROL!$C$42, 19.5995, 19.5995) * CHOOSE(CONTROL!$C$21, $C$9, 100%, $E$9)</f>
        <v>19.599499999999999</v>
      </c>
      <c r="T440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440" s="57">
        <f>(1000*CHOOSE(CONTROL!$C$42, 695, 695)*CHOOSE(CONTROL!$C$42, 0.5599, 0.5599)*CHOOSE(CONTROL!$C$42, 31, 31))/1000000</f>
        <v>12.063045499999998</v>
      </c>
      <c r="V440" s="57">
        <f>(1000*CHOOSE(CONTROL!$C$42, 500, 500)*CHOOSE(CONTROL!$C$42, 0.275, 0.275)*CHOOSE(CONTROL!$C$42, 31, 31))/1000000</f>
        <v>4.2625000000000002</v>
      </c>
      <c r="W440" s="57">
        <f>(1000*CHOOSE(CONTROL!$C$42, 0.0916, 0.0916)*CHOOSE(CONTROL!$C$42, 121.5, 121.5)*CHOOSE(CONTROL!$C$42, 31, 31))/1000000</f>
        <v>0.34501139999999997</v>
      </c>
      <c r="X440" s="57">
        <f>(31*0.1790888*145000/1000000)+(31*0.2374*100000/1000000)</f>
        <v>1.5409441560000001</v>
      </c>
      <c r="Y440" s="57"/>
      <c r="Z440" s="17"/>
      <c r="AA440" s="56"/>
      <c r="AB440" s="49">
        <f>(B440*194.205+C440*267.466+D440*133.845+E440*153.484+F440*40+G440*85+H440*0+I440*100+J440*300)/(194.205+267.466+133.845+153.484+0+40+85+100+300)</f>
        <v>20.29530375133438</v>
      </c>
      <c r="AC440" s="46">
        <f>(M440*'RAP TEMPLATE-GAS AVAILABILITY'!O439+N440*'RAP TEMPLATE-GAS AVAILABILITY'!P439+O440*'RAP TEMPLATE-GAS AVAILABILITY'!Q439+P440*'RAP TEMPLATE-GAS AVAILABILITY'!R439)/('RAP TEMPLATE-GAS AVAILABILITY'!O439+'RAP TEMPLATE-GAS AVAILABILITY'!P439+'RAP TEMPLATE-GAS AVAILABILITY'!Q439+'RAP TEMPLATE-GAS AVAILABILITY'!R439)</f>
        <v>20.140762589928059</v>
      </c>
    </row>
    <row r="441" spans="1:29" ht="15.75" x14ac:dyDescent="0.25">
      <c r="A441" s="14">
        <v>54331</v>
      </c>
      <c r="B441" s="17">
        <f>CHOOSE(CONTROL!$C$42, 18.9405, 18.9405) * CHOOSE(CONTROL!$C$21, $C$9, 100%, $E$9)</f>
        <v>18.9405</v>
      </c>
      <c r="C441" s="17">
        <f>CHOOSE(CONTROL!$C$42, 18.9485, 18.9485) * CHOOSE(CONTROL!$C$21, $C$9, 100%, $E$9)</f>
        <v>18.948499999999999</v>
      </c>
      <c r="D441" s="17">
        <f>CHOOSE(CONTROL!$C$42, 19.1981, 19.1981) * CHOOSE(CONTROL!$C$21, $C$9, 100%, $E$9)</f>
        <v>19.1981</v>
      </c>
      <c r="E441" s="17">
        <f>CHOOSE(CONTROL!$C$42, 19.2293, 19.2293) * CHOOSE(CONTROL!$C$21, $C$9, 100%, $E$9)</f>
        <v>19.229299999999999</v>
      </c>
      <c r="F441" s="17">
        <f>CHOOSE(CONTROL!$C$42, 18.9465, 18.9465)*CHOOSE(CONTROL!$C$21, $C$9, 100%, $E$9)</f>
        <v>18.9465</v>
      </c>
      <c r="G441" s="17">
        <f>CHOOSE(CONTROL!$C$42, 18.963, 18.963)*CHOOSE(CONTROL!$C$21, $C$9, 100%, $E$9)</f>
        <v>18.963000000000001</v>
      </c>
      <c r="H441" s="17">
        <f>CHOOSE(CONTROL!$C$42, 19.2176, 19.2176) * CHOOSE(CONTROL!$C$21, $C$9, 100%, $E$9)</f>
        <v>19.217600000000001</v>
      </c>
      <c r="I441" s="17">
        <f>CHOOSE(CONTROL!$C$42, 19.0195, 19.0195)* CHOOSE(CONTROL!$C$21, $C$9, 100%, $E$9)</f>
        <v>19.019500000000001</v>
      </c>
      <c r="J441" s="17">
        <f>CHOOSE(CONTROL!$C$42, 18.9391, 18.9391)* CHOOSE(CONTROL!$C$21, $C$9, 100%, $E$9)</f>
        <v>18.9391</v>
      </c>
      <c r="K441" s="53">
        <f>CHOOSE(CONTROL!$C$42, 19.0135, 19.0135) * CHOOSE(CONTROL!$C$21, $C$9, 100%, $E$9)</f>
        <v>19.013500000000001</v>
      </c>
      <c r="L441" s="17">
        <f>CHOOSE(CONTROL!$C$42, 19.8046, 19.8046) * CHOOSE(CONTROL!$C$21, $C$9, 100%, $E$9)</f>
        <v>19.804600000000001</v>
      </c>
      <c r="M441" s="17">
        <f>CHOOSE(CONTROL!$C$42, 18.7758, 18.7758) * CHOOSE(CONTROL!$C$21, $C$9, 100%, $E$9)</f>
        <v>18.7758</v>
      </c>
      <c r="N441" s="17">
        <f>CHOOSE(CONTROL!$C$42, 18.7921, 18.7921) * CHOOSE(CONTROL!$C$21, $C$9, 100%, $E$9)</f>
        <v>18.792100000000001</v>
      </c>
      <c r="O441" s="17">
        <f>CHOOSE(CONTROL!$C$42, 19.0518, 19.0518) * CHOOSE(CONTROL!$C$21, $C$9, 100%, $E$9)</f>
        <v>19.0518</v>
      </c>
      <c r="P441" s="17">
        <f>CHOOSE(CONTROL!$C$42, 18.855, 18.855) * CHOOSE(CONTROL!$C$21, $C$9, 100%, $E$9)</f>
        <v>18.855</v>
      </c>
      <c r="Q441" s="17">
        <f>CHOOSE(CONTROL!$C$42, 19.6465, 19.6465) * CHOOSE(CONTROL!$C$21, $C$9, 100%, $E$9)</f>
        <v>19.6465</v>
      </c>
      <c r="R441" s="17">
        <f>CHOOSE(CONTROL!$C$42, 20.2826, 20.2826) * CHOOSE(CONTROL!$C$21, $C$9, 100%, $E$9)</f>
        <v>20.282599999999999</v>
      </c>
      <c r="S441" s="17">
        <f>CHOOSE(CONTROL!$C$42, 18.355, 18.355) * CHOOSE(CONTROL!$C$21, $C$9, 100%, $E$9)</f>
        <v>18.355</v>
      </c>
      <c r="T441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441" s="57">
        <f>(1000*CHOOSE(CONTROL!$C$42, 695, 695)*CHOOSE(CONTROL!$C$42, 0.5599, 0.5599)*CHOOSE(CONTROL!$C$42, 30, 30))/1000000</f>
        <v>11.673914999999997</v>
      </c>
      <c r="V441" s="57">
        <f>(1000*CHOOSE(CONTROL!$C$42, 500, 500)*CHOOSE(CONTROL!$C$42, 0.275, 0.275)*CHOOSE(CONTROL!$C$42, 30, 30))/1000000</f>
        <v>4.125</v>
      </c>
      <c r="W441" s="57">
        <f>(1000*CHOOSE(CONTROL!$C$42, 0.0916, 0.0916)*CHOOSE(CONTROL!$C$42, 121.5, 121.5)*CHOOSE(CONTROL!$C$42, 30, 30))/1000000</f>
        <v>0.33388200000000001</v>
      </c>
      <c r="X441" s="57">
        <f>(30*0.1790888*145000/1000000)+(30*0.2374*100000/1000000)</f>
        <v>1.4912362799999999</v>
      </c>
      <c r="Y441" s="57"/>
      <c r="Z441" s="17"/>
      <c r="AA441" s="56"/>
      <c r="AB441" s="49">
        <f>(B441*194.205+C441*267.466+D441*133.845+E441*153.484+F441*40+G441*85+H441*0+I441*100+J441*300)/(194.205+267.466+133.845+153.484+0+40+85+100+300)</f>
        <v>19.011596451491368</v>
      </c>
      <c r="AC441" s="46">
        <f>(M441*'RAP TEMPLATE-GAS AVAILABILITY'!O440+N441*'RAP TEMPLATE-GAS AVAILABILITY'!P440+O441*'RAP TEMPLATE-GAS AVAILABILITY'!Q440+P441*'RAP TEMPLATE-GAS AVAILABILITY'!R440)/('RAP TEMPLATE-GAS AVAILABILITY'!O440+'RAP TEMPLATE-GAS AVAILABILITY'!P440+'RAP TEMPLATE-GAS AVAILABILITY'!Q440+'RAP TEMPLATE-GAS AVAILABILITY'!R440)</f>
        <v>18.868387050359711</v>
      </c>
    </row>
    <row r="442" spans="1:29" ht="15.75" x14ac:dyDescent="0.25">
      <c r="A442" s="14">
        <v>54362</v>
      </c>
      <c r="B442" s="17">
        <f>CHOOSE(CONTROL!$C$42, 18.5545, 18.5545) * CHOOSE(CONTROL!$C$21, $C$9, 100%, $E$9)</f>
        <v>18.554500000000001</v>
      </c>
      <c r="C442" s="17">
        <f>CHOOSE(CONTROL!$C$42, 18.5598, 18.5598) * CHOOSE(CONTROL!$C$21, $C$9, 100%, $E$9)</f>
        <v>18.559799999999999</v>
      </c>
      <c r="D442" s="17">
        <f>CHOOSE(CONTROL!$C$42, 18.8143, 18.8143) * CHOOSE(CONTROL!$C$21, $C$9, 100%, $E$9)</f>
        <v>18.814299999999999</v>
      </c>
      <c r="E442" s="17">
        <f>CHOOSE(CONTROL!$C$42, 18.8432, 18.8432) * CHOOSE(CONTROL!$C$21, $C$9, 100%, $E$9)</f>
        <v>18.8432</v>
      </c>
      <c r="F442" s="17">
        <f>CHOOSE(CONTROL!$C$42, 18.5627, 18.5627)*CHOOSE(CONTROL!$C$21, $C$9, 100%, $E$9)</f>
        <v>18.5627</v>
      </c>
      <c r="G442" s="17">
        <f>CHOOSE(CONTROL!$C$42, 18.579, 18.579)*CHOOSE(CONTROL!$C$21, $C$9, 100%, $E$9)</f>
        <v>18.579000000000001</v>
      </c>
      <c r="H442" s="17">
        <f>CHOOSE(CONTROL!$C$42, 18.8333, 18.8333) * CHOOSE(CONTROL!$C$21, $C$9, 100%, $E$9)</f>
        <v>18.833300000000001</v>
      </c>
      <c r="I442" s="17">
        <f>CHOOSE(CONTROL!$C$42, 18.634, 18.634)* CHOOSE(CONTROL!$C$21, $C$9, 100%, $E$9)</f>
        <v>18.634</v>
      </c>
      <c r="J442" s="17">
        <f>CHOOSE(CONTROL!$C$42, 18.5553, 18.5553)* CHOOSE(CONTROL!$C$21, $C$9, 100%, $E$9)</f>
        <v>18.555299999999999</v>
      </c>
      <c r="K442" s="53">
        <f>CHOOSE(CONTROL!$C$42, 18.628, 18.628) * CHOOSE(CONTROL!$C$21, $C$9, 100%, $E$9)</f>
        <v>18.628</v>
      </c>
      <c r="L442" s="17">
        <f>CHOOSE(CONTROL!$C$42, 19.4203, 19.4203) * CHOOSE(CONTROL!$C$21, $C$9, 100%, $E$9)</f>
        <v>19.420300000000001</v>
      </c>
      <c r="M442" s="17">
        <f>CHOOSE(CONTROL!$C$42, 18.3954, 18.3954) * CHOOSE(CONTROL!$C$21, $C$9, 100%, $E$9)</f>
        <v>18.395399999999999</v>
      </c>
      <c r="N442" s="17">
        <f>CHOOSE(CONTROL!$C$42, 18.4116, 18.4116) * CHOOSE(CONTROL!$C$21, $C$9, 100%, $E$9)</f>
        <v>18.4116</v>
      </c>
      <c r="O442" s="17">
        <f>CHOOSE(CONTROL!$C$42, 18.6709, 18.6709) * CHOOSE(CONTROL!$C$21, $C$9, 100%, $E$9)</f>
        <v>18.6709</v>
      </c>
      <c r="P442" s="17">
        <f>CHOOSE(CONTROL!$C$42, 18.473, 18.473) * CHOOSE(CONTROL!$C$21, $C$9, 100%, $E$9)</f>
        <v>18.472999999999999</v>
      </c>
      <c r="Q442" s="17">
        <f>CHOOSE(CONTROL!$C$42, 19.2656, 19.2656) * CHOOSE(CONTROL!$C$21, $C$9, 100%, $E$9)</f>
        <v>19.265599999999999</v>
      </c>
      <c r="R442" s="17">
        <f>CHOOSE(CONTROL!$C$42, 19.9008, 19.9008) * CHOOSE(CONTROL!$C$21, $C$9, 100%, $E$9)</f>
        <v>19.9008</v>
      </c>
      <c r="S442" s="17">
        <f>CHOOSE(CONTROL!$C$42, 17.9824, 17.9824) * CHOOSE(CONTROL!$C$21, $C$9, 100%, $E$9)</f>
        <v>17.982399999999998</v>
      </c>
      <c r="T442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442" s="57">
        <f>(1000*CHOOSE(CONTROL!$C$42, 695, 695)*CHOOSE(CONTROL!$C$42, 0.5599, 0.5599)*CHOOSE(CONTROL!$C$42, 31, 31))/1000000</f>
        <v>12.063045499999998</v>
      </c>
      <c r="V442" s="57">
        <f>(1000*CHOOSE(CONTROL!$C$42, 500, 500)*CHOOSE(CONTROL!$C$42, 0.275, 0.275)*CHOOSE(CONTROL!$C$42, 31, 31))/1000000</f>
        <v>4.2625000000000002</v>
      </c>
      <c r="W442" s="57">
        <f>(1000*CHOOSE(CONTROL!$C$42, 0.0916, 0.0916)*CHOOSE(CONTROL!$C$42, 121.5, 121.5)*CHOOSE(CONTROL!$C$42, 31, 31))/1000000</f>
        <v>0.34501139999999997</v>
      </c>
      <c r="X442" s="57">
        <f>(31*0.1790888*145000/1000000)+(31*0.2374*100000/1000000)</f>
        <v>1.5409441560000001</v>
      </c>
      <c r="Y442" s="57"/>
      <c r="Z442" s="17"/>
      <c r="AA442" s="56"/>
      <c r="AB442" s="49">
        <f>(B442*131.881+C442*277.167+D442*79.08+E442*225.872+F442*40+G442*85+H442*0+I442*100+J442*300)/(131.881+277.167+79.08+225.872+0+40+85+100+300)</f>
        <v>18.633453765536721</v>
      </c>
      <c r="AC442" s="46">
        <f>(M442*'RAP TEMPLATE-GAS AVAILABILITY'!O441+N442*'RAP TEMPLATE-GAS AVAILABILITY'!P441+O442*'RAP TEMPLATE-GAS AVAILABILITY'!Q441+P442*'RAP TEMPLATE-GAS AVAILABILITY'!R441)/('RAP TEMPLATE-GAS AVAILABILITY'!O441+'RAP TEMPLATE-GAS AVAILABILITY'!P441+'RAP TEMPLATE-GAS AVAILABILITY'!Q441+'RAP TEMPLATE-GAS AVAILABILITY'!R441)</f>
        <v>18.487593525179854</v>
      </c>
    </row>
    <row r="443" spans="1:29" ht="15.75" x14ac:dyDescent="0.25">
      <c r="A443" s="14">
        <v>54392</v>
      </c>
      <c r="B443" s="17">
        <f>CHOOSE(CONTROL!$C$42, 19.0426, 19.0426) * CHOOSE(CONTROL!$C$21, $C$9, 100%, $E$9)</f>
        <v>19.0426</v>
      </c>
      <c r="C443" s="17">
        <f>CHOOSE(CONTROL!$C$42, 19.0477, 19.0477) * CHOOSE(CONTROL!$C$21, $C$9, 100%, $E$9)</f>
        <v>19.047699999999999</v>
      </c>
      <c r="D443" s="17">
        <f>CHOOSE(CONTROL!$C$42, 19.1703, 19.1703) * CHOOSE(CONTROL!$C$21, $C$9, 100%, $E$9)</f>
        <v>19.170300000000001</v>
      </c>
      <c r="E443" s="17">
        <f>CHOOSE(CONTROL!$C$42, 19.2041, 19.2041) * CHOOSE(CONTROL!$C$21, $C$9, 100%, $E$9)</f>
        <v>19.2041</v>
      </c>
      <c r="F443" s="17">
        <f>CHOOSE(CONTROL!$C$42, 19.0576, 19.0576)*CHOOSE(CONTROL!$C$21, $C$9, 100%, $E$9)</f>
        <v>19.057600000000001</v>
      </c>
      <c r="G443" s="17">
        <f>CHOOSE(CONTROL!$C$42, 19.0743, 19.0743)*CHOOSE(CONTROL!$C$21, $C$9, 100%, $E$9)</f>
        <v>19.074300000000001</v>
      </c>
      <c r="H443" s="17">
        <f>CHOOSE(CONTROL!$C$42, 19.1929, 19.1929) * CHOOSE(CONTROL!$C$21, $C$9, 100%, $E$9)</f>
        <v>19.192900000000002</v>
      </c>
      <c r="I443" s="17">
        <f>CHOOSE(CONTROL!$C$42, 19.1266, 19.1266)* CHOOSE(CONTROL!$C$21, $C$9, 100%, $E$9)</f>
        <v>19.1266</v>
      </c>
      <c r="J443" s="17">
        <f>CHOOSE(CONTROL!$C$42, 19.0502, 19.0502)* CHOOSE(CONTROL!$C$21, $C$9, 100%, $E$9)</f>
        <v>19.0502</v>
      </c>
      <c r="K443" s="53">
        <f>CHOOSE(CONTROL!$C$42, 19.1206, 19.1206) * CHOOSE(CONTROL!$C$21, $C$9, 100%, $E$9)</f>
        <v>19.1206</v>
      </c>
      <c r="L443" s="17">
        <f>CHOOSE(CONTROL!$C$42, 19.7799, 19.7799) * CHOOSE(CONTROL!$C$21, $C$9, 100%, $E$9)</f>
        <v>19.779900000000001</v>
      </c>
      <c r="M443" s="17">
        <f>CHOOSE(CONTROL!$C$42, 18.8859, 18.8859) * CHOOSE(CONTROL!$C$21, $C$9, 100%, $E$9)</f>
        <v>18.885899999999999</v>
      </c>
      <c r="N443" s="17">
        <f>CHOOSE(CONTROL!$C$42, 18.9024, 18.9024) * CHOOSE(CONTROL!$C$21, $C$9, 100%, $E$9)</f>
        <v>18.9024</v>
      </c>
      <c r="O443" s="17">
        <f>CHOOSE(CONTROL!$C$42, 19.0273, 19.0273) * CHOOSE(CONTROL!$C$21, $C$9, 100%, $E$9)</f>
        <v>19.0273</v>
      </c>
      <c r="P443" s="17">
        <f>CHOOSE(CONTROL!$C$42, 18.9612, 18.9612) * CHOOSE(CONTROL!$C$21, $C$9, 100%, $E$9)</f>
        <v>18.961200000000002</v>
      </c>
      <c r="Q443" s="17">
        <f>CHOOSE(CONTROL!$C$42, 19.622, 19.622) * CHOOSE(CONTROL!$C$21, $C$9, 100%, $E$9)</f>
        <v>19.622</v>
      </c>
      <c r="R443" s="17">
        <f>CHOOSE(CONTROL!$C$42, 20.2581, 20.2581) * CHOOSE(CONTROL!$C$21, $C$9, 100%, $E$9)</f>
        <v>20.258099999999999</v>
      </c>
      <c r="S443" s="17">
        <f>CHOOSE(CONTROL!$C$42, 18.4561, 18.4561) * CHOOSE(CONTROL!$C$21, $C$9, 100%, $E$9)</f>
        <v>18.456099999999999</v>
      </c>
      <c r="T443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443" s="57">
        <f>(1000*CHOOSE(CONTROL!$C$42, 695, 695)*CHOOSE(CONTROL!$C$42, 0.5599, 0.5599)*CHOOSE(CONTROL!$C$42, 30, 30))/1000000</f>
        <v>11.673914999999997</v>
      </c>
      <c r="V443" s="57">
        <f>(1000*CHOOSE(CONTROL!$C$42, 500, 500)*CHOOSE(CONTROL!$C$42, 0.275, 0.275)*CHOOSE(CONTROL!$C$42, 30, 30))/1000000</f>
        <v>4.125</v>
      </c>
      <c r="W443" s="57">
        <f>(1000*CHOOSE(CONTROL!$C$42, 0.0916, 0.0916)*CHOOSE(CONTROL!$C$42, 121.5, 121.5)*CHOOSE(CONTROL!$C$42, 30, 30))/1000000</f>
        <v>0.33388200000000001</v>
      </c>
      <c r="X443" s="57">
        <f>(30*0.2374*100000/1000000)</f>
        <v>0.71220000000000006</v>
      </c>
      <c r="Y443" s="57"/>
      <c r="Z443" s="17"/>
      <c r="AA443" s="56"/>
      <c r="AB443" s="49">
        <f>(B443*122.58+C443*297.941+D443*89.177+E443*140.302+F443*40+G443*60+H443*0+I443*100+J443*300)/(122.58+297.941+89.177+140.302+0+40+60+100+300)</f>
        <v>19.084989717391302</v>
      </c>
      <c r="AC443" s="46">
        <f>(M443*'RAP TEMPLATE-GAS AVAILABILITY'!O442+N443*'RAP TEMPLATE-GAS AVAILABILITY'!P442+O443*'RAP TEMPLATE-GAS AVAILABILITY'!Q442+P443*'RAP TEMPLATE-GAS AVAILABILITY'!R442)/('RAP TEMPLATE-GAS AVAILABILITY'!O442+'RAP TEMPLATE-GAS AVAILABILITY'!P442+'RAP TEMPLATE-GAS AVAILABILITY'!Q442+'RAP TEMPLATE-GAS AVAILABILITY'!R442)</f>
        <v>18.961771942446045</v>
      </c>
    </row>
    <row r="444" spans="1:29" ht="15.75" x14ac:dyDescent="0.25">
      <c r="A444" s="14">
        <v>54423</v>
      </c>
      <c r="B444" s="17">
        <f>CHOOSE(CONTROL!$C$42, 20.3402, 20.3402) * CHOOSE(CONTROL!$C$21, $C$9, 100%, $E$9)</f>
        <v>20.340199999999999</v>
      </c>
      <c r="C444" s="17">
        <f>CHOOSE(CONTROL!$C$42, 20.3453, 20.3453) * CHOOSE(CONTROL!$C$21, $C$9, 100%, $E$9)</f>
        <v>20.345300000000002</v>
      </c>
      <c r="D444" s="17">
        <f>CHOOSE(CONTROL!$C$42, 20.4679, 20.4679) * CHOOSE(CONTROL!$C$21, $C$9, 100%, $E$9)</f>
        <v>20.4679</v>
      </c>
      <c r="E444" s="17">
        <f>CHOOSE(CONTROL!$C$42, 20.5017, 20.5017) * CHOOSE(CONTROL!$C$21, $C$9, 100%, $E$9)</f>
        <v>20.5017</v>
      </c>
      <c r="F444" s="17">
        <f>CHOOSE(CONTROL!$C$42, 20.3576, 20.3576)*CHOOSE(CONTROL!$C$21, $C$9, 100%, $E$9)</f>
        <v>20.357600000000001</v>
      </c>
      <c r="G444" s="17">
        <f>CHOOSE(CONTROL!$C$42, 20.3749, 20.3749)*CHOOSE(CONTROL!$C$21, $C$9, 100%, $E$9)</f>
        <v>20.3749</v>
      </c>
      <c r="H444" s="17">
        <f>CHOOSE(CONTROL!$C$42, 20.4905, 20.4905) * CHOOSE(CONTROL!$C$21, $C$9, 100%, $E$9)</f>
        <v>20.490500000000001</v>
      </c>
      <c r="I444" s="17">
        <f>CHOOSE(CONTROL!$C$42, 20.4283, 20.4283)* CHOOSE(CONTROL!$C$21, $C$9, 100%, $E$9)</f>
        <v>20.4283</v>
      </c>
      <c r="J444" s="17">
        <f>CHOOSE(CONTROL!$C$42, 20.3502, 20.3502)* CHOOSE(CONTROL!$C$21, $C$9, 100%, $E$9)</f>
        <v>20.350200000000001</v>
      </c>
      <c r="K444" s="53">
        <f>CHOOSE(CONTROL!$C$42, 20.4222, 20.4222) * CHOOSE(CONTROL!$C$21, $C$9, 100%, $E$9)</f>
        <v>20.4222</v>
      </c>
      <c r="L444" s="17">
        <f>CHOOSE(CONTROL!$C$42, 21.0775, 21.0775) * CHOOSE(CONTROL!$C$21, $C$9, 100%, $E$9)</f>
        <v>21.077500000000001</v>
      </c>
      <c r="M444" s="17">
        <f>CHOOSE(CONTROL!$C$42, 20.1742, 20.1742) * CHOOSE(CONTROL!$C$21, $C$9, 100%, $E$9)</f>
        <v>20.174199999999999</v>
      </c>
      <c r="N444" s="17">
        <f>CHOOSE(CONTROL!$C$42, 20.1914, 20.1914) * CHOOSE(CONTROL!$C$21, $C$9, 100%, $E$9)</f>
        <v>20.191400000000002</v>
      </c>
      <c r="O444" s="17">
        <f>CHOOSE(CONTROL!$C$42, 20.3133, 20.3133) * CHOOSE(CONTROL!$C$21, $C$9, 100%, $E$9)</f>
        <v>20.313300000000002</v>
      </c>
      <c r="P444" s="17">
        <f>CHOOSE(CONTROL!$C$42, 20.251, 20.251) * CHOOSE(CONTROL!$C$21, $C$9, 100%, $E$9)</f>
        <v>20.251000000000001</v>
      </c>
      <c r="Q444" s="17">
        <f>CHOOSE(CONTROL!$C$42, 20.908, 20.908) * CHOOSE(CONTROL!$C$21, $C$9, 100%, $E$9)</f>
        <v>20.908000000000001</v>
      </c>
      <c r="R444" s="17">
        <f>CHOOSE(CONTROL!$C$42, 21.5472, 21.5472) * CHOOSE(CONTROL!$C$21, $C$9, 100%, $E$9)</f>
        <v>21.5472</v>
      </c>
      <c r="S444" s="17">
        <f>CHOOSE(CONTROL!$C$42, 19.7144, 19.7144) * CHOOSE(CONTROL!$C$21, $C$9, 100%, $E$9)</f>
        <v>19.714400000000001</v>
      </c>
      <c r="T444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444" s="57">
        <f>(1000*CHOOSE(CONTROL!$C$42, 695, 695)*CHOOSE(CONTROL!$C$42, 0.5599, 0.5599)*CHOOSE(CONTROL!$C$42, 31, 31))/1000000</f>
        <v>12.063045499999998</v>
      </c>
      <c r="V444" s="57">
        <f>(1000*CHOOSE(CONTROL!$C$42, 500, 500)*CHOOSE(CONTROL!$C$42, 0.275, 0.275)*CHOOSE(CONTROL!$C$42, 31, 31))/1000000</f>
        <v>4.2625000000000002</v>
      </c>
      <c r="W444" s="57">
        <f>(1000*CHOOSE(CONTROL!$C$42, 0.0916, 0.0916)*CHOOSE(CONTROL!$C$42, 121.5, 121.5)*CHOOSE(CONTROL!$C$42, 31, 31))/1000000</f>
        <v>0.34501139999999997</v>
      </c>
      <c r="X444" s="57">
        <f>(31*0.2374*100000/1000000)</f>
        <v>0.73594000000000004</v>
      </c>
      <c r="Y444" s="57"/>
      <c r="Z444" s="17"/>
      <c r="AA444" s="56"/>
      <c r="AB444" s="49">
        <f>(B444*122.58+C444*297.941+D444*89.177+E444*140.302+F444*40+G444*60+H444*0+I444*100+J444*300)/(122.58+297.941+89.177+140.302+0+40+60+100+300)</f>
        <v>20.383812326086957</v>
      </c>
      <c r="AC444" s="46">
        <f>(M444*'RAP TEMPLATE-GAS AVAILABILITY'!O443+N444*'RAP TEMPLATE-GAS AVAILABILITY'!P443+O444*'RAP TEMPLATE-GAS AVAILABILITY'!Q443+P444*'RAP TEMPLATE-GAS AVAILABILITY'!R443)/('RAP TEMPLATE-GAS AVAILABILITY'!O443+'RAP TEMPLATE-GAS AVAILABILITY'!P443+'RAP TEMPLATE-GAS AVAILABILITY'!Q443+'RAP TEMPLATE-GAS AVAILABILITY'!R443)</f>
        <v>20.249285611510793</v>
      </c>
    </row>
    <row r="445" spans="1:29" ht="15.75" x14ac:dyDescent="0.25">
      <c r="A445" s="14">
        <v>54454</v>
      </c>
      <c r="B445" s="17">
        <f>CHOOSE(CONTROL!$C$42, 22.0255, 22.0255) * CHOOSE(CONTROL!$C$21, $C$9, 100%, $E$9)</f>
        <v>22.025500000000001</v>
      </c>
      <c r="C445" s="17">
        <f>CHOOSE(CONTROL!$C$42, 22.0306, 22.0306) * CHOOSE(CONTROL!$C$21, $C$9, 100%, $E$9)</f>
        <v>22.0306</v>
      </c>
      <c r="D445" s="17">
        <f>CHOOSE(CONTROL!$C$42, 22.1481, 22.1481) * CHOOSE(CONTROL!$C$21, $C$9, 100%, $E$9)</f>
        <v>22.148099999999999</v>
      </c>
      <c r="E445" s="17">
        <f>CHOOSE(CONTROL!$C$42, 22.1818, 22.1818) * CHOOSE(CONTROL!$C$21, $C$9, 100%, $E$9)</f>
        <v>22.181799999999999</v>
      </c>
      <c r="F445" s="17">
        <f>CHOOSE(CONTROL!$C$42, 22.0392, 22.0392)*CHOOSE(CONTROL!$C$21, $C$9, 100%, $E$9)</f>
        <v>22.039200000000001</v>
      </c>
      <c r="G445" s="17">
        <f>CHOOSE(CONTROL!$C$42, 22.0555, 22.0555)*CHOOSE(CONTROL!$C$21, $C$9, 100%, $E$9)</f>
        <v>22.055499999999999</v>
      </c>
      <c r="H445" s="17">
        <f>CHOOSE(CONTROL!$C$42, 22.1707, 22.1707) * CHOOSE(CONTROL!$C$21, $C$9, 100%, $E$9)</f>
        <v>22.1707</v>
      </c>
      <c r="I445" s="17">
        <f>CHOOSE(CONTROL!$C$42, 22.1173, 22.1173)* CHOOSE(CONTROL!$C$21, $C$9, 100%, $E$9)</f>
        <v>22.1173</v>
      </c>
      <c r="J445" s="17">
        <f>CHOOSE(CONTROL!$C$42, 22.0318, 22.0318)* CHOOSE(CONTROL!$C$21, $C$9, 100%, $E$9)</f>
        <v>22.0318</v>
      </c>
      <c r="K445" s="53">
        <f>CHOOSE(CONTROL!$C$42, 22.1112, 22.1112) * CHOOSE(CONTROL!$C$21, $C$9, 100%, $E$9)</f>
        <v>22.1112</v>
      </c>
      <c r="L445" s="17">
        <f>CHOOSE(CONTROL!$C$42, 22.7577, 22.7577) * CHOOSE(CONTROL!$C$21, $C$9, 100%, $E$9)</f>
        <v>22.7577</v>
      </c>
      <c r="M445" s="17">
        <f>CHOOSE(CONTROL!$C$42, 21.8406, 21.8406) * CHOOSE(CONTROL!$C$21, $C$9, 100%, $E$9)</f>
        <v>21.840599999999998</v>
      </c>
      <c r="N445" s="17">
        <f>CHOOSE(CONTROL!$C$42, 21.8568, 21.8568) * CHOOSE(CONTROL!$C$21, $C$9, 100%, $E$9)</f>
        <v>21.8568</v>
      </c>
      <c r="O445" s="17">
        <f>CHOOSE(CONTROL!$C$42, 21.9783, 21.9783) * CHOOSE(CONTROL!$C$21, $C$9, 100%, $E$9)</f>
        <v>21.978300000000001</v>
      </c>
      <c r="P445" s="17">
        <f>CHOOSE(CONTROL!$C$42, 21.9248, 21.9248) * CHOOSE(CONTROL!$C$21, $C$9, 100%, $E$9)</f>
        <v>21.924800000000001</v>
      </c>
      <c r="Q445" s="17">
        <f>CHOOSE(CONTROL!$C$42, 22.573, 22.573) * CHOOSE(CONTROL!$C$21, $C$9, 100%, $E$9)</f>
        <v>22.573</v>
      </c>
      <c r="R445" s="17">
        <f>CHOOSE(CONTROL!$C$42, 23.2165, 23.2165) * CHOOSE(CONTROL!$C$21, $C$9, 100%, $E$9)</f>
        <v>23.2165</v>
      </c>
      <c r="S445" s="17">
        <f>CHOOSE(CONTROL!$C$42, 21.3487, 21.3487) * CHOOSE(CONTROL!$C$21, $C$9, 100%, $E$9)</f>
        <v>21.348700000000001</v>
      </c>
      <c r="T445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445" s="57">
        <f>(1000*CHOOSE(CONTROL!$C$42, 695, 695)*CHOOSE(CONTROL!$C$42, 0.5599, 0.5599)*CHOOSE(CONTROL!$C$42, 31, 31))/1000000</f>
        <v>12.063045499999998</v>
      </c>
      <c r="V445" s="57">
        <f>(1000*CHOOSE(CONTROL!$C$42, 500, 500)*CHOOSE(CONTROL!$C$42, 0.275, 0.275)*CHOOSE(CONTROL!$C$42, 31, 31))/1000000</f>
        <v>4.2625000000000002</v>
      </c>
      <c r="W445" s="57">
        <f>(1000*CHOOSE(CONTROL!$C$42, 0.0916, 0.0916)*CHOOSE(CONTROL!$C$42, 121.5, 121.5)*CHOOSE(CONTROL!$C$42, 31, 31))/1000000</f>
        <v>0.34501139999999997</v>
      </c>
      <c r="X445" s="57">
        <f>(31*0.2374*100000/1000000)</f>
        <v>0.73594000000000004</v>
      </c>
      <c r="Y445" s="57"/>
      <c r="Z445" s="17"/>
      <c r="AA445" s="56"/>
      <c r="AB445" s="49">
        <f>(B445*122.58+C445*297.941+D445*89.177+E445*140.302+F445*40+G445*60+H445*0+I445*100+J445*300)/(122.58+297.941+89.177+140.302+0+40+60+100+300)</f>
        <v>22.067065045130438</v>
      </c>
      <c r="AC445" s="46">
        <f>(M445*'RAP TEMPLATE-GAS AVAILABILITY'!O444+N445*'RAP TEMPLATE-GAS AVAILABILITY'!P444+O445*'RAP TEMPLATE-GAS AVAILABILITY'!Q444+P445*'RAP TEMPLATE-GAS AVAILABILITY'!R444)/('RAP TEMPLATE-GAS AVAILABILITY'!O444+'RAP TEMPLATE-GAS AVAILABILITY'!P444+'RAP TEMPLATE-GAS AVAILABILITY'!Q444+'RAP TEMPLATE-GAS AVAILABILITY'!R444)</f>
        <v>21.916058273381292</v>
      </c>
    </row>
    <row r="446" spans="1:29" ht="15.75" x14ac:dyDescent="0.25">
      <c r="A446" s="14">
        <v>54482</v>
      </c>
      <c r="B446" s="17">
        <f>CHOOSE(CONTROL!$C$42, 22.4174, 22.4174) * CHOOSE(CONTROL!$C$21, $C$9, 100%, $E$9)</f>
        <v>22.417400000000001</v>
      </c>
      <c r="C446" s="17">
        <f>CHOOSE(CONTROL!$C$42, 22.4225, 22.4225) * CHOOSE(CONTROL!$C$21, $C$9, 100%, $E$9)</f>
        <v>22.422499999999999</v>
      </c>
      <c r="D446" s="17">
        <f>CHOOSE(CONTROL!$C$42, 22.54, 22.54) * CHOOSE(CONTROL!$C$21, $C$9, 100%, $E$9)</f>
        <v>22.54</v>
      </c>
      <c r="E446" s="17">
        <f>CHOOSE(CONTROL!$C$42, 22.5737, 22.5737) * CHOOSE(CONTROL!$C$21, $C$9, 100%, $E$9)</f>
        <v>22.573699999999999</v>
      </c>
      <c r="F446" s="17">
        <f>CHOOSE(CONTROL!$C$42, 22.4311, 22.4311)*CHOOSE(CONTROL!$C$21, $C$9, 100%, $E$9)</f>
        <v>22.431100000000001</v>
      </c>
      <c r="G446" s="17">
        <f>CHOOSE(CONTROL!$C$42, 22.4474, 22.4474)*CHOOSE(CONTROL!$C$21, $C$9, 100%, $E$9)</f>
        <v>22.447399999999998</v>
      </c>
      <c r="H446" s="17">
        <f>CHOOSE(CONTROL!$C$42, 22.5626, 22.5626) * CHOOSE(CONTROL!$C$21, $C$9, 100%, $E$9)</f>
        <v>22.5626</v>
      </c>
      <c r="I446" s="17">
        <f>CHOOSE(CONTROL!$C$42, 22.5104, 22.5104)* CHOOSE(CONTROL!$C$21, $C$9, 100%, $E$9)</f>
        <v>22.510400000000001</v>
      </c>
      <c r="J446" s="17">
        <f>CHOOSE(CONTROL!$C$42, 22.4237, 22.4237)* CHOOSE(CONTROL!$C$21, $C$9, 100%, $E$9)</f>
        <v>22.4237</v>
      </c>
      <c r="K446" s="53">
        <f>CHOOSE(CONTROL!$C$42, 22.5044, 22.5044) * CHOOSE(CONTROL!$C$21, $C$9, 100%, $E$9)</f>
        <v>22.5044</v>
      </c>
      <c r="L446" s="17">
        <f>CHOOSE(CONTROL!$C$42, 23.1496, 23.1496) * CHOOSE(CONTROL!$C$21, $C$9, 100%, $E$9)</f>
        <v>23.1496</v>
      </c>
      <c r="M446" s="17">
        <f>CHOOSE(CONTROL!$C$42, 22.229, 22.229) * CHOOSE(CONTROL!$C$21, $C$9, 100%, $E$9)</f>
        <v>22.228999999999999</v>
      </c>
      <c r="N446" s="17">
        <f>CHOOSE(CONTROL!$C$42, 22.2452, 22.2452) * CHOOSE(CONTROL!$C$21, $C$9, 100%, $E$9)</f>
        <v>22.245200000000001</v>
      </c>
      <c r="O446" s="17">
        <f>CHOOSE(CONTROL!$C$42, 22.3667, 22.3667) * CHOOSE(CONTROL!$C$21, $C$9, 100%, $E$9)</f>
        <v>22.366700000000002</v>
      </c>
      <c r="P446" s="17">
        <f>CHOOSE(CONTROL!$C$42, 22.3144, 22.3144) * CHOOSE(CONTROL!$C$21, $C$9, 100%, $E$9)</f>
        <v>22.314399999999999</v>
      </c>
      <c r="Q446" s="17">
        <f>CHOOSE(CONTROL!$C$42, 22.9614, 22.9614) * CHOOSE(CONTROL!$C$21, $C$9, 100%, $E$9)</f>
        <v>22.961400000000001</v>
      </c>
      <c r="R446" s="17">
        <f>CHOOSE(CONTROL!$C$42, 23.6058, 23.6058) * CHOOSE(CONTROL!$C$21, $C$9, 100%, $E$9)</f>
        <v>23.605799999999999</v>
      </c>
      <c r="S446" s="17">
        <f>CHOOSE(CONTROL!$C$42, 21.7287, 21.7287) * CHOOSE(CONTROL!$C$21, $C$9, 100%, $E$9)</f>
        <v>21.7287</v>
      </c>
      <c r="T446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446" s="57">
        <f>(1000*CHOOSE(CONTROL!$C$42, 695, 695)*CHOOSE(CONTROL!$C$42, 0.5599, 0.5599)*CHOOSE(CONTROL!$C$42, 28, 28))/1000000</f>
        <v>10.895653999999999</v>
      </c>
      <c r="V446" s="57">
        <f>(1000*CHOOSE(CONTROL!$C$42, 500, 500)*CHOOSE(CONTROL!$C$42, 0.275, 0.275)*CHOOSE(CONTROL!$C$42, 28, 28))/1000000</f>
        <v>3.85</v>
      </c>
      <c r="W446" s="57">
        <f>(1000*CHOOSE(CONTROL!$C$42, 0.0916, 0.0916)*CHOOSE(CONTROL!$C$42, 121.5, 121.5)*CHOOSE(CONTROL!$C$42, 28, 28))/1000000</f>
        <v>0.31162319999999999</v>
      </c>
      <c r="X446" s="57">
        <f>(28*0.2374*100000/1000000)</f>
        <v>0.66471999999999998</v>
      </c>
      <c r="Y446" s="57"/>
      <c r="Z446" s="17"/>
      <c r="AA446" s="56"/>
      <c r="AB446" s="49">
        <f>(B446*122.58+C446*297.941+D446*89.177+E446*140.302+F446*40+G446*60+H446*0+I446*100+J446*300)/(122.58+297.941+89.177+140.302+0+40+60+100+300)</f>
        <v>22.459069392956522</v>
      </c>
      <c r="AC446" s="46">
        <f>(M446*'RAP TEMPLATE-GAS AVAILABILITY'!O445+N446*'RAP TEMPLATE-GAS AVAILABILITY'!P445+O446*'RAP TEMPLATE-GAS AVAILABILITY'!Q445+P446*'RAP TEMPLATE-GAS AVAILABILITY'!R445)/('RAP TEMPLATE-GAS AVAILABILITY'!O445+'RAP TEMPLATE-GAS AVAILABILITY'!P445+'RAP TEMPLATE-GAS AVAILABILITY'!Q445+'RAP TEMPLATE-GAS AVAILABILITY'!R445)</f>
        <v>22.304630935251801</v>
      </c>
    </row>
    <row r="447" spans="1:29" ht="15.75" x14ac:dyDescent="0.25">
      <c r="A447" s="14">
        <v>54513</v>
      </c>
      <c r="B447" s="17">
        <f>CHOOSE(CONTROL!$C$42, 21.7813, 21.7813) * CHOOSE(CONTROL!$C$21, $C$9, 100%, $E$9)</f>
        <v>21.781300000000002</v>
      </c>
      <c r="C447" s="17">
        <f>CHOOSE(CONTROL!$C$42, 21.7864, 21.7864) * CHOOSE(CONTROL!$C$21, $C$9, 100%, $E$9)</f>
        <v>21.7864</v>
      </c>
      <c r="D447" s="17">
        <f>CHOOSE(CONTROL!$C$42, 21.9038, 21.9038) * CHOOSE(CONTROL!$C$21, $C$9, 100%, $E$9)</f>
        <v>21.9038</v>
      </c>
      <c r="E447" s="17">
        <f>CHOOSE(CONTROL!$C$42, 21.9376, 21.9376) * CHOOSE(CONTROL!$C$21, $C$9, 100%, $E$9)</f>
        <v>21.9376</v>
      </c>
      <c r="F447" s="17">
        <f>CHOOSE(CONTROL!$C$42, 21.7943, 21.7943)*CHOOSE(CONTROL!$C$21, $C$9, 100%, $E$9)</f>
        <v>21.7943</v>
      </c>
      <c r="G447" s="17">
        <f>CHOOSE(CONTROL!$C$42, 21.8104, 21.8104)*CHOOSE(CONTROL!$C$21, $C$9, 100%, $E$9)</f>
        <v>21.810400000000001</v>
      </c>
      <c r="H447" s="17">
        <f>CHOOSE(CONTROL!$C$42, 21.9265, 21.9265) * CHOOSE(CONTROL!$C$21, $C$9, 100%, $E$9)</f>
        <v>21.926500000000001</v>
      </c>
      <c r="I447" s="17">
        <f>CHOOSE(CONTROL!$C$42, 21.8723, 21.8723)* CHOOSE(CONTROL!$C$21, $C$9, 100%, $E$9)</f>
        <v>21.872299999999999</v>
      </c>
      <c r="J447" s="17">
        <f>CHOOSE(CONTROL!$C$42, 21.7869, 21.7869)* CHOOSE(CONTROL!$C$21, $C$9, 100%, $E$9)</f>
        <v>21.786899999999999</v>
      </c>
      <c r="K447" s="53">
        <f>CHOOSE(CONTROL!$C$42, 21.8662, 21.8662) * CHOOSE(CONTROL!$C$21, $C$9, 100%, $E$9)</f>
        <v>21.866199999999999</v>
      </c>
      <c r="L447" s="17">
        <f>CHOOSE(CONTROL!$C$42, 22.5135, 22.5135) * CHOOSE(CONTROL!$C$21, $C$9, 100%, $E$9)</f>
        <v>22.513500000000001</v>
      </c>
      <c r="M447" s="17">
        <f>CHOOSE(CONTROL!$C$42, 21.598, 21.598) * CHOOSE(CONTROL!$C$21, $C$9, 100%, $E$9)</f>
        <v>21.597999999999999</v>
      </c>
      <c r="N447" s="17">
        <f>CHOOSE(CONTROL!$C$42, 21.6139, 21.6139) * CHOOSE(CONTROL!$C$21, $C$9, 100%, $E$9)</f>
        <v>21.613900000000001</v>
      </c>
      <c r="O447" s="17">
        <f>CHOOSE(CONTROL!$C$42, 21.7363, 21.7363) * CHOOSE(CONTROL!$C$21, $C$9, 100%, $E$9)</f>
        <v>21.7363</v>
      </c>
      <c r="P447" s="17">
        <f>CHOOSE(CONTROL!$C$42, 21.682, 21.682) * CHOOSE(CONTROL!$C$21, $C$9, 100%, $E$9)</f>
        <v>21.681999999999999</v>
      </c>
      <c r="Q447" s="17">
        <f>CHOOSE(CONTROL!$C$42, 22.331, 22.331) * CHOOSE(CONTROL!$C$21, $C$9, 100%, $E$9)</f>
        <v>22.331</v>
      </c>
      <c r="R447" s="17">
        <f>CHOOSE(CONTROL!$C$42, 22.9738, 22.9738) * CHOOSE(CONTROL!$C$21, $C$9, 100%, $E$9)</f>
        <v>22.973800000000001</v>
      </c>
      <c r="S447" s="17">
        <f>CHOOSE(CONTROL!$C$42, 21.1118, 21.1118) * CHOOSE(CONTROL!$C$21, $C$9, 100%, $E$9)</f>
        <v>21.111799999999999</v>
      </c>
      <c r="T447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447" s="57">
        <f>(1000*CHOOSE(CONTROL!$C$42, 695, 695)*CHOOSE(CONTROL!$C$42, 0.5599, 0.5599)*CHOOSE(CONTROL!$C$42, 31, 31))/1000000</f>
        <v>12.063045499999998</v>
      </c>
      <c r="V447" s="57">
        <f>(1000*CHOOSE(CONTROL!$C$42, 500, 500)*CHOOSE(CONTROL!$C$42, 0.275, 0.275)*CHOOSE(CONTROL!$C$42, 31, 31))/1000000</f>
        <v>4.2625000000000002</v>
      </c>
      <c r="W447" s="57">
        <f>(1000*CHOOSE(CONTROL!$C$42, 0.0916, 0.0916)*CHOOSE(CONTROL!$C$42, 121.5, 121.5)*CHOOSE(CONTROL!$C$42, 31, 31))/1000000</f>
        <v>0.34501139999999997</v>
      </c>
      <c r="X447" s="57">
        <f>(31*0.2374*100000/1000000)</f>
        <v>0.73594000000000004</v>
      </c>
      <c r="Y447" s="57"/>
      <c r="Z447" s="17"/>
      <c r="AA447" s="56"/>
      <c r="AB447" s="49">
        <f>(B447*122.58+C447*297.941+D447*89.177+E447*140.302+F447*40+G447*60+H447*0+I447*100+J447*300)/(122.58+297.941+89.177+140.302+0+40+60+100+300)</f>
        <v>21.822533812347825</v>
      </c>
      <c r="AC447" s="46">
        <f>(M447*'RAP TEMPLATE-GAS AVAILABILITY'!O446+N447*'RAP TEMPLATE-GAS AVAILABILITY'!P446+O447*'RAP TEMPLATE-GAS AVAILABILITY'!Q446+P447*'RAP TEMPLATE-GAS AVAILABILITY'!R446)/('RAP TEMPLATE-GAS AVAILABILITY'!O446+'RAP TEMPLATE-GAS AVAILABILITY'!P446+'RAP TEMPLATE-GAS AVAILABILITY'!Q446+'RAP TEMPLATE-GAS AVAILABILITY'!R446)</f>
        <v>21.673684172661872</v>
      </c>
    </row>
    <row r="448" spans="1:29" ht="15.75" x14ac:dyDescent="0.25">
      <c r="A448" s="14">
        <v>54543</v>
      </c>
      <c r="B448" s="17">
        <f>CHOOSE(CONTROL!$C$42, 21.7171, 21.7171) * CHOOSE(CONTROL!$C$21, $C$9, 100%, $E$9)</f>
        <v>21.717099999999999</v>
      </c>
      <c r="C448" s="17">
        <f>CHOOSE(CONTROL!$C$42, 21.7216, 21.7216) * CHOOSE(CONTROL!$C$21, $C$9, 100%, $E$9)</f>
        <v>21.721599999999999</v>
      </c>
      <c r="D448" s="17">
        <f>CHOOSE(CONTROL!$C$42, 21.9743, 21.9743) * CHOOSE(CONTROL!$C$21, $C$9, 100%, $E$9)</f>
        <v>21.974299999999999</v>
      </c>
      <c r="E448" s="17">
        <f>CHOOSE(CONTROL!$C$42, 22.0061, 22.0061) * CHOOSE(CONTROL!$C$21, $C$9, 100%, $E$9)</f>
        <v>22.0061</v>
      </c>
      <c r="F448" s="17">
        <f>CHOOSE(CONTROL!$C$42, 21.7231, 21.7231)*CHOOSE(CONTROL!$C$21, $C$9, 100%, $E$9)</f>
        <v>21.723099999999999</v>
      </c>
      <c r="G448" s="17">
        <f>CHOOSE(CONTROL!$C$42, 21.7389, 21.7389)*CHOOSE(CONTROL!$C$21, $C$9, 100%, $E$9)</f>
        <v>21.738900000000001</v>
      </c>
      <c r="H448" s="17">
        <f>CHOOSE(CONTROL!$C$42, 21.9956, 21.9956) * CHOOSE(CONTROL!$C$21, $C$9, 100%, $E$9)</f>
        <v>21.9956</v>
      </c>
      <c r="I448" s="17">
        <f>CHOOSE(CONTROL!$C$42, 21.8061, 21.8061)* CHOOSE(CONTROL!$C$21, $C$9, 100%, $E$9)</f>
        <v>21.806100000000001</v>
      </c>
      <c r="J448" s="17">
        <f>CHOOSE(CONTROL!$C$42, 21.7157, 21.7157)* CHOOSE(CONTROL!$C$21, $C$9, 100%, $E$9)</f>
        <v>21.715699999999998</v>
      </c>
      <c r="K448" s="53">
        <f>CHOOSE(CONTROL!$C$42, 21.8, 21.8) * CHOOSE(CONTROL!$C$21, $C$9, 100%, $E$9)</f>
        <v>21.8</v>
      </c>
      <c r="L448" s="17">
        <f>CHOOSE(CONTROL!$C$42, 22.5826, 22.5826) * CHOOSE(CONTROL!$C$21, $C$9, 100%, $E$9)</f>
        <v>22.582599999999999</v>
      </c>
      <c r="M448" s="17">
        <f>CHOOSE(CONTROL!$C$42, 21.5274, 21.5274) * CHOOSE(CONTROL!$C$21, $C$9, 100%, $E$9)</f>
        <v>21.5274</v>
      </c>
      <c r="N448" s="17">
        <f>CHOOSE(CONTROL!$C$42, 21.5431, 21.5431) * CHOOSE(CONTROL!$C$21, $C$9, 100%, $E$9)</f>
        <v>21.543099999999999</v>
      </c>
      <c r="O448" s="17">
        <f>CHOOSE(CONTROL!$C$42, 21.8048, 21.8048) * CHOOSE(CONTROL!$C$21, $C$9, 100%, $E$9)</f>
        <v>21.8048</v>
      </c>
      <c r="P448" s="17">
        <f>CHOOSE(CONTROL!$C$42, 21.6164, 21.6164) * CHOOSE(CONTROL!$C$21, $C$9, 100%, $E$9)</f>
        <v>21.616399999999999</v>
      </c>
      <c r="Q448" s="17">
        <f>CHOOSE(CONTROL!$C$42, 22.3995, 22.3995) * CHOOSE(CONTROL!$C$21, $C$9, 100%, $E$9)</f>
        <v>22.3995</v>
      </c>
      <c r="R448" s="17">
        <f>CHOOSE(CONTROL!$C$42, 23.0425, 23.0425) * CHOOSE(CONTROL!$C$21, $C$9, 100%, $E$9)</f>
        <v>23.0425</v>
      </c>
      <c r="S448" s="17">
        <f>CHOOSE(CONTROL!$C$42, 21.0488, 21.0488) * CHOOSE(CONTROL!$C$21, $C$9, 100%, $E$9)</f>
        <v>21.0488</v>
      </c>
      <c r="T448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448" s="57">
        <f>(1000*CHOOSE(CONTROL!$C$42, 695, 695)*CHOOSE(CONTROL!$C$42, 0.5599, 0.5599)*CHOOSE(CONTROL!$C$42, 30, 30))/1000000</f>
        <v>11.673914999999997</v>
      </c>
      <c r="V448" s="57">
        <f>(1000*CHOOSE(CONTROL!$C$42, 500, 500)*CHOOSE(CONTROL!$C$42, 0.275, 0.275)*CHOOSE(CONTROL!$C$42, 30, 30))/1000000</f>
        <v>4.125</v>
      </c>
      <c r="W448" s="57">
        <f>(1000*CHOOSE(CONTROL!$C$42, 0.0916, 0.0916)*CHOOSE(CONTROL!$C$42, 121.5, 121.5)*CHOOSE(CONTROL!$C$42, 30, 30))/1000000</f>
        <v>0.33388200000000001</v>
      </c>
      <c r="X448" s="57">
        <f>(30*0.1790888*145000/1000000)+(30*0.2374*100000/1000000)</f>
        <v>1.4912362799999999</v>
      </c>
      <c r="Y448" s="57"/>
      <c r="Z448" s="17"/>
      <c r="AA448" s="56"/>
      <c r="AB448" s="49">
        <f>(B448*141.293+C448*267.993+D448*115.016+E448*189.698+F448*40+G448*85+H448*0+I448*100+J448*300)/(141.293+267.993+115.016+189.698+0+40+85+100+300)</f>
        <v>21.794730190234059</v>
      </c>
      <c r="AC448" s="46">
        <f>(M448*'RAP TEMPLATE-GAS AVAILABILITY'!O447+N448*'RAP TEMPLATE-GAS AVAILABILITY'!P447+O448*'RAP TEMPLATE-GAS AVAILABILITY'!Q447+P448*'RAP TEMPLATE-GAS AVAILABILITY'!R447)/('RAP TEMPLATE-GAS AVAILABILITY'!O447+'RAP TEMPLATE-GAS AVAILABILITY'!P447+'RAP TEMPLATE-GAS AVAILABILITY'!Q447+'RAP TEMPLATE-GAS AVAILABILITY'!R447)</f>
        <v>21.62165179856115</v>
      </c>
    </row>
    <row r="449" spans="1:29" ht="15.75" x14ac:dyDescent="0.25">
      <c r="A449" s="14">
        <v>54574</v>
      </c>
      <c r="B449" s="17">
        <f>CHOOSE(CONTROL!$C$42, 21.91, 21.91) * CHOOSE(CONTROL!$C$21, $C$9, 100%, $E$9)</f>
        <v>21.91</v>
      </c>
      <c r="C449" s="17">
        <f>CHOOSE(CONTROL!$C$42, 21.918, 21.918) * CHOOSE(CONTROL!$C$21, $C$9, 100%, $E$9)</f>
        <v>21.917999999999999</v>
      </c>
      <c r="D449" s="17">
        <f>CHOOSE(CONTROL!$C$42, 22.1676, 22.1676) * CHOOSE(CONTROL!$C$21, $C$9, 100%, $E$9)</f>
        <v>22.1676</v>
      </c>
      <c r="E449" s="17">
        <f>CHOOSE(CONTROL!$C$42, 22.1988, 22.1988) * CHOOSE(CONTROL!$C$21, $C$9, 100%, $E$9)</f>
        <v>22.198799999999999</v>
      </c>
      <c r="F449" s="17">
        <f>CHOOSE(CONTROL!$C$42, 21.9149, 21.9149)*CHOOSE(CONTROL!$C$21, $C$9, 100%, $E$9)</f>
        <v>21.914899999999999</v>
      </c>
      <c r="G449" s="17">
        <f>CHOOSE(CONTROL!$C$42, 21.931, 21.931)*CHOOSE(CONTROL!$C$21, $C$9, 100%, $E$9)</f>
        <v>21.931000000000001</v>
      </c>
      <c r="H449" s="17">
        <f>CHOOSE(CONTROL!$C$42, 22.1871, 22.1871) * CHOOSE(CONTROL!$C$21, $C$9, 100%, $E$9)</f>
        <v>22.187100000000001</v>
      </c>
      <c r="I449" s="17">
        <f>CHOOSE(CONTROL!$C$42, 21.9983, 21.9983)* CHOOSE(CONTROL!$C$21, $C$9, 100%, $E$9)</f>
        <v>21.9983</v>
      </c>
      <c r="J449" s="17">
        <f>CHOOSE(CONTROL!$C$42, 21.9075, 21.9075)* CHOOSE(CONTROL!$C$21, $C$9, 100%, $E$9)</f>
        <v>21.907499999999999</v>
      </c>
      <c r="K449" s="53">
        <f>CHOOSE(CONTROL!$C$42, 21.9922, 21.9922) * CHOOSE(CONTROL!$C$21, $C$9, 100%, $E$9)</f>
        <v>21.9922</v>
      </c>
      <c r="L449" s="17">
        <f>CHOOSE(CONTROL!$C$42, 22.7741, 22.7741) * CHOOSE(CONTROL!$C$21, $C$9, 100%, $E$9)</f>
        <v>22.774100000000001</v>
      </c>
      <c r="M449" s="17">
        <f>CHOOSE(CONTROL!$C$42, 21.7175, 21.7175) * CHOOSE(CONTROL!$C$21, $C$9, 100%, $E$9)</f>
        <v>21.717500000000001</v>
      </c>
      <c r="N449" s="17">
        <f>CHOOSE(CONTROL!$C$42, 21.7334, 21.7334) * CHOOSE(CONTROL!$C$21, $C$9, 100%, $E$9)</f>
        <v>21.7334</v>
      </c>
      <c r="O449" s="17">
        <f>CHOOSE(CONTROL!$C$42, 21.9946, 21.9946) * CHOOSE(CONTROL!$C$21, $C$9, 100%, $E$9)</f>
        <v>21.994599999999998</v>
      </c>
      <c r="P449" s="17">
        <f>CHOOSE(CONTROL!$C$42, 21.8069, 21.8069) * CHOOSE(CONTROL!$C$21, $C$9, 100%, $E$9)</f>
        <v>21.806899999999999</v>
      </c>
      <c r="Q449" s="17">
        <f>CHOOSE(CONTROL!$C$42, 22.5893, 22.5893) * CHOOSE(CONTROL!$C$21, $C$9, 100%, $E$9)</f>
        <v>22.589300000000001</v>
      </c>
      <c r="R449" s="17">
        <f>CHOOSE(CONTROL!$C$42, 23.2328, 23.2328) * CHOOSE(CONTROL!$C$21, $C$9, 100%, $E$9)</f>
        <v>23.232800000000001</v>
      </c>
      <c r="S449" s="17">
        <f>CHOOSE(CONTROL!$C$42, 21.2346, 21.2346) * CHOOSE(CONTROL!$C$21, $C$9, 100%, $E$9)</f>
        <v>21.2346</v>
      </c>
      <c r="T449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449" s="57">
        <f>(1000*CHOOSE(CONTROL!$C$42, 695, 695)*CHOOSE(CONTROL!$C$42, 0.5599, 0.5599)*CHOOSE(CONTROL!$C$42, 31, 31))/1000000</f>
        <v>12.063045499999998</v>
      </c>
      <c r="V449" s="57">
        <f>(1000*CHOOSE(CONTROL!$C$42, 500, 500)*CHOOSE(CONTROL!$C$42, 0.275, 0.275)*CHOOSE(CONTROL!$C$42, 31, 31))/1000000</f>
        <v>4.2625000000000002</v>
      </c>
      <c r="W449" s="57">
        <f>(1000*CHOOSE(CONTROL!$C$42, 0.0916, 0.0916)*CHOOSE(CONTROL!$C$42, 121.5, 121.5)*CHOOSE(CONTROL!$C$42, 31, 31))/1000000</f>
        <v>0.34501139999999997</v>
      </c>
      <c r="X449" s="57">
        <f>(31*0.1790888*145000/1000000)+(31*0.2374*100000/1000000)</f>
        <v>1.5409441560000001</v>
      </c>
      <c r="Y449" s="57"/>
      <c r="Z449" s="17"/>
      <c r="AA449" s="56"/>
      <c r="AB449" s="49">
        <f>(B449*194.205+C449*267.466+D449*133.845+E449*153.484+F449*40+G449*85+H449*0+I449*100+J449*300)/(194.205+267.466+133.845+153.484+0+40+85+100+300)</f>
        <v>21.981432793720565</v>
      </c>
      <c r="AC449" s="46">
        <f>(M449*'RAP TEMPLATE-GAS AVAILABILITY'!O448+N449*'RAP TEMPLATE-GAS AVAILABILITY'!P448+O449*'RAP TEMPLATE-GAS AVAILABILITY'!Q448+P449*'RAP TEMPLATE-GAS AVAILABILITY'!R448)/('RAP TEMPLATE-GAS AVAILABILITY'!O448+'RAP TEMPLATE-GAS AVAILABILITY'!P448+'RAP TEMPLATE-GAS AVAILABILITY'!Q448+'RAP TEMPLATE-GAS AVAILABILITY'!R448)</f>
        <v>21.811771223021587</v>
      </c>
    </row>
    <row r="450" spans="1:29" ht="15.75" x14ac:dyDescent="0.25">
      <c r="A450" s="14">
        <v>54604</v>
      </c>
      <c r="B450" s="17">
        <f>CHOOSE(CONTROL!$C$42, 22.5312, 22.5312) * CHOOSE(CONTROL!$C$21, $C$9, 100%, $E$9)</f>
        <v>22.531199999999998</v>
      </c>
      <c r="C450" s="17">
        <f>CHOOSE(CONTROL!$C$42, 22.5392, 22.5392) * CHOOSE(CONTROL!$C$21, $C$9, 100%, $E$9)</f>
        <v>22.539200000000001</v>
      </c>
      <c r="D450" s="17">
        <f>CHOOSE(CONTROL!$C$42, 22.7888, 22.7888) * CHOOSE(CONTROL!$C$21, $C$9, 100%, $E$9)</f>
        <v>22.788799999999998</v>
      </c>
      <c r="E450" s="17">
        <f>CHOOSE(CONTROL!$C$42, 22.82, 22.82) * CHOOSE(CONTROL!$C$21, $C$9, 100%, $E$9)</f>
        <v>22.82</v>
      </c>
      <c r="F450" s="17">
        <f>CHOOSE(CONTROL!$C$42, 22.5364, 22.5364)*CHOOSE(CONTROL!$C$21, $C$9, 100%, $E$9)</f>
        <v>22.5364</v>
      </c>
      <c r="G450" s="17">
        <f>CHOOSE(CONTROL!$C$42, 22.5526, 22.5526)*CHOOSE(CONTROL!$C$21, $C$9, 100%, $E$9)</f>
        <v>22.552600000000002</v>
      </c>
      <c r="H450" s="17">
        <f>CHOOSE(CONTROL!$C$42, 22.8083, 22.8083) * CHOOSE(CONTROL!$C$21, $C$9, 100%, $E$9)</f>
        <v>22.808299999999999</v>
      </c>
      <c r="I450" s="17">
        <f>CHOOSE(CONTROL!$C$42, 22.6213, 22.6213)* CHOOSE(CONTROL!$C$21, $C$9, 100%, $E$9)</f>
        <v>22.621300000000002</v>
      </c>
      <c r="J450" s="17">
        <f>CHOOSE(CONTROL!$C$42, 22.529, 22.529)* CHOOSE(CONTROL!$C$21, $C$9, 100%, $E$9)</f>
        <v>22.529</v>
      </c>
      <c r="K450" s="53">
        <f>CHOOSE(CONTROL!$C$42, 22.6153, 22.6153) * CHOOSE(CONTROL!$C$21, $C$9, 100%, $E$9)</f>
        <v>22.615300000000001</v>
      </c>
      <c r="L450" s="17">
        <f>CHOOSE(CONTROL!$C$42, 23.3953, 23.3953) * CHOOSE(CONTROL!$C$21, $C$9, 100%, $E$9)</f>
        <v>23.395299999999999</v>
      </c>
      <c r="M450" s="17">
        <f>CHOOSE(CONTROL!$C$42, 22.3334, 22.3334) * CHOOSE(CONTROL!$C$21, $C$9, 100%, $E$9)</f>
        <v>22.333400000000001</v>
      </c>
      <c r="N450" s="17">
        <f>CHOOSE(CONTROL!$C$42, 22.3494, 22.3494) * CHOOSE(CONTROL!$C$21, $C$9, 100%, $E$9)</f>
        <v>22.349399999999999</v>
      </c>
      <c r="O450" s="17">
        <f>CHOOSE(CONTROL!$C$42, 22.6102, 22.6102) * CHOOSE(CONTROL!$C$21, $C$9, 100%, $E$9)</f>
        <v>22.610199999999999</v>
      </c>
      <c r="P450" s="17">
        <f>CHOOSE(CONTROL!$C$42, 22.4243, 22.4243) * CHOOSE(CONTROL!$C$21, $C$9, 100%, $E$9)</f>
        <v>22.424299999999999</v>
      </c>
      <c r="Q450" s="17">
        <f>CHOOSE(CONTROL!$C$42, 23.2049, 23.2049) * CHOOSE(CONTROL!$C$21, $C$9, 100%, $E$9)</f>
        <v>23.204899999999999</v>
      </c>
      <c r="R450" s="17">
        <f>CHOOSE(CONTROL!$C$42, 23.8499, 23.8499) * CHOOSE(CONTROL!$C$21, $C$9, 100%, $E$9)</f>
        <v>23.849900000000002</v>
      </c>
      <c r="S450" s="17">
        <f>CHOOSE(CONTROL!$C$42, 21.8369, 21.8369) * CHOOSE(CONTROL!$C$21, $C$9, 100%, $E$9)</f>
        <v>21.8369</v>
      </c>
      <c r="T450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450" s="57">
        <f>(1000*CHOOSE(CONTROL!$C$42, 695, 695)*CHOOSE(CONTROL!$C$42, 0.5599, 0.5599)*CHOOSE(CONTROL!$C$42, 30, 30))/1000000</f>
        <v>11.673914999999997</v>
      </c>
      <c r="V450" s="57">
        <f>(1000*CHOOSE(CONTROL!$C$42, 500, 500)*CHOOSE(CONTROL!$C$42, 0.275, 0.275)*CHOOSE(CONTROL!$C$42, 30, 30))/1000000</f>
        <v>4.125</v>
      </c>
      <c r="W450" s="57">
        <f>(1000*CHOOSE(CONTROL!$C$42, 0.0916, 0.0916)*CHOOSE(CONTROL!$C$42, 121.5, 121.5)*CHOOSE(CONTROL!$C$42, 30, 30))/1000000</f>
        <v>0.33388200000000001</v>
      </c>
      <c r="X450" s="57">
        <f>(30*0.1790888*145000/1000000)+(30*0.2374*100000/1000000)</f>
        <v>1.4912362799999999</v>
      </c>
      <c r="Y450" s="57"/>
      <c r="Z450" s="17"/>
      <c r="AA450" s="56"/>
      <c r="AB450" s="49">
        <f>(B450*194.205+C450*267.466+D450*133.845+E450*153.484+F450*40+G450*85+H450*0+I450*100+J450*300)/(194.205+267.466+133.845+153.484+0+40+85+100+300)</f>
        <v>22.602880831397176</v>
      </c>
      <c r="AC450" s="46">
        <f>(M450*'RAP TEMPLATE-GAS AVAILABILITY'!O449+N450*'RAP TEMPLATE-GAS AVAILABILITY'!P449+O450*'RAP TEMPLATE-GAS AVAILABILITY'!Q449+P450*'RAP TEMPLATE-GAS AVAILABILITY'!R449)/('RAP TEMPLATE-GAS AVAILABILITY'!O449+'RAP TEMPLATE-GAS AVAILABILITY'!P449+'RAP TEMPLATE-GAS AVAILABILITY'!Q449+'RAP TEMPLATE-GAS AVAILABILITY'!R449)</f>
        <v>22.427825899280574</v>
      </c>
    </row>
    <row r="451" spans="1:29" ht="15.75" x14ac:dyDescent="0.25">
      <c r="A451" s="14">
        <v>54635</v>
      </c>
      <c r="B451" s="17">
        <f>CHOOSE(CONTROL!$C$42, 22.0992, 22.0992) * CHOOSE(CONTROL!$C$21, $C$9, 100%, $E$9)</f>
        <v>22.0992</v>
      </c>
      <c r="C451" s="17">
        <f>CHOOSE(CONTROL!$C$42, 22.1072, 22.1072) * CHOOSE(CONTROL!$C$21, $C$9, 100%, $E$9)</f>
        <v>22.107199999999999</v>
      </c>
      <c r="D451" s="17">
        <f>CHOOSE(CONTROL!$C$42, 22.3568, 22.3568) * CHOOSE(CONTROL!$C$21, $C$9, 100%, $E$9)</f>
        <v>22.3568</v>
      </c>
      <c r="E451" s="17">
        <f>CHOOSE(CONTROL!$C$42, 22.388, 22.388) * CHOOSE(CONTROL!$C$21, $C$9, 100%, $E$9)</f>
        <v>22.388000000000002</v>
      </c>
      <c r="F451" s="17">
        <f>CHOOSE(CONTROL!$C$42, 22.1049, 22.1049)*CHOOSE(CONTROL!$C$21, $C$9, 100%, $E$9)</f>
        <v>22.104900000000001</v>
      </c>
      <c r="G451" s="17">
        <f>CHOOSE(CONTROL!$C$42, 22.1212, 22.1212)*CHOOSE(CONTROL!$C$21, $C$9, 100%, $E$9)</f>
        <v>22.121200000000002</v>
      </c>
      <c r="H451" s="17">
        <f>CHOOSE(CONTROL!$C$42, 22.3763, 22.3763) * CHOOSE(CONTROL!$C$21, $C$9, 100%, $E$9)</f>
        <v>22.376300000000001</v>
      </c>
      <c r="I451" s="17">
        <f>CHOOSE(CONTROL!$C$42, 22.188, 22.188)* CHOOSE(CONTROL!$C$21, $C$9, 100%, $E$9)</f>
        <v>22.187999999999999</v>
      </c>
      <c r="J451" s="17">
        <f>CHOOSE(CONTROL!$C$42, 22.0975, 22.0975)* CHOOSE(CONTROL!$C$21, $C$9, 100%, $E$9)</f>
        <v>22.0975</v>
      </c>
      <c r="K451" s="53">
        <f>CHOOSE(CONTROL!$C$42, 22.1819, 22.1819) * CHOOSE(CONTROL!$C$21, $C$9, 100%, $E$9)</f>
        <v>22.181899999999999</v>
      </c>
      <c r="L451" s="17">
        <f>CHOOSE(CONTROL!$C$42, 22.9633, 22.9633) * CHOOSE(CONTROL!$C$21, $C$9, 100%, $E$9)</f>
        <v>22.9633</v>
      </c>
      <c r="M451" s="17">
        <f>CHOOSE(CONTROL!$C$42, 21.9057, 21.9057) * CHOOSE(CONTROL!$C$21, $C$9, 100%, $E$9)</f>
        <v>21.9057</v>
      </c>
      <c r="N451" s="17">
        <f>CHOOSE(CONTROL!$C$42, 21.9219, 21.9219) * CHOOSE(CONTROL!$C$21, $C$9, 100%, $E$9)</f>
        <v>21.921900000000001</v>
      </c>
      <c r="O451" s="17">
        <f>CHOOSE(CONTROL!$C$42, 22.182, 22.182) * CHOOSE(CONTROL!$C$21, $C$9, 100%, $E$9)</f>
        <v>22.181999999999999</v>
      </c>
      <c r="P451" s="17">
        <f>CHOOSE(CONTROL!$C$42, 21.9949, 21.9949) * CHOOSE(CONTROL!$C$21, $C$9, 100%, $E$9)</f>
        <v>21.994900000000001</v>
      </c>
      <c r="Q451" s="17">
        <f>CHOOSE(CONTROL!$C$42, 22.7767, 22.7767) * CHOOSE(CONTROL!$C$21, $C$9, 100%, $E$9)</f>
        <v>22.776700000000002</v>
      </c>
      <c r="R451" s="17">
        <f>CHOOSE(CONTROL!$C$42, 23.4207, 23.4207) * CHOOSE(CONTROL!$C$21, $C$9, 100%, $E$9)</f>
        <v>23.4207</v>
      </c>
      <c r="S451" s="17">
        <f>CHOOSE(CONTROL!$C$42, 21.418, 21.418) * CHOOSE(CONTROL!$C$21, $C$9, 100%, $E$9)</f>
        <v>21.417999999999999</v>
      </c>
      <c r="T451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451" s="57">
        <f>(1000*CHOOSE(CONTROL!$C$42, 695, 695)*CHOOSE(CONTROL!$C$42, 0.5599, 0.5599)*CHOOSE(CONTROL!$C$42, 31, 31))/1000000</f>
        <v>12.063045499999998</v>
      </c>
      <c r="V451" s="57">
        <f>(1000*CHOOSE(CONTROL!$C$42, 500, 500)*CHOOSE(CONTROL!$C$42, 0.275, 0.275)*CHOOSE(CONTROL!$C$42, 31, 31))/1000000</f>
        <v>4.2625000000000002</v>
      </c>
      <c r="W451" s="57">
        <f>(1000*CHOOSE(CONTROL!$C$42, 0.0916, 0.0916)*CHOOSE(CONTROL!$C$42, 121.5, 121.5)*CHOOSE(CONTROL!$C$42, 31, 31))/1000000</f>
        <v>0.34501139999999997</v>
      </c>
      <c r="X451" s="57">
        <f>(31*0.1790888*145000/1000000)+(31*0.2374*100000/1000000)</f>
        <v>1.5409441560000001</v>
      </c>
      <c r="Y451" s="57"/>
      <c r="Z451" s="17"/>
      <c r="AA451" s="56"/>
      <c r="AB451" s="49">
        <f>(B451*194.205+C451*267.466+D451*133.845+E451*153.484+F451*40+G451*85+H451*0+I451*100+J451*300)/(194.205+267.466+133.845+153.484+0+40+85+100+300)</f>
        <v>22.170952259968601</v>
      </c>
      <c r="AC451" s="46">
        <f>(M451*'RAP TEMPLATE-GAS AVAILABILITY'!O450+N451*'RAP TEMPLATE-GAS AVAILABILITY'!P450+O451*'RAP TEMPLATE-GAS AVAILABILITY'!Q450+P451*'RAP TEMPLATE-GAS AVAILABILITY'!R450)/('RAP TEMPLATE-GAS AVAILABILITY'!O450+'RAP TEMPLATE-GAS AVAILABILITY'!P450+'RAP TEMPLATE-GAS AVAILABILITY'!Q450+'RAP TEMPLATE-GAS AVAILABILITY'!R450)</f>
        <v>21.999787050359711</v>
      </c>
    </row>
    <row r="452" spans="1:29" ht="15.75" x14ac:dyDescent="0.25">
      <c r="A452" s="14">
        <v>54666</v>
      </c>
      <c r="B452" s="17">
        <f>CHOOSE(CONTROL!$C$42, 21.0082, 21.0082) * CHOOSE(CONTROL!$C$21, $C$9, 100%, $E$9)</f>
        <v>21.008199999999999</v>
      </c>
      <c r="C452" s="17">
        <f>CHOOSE(CONTROL!$C$42, 21.0162, 21.0162) * CHOOSE(CONTROL!$C$21, $C$9, 100%, $E$9)</f>
        <v>21.016200000000001</v>
      </c>
      <c r="D452" s="17">
        <f>CHOOSE(CONTROL!$C$42, 21.2658, 21.2658) * CHOOSE(CONTROL!$C$21, $C$9, 100%, $E$9)</f>
        <v>21.265799999999999</v>
      </c>
      <c r="E452" s="17">
        <f>CHOOSE(CONTROL!$C$42, 21.297, 21.297) * CHOOSE(CONTROL!$C$21, $C$9, 100%, $E$9)</f>
        <v>21.297000000000001</v>
      </c>
      <c r="F452" s="17">
        <f>CHOOSE(CONTROL!$C$42, 21.0142, 21.0142)*CHOOSE(CONTROL!$C$21, $C$9, 100%, $E$9)</f>
        <v>21.014199999999999</v>
      </c>
      <c r="G452" s="17">
        <f>CHOOSE(CONTROL!$C$42, 21.0306, 21.0306)*CHOOSE(CONTROL!$C$21, $C$9, 100%, $E$9)</f>
        <v>21.0306</v>
      </c>
      <c r="H452" s="17">
        <f>CHOOSE(CONTROL!$C$42, 21.2853, 21.2853) * CHOOSE(CONTROL!$C$21, $C$9, 100%, $E$9)</f>
        <v>21.285299999999999</v>
      </c>
      <c r="I452" s="17">
        <f>CHOOSE(CONTROL!$C$42, 21.0936, 21.0936)* CHOOSE(CONTROL!$C$21, $C$9, 100%, $E$9)</f>
        <v>21.093599999999999</v>
      </c>
      <c r="J452" s="17">
        <f>CHOOSE(CONTROL!$C$42, 21.0068, 21.0068)* CHOOSE(CONTROL!$C$21, $C$9, 100%, $E$9)</f>
        <v>21.006799999999998</v>
      </c>
      <c r="K452" s="53">
        <f>CHOOSE(CONTROL!$C$42, 21.0876, 21.0876) * CHOOSE(CONTROL!$C$21, $C$9, 100%, $E$9)</f>
        <v>21.087599999999998</v>
      </c>
      <c r="L452" s="17">
        <f>CHOOSE(CONTROL!$C$42, 21.8723, 21.8723) * CHOOSE(CONTROL!$C$21, $C$9, 100%, $E$9)</f>
        <v>21.872299999999999</v>
      </c>
      <c r="M452" s="17">
        <f>CHOOSE(CONTROL!$C$42, 20.8249, 20.8249) * CHOOSE(CONTROL!$C$21, $C$9, 100%, $E$9)</f>
        <v>20.8249</v>
      </c>
      <c r="N452" s="17">
        <f>CHOOSE(CONTROL!$C$42, 20.8411, 20.8411) * CHOOSE(CONTROL!$C$21, $C$9, 100%, $E$9)</f>
        <v>20.841100000000001</v>
      </c>
      <c r="O452" s="17">
        <f>CHOOSE(CONTROL!$C$42, 21.1009, 21.1009) * CHOOSE(CONTROL!$C$21, $C$9, 100%, $E$9)</f>
        <v>21.100899999999999</v>
      </c>
      <c r="P452" s="17">
        <f>CHOOSE(CONTROL!$C$42, 20.9104, 20.9104) * CHOOSE(CONTROL!$C$21, $C$9, 100%, $E$9)</f>
        <v>20.910399999999999</v>
      </c>
      <c r="Q452" s="17">
        <f>CHOOSE(CONTROL!$C$42, 21.6956, 21.6956) * CHOOSE(CONTROL!$C$21, $C$9, 100%, $E$9)</f>
        <v>21.695599999999999</v>
      </c>
      <c r="R452" s="17">
        <f>CHOOSE(CONTROL!$C$42, 22.3368, 22.3368) * CHOOSE(CONTROL!$C$21, $C$9, 100%, $E$9)</f>
        <v>22.3368</v>
      </c>
      <c r="S452" s="17">
        <f>CHOOSE(CONTROL!$C$42, 20.3601, 20.3601) * CHOOSE(CONTROL!$C$21, $C$9, 100%, $E$9)</f>
        <v>20.360099999999999</v>
      </c>
      <c r="T452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452" s="57">
        <f>(1000*CHOOSE(CONTROL!$C$42, 695, 695)*CHOOSE(CONTROL!$C$42, 0.5599, 0.5599)*CHOOSE(CONTROL!$C$42, 31, 31))/1000000</f>
        <v>12.063045499999998</v>
      </c>
      <c r="V452" s="57">
        <f>(1000*CHOOSE(CONTROL!$C$42, 500, 500)*CHOOSE(CONTROL!$C$42, 0.275, 0.275)*CHOOSE(CONTROL!$C$42, 31, 31))/1000000</f>
        <v>4.2625000000000002</v>
      </c>
      <c r="W452" s="57">
        <f>(1000*CHOOSE(CONTROL!$C$42, 0.0916, 0.0916)*CHOOSE(CONTROL!$C$42, 121.5, 121.5)*CHOOSE(CONTROL!$C$42, 31, 31))/1000000</f>
        <v>0.34501139999999997</v>
      </c>
      <c r="X452" s="57">
        <f>(31*0.1790888*145000/1000000)+(31*0.2374*100000/1000000)</f>
        <v>1.5409441560000001</v>
      </c>
      <c r="Y452" s="57"/>
      <c r="Z452" s="17"/>
      <c r="AA452" s="56"/>
      <c r="AB452" s="49">
        <f>(B452*194.205+C452*267.466+D452*133.845+E452*153.484+F452*40+G452*85+H452*0+I452*100+J452*300)/(194.205+267.466+133.845+153.484+0+40+85+100+300)</f>
        <v>21.079792134379908</v>
      </c>
      <c r="AC452" s="46">
        <f>(M452*'RAP TEMPLATE-GAS AVAILABILITY'!O451+N452*'RAP TEMPLATE-GAS AVAILABILITY'!P451+O452*'RAP TEMPLATE-GAS AVAILABILITY'!Q451+P452*'RAP TEMPLATE-GAS AVAILABILITY'!R451)/('RAP TEMPLATE-GAS AVAILABILITY'!O451+'RAP TEMPLATE-GAS AVAILABILITY'!P451+'RAP TEMPLATE-GAS AVAILABILITY'!Q451+'RAP TEMPLATE-GAS AVAILABILITY'!R451)</f>
        <v>20.918370503597124</v>
      </c>
    </row>
    <row r="453" spans="1:29" ht="15.75" x14ac:dyDescent="0.25">
      <c r="A453" s="14">
        <v>54696</v>
      </c>
      <c r="B453" s="17">
        <f>CHOOSE(CONTROL!$C$42, 19.675, 19.675) * CHOOSE(CONTROL!$C$21, $C$9, 100%, $E$9)</f>
        <v>19.675000000000001</v>
      </c>
      <c r="C453" s="17">
        <f>CHOOSE(CONTROL!$C$42, 19.683, 19.683) * CHOOSE(CONTROL!$C$21, $C$9, 100%, $E$9)</f>
        <v>19.683</v>
      </c>
      <c r="D453" s="17">
        <f>CHOOSE(CONTROL!$C$42, 19.9326, 19.9326) * CHOOSE(CONTROL!$C$21, $C$9, 100%, $E$9)</f>
        <v>19.932600000000001</v>
      </c>
      <c r="E453" s="17">
        <f>CHOOSE(CONTROL!$C$42, 19.9638, 19.9638) * CHOOSE(CONTROL!$C$21, $C$9, 100%, $E$9)</f>
        <v>19.963799999999999</v>
      </c>
      <c r="F453" s="17">
        <f>CHOOSE(CONTROL!$C$42, 19.681, 19.681)*CHOOSE(CONTROL!$C$21, $C$9, 100%, $E$9)</f>
        <v>19.681000000000001</v>
      </c>
      <c r="G453" s="17">
        <f>CHOOSE(CONTROL!$C$42, 19.6975, 19.6975)*CHOOSE(CONTROL!$C$21, $C$9, 100%, $E$9)</f>
        <v>19.697500000000002</v>
      </c>
      <c r="H453" s="17">
        <f>CHOOSE(CONTROL!$C$42, 19.9521, 19.9521) * CHOOSE(CONTROL!$C$21, $C$9, 100%, $E$9)</f>
        <v>19.952100000000002</v>
      </c>
      <c r="I453" s="17">
        <f>CHOOSE(CONTROL!$C$42, 19.7563, 19.7563)* CHOOSE(CONTROL!$C$21, $C$9, 100%, $E$9)</f>
        <v>19.7563</v>
      </c>
      <c r="J453" s="17">
        <f>CHOOSE(CONTROL!$C$42, 19.6736, 19.6736)* CHOOSE(CONTROL!$C$21, $C$9, 100%, $E$9)</f>
        <v>19.6736</v>
      </c>
      <c r="K453" s="53">
        <f>CHOOSE(CONTROL!$C$42, 19.7503, 19.7503) * CHOOSE(CONTROL!$C$21, $C$9, 100%, $E$9)</f>
        <v>19.750299999999999</v>
      </c>
      <c r="L453" s="17">
        <f>CHOOSE(CONTROL!$C$42, 20.5391, 20.5391) * CHOOSE(CONTROL!$C$21, $C$9, 100%, $E$9)</f>
        <v>20.539100000000001</v>
      </c>
      <c r="M453" s="17">
        <f>CHOOSE(CONTROL!$C$42, 19.5037, 19.5037) * CHOOSE(CONTROL!$C$21, $C$9, 100%, $E$9)</f>
        <v>19.503699999999998</v>
      </c>
      <c r="N453" s="17">
        <f>CHOOSE(CONTROL!$C$42, 19.52, 19.52) * CHOOSE(CONTROL!$C$21, $C$9, 100%, $E$9)</f>
        <v>19.52</v>
      </c>
      <c r="O453" s="17">
        <f>CHOOSE(CONTROL!$C$42, 19.7797, 19.7797) * CHOOSE(CONTROL!$C$21, $C$9, 100%, $E$9)</f>
        <v>19.779699999999998</v>
      </c>
      <c r="P453" s="17">
        <f>CHOOSE(CONTROL!$C$42, 19.5852, 19.5852) * CHOOSE(CONTROL!$C$21, $C$9, 100%, $E$9)</f>
        <v>19.5852</v>
      </c>
      <c r="Q453" s="17">
        <f>CHOOSE(CONTROL!$C$42, 20.3744, 20.3744) * CHOOSE(CONTROL!$C$21, $C$9, 100%, $E$9)</f>
        <v>20.374400000000001</v>
      </c>
      <c r="R453" s="17">
        <f>CHOOSE(CONTROL!$C$42, 21.0124, 21.0124) * CHOOSE(CONTROL!$C$21, $C$9, 100%, $E$9)</f>
        <v>21.0124</v>
      </c>
      <c r="S453" s="17">
        <f>CHOOSE(CONTROL!$C$42, 19.0673, 19.0673) * CHOOSE(CONTROL!$C$21, $C$9, 100%, $E$9)</f>
        <v>19.067299999999999</v>
      </c>
      <c r="T453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453" s="57">
        <f>(1000*CHOOSE(CONTROL!$C$42, 695, 695)*CHOOSE(CONTROL!$C$42, 0.5599, 0.5599)*CHOOSE(CONTROL!$C$42, 30, 30))/1000000</f>
        <v>11.673914999999997</v>
      </c>
      <c r="V453" s="57">
        <f>(1000*CHOOSE(CONTROL!$C$42, 500, 500)*CHOOSE(CONTROL!$C$42, 0.275, 0.275)*CHOOSE(CONTROL!$C$42, 30, 30))/1000000</f>
        <v>4.125</v>
      </c>
      <c r="W453" s="57">
        <f>(1000*CHOOSE(CONTROL!$C$42, 0.0916, 0.0916)*CHOOSE(CONTROL!$C$42, 121.5, 121.5)*CHOOSE(CONTROL!$C$42, 30, 30))/1000000</f>
        <v>0.33388200000000001</v>
      </c>
      <c r="X453" s="57">
        <f>(30*0.1790888*145000/1000000)+(30*0.2374*100000/1000000)</f>
        <v>1.4912362799999999</v>
      </c>
      <c r="Y453" s="57"/>
      <c r="Z453" s="17"/>
      <c r="AA453" s="56"/>
      <c r="AB453" s="49">
        <f>(B453*194.205+C453*267.466+D453*133.845+E453*153.484+F453*40+G453*85+H453*0+I453*100+J453*300)/(194.205+267.466+133.845+153.484+0+40+85+100+300)</f>
        <v>19.74627698524333</v>
      </c>
      <c r="AC453" s="46">
        <f>(M453*'RAP TEMPLATE-GAS AVAILABILITY'!O452+N453*'RAP TEMPLATE-GAS AVAILABILITY'!P452+O453*'RAP TEMPLATE-GAS AVAILABILITY'!Q452+P453*'RAP TEMPLATE-GAS AVAILABILITY'!R452)/('RAP TEMPLATE-GAS AVAILABILITY'!O452+'RAP TEMPLATE-GAS AVAILABILITY'!P452+'RAP TEMPLATE-GAS AVAILABILITY'!Q452+'RAP TEMPLATE-GAS AVAILABILITY'!R452)</f>
        <v>19.596617985611509</v>
      </c>
    </row>
    <row r="454" spans="1:29" ht="15.75" x14ac:dyDescent="0.25">
      <c r="A454" s="14">
        <v>54727</v>
      </c>
      <c r="B454" s="17">
        <f>CHOOSE(CONTROL!$C$42, 19.2741, 19.2741) * CHOOSE(CONTROL!$C$21, $C$9, 100%, $E$9)</f>
        <v>19.274100000000001</v>
      </c>
      <c r="C454" s="17">
        <f>CHOOSE(CONTROL!$C$42, 19.2794, 19.2794) * CHOOSE(CONTROL!$C$21, $C$9, 100%, $E$9)</f>
        <v>19.279399999999999</v>
      </c>
      <c r="D454" s="17">
        <f>CHOOSE(CONTROL!$C$42, 19.5339, 19.5339) * CHOOSE(CONTROL!$C$21, $C$9, 100%, $E$9)</f>
        <v>19.533899999999999</v>
      </c>
      <c r="E454" s="17">
        <f>CHOOSE(CONTROL!$C$42, 19.5628, 19.5628) * CHOOSE(CONTROL!$C$21, $C$9, 100%, $E$9)</f>
        <v>19.562799999999999</v>
      </c>
      <c r="F454" s="17">
        <f>CHOOSE(CONTROL!$C$42, 19.2823, 19.2823)*CHOOSE(CONTROL!$C$21, $C$9, 100%, $E$9)</f>
        <v>19.282299999999999</v>
      </c>
      <c r="G454" s="17">
        <f>CHOOSE(CONTROL!$C$42, 19.2986, 19.2986)*CHOOSE(CONTROL!$C$21, $C$9, 100%, $E$9)</f>
        <v>19.2986</v>
      </c>
      <c r="H454" s="17">
        <f>CHOOSE(CONTROL!$C$42, 19.5529, 19.5529) * CHOOSE(CONTROL!$C$21, $C$9, 100%, $E$9)</f>
        <v>19.552900000000001</v>
      </c>
      <c r="I454" s="17">
        <f>CHOOSE(CONTROL!$C$42, 19.3559, 19.3559)* CHOOSE(CONTROL!$C$21, $C$9, 100%, $E$9)</f>
        <v>19.355899999999998</v>
      </c>
      <c r="J454" s="17">
        <f>CHOOSE(CONTROL!$C$42, 19.2749, 19.2749)* CHOOSE(CONTROL!$C$21, $C$9, 100%, $E$9)</f>
        <v>19.274899999999999</v>
      </c>
      <c r="K454" s="53">
        <f>CHOOSE(CONTROL!$C$42, 19.3498, 19.3498) * CHOOSE(CONTROL!$C$21, $C$9, 100%, $E$9)</f>
        <v>19.349799999999998</v>
      </c>
      <c r="L454" s="17">
        <f>CHOOSE(CONTROL!$C$42, 20.1399, 20.1399) * CHOOSE(CONTROL!$C$21, $C$9, 100%, $E$9)</f>
        <v>20.139900000000001</v>
      </c>
      <c r="M454" s="17">
        <f>CHOOSE(CONTROL!$C$42, 19.1085, 19.1085) * CHOOSE(CONTROL!$C$21, $C$9, 100%, $E$9)</f>
        <v>19.108499999999999</v>
      </c>
      <c r="N454" s="17">
        <f>CHOOSE(CONTROL!$C$42, 19.1247, 19.1247) * CHOOSE(CONTROL!$C$21, $C$9, 100%, $E$9)</f>
        <v>19.124700000000001</v>
      </c>
      <c r="O454" s="17">
        <f>CHOOSE(CONTROL!$C$42, 19.3841, 19.3841) * CHOOSE(CONTROL!$C$21, $C$9, 100%, $E$9)</f>
        <v>19.3841</v>
      </c>
      <c r="P454" s="17">
        <f>CHOOSE(CONTROL!$C$42, 19.1883, 19.1883) * CHOOSE(CONTROL!$C$21, $C$9, 100%, $E$9)</f>
        <v>19.188300000000002</v>
      </c>
      <c r="Q454" s="17">
        <f>CHOOSE(CONTROL!$C$42, 19.9788, 19.9788) * CHOOSE(CONTROL!$C$21, $C$9, 100%, $E$9)</f>
        <v>19.9788</v>
      </c>
      <c r="R454" s="17">
        <f>CHOOSE(CONTROL!$C$42, 20.6157, 20.6157) * CHOOSE(CONTROL!$C$21, $C$9, 100%, $E$9)</f>
        <v>20.6157</v>
      </c>
      <c r="S454" s="17">
        <f>CHOOSE(CONTROL!$C$42, 18.6802, 18.6802) * CHOOSE(CONTROL!$C$21, $C$9, 100%, $E$9)</f>
        <v>18.680199999999999</v>
      </c>
      <c r="T454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454" s="57">
        <f>(1000*CHOOSE(CONTROL!$C$42, 695, 695)*CHOOSE(CONTROL!$C$42, 0.5599, 0.5599)*CHOOSE(CONTROL!$C$42, 31, 31))/1000000</f>
        <v>12.063045499999998</v>
      </c>
      <c r="V454" s="57">
        <f>(1000*CHOOSE(CONTROL!$C$42, 500, 500)*CHOOSE(CONTROL!$C$42, 0.275, 0.275)*CHOOSE(CONTROL!$C$42, 31, 31))/1000000</f>
        <v>4.2625000000000002</v>
      </c>
      <c r="W454" s="57">
        <f>(1000*CHOOSE(CONTROL!$C$42, 0.0916, 0.0916)*CHOOSE(CONTROL!$C$42, 121.5, 121.5)*CHOOSE(CONTROL!$C$42, 31, 31))/1000000</f>
        <v>0.34501139999999997</v>
      </c>
      <c r="X454" s="57">
        <f>(31*0.1790888*145000/1000000)+(31*0.2374*100000/1000000)</f>
        <v>1.5409441560000001</v>
      </c>
      <c r="Y454" s="57"/>
      <c r="Z454" s="17"/>
      <c r="AA454" s="56"/>
      <c r="AB454" s="49">
        <f>(B454*131.881+C454*277.167+D454*79.08+E454*225.872+F454*40+G454*85+H454*0+I454*100+J454*300)/(131.881+277.167+79.08+225.872+0+40+85+100+300)</f>
        <v>19.353239399112184</v>
      </c>
      <c r="AC454" s="46">
        <f>(M454*'RAP TEMPLATE-GAS AVAILABILITY'!O453+N454*'RAP TEMPLATE-GAS AVAILABILITY'!P453+O454*'RAP TEMPLATE-GAS AVAILABILITY'!Q453+P454*'RAP TEMPLATE-GAS AVAILABILITY'!R453)/('RAP TEMPLATE-GAS AVAILABILITY'!O453+'RAP TEMPLATE-GAS AVAILABILITY'!P453+'RAP TEMPLATE-GAS AVAILABILITY'!Q453+'RAP TEMPLATE-GAS AVAILABILITY'!R453)</f>
        <v>19.201038129496403</v>
      </c>
    </row>
    <row r="455" spans="1:29" ht="15.75" x14ac:dyDescent="0.25">
      <c r="A455" s="14">
        <v>54757</v>
      </c>
      <c r="B455" s="17">
        <f>CHOOSE(CONTROL!$C$42, 19.7812, 19.7812) * CHOOSE(CONTROL!$C$21, $C$9, 100%, $E$9)</f>
        <v>19.781199999999998</v>
      </c>
      <c r="C455" s="17">
        <f>CHOOSE(CONTROL!$C$42, 19.7863, 19.7863) * CHOOSE(CONTROL!$C$21, $C$9, 100%, $E$9)</f>
        <v>19.786300000000001</v>
      </c>
      <c r="D455" s="17">
        <f>CHOOSE(CONTROL!$C$42, 19.9089, 19.9089) * CHOOSE(CONTROL!$C$21, $C$9, 100%, $E$9)</f>
        <v>19.908899999999999</v>
      </c>
      <c r="E455" s="17">
        <f>CHOOSE(CONTROL!$C$42, 19.9426, 19.9426) * CHOOSE(CONTROL!$C$21, $C$9, 100%, $E$9)</f>
        <v>19.942599999999999</v>
      </c>
      <c r="F455" s="17">
        <f>CHOOSE(CONTROL!$C$42, 19.7962, 19.7962)*CHOOSE(CONTROL!$C$21, $C$9, 100%, $E$9)</f>
        <v>19.796199999999999</v>
      </c>
      <c r="G455" s="17">
        <f>CHOOSE(CONTROL!$C$42, 19.8128, 19.8128)*CHOOSE(CONTROL!$C$21, $C$9, 100%, $E$9)</f>
        <v>19.812799999999999</v>
      </c>
      <c r="H455" s="17">
        <f>CHOOSE(CONTROL!$C$42, 19.9315, 19.9315) * CHOOSE(CONTROL!$C$21, $C$9, 100%, $E$9)</f>
        <v>19.9315</v>
      </c>
      <c r="I455" s="17">
        <f>CHOOSE(CONTROL!$C$42, 19.8675, 19.8675)* CHOOSE(CONTROL!$C$21, $C$9, 100%, $E$9)</f>
        <v>19.8675</v>
      </c>
      <c r="J455" s="17">
        <f>CHOOSE(CONTROL!$C$42, 19.7888, 19.7888)* CHOOSE(CONTROL!$C$21, $C$9, 100%, $E$9)</f>
        <v>19.788799999999998</v>
      </c>
      <c r="K455" s="53">
        <f>CHOOSE(CONTROL!$C$42, 19.8615, 19.8615) * CHOOSE(CONTROL!$C$21, $C$9, 100%, $E$9)</f>
        <v>19.861499999999999</v>
      </c>
      <c r="L455" s="17">
        <f>CHOOSE(CONTROL!$C$42, 20.5185, 20.5185) * CHOOSE(CONTROL!$C$21, $C$9, 100%, $E$9)</f>
        <v>20.5185</v>
      </c>
      <c r="M455" s="17">
        <f>CHOOSE(CONTROL!$C$42, 19.6178, 19.6178) * CHOOSE(CONTROL!$C$21, $C$9, 100%, $E$9)</f>
        <v>19.617799999999999</v>
      </c>
      <c r="N455" s="17">
        <f>CHOOSE(CONTROL!$C$42, 19.6343, 19.6343) * CHOOSE(CONTROL!$C$21, $C$9, 100%, $E$9)</f>
        <v>19.6343</v>
      </c>
      <c r="O455" s="17">
        <f>CHOOSE(CONTROL!$C$42, 19.7593, 19.7593) * CHOOSE(CONTROL!$C$21, $C$9, 100%, $E$9)</f>
        <v>19.7593</v>
      </c>
      <c r="P455" s="17">
        <f>CHOOSE(CONTROL!$C$42, 19.6953, 19.6953) * CHOOSE(CONTROL!$C$21, $C$9, 100%, $E$9)</f>
        <v>19.6953</v>
      </c>
      <c r="Q455" s="17">
        <f>CHOOSE(CONTROL!$C$42, 20.354, 20.354) * CHOOSE(CONTROL!$C$21, $C$9, 100%, $E$9)</f>
        <v>20.353999999999999</v>
      </c>
      <c r="R455" s="17">
        <f>CHOOSE(CONTROL!$C$42, 20.9918, 20.9918) * CHOOSE(CONTROL!$C$21, $C$9, 100%, $E$9)</f>
        <v>20.991800000000001</v>
      </c>
      <c r="S455" s="17">
        <f>CHOOSE(CONTROL!$C$42, 19.1723, 19.1723) * CHOOSE(CONTROL!$C$21, $C$9, 100%, $E$9)</f>
        <v>19.1723</v>
      </c>
      <c r="T455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455" s="57">
        <f>(1000*CHOOSE(CONTROL!$C$42, 695, 695)*CHOOSE(CONTROL!$C$42, 0.5599, 0.5599)*CHOOSE(CONTROL!$C$42, 30, 30))/1000000</f>
        <v>11.673914999999997</v>
      </c>
      <c r="V455" s="57">
        <f>(1000*CHOOSE(CONTROL!$C$42, 500, 500)*CHOOSE(CONTROL!$C$42, 0.275, 0.275)*CHOOSE(CONTROL!$C$42, 30, 30))/1000000</f>
        <v>4.125</v>
      </c>
      <c r="W455" s="57">
        <f>(1000*CHOOSE(CONTROL!$C$42, 0.0916, 0.0916)*CHOOSE(CONTROL!$C$42, 121.5, 121.5)*CHOOSE(CONTROL!$C$42, 30, 30))/1000000</f>
        <v>0.33388200000000001</v>
      </c>
      <c r="X455" s="57">
        <f>(30*0.2374*100000/1000000)</f>
        <v>0.71220000000000006</v>
      </c>
      <c r="Y455" s="57"/>
      <c r="Z455" s="17"/>
      <c r="AA455" s="56"/>
      <c r="AB455" s="49">
        <f>(B455*122.58+C455*297.941+D455*89.177+E455*140.302+F455*40+G455*60+H455*0+I455*100+J455*300)/(122.58+297.941+89.177+140.302+0+40+60+100+300)</f>
        <v>19.823772299826086</v>
      </c>
      <c r="AC455" s="46">
        <f>(M455*'RAP TEMPLATE-GAS AVAILABILITY'!O454+N455*'RAP TEMPLATE-GAS AVAILABILITY'!P454+O455*'RAP TEMPLATE-GAS AVAILABILITY'!Q454+P455*'RAP TEMPLATE-GAS AVAILABILITY'!R454)/('RAP TEMPLATE-GAS AVAILABILITY'!O454+'RAP TEMPLATE-GAS AVAILABILITY'!P454+'RAP TEMPLATE-GAS AVAILABILITY'!Q454+'RAP TEMPLATE-GAS AVAILABILITY'!R454)</f>
        <v>19.694033812949641</v>
      </c>
    </row>
    <row r="456" spans="1:29" ht="15.75" x14ac:dyDescent="0.25">
      <c r="A456" s="14">
        <v>54788</v>
      </c>
      <c r="B456" s="17">
        <f>CHOOSE(CONTROL!$C$42, 21.1291, 21.1291) * CHOOSE(CONTROL!$C$21, $C$9, 100%, $E$9)</f>
        <v>21.129100000000001</v>
      </c>
      <c r="C456" s="17">
        <f>CHOOSE(CONTROL!$C$42, 21.1342, 21.1342) * CHOOSE(CONTROL!$C$21, $C$9, 100%, $E$9)</f>
        <v>21.1342</v>
      </c>
      <c r="D456" s="17">
        <f>CHOOSE(CONTROL!$C$42, 21.2568, 21.2568) * CHOOSE(CONTROL!$C$21, $C$9, 100%, $E$9)</f>
        <v>21.256799999999998</v>
      </c>
      <c r="E456" s="17">
        <f>CHOOSE(CONTROL!$C$42, 21.2906, 21.2906) * CHOOSE(CONTROL!$C$21, $C$9, 100%, $E$9)</f>
        <v>21.290600000000001</v>
      </c>
      <c r="F456" s="17">
        <f>CHOOSE(CONTROL!$C$42, 21.1466, 21.1466)*CHOOSE(CONTROL!$C$21, $C$9, 100%, $E$9)</f>
        <v>21.146599999999999</v>
      </c>
      <c r="G456" s="17">
        <f>CHOOSE(CONTROL!$C$42, 21.1639, 21.1639)*CHOOSE(CONTROL!$C$21, $C$9, 100%, $E$9)</f>
        <v>21.163900000000002</v>
      </c>
      <c r="H456" s="17">
        <f>CHOOSE(CONTROL!$C$42, 21.2795, 21.2795) * CHOOSE(CONTROL!$C$21, $C$9, 100%, $E$9)</f>
        <v>21.279499999999999</v>
      </c>
      <c r="I456" s="17">
        <f>CHOOSE(CONTROL!$C$42, 21.2196, 21.2196)* CHOOSE(CONTROL!$C$21, $C$9, 100%, $E$9)</f>
        <v>21.2196</v>
      </c>
      <c r="J456" s="17">
        <f>CHOOSE(CONTROL!$C$42, 21.1392, 21.1392)* CHOOSE(CONTROL!$C$21, $C$9, 100%, $E$9)</f>
        <v>21.139199999999999</v>
      </c>
      <c r="K456" s="53">
        <f>CHOOSE(CONTROL!$C$42, 21.2136, 21.2136) * CHOOSE(CONTROL!$C$21, $C$9, 100%, $E$9)</f>
        <v>21.2136</v>
      </c>
      <c r="L456" s="17">
        <f>CHOOSE(CONTROL!$C$42, 21.8665, 21.8665) * CHOOSE(CONTROL!$C$21, $C$9, 100%, $E$9)</f>
        <v>21.866499999999998</v>
      </c>
      <c r="M456" s="17">
        <f>CHOOSE(CONTROL!$C$42, 20.956, 20.956) * CHOOSE(CONTROL!$C$21, $C$9, 100%, $E$9)</f>
        <v>20.956</v>
      </c>
      <c r="N456" s="17">
        <f>CHOOSE(CONTROL!$C$42, 20.9732, 20.9732) * CHOOSE(CONTROL!$C$21, $C$9, 100%, $E$9)</f>
        <v>20.973199999999999</v>
      </c>
      <c r="O456" s="17">
        <f>CHOOSE(CONTROL!$C$42, 21.0951, 21.0951) * CHOOSE(CONTROL!$C$21, $C$9, 100%, $E$9)</f>
        <v>21.095099999999999</v>
      </c>
      <c r="P456" s="17">
        <f>CHOOSE(CONTROL!$C$42, 21.0353, 21.0353) * CHOOSE(CONTROL!$C$21, $C$9, 100%, $E$9)</f>
        <v>21.035299999999999</v>
      </c>
      <c r="Q456" s="17">
        <f>CHOOSE(CONTROL!$C$42, 21.6898, 21.6898) * CHOOSE(CONTROL!$C$21, $C$9, 100%, $E$9)</f>
        <v>21.689800000000002</v>
      </c>
      <c r="R456" s="17">
        <f>CHOOSE(CONTROL!$C$42, 22.331, 22.331) * CHOOSE(CONTROL!$C$21, $C$9, 100%, $E$9)</f>
        <v>22.331</v>
      </c>
      <c r="S456" s="17">
        <f>CHOOSE(CONTROL!$C$42, 20.4794, 20.4794) * CHOOSE(CONTROL!$C$21, $C$9, 100%, $E$9)</f>
        <v>20.479399999999998</v>
      </c>
      <c r="T456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456" s="57">
        <f>(1000*CHOOSE(CONTROL!$C$42, 695, 695)*CHOOSE(CONTROL!$C$42, 0.5599, 0.5599)*CHOOSE(CONTROL!$C$42, 31, 31))/1000000</f>
        <v>12.063045499999998</v>
      </c>
      <c r="V456" s="57">
        <f>(1000*CHOOSE(CONTROL!$C$42, 500, 500)*CHOOSE(CONTROL!$C$42, 0.275, 0.275)*CHOOSE(CONTROL!$C$42, 31, 31))/1000000</f>
        <v>4.2625000000000002</v>
      </c>
      <c r="W456" s="57">
        <f>(1000*CHOOSE(CONTROL!$C$42, 0.0916, 0.0916)*CHOOSE(CONTROL!$C$42, 121.5, 121.5)*CHOOSE(CONTROL!$C$42, 31, 31))/1000000</f>
        <v>0.34501139999999997</v>
      </c>
      <c r="X456" s="57">
        <f>(31*0.2374*100000/1000000)</f>
        <v>0.73594000000000004</v>
      </c>
      <c r="Y456" s="57"/>
      <c r="Z456" s="17"/>
      <c r="AA456" s="56"/>
      <c r="AB456" s="49">
        <f>(B456*122.58+C456*297.941+D456*89.177+E456*140.302+F456*40+G456*60+H456*0+I456*100+J456*300)/(122.58+297.941+89.177+140.302+0+40+60+100+300)</f>
        <v>21.172955804347826</v>
      </c>
      <c r="AC456" s="46">
        <f>(M456*'RAP TEMPLATE-GAS AVAILABILITY'!O455+N456*'RAP TEMPLATE-GAS AVAILABILITY'!P455+O456*'RAP TEMPLATE-GAS AVAILABILITY'!Q455+P456*'RAP TEMPLATE-GAS AVAILABILITY'!R455)/('RAP TEMPLATE-GAS AVAILABILITY'!O455+'RAP TEMPLATE-GAS AVAILABILITY'!P455+'RAP TEMPLATE-GAS AVAILABILITY'!Q455+'RAP TEMPLATE-GAS AVAILABILITY'!R455)</f>
        <v>21.031445323741004</v>
      </c>
    </row>
    <row r="457" spans="1:29" ht="15.75" x14ac:dyDescent="0.25">
      <c r="A457" s="14">
        <v>54819</v>
      </c>
      <c r="B457" s="17">
        <f>CHOOSE(CONTROL!$C$42, 22.8799, 22.8799) * CHOOSE(CONTROL!$C$21, $C$9, 100%, $E$9)</f>
        <v>22.879899999999999</v>
      </c>
      <c r="C457" s="17">
        <f>CHOOSE(CONTROL!$C$42, 22.8849, 22.8849) * CHOOSE(CONTROL!$C$21, $C$9, 100%, $E$9)</f>
        <v>22.884899999999998</v>
      </c>
      <c r="D457" s="17">
        <f>CHOOSE(CONTROL!$C$42, 23.0024, 23.0024) * CHOOSE(CONTROL!$C$21, $C$9, 100%, $E$9)</f>
        <v>23.002400000000002</v>
      </c>
      <c r="E457" s="17">
        <f>CHOOSE(CONTROL!$C$42, 23.0362, 23.0362) * CHOOSE(CONTROL!$C$21, $C$9, 100%, $E$9)</f>
        <v>23.036200000000001</v>
      </c>
      <c r="F457" s="17">
        <f>CHOOSE(CONTROL!$C$42, 22.8935, 22.8935)*CHOOSE(CONTROL!$C$21, $C$9, 100%, $E$9)</f>
        <v>22.8935</v>
      </c>
      <c r="G457" s="17">
        <f>CHOOSE(CONTROL!$C$42, 22.9098, 22.9098)*CHOOSE(CONTROL!$C$21, $C$9, 100%, $E$9)</f>
        <v>22.909800000000001</v>
      </c>
      <c r="H457" s="17">
        <f>CHOOSE(CONTROL!$C$42, 23.025, 23.025) * CHOOSE(CONTROL!$C$21, $C$9, 100%, $E$9)</f>
        <v>23.024999999999999</v>
      </c>
      <c r="I457" s="17">
        <f>CHOOSE(CONTROL!$C$42, 22.9743, 22.9743)* CHOOSE(CONTROL!$C$21, $C$9, 100%, $E$9)</f>
        <v>22.974299999999999</v>
      </c>
      <c r="J457" s="17">
        <f>CHOOSE(CONTROL!$C$42, 22.8861, 22.8861)* CHOOSE(CONTROL!$C$21, $C$9, 100%, $E$9)</f>
        <v>22.886099999999999</v>
      </c>
      <c r="K457" s="53">
        <f>CHOOSE(CONTROL!$C$42, 22.9682, 22.9682) * CHOOSE(CONTROL!$C$21, $C$9, 100%, $E$9)</f>
        <v>22.9682</v>
      </c>
      <c r="L457" s="17">
        <f>CHOOSE(CONTROL!$C$42, 23.612, 23.612) * CHOOSE(CONTROL!$C$21, $C$9, 100%, $E$9)</f>
        <v>23.611999999999998</v>
      </c>
      <c r="M457" s="17">
        <f>CHOOSE(CONTROL!$C$42, 22.6873, 22.6873) * CHOOSE(CONTROL!$C$21, $C$9, 100%, $E$9)</f>
        <v>22.6873</v>
      </c>
      <c r="N457" s="17">
        <f>CHOOSE(CONTROL!$C$42, 22.7034, 22.7034) * CHOOSE(CONTROL!$C$21, $C$9, 100%, $E$9)</f>
        <v>22.703399999999998</v>
      </c>
      <c r="O457" s="17">
        <f>CHOOSE(CONTROL!$C$42, 22.825, 22.825) * CHOOSE(CONTROL!$C$21, $C$9, 100%, $E$9)</f>
        <v>22.824999999999999</v>
      </c>
      <c r="P457" s="17">
        <f>CHOOSE(CONTROL!$C$42, 22.7741, 22.7741) * CHOOSE(CONTROL!$C$21, $C$9, 100%, $E$9)</f>
        <v>22.774100000000001</v>
      </c>
      <c r="Q457" s="17">
        <f>CHOOSE(CONTROL!$C$42, 23.4197, 23.4197) * CHOOSE(CONTROL!$C$21, $C$9, 100%, $E$9)</f>
        <v>23.419699999999999</v>
      </c>
      <c r="R457" s="17">
        <f>CHOOSE(CONTROL!$C$42, 24.0652, 24.0652) * CHOOSE(CONTROL!$C$21, $C$9, 100%, $E$9)</f>
        <v>24.065200000000001</v>
      </c>
      <c r="S457" s="17">
        <f>CHOOSE(CONTROL!$C$42, 22.1771, 22.1771) * CHOOSE(CONTROL!$C$21, $C$9, 100%, $E$9)</f>
        <v>22.177099999999999</v>
      </c>
      <c r="T457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457" s="57">
        <f>(1000*CHOOSE(CONTROL!$C$42, 695, 695)*CHOOSE(CONTROL!$C$42, 0.5599, 0.5599)*CHOOSE(CONTROL!$C$42, 31, 31))/1000000</f>
        <v>12.063045499999998</v>
      </c>
      <c r="V457" s="57">
        <f>(1000*CHOOSE(CONTROL!$C$42, 500, 500)*CHOOSE(CONTROL!$C$42, 0.275, 0.275)*CHOOSE(CONTROL!$C$42, 31, 31))/1000000</f>
        <v>4.2625000000000002</v>
      </c>
      <c r="W457" s="57">
        <f>(1000*CHOOSE(CONTROL!$C$42, 0.0916, 0.0916)*CHOOSE(CONTROL!$C$42, 121.5, 121.5)*CHOOSE(CONTROL!$C$42, 31, 31))/1000000</f>
        <v>0.34501139999999997</v>
      </c>
      <c r="X457" s="57">
        <f>(31*0.2374*100000/1000000)</f>
        <v>0.73594000000000004</v>
      </c>
      <c r="Y457" s="57"/>
      <c r="Z457" s="17"/>
      <c r="AA457" s="56"/>
      <c r="AB457" s="49">
        <f>(B457*122.58+C457*297.941+D457*89.177+E457*140.302+F457*40+G457*60+H457*0+I457*100+J457*300)/(122.58+297.941+89.177+140.302+0+40+60+100+300)</f>
        <v>22.921622687043481</v>
      </c>
      <c r="AC457" s="46">
        <f>(M457*'RAP TEMPLATE-GAS AVAILABILITY'!O456+N457*'RAP TEMPLATE-GAS AVAILABILITY'!P456+O457*'RAP TEMPLATE-GAS AVAILABILITY'!Q456+P457*'RAP TEMPLATE-GAS AVAILABILITY'!R456)/('RAP TEMPLATE-GAS AVAILABILITY'!O456+'RAP TEMPLATE-GAS AVAILABILITY'!P456+'RAP TEMPLATE-GAS AVAILABILITY'!Q456+'RAP TEMPLATE-GAS AVAILABILITY'!R456)</f>
        <v>22.763126618705034</v>
      </c>
    </row>
    <row r="458" spans="1:29" ht="15.75" x14ac:dyDescent="0.25">
      <c r="A458" s="14">
        <v>54847</v>
      </c>
      <c r="B458" s="17">
        <f>CHOOSE(CONTROL!$C$42, 23.287, 23.287) * CHOOSE(CONTROL!$C$21, $C$9, 100%, $E$9)</f>
        <v>23.286999999999999</v>
      </c>
      <c r="C458" s="17">
        <f>CHOOSE(CONTROL!$C$42, 23.2921, 23.2921) * CHOOSE(CONTROL!$C$21, $C$9, 100%, $E$9)</f>
        <v>23.292100000000001</v>
      </c>
      <c r="D458" s="17">
        <f>CHOOSE(CONTROL!$C$42, 23.4095, 23.4095) * CHOOSE(CONTROL!$C$21, $C$9, 100%, $E$9)</f>
        <v>23.409500000000001</v>
      </c>
      <c r="E458" s="17">
        <f>CHOOSE(CONTROL!$C$42, 23.4433, 23.4433) * CHOOSE(CONTROL!$C$21, $C$9, 100%, $E$9)</f>
        <v>23.443300000000001</v>
      </c>
      <c r="F458" s="17">
        <f>CHOOSE(CONTROL!$C$42, 23.3006, 23.3006)*CHOOSE(CONTROL!$C$21, $C$9, 100%, $E$9)</f>
        <v>23.300599999999999</v>
      </c>
      <c r="G458" s="17">
        <f>CHOOSE(CONTROL!$C$42, 23.3169, 23.3169)*CHOOSE(CONTROL!$C$21, $C$9, 100%, $E$9)</f>
        <v>23.3169</v>
      </c>
      <c r="H458" s="17">
        <f>CHOOSE(CONTROL!$C$42, 23.4321, 23.4321) * CHOOSE(CONTROL!$C$21, $C$9, 100%, $E$9)</f>
        <v>23.432099999999998</v>
      </c>
      <c r="I458" s="17">
        <f>CHOOSE(CONTROL!$C$42, 23.3826, 23.3826)* CHOOSE(CONTROL!$C$21, $C$9, 100%, $E$9)</f>
        <v>23.3826</v>
      </c>
      <c r="J458" s="17">
        <f>CHOOSE(CONTROL!$C$42, 23.2932, 23.2932)* CHOOSE(CONTROL!$C$21, $C$9, 100%, $E$9)</f>
        <v>23.293199999999999</v>
      </c>
      <c r="K458" s="53">
        <f>CHOOSE(CONTROL!$C$42, 23.3766, 23.3766) * CHOOSE(CONTROL!$C$21, $C$9, 100%, $E$9)</f>
        <v>23.3766</v>
      </c>
      <c r="L458" s="17">
        <f>CHOOSE(CONTROL!$C$42, 24.0191, 24.0191) * CHOOSE(CONTROL!$C$21, $C$9, 100%, $E$9)</f>
        <v>24.019100000000002</v>
      </c>
      <c r="M458" s="17">
        <f>CHOOSE(CONTROL!$C$42, 23.0907, 23.0907) * CHOOSE(CONTROL!$C$21, $C$9, 100%, $E$9)</f>
        <v>23.090699999999998</v>
      </c>
      <c r="N458" s="17">
        <f>CHOOSE(CONTROL!$C$42, 23.1069, 23.1069) * CHOOSE(CONTROL!$C$21, $C$9, 100%, $E$9)</f>
        <v>23.1069</v>
      </c>
      <c r="O458" s="17">
        <f>CHOOSE(CONTROL!$C$42, 23.2284, 23.2284) * CHOOSE(CONTROL!$C$21, $C$9, 100%, $E$9)</f>
        <v>23.228400000000001</v>
      </c>
      <c r="P458" s="17">
        <f>CHOOSE(CONTROL!$C$42, 23.1788, 23.1788) * CHOOSE(CONTROL!$C$21, $C$9, 100%, $E$9)</f>
        <v>23.178799999999999</v>
      </c>
      <c r="Q458" s="17">
        <f>CHOOSE(CONTROL!$C$42, 23.8231, 23.8231) * CHOOSE(CONTROL!$C$21, $C$9, 100%, $E$9)</f>
        <v>23.8231</v>
      </c>
      <c r="R458" s="17">
        <f>CHOOSE(CONTROL!$C$42, 24.4697, 24.4697) * CHOOSE(CONTROL!$C$21, $C$9, 100%, $E$9)</f>
        <v>24.4697</v>
      </c>
      <c r="S458" s="17">
        <f>CHOOSE(CONTROL!$C$42, 22.5719, 22.5719) * CHOOSE(CONTROL!$C$21, $C$9, 100%, $E$9)</f>
        <v>22.571899999999999</v>
      </c>
      <c r="T458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458" s="57">
        <f>(1000*CHOOSE(CONTROL!$C$42, 695, 695)*CHOOSE(CONTROL!$C$42, 0.5599, 0.5599)*CHOOSE(CONTROL!$C$42, 28, 28))/1000000</f>
        <v>10.895653999999999</v>
      </c>
      <c r="V458" s="57">
        <f>(1000*CHOOSE(CONTROL!$C$42, 500, 500)*CHOOSE(CONTROL!$C$42, 0.275, 0.275)*CHOOSE(CONTROL!$C$42, 28, 28))/1000000</f>
        <v>3.85</v>
      </c>
      <c r="W458" s="57">
        <f>(1000*CHOOSE(CONTROL!$C$42, 0.0916, 0.0916)*CHOOSE(CONTROL!$C$42, 121.5, 121.5)*CHOOSE(CONTROL!$C$42, 28, 28))/1000000</f>
        <v>0.31162319999999999</v>
      </c>
      <c r="X458" s="57">
        <f>(28*0.2374*100000/1000000)</f>
        <v>0.66471999999999998</v>
      </c>
      <c r="Y458" s="57"/>
      <c r="Z458" s="17"/>
      <c r="AA458" s="56"/>
      <c r="AB458" s="49">
        <f>(B458*122.58+C458*297.941+D458*89.177+E458*140.302+F458*40+G458*60+H458*0+I458*100+J458*300)/(122.58+297.941+89.177+140.302+0+40+60+100+300)</f>
        <v>23.328852942782611</v>
      </c>
      <c r="AC458" s="46">
        <f>(M458*'RAP TEMPLATE-GAS AVAILABILITY'!O457+N458*'RAP TEMPLATE-GAS AVAILABILITY'!P457+O458*'RAP TEMPLATE-GAS AVAILABILITY'!Q457+P458*'RAP TEMPLATE-GAS AVAILABILITY'!R457)/('RAP TEMPLATE-GAS AVAILABILITY'!O457+'RAP TEMPLATE-GAS AVAILABILITY'!P457+'RAP TEMPLATE-GAS AVAILABILITY'!Q457+'RAP TEMPLATE-GAS AVAILABILITY'!R457)</f>
        <v>23.166719424460432</v>
      </c>
    </row>
    <row r="459" spans="1:29" ht="15.75" x14ac:dyDescent="0.25">
      <c r="A459" s="14">
        <v>54878</v>
      </c>
      <c r="B459" s="17">
        <f>CHOOSE(CONTROL!$C$42, 22.6261, 22.6261) * CHOOSE(CONTROL!$C$21, $C$9, 100%, $E$9)</f>
        <v>22.626100000000001</v>
      </c>
      <c r="C459" s="17">
        <f>CHOOSE(CONTROL!$C$42, 22.6312, 22.6312) * CHOOSE(CONTROL!$C$21, $C$9, 100%, $E$9)</f>
        <v>22.6312</v>
      </c>
      <c r="D459" s="17">
        <f>CHOOSE(CONTROL!$C$42, 22.7487, 22.7487) * CHOOSE(CONTROL!$C$21, $C$9, 100%, $E$9)</f>
        <v>22.748699999999999</v>
      </c>
      <c r="E459" s="17">
        <f>CHOOSE(CONTROL!$C$42, 22.7824, 22.7824) * CHOOSE(CONTROL!$C$21, $C$9, 100%, $E$9)</f>
        <v>22.782399999999999</v>
      </c>
      <c r="F459" s="17">
        <f>CHOOSE(CONTROL!$C$42, 22.6391, 22.6391)*CHOOSE(CONTROL!$C$21, $C$9, 100%, $E$9)</f>
        <v>22.639099999999999</v>
      </c>
      <c r="G459" s="17">
        <f>CHOOSE(CONTROL!$C$42, 22.6553, 22.6553)*CHOOSE(CONTROL!$C$21, $C$9, 100%, $E$9)</f>
        <v>22.6553</v>
      </c>
      <c r="H459" s="17">
        <f>CHOOSE(CONTROL!$C$42, 22.7713, 22.7713) * CHOOSE(CONTROL!$C$21, $C$9, 100%, $E$9)</f>
        <v>22.7713</v>
      </c>
      <c r="I459" s="17">
        <f>CHOOSE(CONTROL!$C$42, 22.7197, 22.7197)* CHOOSE(CONTROL!$C$21, $C$9, 100%, $E$9)</f>
        <v>22.7197</v>
      </c>
      <c r="J459" s="17">
        <f>CHOOSE(CONTROL!$C$42, 22.6317, 22.6317)* CHOOSE(CONTROL!$C$21, $C$9, 100%, $E$9)</f>
        <v>22.631699999999999</v>
      </c>
      <c r="K459" s="53">
        <f>CHOOSE(CONTROL!$C$42, 22.7137, 22.7137) * CHOOSE(CONTROL!$C$21, $C$9, 100%, $E$9)</f>
        <v>22.713699999999999</v>
      </c>
      <c r="L459" s="17">
        <f>CHOOSE(CONTROL!$C$42, 23.3583, 23.3583) * CHOOSE(CONTROL!$C$21, $C$9, 100%, $E$9)</f>
        <v>23.3583</v>
      </c>
      <c r="M459" s="17">
        <f>CHOOSE(CONTROL!$C$42, 22.4352, 22.4352) * CHOOSE(CONTROL!$C$21, $C$9, 100%, $E$9)</f>
        <v>22.435199999999998</v>
      </c>
      <c r="N459" s="17">
        <f>CHOOSE(CONTROL!$C$42, 22.4512, 22.4512) * CHOOSE(CONTROL!$C$21, $C$9, 100%, $E$9)</f>
        <v>22.4512</v>
      </c>
      <c r="O459" s="17">
        <f>CHOOSE(CONTROL!$C$42, 22.5735, 22.5735) * CHOOSE(CONTROL!$C$21, $C$9, 100%, $E$9)</f>
        <v>22.573499999999999</v>
      </c>
      <c r="P459" s="17">
        <f>CHOOSE(CONTROL!$C$42, 22.5218, 22.5218) * CHOOSE(CONTROL!$C$21, $C$9, 100%, $E$9)</f>
        <v>22.521799999999999</v>
      </c>
      <c r="Q459" s="17">
        <f>CHOOSE(CONTROL!$C$42, 23.1682, 23.1682) * CHOOSE(CONTROL!$C$21, $C$9, 100%, $E$9)</f>
        <v>23.168199999999999</v>
      </c>
      <c r="R459" s="17">
        <f>CHOOSE(CONTROL!$C$42, 23.8131, 23.8131) * CHOOSE(CONTROL!$C$21, $C$9, 100%, $E$9)</f>
        <v>23.813099999999999</v>
      </c>
      <c r="S459" s="17">
        <f>CHOOSE(CONTROL!$C$42, 21.9311, 21.9311) * CHOOSE(CONTROL!$C$21, $C$9, 100%, $E$9)</f>
        <v>21.931100000000001</v>
      </c>
      <c r="T459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459" s="57">
        <f>(1000*CHOOSE(CONTROL!$C$42, 695, 695)*CHOOSE(CONTROL!$C$42, 0.5599, 0.5599)*CHOOSE(CONTROL!$C$42, 31, 31))/1000000</f>
        <v>12.063045499999998</v>
      </c>
      <c r="V459" s="57">
        <f>(1000*CHOOSE(CONTROL!$C$42, 500, 500)*CHOOSE(CONTROL!$C$42, 0.275, 0.275)*CHOOSE(CONTROL!$C$42, 31, 31))/1000000</f>
        <v>4.2625000000000002</v>
      </c>
      <c r="W459" s="57">
        <f>(1000*CHOOSE(CONTROL!$C$42, 0.0916, 0.0916)*CHOOSE(CONTROL!$C$42, 121.5, 121.5)*CHOOSE(CONTROL!$C$42, 31, 31))/1000000</f>
        <v>0.34501139999999997</v>
      </c>
      <c r="X459" s="57">
        <f>(31*0.2374*100000/1000000)</f>
        <v>0.73594000000000004</v>
      </c>
      <c r="Y459" s="57"/>
      <c r="Z459" s="17"/>
      <c r="AA459" s="56"/>
      <c r="AB459" s="49">
        <f>(B459*122.58+C459*297.941+D459*89.177+E459*140.302+F459*40+G459*60+H459*0+I459*100+J459*300)/(122.58+297.941+89.177+140.302+0+40+60+100+300)</f>
        <v>22.667572871217391</v>
      </c>
      <c r="AC459" s="46">
        <f>(M459*'RAP TEMPLATE-GAS AVAILABILITY'!O458+N459*'RAP TEMPLATE-GAS AVAILABILITY'!P458+O459*'RAP TEMPLATE-GAS AVAILABILITY'!Q458+P459*'RAP TEMPLATE-GAS AVAILABILITY'!R458)/('RAP TEMPLATE-GAS AVAILABILITY'!O458+'RAP TEMPLATE-GAS AVAILABILITY'!P458+'RAP TEMPLATE-GAS AVAILABILITY'!Q458+'RAP TEMPLATE-GAS AVAILABILITY'!R458)</f>
        <v>22.511264028776978</v>
      </c>
    </row>
    <row r="460" spans="1:29" ht="15.75" x14ac:dyDescent="0.25">
      <c r="A460" s="14">
        <v>54908</v>
      </c>
      <c r="B460" s="17">
        <f>CHOOSE(CONTROL!$C$42, 22.5594, 22.5594) * CHOOSE(CONTROL!$C$21, $C$9, 100%, $E$9)</f>
        <v>22.5594</v>
      </c>
      <c r="C460" s="17">
        <f>CHOOSE(CONTROL!$C$42, 22.5639, 22.5639) * CHOOSE(CONTROL!$C$21, $C$9, 100%, $E$9)</f>
        <v>22.5639</v>
      </c>
      <c r="D460" s="17">
        <f>CHOOSE(CONTROL!$C$42, 22.8166, 22.8166) * CHOOSE(CONTROL!$C$21, $C$9, 100%, $E$9)</f>
        <v>22.816600000000001</v>
      </c>
      <c r="E460" s="17">
        <f>CHOOSE(CONTROL!$C$42, 22.8484, 22.8484) * CHOOSE(CONTROL!$C$21, $C$9, 100%, $E$9)</f>
        <v>22.848400000000002</v>
      </c>
      <c r="F460" s="17">
        <f>CHOOSE(CONTROL!$C$42, 22.5654, 22.5654)*CHOOSE(CONTROL!$C$21, $C$9, 100%, $E$9)</f>
        <v>22.5654</v>
      </c>
      <c r="G460" s="17">
        <f>CHOOSE(CONTROL!$C$42, 22.5812, 22.5812)*CHOOSE(CONTROL!$C$21, $C$9, 100%, $E$9)</f>
        <v>22.581199999999999</v>
      </c>
      <c r="H460" s="17">
        <f>CHOOSE(CONTROL!$C$42, 22.8379, 22.8379) * CHOOSE(CONTROL!$C$21, $C$9, 100%, $E$9)</f>
        <v>22.837900000000001</v>
      </c>
      <c r="I460" s="17">
        <f>CHOOSE(CONTROL!$C$42, 22.651, 22.651)* CHOOSE(CONTROL!$C$21, $C$9, 100%, $E$9)</f>
        <v>22.651</v>
      </c>
      <c r="J460" s="17">
        <f>CHOOSE(CONTROL!$C$42, 22.558, 22.558)* CHOOSE(CONTROL!$C$21, $C$9, 100%, $E$9)</f>
        <v>22.558</v>
      </c>
      <c r="K460" s="53">
        <f>CHOOSE(CONTROL!$C$42, 22.645, 22.645) * CHOOSE(CONTROL!$C$21, $C$9, 100%, $E$9)</f>
        <v>22.645</v>
      </c>
      <c r="L460" s="17">
        <f>CHOOSE(CONTROL!$C$42, 23.4249, 23.4249) * CHOOSE(CONTROL!$C$21, $C$9, 100%, $E$9)</f>
        <v>23.424900000000001</v>
      </c>
      <c r="M460" s="17">
        <f>CHOOSE(CONTROL!$C$42, 22.3621, 22.3621) * CHOOSE(CONTROL!$C$21, $C$9, 100%, $E$9)</f>
        <v>22.362100000000002</v>
      </c>
      <c r="N460" s="17">
        <f>CHOOSE(CONTROL!$C$42, 22.3778, 22.3778) * CHOOSE(CONTROL!$C$21, $C$9, 100%, $E$9)</f>
        <v>22.377800000000001</v>
      </c>
      <c r="O460" s="17">
        <f>CHOOSE(CONTROL!$C$42, 22.6395, 22.6395) * CHOOSE(CONTROL!$C$21, $C$9, 100%, $E$9)</f>
        <v>22.639500000000002</v>
      </c>
      <c r="P460" s="17">
        <f>CHOOSE(CONTROL!$C$42, 22.4537, 22.4537) * CHOOSE(CONTROL!$C$21, $C$9, 100%, $E$9)</f>
        <v>22.453700000000001</v>
      </c>
      <c r="Q460" s="17">
        <f>CHOOSE(CONTROL!$C$42, 23.2342, 23.2342) * CHOOSE(CONTROL!$C$21, $C$9, 100%, $E$9)</f>
        <v>23.234200000000001</v>
      </c>
      <c r="R460" s="17">
        <f>CHOOSE(CONTROL!$C$42, 23.8793, 23.8793) * CHOOSE(CONTROL!$C$21, $C$9, 100%, $E$9)</f>
        <v>23.879300000000001</v>
      </c>
      <c r="S460" s="17">
        <f>CHOOSE(CONTROL!$C$42, 21.8656, 21.8656) * CHOOSE(CONTROL!$C$21, $C$9, 100%, $E$9)</f>
        <v>21.865600000000001</v>
      </c>
      <c r="T460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460" s="57">
        <f>(1000*CHOOSE(CONTROL!$C$42, 695, 695)*CHOOSE(CONTROL!$C$42, 0.5599, 0.5599)*CHOOSE(CONTROL!$C$42, 30, 30))/1000000</f>
        <v>11.673914999999997</v>
      </c>
      <c r="V460" s="57">
        <f>(1000*CHOOSE(CONTROL!$C$42, 500, 500)*CHOOSE(CONTROL!$C$42, 0.275, 0.275)*CHOOSE(CONTROL!$C$42, 30, 30))/1000000</f>
        <v>4.125</v>
      </c>
      <c r="W460" s="57">
        <f>(1000*CHOOSE(CONTROL!$C$42, 0.0916, 0.0916)*CHOOSE(CONTROL!$C$42, 121.5, 121.5)*CHOOSE(CONTROL!$C$42, 30, 30))/1000000</f>
        <v>0.33388200000000001</v>
      </c>
      <c r="X460" s="57">
        <f>(30*0.1790888*145000/1000000)+(30*0.2374*100000/1000000)</f>
        <v>1.4912362799999999</v>
      </c>
      <c r="Y460" s="57"/>
      <c r="Z460" s="17"/>
      <c r="AA460" s="56"/>
      <c r="AB460" s="49">
        <f>(B460*141.293+C460*267.993+D460*115.016+E460*189.698+F460*40+G460*85+H460*0+I460*100+J460*300)/(141.293+267.993+115.016+189.698+0+40+85+100+300)</f>
        <v>22.637240036884581</v>
      </c>
      <c r="AC460" s="46">
        <f>(M460*'RAP TEMPLATE-GAS AVAILABILITY'!O459+N460*'RAP TEMPLATE-GAS AVAILABILITY'!P459+O460*'RAP TEMPLATE-GAS AVAILABILITY'!Q459+P460*'RAP TEMPLATE-GAS AVAILABILITY'!R459)/('RAP TEMPLATE-GAS AVAILABILITY'!O459+'RAP TEMPLATE-GAS AVAILABILITY'!P459+'RAP TEMPLATE-GAS AVAILABILITY'!Q459+'RAP TEMPLATE-GAS AVAILABILITY'!R459)</f>
        <v>22.456725899280581</v>
      </c>
    </row>
    <row r="461" spans="1:29" ht="15.75" x14ac:dyDescent="0.25">
      <c r="A461" s="14">
        <v>54939</v>
      </c>
      <c r="B461" s="17">
        <f>CHOOSE(CONTROL!$C$42, 22.7598, 22.7598) * CHOOSE(CONTROL!$C$21, $C$9, 100%, $E$9)</f>
        <v>22.759799999999998</v>
      </c>
      <c r="C461" s="17">
        <f>CHOOSE(CONTROL!$C$42, 22.7678, 22.7678) * CHOOSE(CONTROL!$C$21, $C$9, 100%, $E$9)</f>
        <v>22.767800000000001</v>
      </c>
      <c r="D461" s="17">
        <f>CHOOSE(CONTROL!$C$42, 23.0174, 23.0174) * CHOOSE(CONTROL!$C$21, $C$9, 100%, $E$9)</f>
        <v>23.017399999999999</v>
      </c>
      <c r="E461" s="17">
        <f>CHOOSE(CONTROL!$C$42, 23.0486, 23.0486) * CHOOSE(CONTROL!$C$21, $C$9, 100%, $E$9)</f>
        <v>23.0486</v>
      </c>
      <c r="F461" s="17">
        <f>CHOOSE(CONTROL!$C$42, 22.7646, 22.7646)*CHOOSE(CONTROL!$C$21, $C$9, 100%, $E$9)</f>
        <v>22.764600000000002</v>
      </c>
      <c r="G461" s="17">
        <f>CHOOSE(CONTROL!$C$42, 22.7808, 22.7808)*CHOOSE(CONTROL!$C$21, $C$9, 100%, $E$9)</f>
        <v>22.780799999999999</v>
      </c>
      <c r="H461" s="17">
        <f>CHOOSE(CONTROL!$C$42, 23.0369, 23.0369) * CHOOSE(CONTROL!$C$21, $C$9, 100%, $E$9)</f>
        <v>23.036899999999999</v>
      </c>
      <c r="I461" s="17">
        <f>CHOOSE(CONTROL!$C$42, 22.8506, 22.8506)* CHOOSE(CONTROL!$C$21, $C$9, 100%, $E$9)</f>
        <v>22.8506</v>
      </c>
      <c r="J461" s="17">
        <f>CHOOSE(CONTROL!$C$42, 22.7572, 22.7572)* CHOOSE(CONTROL!$C$21, $C$9, 100%, $E$9)</f>
        <v>22.757200000000001</v>
      </c>
      <c r="K461" s="53">
        <f>CHOOSE(CONTROL!$C$42, 22.8446, 22.8446) * CHOOSE(CONTROL!$C$21, $C$9, 100%, $E$9)</f>
        <v>22.8446</v>
      </c>
      <c r="L461" s="17">
        <f>CHOOSE(CONTROL!$C$42, 23.6239, 23.6239) * CHOOSE(CONTROL!$C$21, $C$9, 100%, $E$9)</f>
        <v>23.623899999999999</v>
      </c>
      <c r="M461" s="17">
        <f>CHOOSE(CONTROL!$C$42, 22.5596, 22.5596) * CHOOSE(CONTROL!$C$21, $C$9, 100%, $E$9)</f>
        <v>22.5596</v>
      </c>
      <c r="N461" s="17">
        <f>CHOOSE(CONTROL!$C$42, 22.5756, 22.5756) * CHOOSE(CONTROL!$C$21, $C$9, 100%, $E$9)</f>
        <v>22.575600000000001</v>
      </c>
      <c r="O461" s="17">
        <f>CHOOSE(CONTROL!$C$42, 22.8367, 22.8367) * CHOOSE(CONTROL!$C$21, $C$9, 100%, $E$9)</f>
        <v>22.8367</v>
      </c>
      <c r="P461" s="17">
        <f>CHOOSE(CONTROL!$C$42, 22.6516, 22.6516) * CHOOSE(CONTROL!$C$21, $C$9, 100%, $E$9)</f>
        <v>22.651599999999998</v>
      </c>
      <c r="Q461" s="17">
        <f>CHOOSE(CONTROL!$C$42, 23.4314, 23.4314) * CHOOSE(CONTROL!$C$21, $C$9, 100%, $E$9)</f>
        <v>23.4314</v>
      </c>
      <c r="R461" s="17">
        <f>CHOOSE(CONTROL!$C$42, 24.077, 24.077) * CHOOSE(CONTROL!$C$21, $C$9, 100%, $E$9)</f>
        <v>24.077000000000002</v>
      </c>
      <c r="S461" s="17">
        <f>CHOOSE(CONTROL!$C$42, 22.0586, 22.0586) * CHOOSE(CONTROL!$C$21, $C$9, 100%, $E$9)</f>
        <v>22.058599999999998</v>
      </c>
      <c r="T461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461" s="57">
        <f>(1000*CHOOSE(CONTROL!$C$42, 695, 695)*CHOOSE(CONTROL!$C$42, 0.5599, 0.5599)*CHOOSE(CONTROL!$C$42, 31, 31))/1000000</f>
        <v>12.063045499999998</v>
      </c>
      <c r="V461" s="57">
        <f>(1000*CHOOSE(CONTROL!$C$42, 500, 500)*CHOOSE(CONTROL!$C$42, 0.275, 0.275)*CHOOSE(CONTROL!$C$42, 31, 31))/1000000</f>
        <v>4.2625000000000002</v>
      </c>
      <c r="W461" s="57">
        <f>(1000*CHOOSE(CONTROL!$C$42, 0.0916, 0.0916)*CHOOSE(CONTROL!$C$42, 121.5, 121.5)*CHOOSE(CONTROL!$C$42, 31, 31))/1000000</f>
        <v>0.34501139999999997</v>
      </c>
      <c r="X461" s="57">
        <f>(31*0.1790888*145000/1000000)+(31*0.2374*100000/1000000)</f>
        <v>1.5409441560000001</v>
      </c>
      <c r="Y461" s="57"/>
      <c r="Z461" s="17"/>
      <c r="AA461" s="56"/>
      <c r="AB461" s="49">
        <f>(B461*194.205+C461*267.466+D461*133.845+E461*153.484+F461*40+G461*85+H461*0+I461*100+J461*300)/(194.205+267.466+133.845+153.484+0+40+85+100+300)</f>
        <v>22.831402338461537</v>
      </c>
      <c r="AC461" s="46">
        <f>(M461*'RAP TEMPLATE-GAS AVAILABILITY'!O460+N461*'RAP TEMPLATE-GAS AVAILABILITY'!P460+O461*'RAP TEMPLATE-GAS AVAILABILITY'!Q460+P461*'RAP TEMPLATE-GAS AVAILABILITY'!R460)/('RAP TEMPLATE-GAS AVAILABILITY'!O460+'RAP TEMPLATE-GAS AVAILABILITY'!P460+'RAP TEMPLATE-GAS AVAILABILITY'!Q460+'RAP TEMPLATE-GAS AVAILABILITY'!R460)</f>
        <v>22.654268345323743</v>
      </c>
    </row>
    <row r="462" spans="1:29" ht="15.75" x14ac:dyDescent="0.25">
      <c r="A462" s="14">
        <v>54969</v>
      </c>
      <c r="B462" s="17">
        <f>CHOOSE(CONTROL!$C$42, 23.405, 23.405) * CHOOSE(CONTROL!$C$21, $C$9, 100%, $E$9)</f>
        <v>23.405000000000001</v>
      </c>
      <c r="C462" s="17">
        <f>CHOOSE(CONTROL!$C$42, 23.413, 23.413) * CHOOSE(CONTROL!$C$21, $C$9, 100%, $E$9)</f>
        <v>23.413</v>
      </c>
      <c r="D462" s="17">
        <f>CHOOSE(CONTROL!$C$42, 23.6626, 23.6626) * CHOOSE(CONTROL!$C$21, $C$9, 100%, $E$9)</f>
        <v>23.662600000000001</v>
      </c>
      <c r="E462" s="17">
        <f>CHOOSE(CONTROL!$C$42, 23.6938, 23.6938) * CHOOSE(CONTROL!$C$21, $C$9, 100%, $E$9)</f>
        <v>23.6938</v>
      </c>
      <c r="F462" s="17">
        <f>CHOOSE(CONTROL!$C$42, 23.4102, 23.4102)*CHOOSE(CONTROL!$C$21, $C$9, 100%, $E$9)</f>
        <v>23.4102</v>
      </c>
      <c r="G462" s="17">
        <f>CHOOSE(CONTROL!$C$42, 23.4264, 23.4264)*CHOOSE(CONTROL!$C$21, $C$9, 100%, $E$9)</f>
        <v>23.426400000000001</v>
      </c>
      <c r="H462" s="17">
        <f>CHOOSE(CONTROL!$C$42, 23.6821, 23.6821) * CHOOSE(CONTROL!$C$21, $C$9, 100%, $E$9)</f>
        <v>23.682099999999998</v>
      </c>
      <c r="I462" s="17">
        <f>CHOOSE(CONTROL!$C$42, 23.4979, 23.4979)* CHOOSE(CONTROL!$C$21, $C$9, 100%, $E$9)</f>
        <v>23.497900000000001</v>
      </c>
      <c r="J462" s="17">
        <f>CHOOSE(CONTROL!$C$42, 23.4028, 23.4028)* CHOOSE(CONTROL!$C$21, $C$9, 100%, $E$9)</f>
        <v>23.402799999999999</v>
      </c>
      <c r="K462" s="53">
        <f>CHOOSE(CONTROL!$C$42, 23.4919, 23.4919) * CHOOSE(CONTROL!$C$21, $C$9, 100%, $E$9)</f>
        <v>23.491900000000001</v>
      </c>
      <c r="L462" s="17">
        <f>CHOOSE(CONTROL!$C$42, 24.2691, 24.2691) * CHOOSE(CONTROL!$C$21, $C$9, 100%, $E$9)</f>
        <v>24.269100000000002</v>
      </c>
      <c r="M462" s="17">
        <f>CHOOSE(CONTROL!$C$42, 23.1994, 23.1994) * CHOOSE(CONTROL!$C$21, $C$9, 100%, $E$9)</f>
        <v>23.199400000000001</v>
      </c>
      <c r="N462" s="17">
        <f>CHOOSE(CONTROL!$C$42, 23.2154, 23.2154) * CHOOSE(CONTROL!$C$21, $C$9, 100%, $E$9)</f>
        <v>23.215399999999999</v>
      </c>
      <c r="O462" s="17">
        <f>CHOOSE(CONTROL!$C$42, 23.4762, 23.4762) * CHOOSE(CONTROL!$C$21, $C$9, 100%, $E$9)</f>
        <v>23.476199999999999</v>
      </c>
      <c r="P462" s="17">
        <f>CHOOSE(CONTROL!$C$42, 23.293, 23.293) * CHOOSE(CONTROL!$C$21, $C$9, 100%, $E$9)</f>
        <v>23.292999999999999</v>
      </c>
      <c r="Q462" s="17">
        <f>CHOOSE(CONTROL!$C$42, 24.0709, 24.0709) * CHOOSE(CONTROL!$C$21, $C$9, 100%, $E$9)</f>
        <v>24.070900000000002</v>
      </c>
      <c r="R462" s="17">
        <f>CHOOSE(CONTROL!$C$42, 24.718, 24.718) * CHOOSE(CONTROL!$C$21, $C$9, 100%, $E$9)</f>
        <v>24.718</v>
      </c>
      <c r="S462" s="17">
        <f>CHOOSE(CONTROL!$C$42, 22.6843, 22.6843) * CHOOSE(CONTROL!$C$21, $C$9, 100%, $E$9)</f>
        <v>22.6843</v>
      </c>
      <c r="T462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462" s="57">
        <f>(1000*CHOOSE(CONTROL!$C$42, 695, 695)*CHOOSE(CONTROL!$C$42, 0.5599, 0.5599)*CHOOSE(CONTROL!$C$42, 30, 30))/1000000</f>
        <v>11.673914999999997</v>
      </c>
      <c r="V462" s="57">
        <f>(1000*CHOOSE(CONTROL!$C$42, 500, 500)*CHOOSE(CONTROL!$C$42, 0.275, 0.275)*CHOOSE(CONTROL!$C$42, 30, 30))/1000000</f>
        <v>4.125</v>
      </c>
      <c r="W462" s="57">
        <f>(1000*CHOOSE(CONTROL!$C$42, 0.0916, 0.0916)*CHOOSE(CONTROL!$C$42, 121.5, 121.5)*CHOOSE(CONTROL!$C$42, 30, 30))/1000000</f>
        <v>0.33388200000000001</v>
      </c>
      <c r="X462" s="57">
        <f>(30*0.1790888*145000/1000000)+(30*0.2374*100000/1000000)</f>
        <v>1.4912362799999999</v>
      </c>
      <c r="Y462" s="57"/>
      <c r="Z462" s="17"/>
      <c r="AA462" s="56"/>
      <c r="AB462" s="49">
        <f>(B462*194.205+C462*267.466+D462*133.845+E462*153.484+F462*40+G462*85+H462*0+I462*100+J462*300)/(194.205+267.466+133.845+153.484+0+40+85+100+300)</f>
        <v>23.476900611616955</v>
      </c>
      <c r="AC462" s="46">
        <f>(M462*'RAP TEMPLATE-GAS AVAILABILITY'!O461+N462*'RAP TEMPLATE-GAS AVAILABILITY'!P461+O462*'RAP TEMPLATE-GAS AVAILABILITY'!Q461+P462*'RAP TEMPLATE-GAS AVAILABILITY'!R461)/('RAP TEMPLATE-GAS AVAILABILITY'!O461+'RAP TEMPLATE-GAS AVAILABILITY'!P461+'RAP TEMPLATE-GAS AVAILABILITY'!Q461+'RAP TEMPLATE-GAS AVAILABILITY'!R461)</f>
        <v>23.294214388489209</v>
      </c>
    </row>
    <row r="463" spans="1:29" ht="15.75" x14ac:dyDescent="0.25">
      <c r="A463" s="14">
        <v>55000</v>
      </c>
      <c r="B463" s="17">
        <f>CHOOSE(CONTROL!$C$42, 22.9563, 22.9563) * CHOOSE(CONTROL!$C$21, $C$9, 100%, $E$9)</f>
        <v>22.956299999999999</v>
      </c>
      <c r="C463" s="17">
        <f>CHOOSE(CONTROL!$C$42, 22.9642, 22.9642) * CHOOSE(CONTROL!$C$21, $C$9, 100%, $E$9)</f>
        <v>22.964200000000002</v>
      </c>
      <c r="D463" s="17">
        <f>CHOOSE(CONTROL!$C$42, 23.2139, 23.2139) * CHOOSE(CONTROL!$C$21, $C$9, 100%, $E$9)</f>
        <v>23.213899999999999</v>
      </c>
      <c r="E463" s="17">
        <f>CHOOSE(CONTROL!$C$42, 23.245, 23.245) * CHOOSE(CONTROL!$C$21, $C$9, 100%, $E$9)</f>
        <v>23.245000000000001</v>
      </c>
      <c r="F463" s="17">
        <f>CHOOSE(CONTROL!$C$42, 22.962, 22.962)*CHOOSE(CONTROL!$C$21, $C$9, 100%, $E$9)</f>
        <v>22.962</v>
      </c>
      <c r="G463" s="17">
        <f>CHOOSE(CONTROL!$C$42, 22.9783, 22.9783)*CHOOSE(CONTROL!$C$21, $C$9, 100%, $E$9)</f>
        <v>22.978300000000001</v>
      </c>
      <c r="H463" s="17">
        <f>CHOOSE(CONTROL!$C$42, 23.2334, 23.2334) * CHOOSE(CONTROL!$C$21, $C$9, 100%, $E$9)</f>
        <v>23.2334</v>
      </c>
      <c r="I463" s="17">
        <f>CHOOSE(CONTROL!$C$42, 23.0477, 23.0477)* CHOOSE(CONTROL!$C$21, $C$9, 100%, $E$9)</f>
        <v>23.047699999999999</v>
      </c>
      <c r="J463" s="17">
        <f>CHOOSE(CONTROL!$C$42, 22.9546, 22.9546)* CHOOSE(CONTROL!$C$21, $C$9, 100%, $E$9)</f>
        <v>22.954599999999999</v>
      </c>
      <c r="K463" s="53">
        <f>CHOOSE(CONTROL!$C$42, 23.0417, 23.0417) * CHOOSE(CONTROL!$C$21, $C$9, 100%, $E$9)</f>
        <v>23.041699999999999</v>
      </c>
      <c r="L463" s="17">
        <f>CHOOSE(CONTROL!$C$42, 23.8204, 23.8204) * CHOOSE(CONTROL!$C$21, $C$9, 100%, $E$9)</f>
        <v>23.820399999999999</v>
      </c>
      <c r="M463" s="17">
        <f>CHOOSE(CONTROL!$C$42, 22.7551, 22.7551) * CHOOSE(CONTROL!$C$21, $C$9, 100%, $E$9)</f>
        <v>22.755099999999999</v>
      </c>
      <c r="N463" s="17">
        <f>CHOOSE(CONTROL!$C$42, 22.7713, 22.7713) * CHOOSE(CONTROL!$C$21, $C$9, 100%, $E$9)</f>
        <v>22.7713</v>
      </c>
      <c r="O463" s="17">
        <f>CHOOSE(CONTROL!$C$42, 23.0314, 23.0314) * CHOOSE(CONTROL!$C$21, $C$9, 100%, $E$9)</f>
        <v>23.031400000000001</v>
      </c>
      <c r="P463" s="17">
        <f>CHOOSE(CONTROL!$C$42, 22.8469, 22.8469) * CHOOSE(CONTROL!$C$21, $C$9, 100%, $E$9)</f>
        <v>22.846900000000002</v>
      </c>
      <c r="Q463" s="17">
        <f>CHOOSE(CONTROL!$C$42, 23.6261, 23.6261) * CHOOSE(CONTROL!$C$21, $C$9, 100%, $E$9)</f>
        <v>23.626100000000001</v>
      </c>
      <c r="R463" s="17">
        <f>CHOOSE(CONTROL!$C$42, 24.2722, 24.2722) * CHOOSE(CONTROL!$C$21, $C$9, 100%, $E$9)</f>
        <v>24.272200000000002</v>
      </c>
      <c r="S463" s="17">
        <f>CHOOSE(CONTROL!$C$42, 22.2491, 22.2491) * CHOOSE(CONTROL!$C$21, $C$9, 100%, $E$9)</f>
        <v>22.249099999999999</v>
      </c>
      <c r="T463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463" s="57">
        <f>(1000*CHOOSE(CONTROL!$C$42, 695, 695)*CHOOSE(CONTROL!$C$42, 0.5599, 0.5599)*CHOOSE(CONTROL!$C$42, 31, 31))/1000000</f>
        <v>12.063045499999998</v>
      </c>
      <c r="V463" s="57">
        <f>(1000*CHOOSE(CONTROL!$C$42, 500, 500)*CHOOSE(CONTROL!$C$42, 0.275, 0.275)*CHOOSE(CONTROL!$C$42, 31, 31))/1000000</f>
        <v>4.2625000000000002</v>
      </c>
      <c r="W463" s="57">
        <f>(1000*CHOOSE(CONTROL!$C$42, 0.0916, 0.0916)*CHOOSE(CONTROL!$C$42, 121.5, 121.5)*CHOOSE(CONTROL!$C$42, 31, 31))/1000000</f>
        <v>0.34501139999999997</v>
      </c>
      <c r="X463" s="57">
        <f>(31*0.1790888*145000/1000000)+(31*0.2374*100000/1000000)</f>
        <v>1.5409441560000001</v>
      </c>
      <c r="Y463" s="57"/>
      <c r="Z463" s="17"/>
      <c r="AA463" s="56"/>
      <c r="AB463" s="49">
        <f>(B463*194.205+C463*267.466+D463*133.845+E463*153.484+F463*40+G463*85+H463*0+I463*100+J463*300)/(194.205+267.466+133.845+153.484+0+40+85+100+300)</f>
        <v>23.028223300000004</v>
      </c>
      <c r="AC463" s="46">
        <f>(M463*'RAP TEMPLATE-GAS AVAILABILITY'!O462+N463*'RAP TEMPLATE-GAS AVAILABILITY'!P462+O463*'RAP TEMPLATE-GAS AVAILABILITY'!Q462+P463*'RAP TEMPLATE-GAS AVAILABILITY'!R462)/('RAP TEMPLATE-GAS AVAILABILITY'!O462+'RAP TEMPLATE-GAS AVAILABILITY'!P462+'RAP TEMPLATE-GAS AVAILABILITY'!Q462+'RAP TEMPLATE-GAS AVAILABILITY'!R462)</f>
        <v>22.84956115107914</v>
      </c>
    </row>
    <row r="464" spans="1:29" ht="15.75" x14ac:dyDescent="0.25">
      <c r="A464" s="14">
        <v>55031</v>
      </c>
      <c r="B464" s="17">
        <f>CHOOSE(CONTROL!$C$42, 21.823, 21.823) * CHOOSE(CONTROL!$C$21, $C$9, 100%, $E$9)</f>
        <v>21.823</v>
      </c>
      <c r="C464" s="17">
        <f>CHOOSE(CONTROL!$C$42, 21.831, 21.831) * CHOOSE(CONTROL!$C$21, $C$9, 100%, $E$9)</f>
        <v>21.831</v>
      </c>
      <c r="D464" s="17">
        <f>CHOOSE(CONTROL!$C$42, 22.0806, 22.0806) * CHOOSE(CONTROL!$C$21, $C$9, 100%, $E$9)</f>
        <v>22.0806</v>
      </c>
      <c r="E464" s="17">
        <f>CHOOSE(CONTROL!$C$42, 22.1118, 22.1118) * CHOOSE(CONTROL!$C$21, $C$9, 100%, $E$9)</f>
        <v>22.111799999999999</v>
      </c>
      <c r="F464" s="17">
        <f>CHOOSE(CONTROL!$C$42, 21.8289, 21.8289)*CHOOSE(CONTROL!$C$21, $C$9, 100%, $E$9)</f>
        <v>21.828900000000001</v>
      </c>
      <c r="G464" s="17">
        <f>CHOOSE(CONTROL!$C$42, 21.8453, 21.8453)*CHOOSE(CONTROL!$C$21, $C$9, 100%, $E$9)</f>
        <v>21.845300000000002</v>
      </c>
      <c r="H464" s="17">
        <f>CHOOSE(CONTROL!$C$42, 22.1001, 22.1001) * CHOOSE(CONTROL!$C$21, $C$9, 100%, $E$9)</f>
        <v>22.100100000000001</v>
      </c>
      <c r="I464" s="17">
        <f>CHOOSE(CONTROL!$C$42, 21.9109, 21.9109)* CHOOSE(CONTROL!$C$21, $C$9, 100%, $E$9)</f>
        <v>21.910900000000002</v>
      </c>
      <c r="J464" s="17">
        <f>CHOOSE(CONTROL!$C$42, 21.8215, 21.8215)* CHOOSE(CONTROL!$C$21, $C$9, 100%, $E$9)</f>
        <v>21.8215</v>
      </c>
      <c r="K464" s="53">
        <f>CHOOSE(CONTROL!$C$42, 21.9049, 21.9049) * CHOOSE(CONTROL!$C$21, $C$9, 100%, $E$9)</f>
        <v>21.904900000000001</v>
      </c>
      <c r="L464" s="17">
        <f>CHOOSE(CONTROL!$C$42, 22.6871, 22.6871) * CHOOSE(CONTROL!$C$21, $C$9, 100%, $E$9)</f>
        <v>22.687100000000001</v>
      </c>
      <c r="M464" s="17">
        <f>CHOOSE(CONTROL!$C$42, 21.6323, 21.6323) * CHOOSE(CONTROL!$C$21, $C$9, 100%, $E$9)</f>
        <v>21.632300000000001</v>
      </c>
      <c r="N464" s="17">
        <f>CHOOSE(CONTROL!$C$42, 21.6486, 21.6486) * CHOOSE(CONTROL!$C$21, $C$9, 100%, $E$9)</f>
        <v>21.648599999999998</v>
      </c>
      <c r="O464" s="17">
        <f>CHOOSE(CONTROL!$C$42, 21.9083, 21.9083) * CHOOSE(CONTROL!$C$21, $C$9, 100%, $E$9)</f>
        <v>21.908300000000001</v>
      </c>
      <c r="P464" s="17">
        <f>CHOOSE(CONTROL!$C$42, 21.7203, 21.7203) * CHOOSE(CONTROL!$C$21, $C$9, 100%, $E$9)</f>
        <v>21.720300000000002</v>
      </c>
      <c r="Q464" s="17">
        <f>CHOOSE(CONTROL!$C$42, 22.503, 22.503) * CHOOSE(CONTROL!$C$21, $C$9, 100%, $E$9)</f>
        <v>22.503</v>
      </c>
      <c r="R464" s="17">
        <f>CHOOSE(CONTROL!$C$42, 23.1463, 23.1463) * CHOOSE(CONTROL!$C$21, $C$9, 100%, $E$9)</f>
        <v>23.1463</v>
      </c>
      <c r="S464" s="17">
        <f>CHOOSE(CONTROL!$C$42, 21.1502, 21.1502) * CHOOSE(CONTROL!$C$21, $C$9, 100%, $E$9)</f>
        <v>21.150200000000002</v>
      </c>
      <c r="T464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464" s="57">
        <f>(1000*CHOOSE(CONTROL!$C$42, 695, 695)*CHOOSE(CONTROL!$C$42, 0.5599, 0.5599)*CHOOSE(CONTROL!$C$42, 31, 31))/1000000</f>
        <v>12.063045499999998</v>
      </c>
      <c r="V464" s="57">
        <f>(1000*CHOOSE(CONTROL!$C$42, 500, 500)*CHOOSE(CONTROL!$C$42, 0.275, 0.275)*CHOOSE(CONTROL!$C$42, 31, 31))/1000000</f>
        <v>4.2625000000000002</v>
      </c>
      <c r="W464" s="57">
        <f>(1000*CHOOSE(CONTROL!$C$42, 0.0916, 0.0916)*CHOOSE(CONTROL!$C$42, 121.5, 121.5)*CHOOSE(CONTROL!$C$42, 31, 31))/1000000</f>
        <v>0.34501139999999997</v>
      </c>
      <c r="X464" s="57">
        <f>(31*0.1790888*145000/1000000)+(31*0.2374*100000/1000000)</f>
        <v>1.5409441560000001</v>
      </c>
      <c r="Y464" s="57"/>
      <c r="Z464" s="17"/>
      <c r="AA464" s="56"/>
      <c r="AB464" s="49">
        <f>(B464*194.205+C464*267.466+D464*133.845+E464*153.484+F464*40+G464*85+H464*0+I464*100+J464*300)/(194.205+267.466+133.845+153.484+0+40+85+100+300)</f>
        <v>21.894755007221349</v>
      </c>
      <c r="AC464" s="46">
        <f>(M464*'RAP TEMPLATE-GAS AVAILABILITY'!O463+N464*'RAP TEMPLATE-GAS AVAILABILITY'!P463+O464*'RAP TEMPLATE-GAS AVAILABILITY'!Q463+P464*'RAP TEMPLATE-GAS AVAILABILITY'!R463)/('RAP TEMPLATE-GAS AVAILABILITY'!O463+'RAP TEMPLATE-GAS AVAILABILITY'!P463+'RAP TEMPLATE-GAS AVAILABILITY'!Q463+'RAP TEMPLATE-GAS AVAILABILITY'!R463)</f>
        <v>21.726153237410074</v>
      </c>
    </row>
    <row r="465" spans="1:29" ht="15.75" x14ac:dyDescent="0.25">
      <c r="A465" s="14">
        <v>55061</v>
      </c>
      <c r="B465" s="17">
        <f>CHOOSE(CONTROL!$C$42, 20.4381, 20.4381) * CHOOSE(CONTROL!$C$21, $C$9, 100%, $E$9)</f>
        <v>20.438099999999999</v>
      </c>
      <c r="C465" s="17">
        <f>CHOOSE(CONTROL!$C$42, 20.446, 20.446) * CHOOSE(CONTROL!$C$21, $C$9, 100%, $E$9)</f>
        <v>20.446000000000002</v>
      </c>
      <c r="D465" s="17">
        <f>CHOOSE(CONTROL!$C$42, 20.6957, 20.6957) * CHOOSE(CONTROL!$C$21, $C$9, 100%, $E$9)</f>
        <v>20.695699999999999</v>
      </c>
      <c r="E465" s="17">
        <f>CHOOSE(CONTROL!$C$42, 20.7268, 20.7268) * CHOOSE(CONTROL!$C$21, $C$9, 100%, $E$9)</f>
        <v>20.726800000000001</v>
      </c>
      <c r="F465" s="17">
        <f>CHOOSE(CONTROL!$C$42, 20.4441, 20.4441)*CHOOSE(CONTROL!$C$21, $C$9, 100%, $E$9)</f>
        <v>20.444099999999999</v>
      </c>
      <c r="G465" s="17">
        <f>CHOOSE(CONTROL!$C$42, 20.4605, 20.4605)*CHOOSE(CONTROL!$C$21, $C$9, 100%, $E$9)</f>
        <v>20.4605</v>
      </c>
      <c r="H465" s="17">
        <f>CHOOSE(CONTROL!$C$42, 20.7152, 20.7152) * CHOOSE(CONTROL!$C$21, $C$9, 100%, $E$9)</f>
        <v>20.715199999999999</v>
      </c>
      <c r="I465" s="17">
        <f>CHOOSE(CONTROL!$C$42, 20.5217, 20.5217)* CHOOSE(CONTROL!$C$21, $C$9, 100%, $E$9)</f>
        <v>20.521699999999999</v>
      </c>
      <c r="J465" s="17">
        <f>CHOOSE(CONTROL!$C$42, 20.4367, 20.4367)* CHOOSE(CONTROL!$C$21, $C$9, 100%, $E$9)</f>
        <v>20.436699999999998</v>
      </c>
      <c r="K465" s="53">
        <f>CHOOSE(CONTROL!$C$42, 20.5157, 20.5157) * CHOOSE(CONTROL!$C$21, $C$9, 100%, $E$9)</f>
        <v>20.515699999999999</v>
      </c>
      <c r="L465" s="17">
        <f>CHOOSE(CONTROL!$C$42, 21.3022, 21.3022) * CHOOSE(CONTROL!$C$21, $C$9, 100%, $E$9)</f>
        <v>21.302199999999999</v>
      </c>
      <c r="M465" s="17">
        <f>CHOOSE(CONTROL!$C$42, 20.2599, 20.2599) * CHOOSE(CONTROL!$C$21, $C$9, 100%, $E$9)</f>
        <v>20.259899999999998</v>
      </c>
      <c r="N465" s="17">
        <f>CHOOSE(CONTROL!$C$42, 20.2762, 20.2762) * CHOOSE(CONTROL!$C$21, $C$9, 100%, $E$9)</f>
        <v>20.276199999999999</v>
      </c>
      <c r="O465" s="17">
        <f>CHOOSE(CONTROL!$C$42, 20.5359, 20.5359) * CHOOSE(CONTROL!$C$21, $C$9, 100%, $E$9)</f>
        <v>20.535900000000002</v>
      </c>
      <c r="P465" s="17">
        <f>CHOOSE(CONTROL!$C$42, 20.3436, 20.3436) * CHOOSE(CONTROL!$C$21, $C$9, 100%, $E$9)</f>
        <v>20.343599999999999</v>
      </c>
      <c r="Q465" s="17">
        <f>CHOOSE(CONTROL!$C$42, 21.1306, 21.1306) * CHOOSE(CONTROL!$C$21, $C$9, 100%, $E$9)</f>
        <v>21.130600000000001</v>
      </c>
      <c r="R465" s="17">
        <f>CHOOSE(CONTROL!$C$42, 21.7704, 21.7704) * CHOOSE(CONTROL!$C$21, $C$9, 100%, $E$9)</f>
        <v>21.770399999999999</v>
      </c>
      <c r="S465" s="17">
        <f>CHOOSE(CONTROL!$C$42, 19.8072, 19.8072) * CHOOSE(CONTROL!$C$21, $C$9, 100%, $E$9)</f>
        <v>19.807200000000002</v>
      </c>
      <c r="T465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465" s="57">
        <f>(1000*CHOOSE(CONTROL!$C$42, 695, 695)*CHOOSE(CONTROL!$C$42, 0.5599, 0.5599)*CHOOSE(CONTROL!$C$42, 30, 30))/1000000</f>
        <v>11.673914999999997</v>
      </c>
      <c r="V465" s="57">
        <f>(1000*CHOOSE(CONTROL!$C$42, 500, 500)*CHOOSE(CONTROL!$C$42, 0.275, 0.275)*CHOOSE(CONTROL!$C$42, 30, 30))/1000000</f>
        <v>4.125</v>
      </c>
      <c r="W465" s="57">
        <f>(1000*CHOOSE(CONTROL!$C$42, 0.0916, 0.0916)*CHOOSE(CONTROL!$C$42, 121.5, 121.5)*CHOOSE(CONTROL!$C$42, 30, 30))/1000000</f>
        <v>0.33388200000000001</v>
      </c>
      <c r="X465" s="57">
        <f>(30*0.1790888*145000/1000000)+(30*0.2374*100000/1000000)</f>
        <v>1.4912362799999999</v>
      </c>
      <c r="Y465" s="57"/>
      <c r="Z465" s="17"/>
      <c r="AA465" s="56"/>
      <c r="AB465" s="49">
        <f>(B465*194.205+C465*267.466+D465*133.845+E465*153.484+F465*40+G465*85+H465*0+I465*100+J465*300)/(194.205+267.466+133.845+153.484+0+40+85+100+300)</f>
        <v>20.509517805494504</v>
      </c>
      <c r="AC465" s="46">
        <f>(M465*'RAP TEMPLATE-GAS AVAILABILITY'!O464+N465*'RAP TEMPLATE-GAS AVAILABILITY'!P464+O465*'RAP TEMPLATE-GAS AVAILABILITY'!Q464+P465*'RAP TEMPLATE-GAS AVAILABILITY'!R464)/('RAP TEMPLATE-GAS AVAILABILITY'!O464+'RAP TEMPLATE-GAS AVAILABILITY'!P464+'RAP TEMPLATE-GAS AVAILABILITY'!Q464+'RAP TEMPLATE-GAS AVAILABILITY'!R464)</f>
        <v>20.353134532374099</v>
      </c>
    </row>
    <row r="466" spans="1:29" ht="15.75" x14ac:dyDescent="0.25">
      <c r="A466" s="14">
        <v>55092</v>
      </c>
      <c r="B466" s="17">
        <f>CHOOSE(CONTROL!$C$42, 20.0216, 20.0216) * CHOOSE(CONTROL!$C$21, $C$9, 100%, $E$9)</f>
        <v>20.021599999999999</v>
      </c>
      <c r="C466" s="17">
        <f>CHOOSE(CONTROL!$C$42, 20.027, 20.027) * CHOOSE(CONTROL!$C$21, $C$9, 100%, $E$9)</f>
        <v>20.027000000000001</v>
      </c>
      <c r="D466" s="17">
        <f>CHOOSE(CONTROL!$C$42, 20.2814, 20.2814) * CHOOSE(CONTROL!$C$21, $C$9, 100%, $E$9)</f>
        <v>20.281400000000001</v>
      </c>
      <c r="E466" s="17">
        <f>CHOOSE(CONTROL!$C$42, 20.3103, 20.3103) * CHOOSE(CONTROL!$C$21, $C$9, 100%, $E$9)</f>
        <v>20.310300000000002</v>
      </c>
      <c r="F466" s="17">
        <f>CHOOSE(CONTROL!$C$42, 20.0298, 20.0298)*CHOOSE(CONTROL!$C$21, $C$9, 100%, $E$9)</f>
        <v>20.029800000000002</v>
      </c>
      <c r="G466" s="17">
        <f>CHOOSE(CONTROL!$C$42, 20.0462, 20.0462)*CHOOSE(CONTROL!$C$21, $C$9, 100%, $E$9)</f>
        <v>20.046199999999999</v>
      </c>
      <c r="H466" s="17">
        <f>CHOOSE(CONTROL!$C$42, 20.3005, 20.3005) * CHOOSE(CONTROL!$C$21, $C$9, 100%, $E$9)</f>
        <v>20.3005</v>
      </c>
      <c r="I466" s="17">
        <f>CHOOSE(CONTROL!$C$42, 20.1057, 20.1057)* CHOOSE(CONTROL!$C$21, $C$9, 100%, $E$9)</f>
        <v>20.105699999999999</v>
      </c>
      <c r="J466" s="17">
        <f>CHOOSE(CONTROL!$C$42, 20.0224, 20.0224)* CHOOSE(CONTROL!$C$21, $C$9, 100%, $E$9)</f>
        <v>20.022400000000001</v>
      </c>
      <c r="K466" s="53">
        <f>CHOOSE(CONTROL!$C$42, 20.0997, 20.0997) * CHOOSE(CONTROL!$C$21, $C$9, 100%, $E$9)</f>
        <v>20.099699999999999</v>
      </c>
      <c r="L466" s="17">
        <f>CHOOSE(CONTROL!$C$42, 20.8875, 20.8875) * CHOOSE(CONTROL!$C$21, $C$9, 100%, $E$9)</f>
        <v>20.887499999999999</v>
      </c>
      <c r="M466" s="17">
        <f>CHOOSE(CONTROL!$C$42, 19.8494, 19.8494) * CHOOSE(CONTROL!$C$21, $C$9, 100%, $E$9)</f>
        <v>19.849399999999999</v>
      </c>
      <c r="N466" s="17">
        <f>CHOOSE(CONTROL!$C$42, 19.8655, 19.8655) * CHOOSE(CONTROL!$C$21, $C$9, 100%, $E$9)</f>
        <v>19.865500000000001</v>
      </c>
      <c r="O466" s="17">
        <f>CHOOSE(CONTROL!$C$42, 20.1249, 20.1249) * CHOOSE(CONTROL!$C$21, $C$9, 100%, $E$9)</f>
        <v>20.1249</v>
      </c>
      <c r="P466" s="17">
        <f>CHOOSE(CONTROL!$C$42, 19.9314, 19.9314) * CHOOSE(CONTROL!$C$21, $C$9, 100%, $E$9)</f>
        <v>19.9314</v>
      </c>
      <c r="Q466" s="17">
        <f>CHOOSE(CONTROL!$C$42, 20.7196, 20.7196) * CHOOSE(CONTROL!$C$21, $C$9, 100%, $E$9)</f>
        <v>20.7196</v>
      </c>
      <c r="R466" s="17">
        <f>CHOOSE(CONTROL!$C$42, 21.3584, 21.3584) * CHOOSE(CONTROL!$C$21, $C$9, 100%, $E$9)</f>
        <v>21.3584</v>
      </c>
      <c r="S466" s="17">
        <f>CHOOSE(CONTROL!$C$42, 19.4051, 19.4051) * CHOOSE(CONTROL!$C$21, $C$9, 100%, $E$9)</f>
        <v>19.405100000000001</v>
      </c>
      <c r="T466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466" s="57">
        <f>(1000*CHOOSE(CONTROL!$C$42, 695, 695)*CHOOSE(CONTROL!$C$42, 0.5599, 0.5599)*CHOOSE(CONTROL!$C$42, 31, 31))/1000000</f>
        <v>12.063045499999998</v>
      </c>
      <c r="V466" s="57">
        <f>(1000*CHOOSE(CONTROL!$C$42, 500, 500)*CHOOSE(CONTROL!$C$42, 0.275, 0.275)*CHOOSE(CONTROL!$C$42, 31, 31))/1000000</f>
        <v>4.2625000000000002</v>
      </c>
      <c r="W466" s="57">
        <f>(1000*CHOOSE(CONTROL!$C$42, 0.0916, 0.0916)*CHOOSE(CONTROL!$C$42, 121.5, 121.5)*CHOOSE(CONTROL!$C$42, 31, 31))/1000000</f>
        <v>0.34501139999999997</v>
      </c>
      <c r="X466" s="57">
        <f>(31*0.1790888*145000/1000000)+(31*0.2374*100000/1000000)</f>
        <v>1.5409441560000001</v>
      </c>
      <c r="Y466" s="57"/>
      <c r="Z466" s="17"/>
      <c r="AA466" s="56"/>
      <c r="AB466" s="49">
        <f>(B466*131.881+C466*277.167+D466*79.08+E466*225.872+F466*40+G466*85+H466*0+I466*100+J466*300)/(131.881+277.167+79.08+225.872+0+40+85+100+300)</f>
        <v>20.100954263276837</v>
      </c>
      <c r="AC466" s="46">
        <f>(M466*'RAP TEMPLATE-GAS AVAILABILITY'!O465+N466*'RAP TEMPLATE-GAS AVAILABILITY'!P465+O466*'RAP TEMPLATE-GAS AVAILABILITY'!Q465+P466*'RAP TEMPLATE-GAS AVAILABILITY'!R465)/('RAP TEMPLATE-GAS AVAILABILITY'!O465+'RAP TEMPLATE-GAS AVAILABILITY'!P465+'RAP TEMPLATE-GAS AVAILABILITY'!Q465+'RAP TEMPLATE-GAS AVAILABILITY'!R465)</f>
        <v>19.942203597122301</v>
      </c>
    </row>
    <row r="467" spans="1:29" ht="15.75" x14ac:dyDescent="0.25">
      <c r="A467" s="14">
        <v>55122</v>
      </c>
      <c r="B467" s="17">
        <f>CHOOSE(CONTROL!$C$42, 20.5484, 20.5484) * CHOOSE(CONTROL!$C$21, $C$9, 100%, $E$9)</f>
        <v>20.548400000000001</v>
      </c>
      <c r="C467" s="17">
        <f>CHOOSE(CONTROL!$C$42, 20.5535, 20.5535) * CHOOSE(CONTROL!$C$21, $C$9, 100%, $E$9)</f>
        <v>20.5535</v>
      </c>
      <c r="D467" s="17">
        <f>CHOOSE(CONTROL!$C$42, 20.6761, 20.6761) * CHOOSE(CONTROL!$C$21, $C$9, 100%, $E$9)</f>
        <v>20.676100000000002</v>
      </c>
      <c r="E467" s="17">
        <f>CHOOSE(CONTROL!$C$42, 20.7098, 20.7098) * CHOOSE(CONTROL!$C$21, $C$9, 100%, $E$9)</f>
        <v>20.709800000000001</v>
      </c>
      <c r="F467" s="17">
        <f>CHOOSE(CONTROL!$C$42, 20.5634, 20.5634)*CHOOSE(CONTROL!$C$21, $C$9, 100%, $E$9)</f>
        <v>20.563400000000001</v>
      </c>
      <c r="G467" s="17">
        <f>CHOOSE(CONTROL!$C$42, 20.5801, 20.5801)*CHOOSE(CONTROL!$C$21, $C$9, 100%, $E$9)</f>
        <v>20.580100000000002</v>
      </c>
      <c r="H467" s="17">
        <f>CHOOSE(CONTROL!$C$42, 20.6987, 20.6987) * CHOOSE(CONTROL!$C$21, $C$9, 100%, $E$9)</f>
        <v>20.698699999999999</v>
      </c>
      <c r="I467" s="17">
        <f>CHOOSE(CONTROL!$C$42, 20.6371, 20.6371)* CHOOSE(CONTROL!$C$21, $C$9, 100%, $E$9)</f>
        <v>20.6371</v>
      </c>
      <c r="J467" s="17">
        <f>CHOOSE(CONTROL!$C$42, 20.556, 20.556)* CHOOSE(CONTROL!$C$21, $C$9, 100%, $E$9)</f>
        <v>20.556000000000001</v>
      </c>
      <c r="K467" s="53">
        <f>CHOOSE(CONTROL!$C$42, 20.6311, 20.6311) * CHOOSE(CONTROL!$C$21, $C$9, 100%, $E$9)</f>
        <v>20.6311</v>
      </c>
      <c r="L467" s="17">
        <f>CHOOSE(CONTROL!$C$42, 21.2857, 21.2857) * CHOOSE(CONTROL!$C$21, $C$9, 100%, $E$9)</f>
        <v>21.285699999999999</v>
      </c>
      <c r="M467" s="17">
        <f>CHOOSE(CONTROL!$C$42, 20.3781, 20.3781) * CHOOSE(CONTROL!$C$21, $C$9, 100%, $E$9)</f>
        <v>20.3781</v>
      </c>
      <c r="N467" s="17">
        <f>CHOOSE(CONTROL!$C$42, 20.3947, 20.3947) * CHOOSE(CONTROL!$C$21, $C$9, 100%, $E$9)</f>
        <v>20.3947</v>
      </c>
      <c r="O467" s="17">
        <f>CHOOSE(CONTROL!$C$42, 20.5196, 20.5196) * CHOOSE(CONTROL!$C$21, $C$9, 100%, $E$9)</f>
        <v>20.519600000000001</v>
      </c>
      <c r="P467" s="17">
        <f>CHOOSE(CONTROL!$C$42, 20.458, 20.458) * CHOOSE(CONTROL!$C$21, $C$9, 100%, $E$9)</f>
        <v>20.457999999999998</v>
      </c>
      <c r="Q467" s="17">
        <f>CHOOSE(CONTROL!$C$42, 21.1143, 21.1143) * CHOOSE(CONTROL!$C$21, $C$9, 100%, $E$9)</f>
        <v>21.1143</v>
      </c>
      <c r="R467" s="17">
        <f>CHOOSE(CONTROL!$C$42, 21.7541, 21.7541) * CHOOSE(CONTROL!$C$21, $C$9, 100%, $E$9)</f>
        <v>21.754100000000001</v>
      </c>
      <c r="S467" s="17">
        <f>CHOOSE(CONTROL!$C$42, 19.9163, 19.9163) * CHOOSE(CONTROL!$C$21, $C$9, 100%, $E$9)</f>
        <v>19.9163</v>
      </c>
      <c r="T467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467" s="57">
        <f>(1000*CHOOSE(CONTROL!$C$42, 695, 695)*CHOOSE(CONTROL!$C$42, 0.5599, 0.5599)*CHOOSE(CONTROL!$C$42, 30, 30))/1000000</f>
        <v>11.673914999999997</v>
      </c>
      <c r="V467" s="57">
        <f>(1000*CHOOSE(CONTROL!$C$42, 500, 500)*CHOOSE(CONTROL!$C$42, 0.275, 0.275)*CHOOSE(CONTROL!$C$42, 30, 30))/1000000</f>
        <v>4.125</v>
      </c>
      <c r="W467" s="57">
        <f>(1000*CHOOSE(CONTROL!$C$42, 0.0916, 0.0916)*CHOOSE(CONTROL!$C$42, 121.5, 121.5)*CHOOSE(CONTROL!$C$42, 30, 30))/1000000</f>
        <v>0.33388200000000001</v>
      </c>
      <c r="X467" s="57">
        <f>(30*0.2374*100000/1000000)</f>
        <v>0.71220000000000006</v>
      </c>
      <c r="Y467" s="57"/>
      <c r="Z467" s="17"/>
      <c r="AA467" s="56"/>
      <c r="AB467" s="49">
        <f>(B467*122.58+C467*297.941+D467*89.177+E467*140.302+F467*40+G467*60+H467*0+I467*100+J467*300)/(122.58+297.941+89.177+140.302+0+40+60+100+300)</f>
        <v>20.591186212869562</v>
      </c>
      <c r="AC467" s="46">
        <f>(M467*'RAP TEMPLATE-GAS AVAILABILITY'!O466+N467*'RAP TEMPLATE-GAS AVAILABILITY'!P466+O467*'RAP TEMPLATE-GAS AVAILABILITY'!Q466+P467*'RAP TEMPLATE-GAS AVAILABILITY'!R466)/('RAP TEMPLATE-GAS AVAILABILITY'!O466+'RAP TEMPLATE-GAS AVAILABILITY'!P466+'RAP TEMPLATE-GAS AVAILABILITY'!Q466+'RAP TEMPLATE-GAS AVAILABILITY'!R466)</f>
        <v>20.454684892086327</v>
      </c>
    </row>
    <row r="468" spans="1:29" ht="15.75" x14ac:dyDescent="0.25">
      <c r="A468" s="14">
        <v>55153</v>
      </c>
      <c r="B468" s="17">
        <f>CHOOSE(CONTROL!$C$42, 21.9487, 21.9487) * CHOOSE(CONTROL!$C$21, $C$9, 100%, $E$9)</f>
        <v>21.948699999999999</v>
      </c>
      <c r="C468" s="17">
        <f>CHOOSE(CONTROL!$C$42, 21.9537, 21.9537) * CHOOSE(CONTROL!$C$21, $C$9, 100%, $E$9)</f>
        <v>21.953700000000001</v>
      </c>
      <c r="D468" s="17">
        <f>CHOOSE(CONTROL!$C$42, 22.0764, 22.0764) * CHOOSE(CONTROL!$C$21, $C$9, 100%, $E$9)</f>
        <v>22.0764</v>
      </c>
      <c r="E468" s="17">
        <f>CHOOSE(CONTROL!$C$42, 22.1101, 22.1101) * CHOOSE(CONTROL!$C$21, $C$9, 100%, $E$9)</f>
        <v>22.110099999999999</v>
      </c>
      <c r="F468" s="17">
        <f>CHOOSE(CONTROL!$C$42, 21.9661, 21.9661)*CHOOSE(CONTROL!$C$21, $C$9, 100%, $E$9)</f>
        <v>21.966100000000001</v>
      </c>
      <c r="G468" s="17">
        <f>CHOOSE(CONTROL!$C$42, 21.9834, 21.9834)*CHOOSE(CONTROL!$C$21, $C$9, 100%, $E$9)</f>
        <v>21.9834</v>
      </c>
      <c r="H468" s="17">
        <f>CHOOSE(CONTROL!$C$42, 22.099, 22.099) * CHOOSE(CONTROL!$C$21, $C$9, 100%, $E$9)</f>
        <v>22.099</v>
      </c>
      <c r="I468" s="17">
        <f>CHOOSE(CONTROL!$C$42, 22.0417, 22.0417)* CHOOSE(CONTROL!$C$21, $C$9, 100%, $E$9)</f>
        <v>22.041699999999999</v>
      </c>
      <c r="J468" s="17">
        <f>CHOOSE(CONTROL!$C$42, 21.9587, 21.9587)* CHOOSE(CONTROL!$C$21, $C$9, 100%, $E$9)</f>
        <v>21.9587</v>
      </c>
      <c r="K468" s="53">
        <f>CHOOSE(CONTROL!$C$42, 22.0357, 22.0357) * CHOOSE(CONTROL!$C$21, $C$9, 100%, $E$9)</f>
        <v>22.035699999999999</v>
      </c>
      <c r="L468" s="17">
        <f>CHOOSE(CONTROL!$C$42, 22.686, 22.686) * CHOOSE(CONTROL!$C$21, $C$9, 100%, $E$9)</f>
        <v>22.686</v>
      </c>
      <c r="M468" s="17">
        <f>CHOOSE(CONTROL!$C$42, 21.7682, 21.7682) * CHOOSE(CONTROL!$C$21, $C$9, 100%, $E$9)</f>
        <v>21.7682</v>
      </c>
      <c r="N468" s="17">
        <f>CHOOSE(CONTROL!$C$42, 21.7854, 21.7854) * CHOOSE(CONTROL!$C$21, $C$9, 100%, $E$9)</f>
        <v>21.785399999999999</v>
      </c>
      <c r="O468" s="17">
        <f>CHOOSE(CONTROL!$C$42, 21.9072, 21.9072) * CHOOSE(CONTROL!$C$21, $C$9, 100%, $E$9)</f>
        <v>21.9072</v>
      </c>
      <c r="P468" s="17">
        <f>CHOOSE(CONTROL!$C$42, 21.8499, 21.8499) * CHOOSE(CONTROL!$C$21, $C$9, 100%, $E$9)</f>
        <v>21.849900000000002</v>
      </c>
      <c r="Q468" s="17">
        <f>CHOOSE(CONTROL!$C$42, 22.5019, 22.5019) * CHOOSE(CONTROL!$C$21, $C$9, 100%, $E$9)</f>
        <v>22.501899999999999</v>
      </c>
      <c r="R468" s="17">
        <f>CHOOSE(CONTROL!$C$42, 23.1452, 23.1452) * CHOOSE(CONTROL!$C$21, $C$9, 100%, $E$9)</f>
        <v>23.145199999999999</v>
      </c>
      <c r="S468" s="17">
        <f>CHOOSE(CONTROL!$C$42, 21.2741, 21.2741) * CHOOSE(CONTROL!$C$21, $C$9, 100%, $E$9)</f>
        <v>21.274100000000001</v>
      </c>
      <c r="T468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468" s="57">
        <f>(1000*CHOOSE(CONTROL!$C$42, 695, 695)*CHOOSE(CONTROL!$C$42, 0.5599, 0.5599)*CHOOSE(CONTROL!$C$42, 31, 31))/1000000</f>
        <v>12.063045499999998</v>
      </c>
      <c r="V468" s="57">
        <f>(1000*CHOOSE(CONTROL!$C$42, 500, 500)*CHOOSE(CONTROL!$C$42, 0.275, 0.275)*CHOOSE(CONTROL!$C$42, 31, 31))/1000000</f>
        <v>4.2625000000000002</v>
      </c>
      <c r="W468" s="57">
        <f>(1000*CHOOSE(CONTROL!$C$42, 0.0916, 0.0916)*CHOOSE(CONTROL!$C$42, 121.5, 121.5)*CHOOSE(CONTROL!$C$42, 31, 31))/1000000</f>
        <v>0.34501139999999997</v>
      </c>
      <c r="X468" s="57">
        <f>(31*0.2374*100000/1000000)</f>
        <v>0.73594000000000004</v>
      </c>
      <c r="Y468" s="57"/>
      <c r="Z468" s="17"/>
      <c r="AA468" s="56"/>
      <c r="AB468" s="49">
        <f>(B468*122.58+C468*297.941+D468*89.177+E468*140.302+F468*40+G468*60+H468*0+I468*100+J468*300)/(122.58+297.941+89.177+140.302+0+40+60+100+300)</f>
        <v>21.992700304956525</v>
      </c>
      <c r="AC468" s="46">
        <f>(M468*'RAP TEMPLATE-GAS AVAILABILITY'!O467+N468*'RAP TEMPLATE-GAS AVAILABILITY'!P467+O468*'RAP TEMPLATE-GAS AVAILABILITY'!Q467+P468*'RAP TEMPLATE-GAS AVAILABILITY'!R467)/('RAP TEMPLATE-GAS AVAILABILITY'!O467+'RAP TEMPLATE-GAS AVAILABILITY'!P467+'RAP TEMPLATE-GAS AVAILABILITY'!Q467+'RAP TEMPLATE-GAS AVAILABILITY'!R467)</f>
        <v>21.843945323741007</v>
      </c>
    </row>
    <row r="469" spans="1:29" ht="15.75" x14ac:dyDescent="0.25">
      <c r="A469" s="14">
        <v>55184</v>
      </c>
      <c r="B469" s="17">
        <f>CHOOSE(CONTROL!$C$42, 23.7673, 23.7673) * CHOOSE(CONTROL!$C$21, $C$9, 100%, $E$9)</f>
        <v>23.767299999999999</v>
      </c>
      <c r="C469" s="17">
        <f>CHOOSE(CONTROL!$C$42, 23.7724, 23.7724) * CHOOSE(CONTROL!$C$21, $C$9, 100%, $E$9)</f>
        <v>23.772400000000001</v>
      </c>
      <c r="D469" s="17">
        <f>CHOOSE(CONTROL!$C$42, 23.8899, 23.8899) * CHOOSE(CONTROL!$C$21, $C$9, 100%, $E$9)</f>
        <v>23.889900000000001</v>
      </c>
      <c r="E469" s="17">
        <f>CHOOSE(CONTROL!$C$42, 23.9236, 23.9236) * CHOOSE(CONTROL!$C$21, $C$9, 100%, $E$9)</f>
        <v>23.9236</v>
      </c>
      <c r="F469" s="17">
        <f>CHOOSE(CONTROL!$C$42, 23.781, 23.781)*CHOOSE(CONTROL!$C$21, $C$9, 100%, $E$9)</f>
        <v>23.780999999999999</v>
      </c>
      <c r="G469" s="17">
        <f>CHOOSE(CONTROL!$C$42, 23.7973, 23.7973)*CHOOSE(CONTROL!$C$21, $C$9, 100%, $E$9)</f>
        <v>23.7973</v>
      </c>
      <c r="H469" s="17">
        <f>CHOOSE(CONTROL!$C$42, 23.9125, 23.9125) * CHOOSE(CONTROL!$C$21, $C$9, 100%, $E$9)</f>
        <v>23.912500000000001</v>
      </c>
      <c r="I469" s="17">
        <f>CHOOSE(CONTROL!$C$42, 23.8645, 23.8645)* CHOOSE(CONTROL!$C$21, $C$9, 100%, $E$9)</f>
        <v>23.8645</v>
      </c>
      <c r="J469" s="17">
        <f>CHOOSE(CONTROL!$C$42, 23.7736, 23.7736)* CHOOSE(CONTROL!$C$21, $C$9, 100%, $E$9)</f>
        <v>23.773599999999998</v>
      </c>
      <c r="K469" s="53">
        <f>CHOOSE(CONTROL!$C$42, 23.8585, 23.8585) * CHOOSE(CONTROL!$C$21, $C$9, 100%, $E$9)</f>
        <v>23.858499999999999</v>
      </c>
      <c r="L469" s="17">
        <f>CHOOSE(CONTROL!$C$42, 24.4995, 24.4995) * CHOOSE(CONTROL!$C$21, $C$9, 100%, $E$9)</f>
        <v>24.499500000000001</v>
      </c>
      <c r="M469" s="17">
        <f>CHOOSE(CONTROL!$C$42, 23.5668, 23.5668) * CHOOSE(CONTROL!$C$21, $C$9, 100%, $E$9)</f>
        <v>23.566800000000001</v>
      </c>
      <c r="N469" s="17">
        <f>CHOOSE(CONTROL!$C$42, 23.5829, 23.5829) * CHOOSE(CONTROL!$C$21, $C$9, 100%, $E$9)</f>
        <v>23.582899999999999</v>
      </c>
      <c r="O469" s="17">
        <f>CHOOSE(CONTROL!$C$42, 23.7045, 23.7045) * CHOOSE(CONTROL!$C$21, $C$9, 100%, $E$9)</f>
        <v>23.704499999999999</v>
      </c>
      <c r="P469" s="17">
        <f>CHOOSE(CONTROL!$C$42, 23.6563, 23.6563) * CHOOSE(CONTROL!$C$21, $C$9, 100%, $E$9)</f>
        <v>23.656300000000002</v>
      </c>
      <c r="Q469" s="17">
        <f>CHOOSE(CONTROL!$C$42, 24.2992, 24.2992) * CHOOSE(CONTROL!$C$21, $C$9, 100%, $E$9)</f>
        <v>24.299199999999999</v>
      </c>
      <c r="R469" s="17">
        <f>CHOOSE(CONTROL!$C$42, 24.9469, 24.9469) * CHOOSE(CONTROL!$C$21, $C$9, 100%, $E$9)</f>
        <v>24.946899999999999</v>
      </c>
      <c r="S469" s="17">
        <f>CHOOSE(CONTROL!$C$42, 23.0377, 23.0377) * CHOOSE(CONTROL!$C$21, $C$9, 100%, $E$9)</f>
        <v>23.037700000000001</v>
      </c>
      <c r="T469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469" s="57">
        <f>(1000*CHOOSE(CONTROL!$C$42, 695, 695)*CHOOSE(CONTROL!$C$42, 0.5599, 0.5599)*CHOOSE(CONTROL!$C$42, 31, 31))/1000000</f>
        <v>12.063045499999998</v>
      </c>
      <c r="V469" s="57">
        <f>(1000*CHOOSE(CONTROL!$C$42, 500, 500)*CHOOSE(CONTROL!$C$42, 0.275, 0.275)*CHOOSE(CONTROL!$C$42, 31, 31))/1000000</f>
        <v>4.2625000000000002</v>
      </c>
      <c r="W469" s="57">
        <f>(1000*CHOOSE(CONTROL!$C$42, 0.0916, 0.0916)*CHOOSE(CONTROL!$C$42, 121.5, 121.5)*CHOOSE(CONTROL!$C$42, 31, 31))/1000000</f>
        <v>0.34501139999999997</v>
      </c>
      <c r="X469" s="57">
        <f>(31*0.2374*100000/1000000)</f>
        <v>0.73594000000000004</v>
      </c>
      <c r="Y469" s="57"/>
      <c r="Z469" s="17"/>
      <c r="AA469" s="56"/>
      <c r="AB469" s="49">
        <f>(B469*122.58+C469*297.941+D469*89.177+E469*140.302+F469*40+G469*60+H469*0+I469*100+J469*300)/(122.58+297.941+89.177+140.302+0+40+60+100+300)</f>
        <v>23.809334610347832</v>
      </c>
      <c r="AC469" s="46">
        <f>(M469*'RAP TEMPLATE-GAS AVAILABILITY'!O468+N469*'RAP TEMPLATE-GAS AVAILABILITY'!P468+O469*'RAP TEMPLATE-GAS AVAILABILITY'!Q468+P469*'RAP TEMPLATE-GAS AVAILABILITY'!R468)/('RAP TEMPLATE-GAS AVAILABILITY'!O468+'RAP TEMPLATE-GAS AVAILABILITY'!P468+'RAP TEMPLATE-GAS AVAILABILITY'!Q468+'RAP TEMPLATE-GAS AVAILABILITY'!R468)</f>
        <v>23.643015107913666</v>
      </c>
    </row>
    <row r="470" spans="1:29" ht="15.75" x14ac:dyDescent="0.25">
      <c r="A470" s="14">
        <v>55212</v>
      </c>
      <c r="B470" s="17">
        <f>CHOOSE(CONTROL!$C$42, 24.1902, 24.1902) * CHOOSE(CONTROL!$C$21, $C$9, 100%, $E$9)</f>
        <v>24.190200000000001</v>
      </c>
      <c r="C470" s="17">
        <f>CHOOSE(CONTROL!$C$42, 24.1953, 24.1953) * CHOOSE(CONTROL!$C$21, $C$9, 100%, $E$9)</f>
        <v>24.1953</v>
      </c>
      <c r="D470" s="17">
        <f>CHOOSE(CONTROL!$C$42, 24.3128, 24.3128) * CHOOSE(CONTROL!$C$21, $C$9, 100%, $E$9)</f>
        <v>24.312799999999999</v>
      </c>
      <c r="E470" s="17">
        <f>CHOOSE(CONTROL!$C$42, 24.3465, 24.3465) * CHOOSE(CONTROL!$C$21, $C$9, 100%, $E$9)</f>
        <v>24.346499999999999</v>
      </c>
      <c r="F470" s="17">
        <f>CHOOSE(CONTROL!$C$42, 24.2039, 24.2039)*CHOOSE(CONTROL!$C$21, $C$9, 100%, $E$9)</f>
        <v>24.203900000000001</v>
      </c>
      <c r="G470" s="17">
        <f>CHOOSE(CONTROL!$C$42, 24.2202, 24.2202)*CHOOSE(CONTROL!$C$21, $C$9, 100%, $E$9)</f>
        <v>24.220199999999998</v>
      </c>
      <c r="H470" s="17">
        <f>CHOOSE(CONTROL!$C$42, 24.3354, 24.3354) * CHOOSE(CONTROL!$C$21, $C$9, 100%, $E$9)</f>
        <v>24.3354</v>
      </c>
      <c r="I470" s="17">
        <f>CHOOSE(CONTROL!$C$42, 24.2887, 24.2887)* CHOOSE(CONTROL!$C$21, $C$9, 100%, $E$9)</f>
        <v>24.288699999999999</v>
      </c>
      <c r="J470" s="17">
        <f>CHOOSE(CONTROL!$C$42, 24.1965, 24.1965)* CHOOSE(CONTROL!$C$21, $C$9, 100%, $E$9)</f>
        <v>24.1965</v>
      </c>
      <c r="K470" s="53">
        <f>CHOOSE(CONTROL!$C$42, 24.2827, 24.2827) * CHOOSE(CONTROL!$C$21, $C$9, 100%, $E$9)</f>
        <v>24.282699999999998</v>
      </c>
      <c r="L470" s="17">
        <f>CHOOSE(CONTROL!$C$42, 24.9224, 24.9224) * CHOOSE(CONTROL!$C$21, $C$9, 100%, $E$9)</f>
        <v>24.9224</v>
      </c>
      <c r="M470" s="17">
        <f>CHOOSE(CONTROL!$C$42, 23.9859, 23.9859) * CHOOSE(CONTROL!$C$21, $C$9, 100%, $E$9)</f>
        <v>23.985900000000001</v>
      </c>
      <c r="N470" s="17">
        <f>CHOOSE(CONTROL!$C$42, 24.002, 24.002) * CHOOSE(CONTROL!$C$21, $C$9, 100%, $E$9)</f>
        <v>24.001999999999999</v>
      </c>
      <c r="O470" s="17">
        <f>CHOOSE(CONTROL!$C$42, 24.1236, 24.1236) * CHOOSE(CONTROL!$C$21, $C$9, 100%, $E$9)</f>
        <v>24.1236</v>
      </c>
      <c r="P470" s="17">
        <f>CHOOSE(CONTROL!$C$42, 24.0767, 24.0767) * CHOOSE(CONTROL!$C$21, $C$9, 100%, $E$9)</f>
        <v>24.076699999999999</v>
      </c>
      <c r="Q470" s="17">
        <f>CHOOSE(CONTROL!$C$42, 24.7183, 24.7183) * CHOOSE(CONTROL!$C$21, $C$9, 100%, $E$9)</f>
        <v>24.718299999999999</v>
      </c>
      <c r="R470" s="17">
        <f>CHOOSE(CONTROL!$C$42, 25.3671, 25.3671) * CHOOSE(CONTROL!$C$21, $C$9, 100%, $E$9)</f>
        <v>25.367100000000001</v>
      </c>
      <c r="S470" s="17">
        <f>CHOOSE(CONTROL!$C$42, 23.4478, 23.4478) * CHOOSE(CONTROL!$C$21, $C$9, 100%, $E$9)</f>
        <v>23.447800000000001</v>
      </c>
      <c r="T470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470" s="57">
        <f>(1000*CHOOSE(CONTROL!$C$42, 695, 695)*CHOOSE(CONTROL!$C$42, 0.5599, 0.5599)*CHOOSE(CONTROL!$C$42, 28, 28))/1000000</f>
        <v>10.895653999999999</v>
      </c>
      <c r="V470" s="57">
        <f>(1000*CHOOSE(CONTROL!$C$42, 500, 500)*CHOOSE(CONTROL!$C$42, 0.275, 0.275)*CHOOSE(CONTROL!$C$42, 28, 28))/1000000</f>
        <v>3.85</v>
      </c>
      <c r="W470" s="57">
        <f>(1000*CHOOSE(CONTROL!$C$42, 0.0916, 0.0916)*CHOOSE(CONTROL!$C$42, 121.5, 121.5)*CHOOSE(CONTROL!$C$42, 28, 28))/1000000</f>
        <v>0.31162319999999999</v>
      </c>
      <c r="X470" s="57">
        <f>(28*0.2374*100000/1000000)</f>
        <v>0.66471999999999998</v>
      </c>
      <c r="Y470" s="57"/>
      <c r="Z470" s="17"/>
      <c r="AA470" s="56"/>
      <c r="AB470" s="49">
        <f>(B470*122.58+C470*297.941+D470*89.177+E470*140.302+F470*40+G470*60+H470*0+I470*100+J470*300)/(122.58+297.941+89.177+140.302+0+40+60+100+300)</f>
        <v>24.232347653826086</v>
      </c>
      <c r="AC470" s="46">
        <f>(M470*'RAP TEMPLATE-GAS AVAILABILITY'!O469+N470*'RAP TEMPLATE-GAS AVAILABILITY'!P469+O470*'RAP TEMPLATE-GAS AVAILABILITY'!Q469+P470*'RAP TEMPLATE-GAS AVAILABILITY'!R469)/('RAP TEMPLATE-GAS AVAILABILITY'!O469+'RAP TEMPLATE-GAS AVAILABILITY'!P469+'RAP TEMPLATE-GAS AVAILABILITY'!Q469+'RAP TEMPLATE-GAS AVAILABILITY'!R469)</f>
        <v>24.062302158273386</v>
      </c>
    </row>
    <row r="471" spans="1:29" ht="15.75" x14ac:dyDescent="0.25">
      <c r="A471" s="14">
        <v>55243</v>
      </c>
      <c r="B471" s="17">
        <f>CHOOSE(CONTROL!$C$42, 23.5038, 23.5038) * CHOOSE(CONTROL!$C$21, $C$9, 100%, $E$9)</f>
        <v>23.503799999999998</v>
      </c>
      <c r="C471" s="17">
        <f>CHOOSE(CONTROL!$C$42, 23.5089, 23.5089) * CHOOSE(CONTROL!$C$21, $C$9, 100%, $E$9)</f>
        <v>23.508900000000001</v>
      </c>
      <c r="D471" s="17">
        <f>CHOOSE(CONTROL!$C$42, 23.6263, 23.6263) * CHOOSE(CONTROL!$C$21, $C$9, 100%, $E$9)</f>
        <v>23.626300000000001</v>
      </c>
      <c r="E471" s="17">
        <f>CHOOSE(CONTROL!$C$42, 23.6601, 23.6601) * CHOOSE(CONTROL!$C$21, $C$9, 100%, $E$9)</f>
        <v>23.6601</v>
      </c>
      <c r="F471" s="17">
        <f>CHOOSE(CONTROL!$C$42, 23.5168, 23.5168)*CHOOSE(CONTROL!$C$21, $C$9, 100%, $E$9)</f>
        <v>23.5168</v>
      </c>
      <c r="G471" s="17">
        <f>CHOOSE(CONTROL!$C$42, 23.5329, 23.5329)*CHOOSE(CONTROL!$C$21, $C$9, 100%, $E$9)</f>
        <v>23.532900000000001</v>
      </c>
      <c r="H471" s="17">
        <f>CHOOSE(CONTROL!$C$42, 23.6489, 23.6489) * CHOOSE(CONTROL!$C$21, $C$9, 100%, $E$9)</f>
        <v>23.648900000000001</v>
      </c>
      <c r="I471" s="17">
        <f>CHOOSE(CONTROL!$C$42, 23.6001, 23.6001)* CHOOSE(CONTROL!$C$21, $C$9, 100%, $E$9)</f>
        <v>23.600100000000001</v>
      </c>
      <c r="J471" s="17">
        <f>CHOOSE(CONTROL!$C$42, 23.5094, 23.5094)* CHOOSE(CONTROL!$C$21, $C$9, 100%, $E$9)</f>
        <v>23.509399999999999</v>
      </c>
      <c r="K471" s="53">
        <f>CHOOSE(CONTROL!$C$42, 23.5941, 23.5941) * CHOOSE(CONTROL!$C$21, $C$9, 100%, $E$9)</f>
        <v>23.594100000000001</v>
      </c>
      <c r="L471" s="17">
        <f>CHOOSE(CONTROL!$C$42, 24.2359, 24.2359) * CHOOSE(CONTROL!$C$21, $C$9, 100%, $E$9)</f>
        <v>24.235900000000001</v>
      </c>
      <c r="M471" s="17">
        <f>CHOOSE(CONTROL!$C$42, 23.3049, 23.3049) * CHOOSE(CONTROL!$C$21, $C$9, 100%, $E$9)</f>
        <v>23.3049</v>
      </c>
      <c r="N471" s="17">
        <f>CHOOSE(CONTROL!$C$42, 23.3209, 23.3209) * CHOOSE(CONTROL!$C$21, $C$9, 100%, $E$9)</f>
        <v>23.320900000000002</v>
      </c>
      <c r="O471" s="17">
        <f>CHOOSE(CONTROL!$C$42, 23.4433, 23.4433) * CHOOSE(CONTROL!$C$21, $C$9, 100%, $E$9)</f>
        <v>23.443300000000001</v>
      </c>
      <c r="P471" s="17">
        <f>CHOOSE(CONTROL!$C$42, 23.3943, 23.3943) * CHOOSE(CONTROL!$C$21, $C$9, 100%, $E$9)</f>
        <v>23.394300000000001</v>
      </c>
      <c r="Q471" s="17">
        <f>CHOOSE(CONTROL!$C$42, 24.038, 24.038) * CHOOSE(CONTROL!$C$21, $C$9, 100%, $E$9)</f>
        <v>24.038</v>
      </c>
      <c r="R471" s="17">
        <f>CHOOSE(CONTROL!$C$42, 24.6851, 24.6851) * CHOOSE(CONTROL!$C$21, $C$9, 100%, $E$9)</f>
        <v>24.685099999999998</v>
      </c>
      <c r="S471" s="17">
        <f>CHOOSE(CONTROL!$C$42, 22.7821, 22.7821) * CHOOSE(CONTROL!$C$21, $C$9, 100%, $E$9)</f>
        <v>22.7821</v>
      </c>
      <c r="T471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471" s="57">
        <f>(1000*CHOOSE(CONTROL!$C$42, 695, 695)*CHOOSE(CONTROL!$C$42, 0.5599, 0.5599)*CHOOSE(CONTROL!$C$42, 31, 31))/1000000</f>
        <v>12.063045499999998</v>
      </c>
      <c r="V471" s="57">
        <f>(1000*CHOOSE(CONTROL!$C$42, 500, 500)*CHOOSE(CONTROL!$C$42, 0.275, 0.275)*CHOOSE(CONTROL!$C$42, 31, 31))/1000000</f>
        <v>4.2625000000000002</v>
      </c>
      <c r="W471" s="57">
        <f>(1000*CHOOSE(CONTROL!$C$42, 0.0916, 0.0916)*CHOOSE(CONTROL!$C$42, 121.5, 121.5)*CHOOSE(CONTROL!$C$42, 31, 31))/1000000</f>
        <v>0.34501139999999997</v>
      </c>
      <c r="X471" s="57">
        <f>(31*0.2374*100000/1000000)</f>
        <v>0.73594000000000004</v>
      </c>
      <c r="Y471" s="57"/>
      <c r="Z471" s="17"/>
      <c r="AA471" s="56"/>
      <c r="AB471" s="49">
        <f>(B471*122.58+C471*297.941+D471*89.177+E471*140.302+F471*40+G471*60+H471*0+I471*100+J471*300)/(122.58+297.941+89.177+140.302+0+40+60+100+300)</f>
        <v>23.545494681913045</v>
      </c>
      <c r="AC471" s="46">
        <f>(M471*'RAP TEMPLATE-GAS AVAILABILITY'!O470+N471*'RAP TEMPLATE-GAS AVAILABILITY'!P470+O471*'RAP TEMPLATE-GAS AVAILABILITY'!Q470+P471*'RAP TEMPLATE-GAS AVAILABILITY'!R470)/('RAP TEMPLATE-GAS AVAILABILITY'!O470+'RAP TEMPLATE-GAS AVAILABILITY'!P470+'RAP TEMPLATE-GAS AVAILABILITY'!Q470+'RAP TEMPLATE-GAS AVAILABILITY'!R470)</f>
        <v>23.381412230215826</v>
      </c>
    </row>
    <row r="472" spans="1:29" ht="15.75" x14ac:dyDescent="0.25">
      <c r="A472" s="14">
        <v>55273</v>
      </c>
      <c r="B472" s="17">
        <f>CHOOSE(CONTROL!$C$42, 23.4344, 23.4344) * CHOOSE(CONTROL!$C$21, $C$9, 100%, $E$9)</f>
        <v>23.4344</v>
      </c>
      <c r="C472" s="17">
        <f>CHOOSE(CONTROL!$C$42, 23.4389, 23.4389) * CHOOSE(CONTROL!$C$21, $C$9, 100%, $E$9)</f>
        <v>23.4389</v>
      </c>
      <c r="D472" s="17">
        <f>CHOOSE(CONTROL!$C$42, 23.6916, 23.6916) * CHOOSE(CONTROL!$C$21, $C$9, 100%, $E$9)</f>
        <v>23.691600000000001</v>
      </c>
      <c r="E472" s="17">
        <f>CHOOSE(CONTROL!$C$42, 23.7234, 23.7234) * CHOOSE(CONTROL!$C$21, $C$9, 100%, $E$9)</f>
        <v>23.723400000000002</v>
      </c>
      <c r="F472" s="17">
        <f>CHOOSE(CONTROL!$C$42, 23.4404, 23.4404)*CHOOSE(CONTROL!$C$21, $C$9, 100%, $E$9)</f>
        <v>23.4404</v>
      </c>
      <c r="G472" s="17">
        <f>CHOOSE(CONTROL!$C$42, 23.4562, 23.4562)*CHOOSE(CONTROL!$C$21, $C$9, 100%, $E$9)</f>
        <v>23.456199999999999</v>
      </c>
      <c r="H472" s="17">
        <f>CHOOSE(CONTROL!$C$42, 23.7129, 23.7129) * CHOOSE(CONTROL!$C$21, $C$9, 100%, $E$9)</f>
        <v>23.712900000000001</v>
      </c>
      <c r="I472" s="17">
        <f>CHOOSE(CONTROL!$C$42, 23.5287, 23.5287)* CHOOSE(CONTROL!$C$21, $C$9, 100%, $E$9)</f>
        <v>23.528700000000001</v>
      </c>
      <c r="J472" s="17">
        <f>CHOOSE(CONTROL!$C$42, 23.433, 23.433)* CHOOSE(CONTROL!$C$21, $C$9, 100%, $E$9)</f>
        <v>23.433</v>
      </c>
      <c r="K472" s="53">
        <f>CHOOSE(CONTROL!$C$42, 23.5227, 23.5227) * CHOOSE(CONTROL!$C$21, $C$9, 100%, $E$9)</f>
        <v>23.5227</v>
      </c>
      <c r="L472" s="17">
        <f>CHOOSE(CONTROL!$C$42, 24.2999, 24.2999) * CHOOSE(CONTROL!$C$21, $C$9, 100%, $E$9)</f>
        <v>24.299900000000001</v>
      </c>
      <c r="M472" s="17">
        <f>CHOOSE(CONTROL!$C$42, 23.2292, 23.2292) * CHOOSE(CONTROL!$C$21, $C$9, 100%, $E$9)</f>
        <v>23.229199999999999</v>
      </c>
      <c r="N472" s="17">
        <f>CHOOSE(CONTROL!$C$42, 23.2449, 23.2449) * CHOOSE(CONTROL!$C$21, $C$9, 100%, $E$9)</f>
        <v>23.244900000000001</v>
      </c>
      <c r="O472" s="17">
        <f>CHOOSE(CONTROL!$C$42, 23.5066, 23.5066) * CHOOSE(CONTROL!$C$21, $C$9, 100%, $E$9)</f>
        <v>23.506599999999999</v>
      </c>
      <c r="P472" s="17">
        <f>CHOOSE(CONTROL!$C$42, 23.3235, 23.3235) * CHOOSE(CONTROL!$C$21, $C$9, 100%, $E$9)</f>
        <v>23.323499999999999</v>
      </c>
      <c r="Q472" s="17">
        <f>CHOOSE(CONTROL!$C$42, 24.1013, 24.1013) * CHOOSE(CONTROL!$C$21, $C$9, 100%, $E$9)</f>
        <v>24.101299999999998</v>
      </c>
      <c r="R472" s="17">
        <f>CHOOSE(CONTROL!$C$42, 24.7486, 24.7486) * CHOOSE(CONTROL!$C$21, $C$9, 100%, $E$9)</f>
        <v>24.7486</v>
      </c>
      <c r="S472" s="17">
        <f>CHOOSE(CONTROL!$C$42, 22.7141, 22.7141) * CHOOSE(CONTROL!$C$21, $C$9, 100%, $E$9)</f>
        <v>22.714099999999998</v>
      </c>
      <c r="T472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472" s="57">
        <f>(1000*CHOOSE(CONTROL!$C$42, 695, 695)*CHOOSE(CONTROL!$C$42, 0.5599, 0.5599)*CHOOSE(CONTROL!$C$42, 30, 30))/1000000</f>
        <v>11.673914999999997</v>
      </c>
      <c r="V472" s="57">
        <f>(1000*CHOOSE(CONTROL!$C$42, 500, 500)*CHOOSE(CONTROL!$C$42, 0.275, 0.275)*CHOOSE(CONTROL!$C$42, 30, 30))/1000000</f>
        <v>4.125</v>
      </c>
      <c r="W472" s="57">
        <f>(1000*CHOOSE(CONTROL!$C$42, 0.0916, 0.0916)*CHOOSE(CONTROL!$C$42, 121.5, 121.5)*CHOOSE(CONTROL!$C$42, 30, 30))/1000000</f>
        <v>0.33388200000000001</v>
      </c>
      <c r="X472" s="57">
        <f>(30*0.1790888*145000/1000000)+(30*0.2374*100000/1000000)</f>
        <v>1.4912362799999999</v>
      </c>
      <c r="Y472" s="57"/>
      <c r="Z472" s="17"/>
      <c r="AA472" s="56"/>
      <c r="AB472" s="49">
        <f>(B472*141.293+C472*267.993+D472*115.016+E472*189.698+F472*40+G472*85+H472*0+I472*100+J472*300)/(141.293+267.993+115.016+189.698+0+40+85+100+300)</f>
        <v>23.51245795456013</v>
      </c>
      <c r="AC472" s="46">
        <f>(M472*'RAP TEMPLATE-GAS AVAILABILITY'!O471+N472*'RAP TEMPLATE-GAS AVAILABILITY'!P471+O472*'RAP TEMPLATE-GAS AVAILABILITY'!Q471+P472*'RAP TEMPLATE-GAS AVAILABILITY'!R471)/('RAP TEMPLATE-GAS AVAILABILITY'!O471+'RAP TEMPLATE-GAS AVAILABILITY'!P471+'RAP TEMPLATE-GAS AVAILABILITY'!Q471+'RAP TEMPLATE-GAS AVAILABILITY'!R471)</f>
        <v>23.324214388489207</v>
      </c>
    </row>
    <row r="473" spans="1:29" ht="15.75" x14ac:dyDescent="0.25">
      <c r="A473" s="14">
        <v>55304</v>
      </c>
      <c r="B473" s="17">
        <f>CHOOSE(CONTROL!$C$42, 23.6425, 23.6425) * CHOOSE(CONTROL!$C$21, $C$9, 100%, $E$9)</f>
        <v>23.642499999999998</v>
      </c>
      <c r="C473" s="17">
        <f>CHOOSE(CONTROL!$C$42, 23.6505, 23.6505) * CHOOSE(CONTROL!$C$21, $C$9, 100%, $E$9)</f>
        <v>23.650500000000001</v>
      </c>
      <c r="D473" s="17">
        <f>CHOOSE(CONTROL!$C$42, 23.9001, 23.9001) * CHOOSE(CONTROL!$C$21, $C$9, 100%, $E$9)</f>
        <v>23.900099999999998</v>
      </c>
      <c r="E473" s="17">
        <f>CHOOSE(CONTROL!$C$42, 23.9313, 23.9313) * CHOOSE(CONTROL!$C$21, $C$9, 100%, $E$9)</f>
        <v>23.9313</v>
      </c>
      <c r="F473" s="17">
        <f>CHOOSE(CONTROL!$C$42, 23.6474, 23.6474)*CHOOSE(CONTROL!$C$21, $C$9, 100%, $E$9)</f>
        <v>23.647400000000001</v>
      </c>
      <c r="G473" s="17">
        <f>CHOOSE(CONTROL!$C$42, 23.6635, 23.6635)*CHOOSE(CONTROL!$C$21, $C$9, 100%, $E$9)</f>
        <v>23.663499999999999</v>
      </c>
      <c r="H473" s="17">
        <f>CHOOSE(CONTROL!$C$42, 23.9196, 23.9196) * CHOOSE(CONTROL!$C$21, $C$9, 100%, $E$9)</f>
        <v>23.919599999999999</v>
      </c>
      <c r="I473" s="17">
        <f>CHOOSE(CONTROL!$C$42, 23.7361, 23.7361)* CHOOSE(CONTROL!$C$21, $C$9, 100%, $E$9)</f>
        <v>23.7361</v>
      </c>
      <c r="J473" s="17">
        <f>CHOOSE(CONTROL!$C$42, 23.64, 23.64)* CHOOSE(CONTROL!$C$21, $C$9, 100%, $E$9)</f>
        <v>23.64</v>
      </c>
      <c r="K473" s="53">
        <f>CHOOSE(CONTROL!$C$42, 23.7301, 23.7301) * CHOOSE(CONTROL!$C$21, $C$9, 100%, $E$9)</f>
        <v>23.7301</v>
      </c>
      <c r="L473" s="17">
        <f>CHOOSE(CONTROL!$C$42, 24.5066, 24.5066) * CHOOSE(CONTROL!$C$21, $C$9, 100%, $E$9)</f>
        <v>24.506599999999999</v>
      </c>
      <c r="M473" s="17">
        <f>CHOOSE(CONTROL!$C$42, 23.4344, 23.4344) * CHOOSE(CONTROL!$C$21, $C$9, 100%, $E$9)</f>
        <v>23.4344</v>
      </c>
      <c r="N473" s="17">
        <f>CHOOSE(CONTROL!$C$42, 23.4503, 23.4503) * CHOOSE(CONTROL!$C$21, $C$9, 100%, $E$9)</f>
        <v>23.450299999999999</v>
      </c>
      <c r="O473" s="17">
        <f>CHOOSE(CONTROL!$C$42, 23.7115, 23.7115) * CHOOSE(CONTROL!$C$21, $C$9, 100%, $E$9)</f>
        <v>23.711500000000001</v>
      </c>
      <c r="P473" s="17">
        <f>CHOOSE(CONTROL!$C$42, 23.529, 23.529) * CHOOSE(CONTROL!$C$21, $C$9, 100%, $E$9)</f>
        <v>23.529</v>
      </c>
      <c r="Q473" s="17">
        <f>CHOOSE(CONTROL!$C$42, 24.3062, 24.3062) * CHOOSE(CONTROL!$C$21, $C$9, 100%, $E$9)</f>
        <v>24.3062</v>
      </c>
      <c r="R473" s="17">
        <f>CHOOSE(CONTROL!$C$42, 24.954, 24.954) * CHOOSE(CONTROL!$C$21, $C$9, 100%, $E$9)</f>
        <v>24.954000000000001</v>
      </c>
      <c r="S473" s="17">
        <f>CHOOSE(CONTROL!$C$42, 22.9146, 22.9146) * CHOOSE(CONTROL!$C$21, $C$9, 100%, $E$9)</f>
        <v>22.9146</v>
      </c>
      <c r="T473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473" s="57">
        <f>(1000*CHOOSE(CONTROL!$C$42, 695, 695)*CHOOSE(CONTROL!$C$42, 0.5599, 0.5599)*CHOOSE(CONTROL!$C$42, 31, 31))/1000000</f>
        <v>12.063045499999998</v>
      </c>
      <c r="V473" s="57">
        <f>(1000*CHOOSE(CONTROL!$C$42, 500, 500)*CHOOSE(CONTROL!$C$42, 0.275, 0.275)*CHOOSE(CONTROL!$C$42, 31, 31))/1000000</f>
        <v>4.2625000000000002</v>
      </c>
      <c r="W473" s="57">
        <f>(1000*CHOOSE(CONTROL!$C$42, 0.0916, 0.0916)*CHOOSE(CONTROL!$C$42, 121.5, 121.5)*CHOOSE(CONTROL!$C$42, 31, 31))/1000000</f>
        <v>0.34501139999999997</v>
      </c>
      <c r="X473" s="57">
        <f>(31*0.1790888*145000/1000000)+(31*0.2374*100000/1000000)</f>
        <v>1.5409441560000001</v>
      </c>
      <c r="Y473" s="57"/>
      <c r="Z473" s="17"/>
      <c r="AA473" s="56"/>
      <c r="AB473" s="49">
        <f>(B473*194.205+C473*267.466+D473*133.845+E473*153.484+F473*40+G473*85+H473*0+I473*100+J473*300)/(194.205+267.466+133.845+153.484+0+40+85+100+300)</f>
        <v>23.714348806279435</v>
      </c>
      <c r="AC473" s="46">
        <f>(M473*'RAP TEMPLATE-GAS AVAILABILITY'!O472+N473*'RAP TEMPLATE-GAS AVAILABILITY'!P472+O473*'RAP TEMPLATE-GAS AVAILABILITY'!Q472+P473*'RAP TEMPLATE-GAS AVAILABILITY'!R472)/('RAP TEMPLATE-GAS AVAILABILITY'!O472+'RAP TEMPLATE-GAS AVAILABILITY'!P472+'RAP TEMPLATE-GAS AVAILABILITY'!Q472+'RAP TEMPLATE-GAS AVAILABILITY'!R472)</f>
        <v>23.529419424460432</v>
      </c>
    </row>
    <row r="474" spans="1:29" ht="15.75" x14ac:dyDescent="0.25">
      <c r="A474" s="14">
        <v>55334</v>
      </c>
      <c r="B474" s="17">
        <f>CHOOSE(CONTROL!$C$42, 24.3128, 24.3128) * CHOOSE(CONTROL!$C$21, $C$9, 100%, $E$9)</f>
        <v>24.312799999999999</v>
      </c>
      <c r="C474" s="17">
        <f>CHOOSE(CONTROL!$C$42, 24.3208, 24.3208) * CHOOSE(CONTROL!$C$21, $C$9, 100%, $E$9)</f>
        <v>24.320799999999998</v>
      </c>
      <c r="D474" s="17">
        <f>CHOOSE(CONTROL!$C$42, 24.5704, 24.5704) * CHOOSE(CONTROL!$C$21, $C$9, 100%, $E$9)</f>
        <v>24.570399999999999</v>
      </c>
      <c r="E474" s="17">
        <f>CHOOSE(CONTROL!$C$42, 24.6016, 24.6016) * CHOOSE(CONTROL!$C$21, $C$9, 100%, $E$9)</f>
        <v>24.601600000000001</v>
      </c>
      <c r="F474" s="17">
        <f>CHOOSE(CONTROL!$C$42, 24.318, 24.318)*CHOOSE(CONTROL!$C$21, $C$9, 100%, $E$9)</f>
        <v>24.318000000000001</v>
      </c>
      <c r="G474" s="17">
        <f>CHOOSE(CONTROL!$C$42, 24.3342, 24.3342)*CHOOSE(CONTROL!$C$21, $C$9, 100%, $E$9)</f>
        <v>24.334199999999999</v>
      </c>
      <c r="H474" s="17">
        <f>CHOOSE(CONTROL!$C$42, 24.5899, 24.5899) * CHOOSE(CONTROL!$C$21, $C$9, 100%, $E$9)</f>
        <v>24.5899</v>
      </c>
      <c r="I474" s="17">
        <f>CHOOSE(CONTROL!$C$42, 24.4085, 24.4085)* CHOOSE(CONTROL!$C$21, $C$9, 100%, $E$9)</f>
        <v>24.4085</v>
      </c>
      <c r="J474" s="17">
        <f>CHOOSE(CONTROL!$C$42, 24.3106, 24.3106)* CHOOSE(CONTROL!$C$21, $C$9, 100%, $E$9)</f>
        <v>24.310600000000001</v>
      </c>
      <c r="K474" s="53">
        <f>CHOOSE(CONTROL!$C$42, 24.4024, 24.4024) * CHOOSE(CONTROL!$C$21, $C$9, 100%, $E$9)</f>
        <v>24.4024</v>
      </c>
      <c r="L474" s="17">
        <f>CHOOSE(CONTROL!$C$42, 25.1769, 25.1769) * CHOOSE(CONTROL!$C$21, $C$9, 100%, $E$9)</f>
        <v>25.1769</v>
      </c>
      <c r="M474" s="17">
        <f>CHOOSE(CONTROL!$C$42, 24.099, 24.099) * CHOOSE(CONTROL!$C$21, $C$9, 100%, $E$9)</f>
        <v>24.099</v>
      </c>
      <c r="N474" s="17">
        <f>CHOOSE(CONTROL!$C$42, 24.115, 24.115) * CHOOSE(CONTROL!$C$21, $C$9, 100%, $E$9)</f>
        <v>24.114999999999998</v>
      </c>
      <c r="O474" s="17">
        <f>CHOOSE(CONTROL!$C$42, 24.3758, 24.3758) * CHOOSE(CONTROL!$C$21, $C$9, 100%, $E$9)</f>
        <v>24.375800000000002</v>
      </c>
      <c r="P474" s="17">
        <f>CHOOSE(CONTROL!$C$42, 24.1953, 24.1953) * CHOOSE(CONTROL!$C$21, $C$9, 100%, $E$9)</f>
        <v>24.1953</v>
      </c>
      <c r="Q474" s="17">
        <f>CHOOSE(CONTROL!$C$42, 24.9705, 24.9705) * CHOOSE(CONTROL!$C$21, $C$9, 100%, $E$9)</f>
        <v>24.970500000000001</v>
      </c>
      <c r="R474" s="17">
        <f>CHOOSE(CONTROL!$C$42, 25.6199, 25.6199) * CHOOSE(CONTROL!$C$21, $C$9, 100%, $E$9)</f>
        <v>25.619900000000001</v>
      </c>
      <c r="S474" s="17">
        <f>CHOOSE(CONTROL!$C$42, 23.5645, 23.5645) * CHOOSE(CONTROL!$C$21, $C$9, 100%, $E$9)</f>
        <v>23.564499999999999</v>
      </c>
      <c r="T474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474" s="57">
        <f>(1000*CHOOSE(CONTROL!$C$42, 695, 695)*CHOOSE(CONTROL!$C$42, 0.5599, 0.5599)*CHOOSE(CONTROL!$C$42, 30, 30))/1000000</f>
        <v>11.673914999999997</v>
      </c>
      <c r="V474" s="57">
        <f>(1000*CHOOSE(CONTROL!$C$42, 500, 500)*CHOOSE(CONTROL!$C$42, 0.275, 0.275)*CHOOSE(CONTROL!$C$42, 30, 30))/1000000</f>
        <v>4.125</v>
      </c>
      <c r="W474" s="57">
        <f>(1000*CHOOSE(CONTROL!$C$42, 0.0916, 0.0916)*CHOOSE(CONTROL!$C$42, 121.5, 121.5)*CHOOSE(CONTROL!$C$42, 30, 30))/1000000</f>
        <v>0.33388200000000001</v>
      </c>
      <c r="X474" s="57">
        <f>(30*0.1790888*145000/1000000)+(30*0.2374*100000/1000000)</f>
        <v>1.4912362799999999</v>
      </c>
      <c r="Y474" s="57"/>
      <c r="Z474" s="17"/>
      <c r="AA474" s="56"/>
      <c r="AB474" s="49">
        <f>(B474*194.205+C474*267.466+D474*133.845+E474*153.484+F474*40+G474*85+H474*0+I474*100+J474*300)/(194.205+267.466+133.845+153.484+0+40+85+100+300)</f>
        <v>24.384920391836737</v>
      </c>
      <c r="AC474" s="46">
        <f>(M474*'RAP TEMPLATE-GAS AVAILABILITY'!O473+N474*'RAP TEMPLATE-GAS AVAILABILITY'!P473+O474*'RAP TEMPLATE-GAS AVAILABILITY'!Q473+P474*'RAP TEMPLATE-GAS AVAILABILITY'!R473)/('RAP TEMPLATE-GAS AVAILABILITY'!O473+'RAP TEMPLATE-GAS AVAILABILITY'!P473+'RAP TEMPLATE-GAS AVAILABILITY'!Q473+'RAP TEMPLATE-GAS AVAILABILITY'!R473)</f>
        <v>24.194202877697837</v>
      </c>
    </row>
    <row r="475" spans="1:29" ht="15.75" x14ac:dyDescent="0.25">
      <c r="A475" s="14">
        <v>55365</v>
      </c>
      <c r="B475" s="17">
        <f>CHOOSE(CONTROL!$C$42, 23.8466, 23.8466) * CHOOSE(CONTROL!$C$21, $C$9, 100%, $E$9)</f>
        <v>23.846599999999999</v>
      </c>
      <c r="C475" s="17">
        <f>CHOOSE(CONTROL!$C$42, 23.8546, 23.8546) * CHOOSE(CONTROL!$C$21, $C$9, 100%, $E$9)</f>
        <v>23.854600000000001</v>
      </c>
      <c r="D475" s="17">
        <f>CHOOSE(CONTROL!$C$42, 24.1042, 24.1042) * CHOOSE(CONTROL!$C$21, $C$9, 100%, $E$9)</f>
        <v>24.104199999999999</v>
      </c>
      <c r="E475" s="17">
        <f>CHOOSE(CONTROL!$C$42, 24.1354, 24.1354) * CHOOSE(CONTROL!$C$21, $C$9, 100%, $E$9)</f>
        <v>24.135400000000001</v>
      </c>
      <c r="F475" s="17">
        <f>CHOOSE(CONTROL!$C$42, 23.8523, 23.8523)*CHOOSE(CONTROL!$C$21, $C$9, 100%, $E$9)</f>
        <v>23.8523</v>
      </c>
      <c r="G475" s="17">
        <f>CHOOSE(CONTROL!$C$42, 23.8687, 23.8687)*CHOOSE(CONTROL!$C$21, $C$9, 100%, $E$9)</f>
        <v>23.8687</v>
      </c>
      <c r="H475" s="17">
        <f>CHOOSE(CONTROL!$C$42, 24.1237, 24.1237) * CHOOSE(CONTROL!$C$21, $C$9, 100%, $E$9)</f>
        <v>24.123699999999999</v>
      </c>
      <c r="I475" s="17">
        <f>CHOOSE(CONTROL!$C$42, 23.9408, 23.9408)* CHOOSE(CONTROL!$C$21, $C$9, 100%, $E$9)</f>
        <v>23.940799999999999</v>
      </c>
      <c r="J475" s="17">
        <f>CHOOSE(CONTROL!$C$42, 23.8449, 23.8449)* CHOOSE(CONTROL!$C$21, $C$9, 100%, $E$9)</f>
        <v>23.844899999999999</v>
      </c>
      <c r="K475" s="53">
        <f>CHOOSE(CONTROL!$C$42, 23.9348, 23.9348) * CHOOSE(CONTROL!$C$21, $C$9, 100%, $E$9)</f>
        <v>23.934799999999999</v>
      </c>
      <c r="L475" s="17">
        <f>CHOOSE(CONTROL!$C$42, 24.7107, 24.7107) * CHOOSE(CONTROL!$C$21, $C$9, 100%, $E$9)</f>
        <v>24.710699999999999</v>
      </c>
      <c r="M475" s="17">
        <f>CHOOSE(CONTROL!$C$42, 23.6375, 23.6375) * CHOOSE(CONTROL!$C$21, $C$9, 100%, $E$9)</f>
        <v>23.637499999999999</v>
      </c>
      <c r="N475" s="17">
        <f>CHOOSE(CONTROL!$C$42, 23.6537, 23.6537) * CHOOSE(CONTROL!$C$21, $C$9, 100%, $E$9)</f>
        <v>23.653700000000001</v>
      </c>
      <c r="O475" s="17">
        <f>CHOOSE(CONTROL!$C$42, 23.9138, 23.9138) * CHOOSE(CONTROL!$C$21, $C$9, 100%, $E$9)</f>
        <v>23.913799999999998</v>
      </c>
      <c r="P475" s="17">
        <f>CHOOSE(CONTROL!$C$42, 23.7319, 23.7319) * CHOOSE(CONTROL!$C$21, $C$9, 100%, $E$9)</f>
        <v>23.7319</v>
      </c>
      <c r="Q475" s="17">
        <f>CHOOSE(CONTROL!$C$42, 24.5085, 24.5085) * CHOOSE(CONTROL!$C$21, $C$9, 100%, $E$9)</f>
        <v>24.508500000000002</v>
      </c>
      <c r="R475" s="17">
        <f>CHOOSE(CONTROL!$C$42, 25.1567, 25.1567) * CHOOSE(CONTROL!$C$21, $C$9, 100%, $E$9)</f>
        <v>25.156700000000001</v>
      </c>
      <c r="S475" s="17">
        <f>CHOOSE(CONTROL!$C$42, 23.1125, 23.1125) * CHOOSE(CONTROL!$C$21, $C$9, 100%, $E$9)</f>
        <v>23.112500000000001</v>
      </c>
      <c r="T475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475" s="57">
        <f>(1000*CHOOSE(CONTROL!$C$42, 695, 695)*CHOOSE(CONTROL!$C$42, 0.5599, 0.5599)*CHOOSE(CONTROL!$C$42, 31, 31))/1000000</f>
        <v>12.063045499999998</v>
      </c>
      <c r="V475" s="57">
        <f>(1000*CHOOSE(CONTROL!$C$42, 500, 500)*CHOOSE(CONTROL!$C$42, 0.275, 0.275)*CHOOSE(CONTROL!$C$42, 31, 31))/1000000</f>
        <v>4.2625000000000002</v>
      </c>
      <c r="W475" s="57">
        <f>(1000*CHOOSE(CONTROL!$C$42, 0.0916, 0.0916)*CHOOSE(CONTROL!$C$42, 121.5, 121.5)*CHOOSE(CONTROL!$C$42, 31, 31))/1000000</f>
        <v>0.34501139999999997</v>
      </c>
      <c r="X475" s="57">
        <f>(31*0.1790888*145000/1000000)+(31*0.2374*100000/1000000)</f>
        <v>1.5409441560000001</v>
      </c>
      <c r="Y475" s="57"/>
      <c r="Z475" s="17"/>
      <c r="AA475" s="56"/>
      <c r="AB475" s="49">
        <f>(B475*194.205+C475*267.466+D475*133.845+E475*153.484+F475*40+G475*85+H475*0+I475*100+J475*300)/(194.205+267.466+133.845+153.484+0+40+85+100+300)</f>
        <v>23.918782793720567</v>
      </c>
      <c r="AC475" s="46">
        <f>(M475*'RAP TEMPLATE-GAS AVAILABILITY'!O474+N475*'RAP TEMPLATE-GAS AVAILABILITY'!P474+O475*'RAP TEMPLATE-GAS AVAILABILITY'!Q474+P475*'RAP TEMPLATE-GAS AVAILABILITY'!R474)/('RAP TEMPLATE-GAS AVAILABILITY'!O474+'RAP TEMPLATE-GAS AVAILABILITY'!P474+'RAP TEMPLATE-GAS AVAILABILITY'!Q474+'RAP TEMPLATE-GAS AVAILABILITY'!R474)</f>
        <v>23.73233525179856</v>
      </c>
    </row>
    <row r="476" spans="1:29" ht="15.75" x14ac:dyDescent="0.25">
      <c r="A476" s="14">
        <v>55396</v>
      </c>
      <c r="B476" s="17">
        <f>CHOOSE(CONTROL!$C$42, 22.6693, 22.6693) * CHOOSE(CONTROL!$C$21, $C$9, 100%, $E$9)</f>
        <v>22.6693</v>
      </c>
      <c r="C476" s="17">
        <f>CHOOSE(CONTROL!$C$42, 22.6773, 22.6773) * CHOOSE(CONTROL!$C$21, $C$9, 100%, $E$9)</f>
        <v>22.677299999999999</v>
      </c>
      <c r="D476" s="17">
        <f>CHOOSE(CONTROL!$C$42, 22.9269, 22.9269) * CHOOSE(CONTROL!$C$21, $C$9, 100%, $E$9)</f>
        <v>22.9269</v>
      </c>
      <c r="E476" s="17">
        <f>CHOOSE(CONTROL!$C$42, 22.9581, 22.9581) * CHOOSE(CONTROL!$C$21, $C$9, 100%, $E$9)</f>
        <v>22.958100000000002</v>
      </c>
      <c r="F476" s="17">
        <f>CHOOSE(CONTROL!$C$42, 22.6753, 22.6753)*CHOOSE(CONTROL!$C$21, $C$9, 100%, $E$9)</f>
        <v>22.6753</v>
      </c>
      <c r="G476" s="17">
        <f>CHOOSE(CONTROL!$C$42, 22.6917, 22.6917)*CHOOSE(CONTROL!$C$21, $C$9, 100%, $E$9)</f>
        <v>22.691700000000001</v>
      </c>
      <c r="H476" s="17">
        <f>CHOOSE(CONTROL!$C$42, 22.9464, 22.9464) * CHOOSE(CONTROL!$C$21, $C$9, 100%, $E$9)</f>
        <v>22.946400000000001</v>
      </c>
      <c r="I476" s="17">
        <f>CHOOSE(CONTROL!$C$42, 22.7599, 22.7599)* CHOOSE(CONTROL!$C$21, $C$9, 100%, $E$9)</f>
        <v>22.759899999999998</v>
      </c>
      <c r="J476" s="17">
        <f>CHOOSE(CONTROL!$C$42, 22.6679, 22.6679)* CHOOSE(CONTROL!$C$21, $C$9, 100%, $E$9)</f>
        <v>22.667899999999999</v>
      </c>
      <c r="K476" s="53">
        <f>CHOOSE(CONTROL!$C$42, 22.7539, 22.7539) * CHOOSE(CONTROL!$C$21, $C$9, 100%, $E$9)</f>
        <v>22.753900000000002</v>
      </c>
      <c r="L476" s="17">
        <f>CHOOSE(CONTROL!$C$42, 23.5334, 23.5334) * CHOOSE(CONTROL!$C$21, $C$9, 100%, $E$9)</f>
        <v>23.5334</v>
      </c>
      <c r="M476" s="17">
        <f>CHOOSE(CONTROL!$C$42, 22.471, 22.471) * CHOOSE(CONTROL!$C$21, $C$9, 100%, $E$9)</f>
        <v>22.471</v>
      </c>
      <c r="N476" s="17">
        <f>CHOOSE(CONTROL!$C$42, 22.4873, 22.4873) * CHOOSE(CONTROL!$C$21, $C$9, 100%, $E$9)</f>
        <v>22.487300000000001</v>
      </c>
      <c r="O476" s="17">
        <f>CHOOSE(CONTROL!$C$42, 22.7471, 22.7471) * CHOOSE(CONTROL!$C$21, $C$9, 100%, $E$9)</f>
        <v>22.7471</v>
      </c>
      <c r="P476" s="17">
        <f>CHOOSE(CONTROL!$C$42, 22.5617, 22.5617) * CHOOSE(CONTROL!$C$21, $C$9, 100%, $E$9)</f>
        <v>22.561699999999998</v>
      </c>
      <c r="Q476" s="17">
        <f>CHOOSE(CONTROL!$C$42, 23.3418, 23.3418) * CHOOSE(CONTROL!$C$21, $C$9, 100%, $E$9)</f>
        <v>23.341799999999999</v>
      </c>
      <c r="R476" s="17">
        <f>CHOOSE(CONTROL!$C$42, 23.9871, 23.9871) * CHOOSE(CONTROL!$C$21, $C$9, 100%, $E$9)</f>
        <v>23.987100000000002</v>
      </c>
      <c r="S476" s="17">
        <f>CHOOSE(CONTROL!$C$42, 21.9709, 21.9709) * CHOOSE(CONTROL!$C$21, $C$9, 100%, $E$9)</f>
        <v>21.9709</v>
      </c>
      <c r="T476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476" s="57">
        <f>(1000*CHOOSE(CONTROL!$C$42, 695, 695)*CHOOSE(CONTROL!$C$42, 0.5599, 0.5599)*CHOOSE(CONTROL!$C$42, 31, 31))/1000000</f>
        <v>12.063045499999998</v>
      </c>
      <c r="V476" s="57">
        <f>(1000*CHOOSE(CONTROL!$C$42, 500, 500)*CHOOSE(CONTROL!$C$42, 0.275, 0.275)*CHOOSE(CONTROL!$C$42, 31, 31))/1000000</f>
        <v>4.2625000000000002</v>
      </c>
      <c r="W476" s="57">
        <f>(1000*CHOOSE(CONTROL!$C$42, 0.0916, 0.0916)*CHOOSE(CONTROL!$C$42, 121.5, 121.5)*CHOOSE(CONTROL!$C$42, 31, 31))/1000000</f>
        <v>0.34501139999999997</v>
      </c>
      <c r="X476" s="57">
        <f>(31*0.1790888*145000/1000000)+(31*0.2374*100000/1000000)</f>
        <v>1.5409441560000001</v>
      </c>
      <c r="Y476" s="57"/>
      <c r="Z476" s="17"/>
      <c r="AA476" s="56"/>
      <c r="AB476" s="49">
        <f>(B476*194.205+C476*267.466+D476*133.845+E476*153.484+F476*40+G476*85+H476*0+I476*100+J476*300)/(194.205+267.466+133.845+153.484+0+40+85+100+300)</f>
        <v>22.741300297645207</v>
      </c>
      <c r="AC476" s="46">
        <f>(M476*'RAP TEMPLATE-GAS AVAILABILITY'!O475+N476*'RAP TEMPLATE-GAS AVAILABILITY'!P475+O476*'RAP TEMPLATE-GAS AVAILABILITY'!Q475+P476*'RAP TEMPLATE-GAS AVAILABILITY'!R475)/('RAP TEMPLATE-GAS AVAILABILITY'!O475+'RAP TEMPLATE-GAS AVAILABILITY'!P475+'RAP TEMPLATE-GAS AVAILABILITY'!Q475+'RAP TEMPLATE-GAS AVAILABILITY'!R475)</f>
        <v>22.565269784172663</v>
      </c>
    </row>
    <row r="477" spans="1:29" ht="15.75" x14ac:dyDescent="0.25">
      <c r="A477" s="14">
        <v>55426</v>
      </c>
      <c r="B477" s="17">
        <f>CHOOSE(CONTROL!$C$42, 21.2307, 21.2307) * CHOOSE(CONTROL!$C$21, $C$9, 100%, $E$9)</f>
        <v>21.230699999999999</v>
      </c>
      <c r="C477" s="17">
        <f>CHOOSE(CONTROL!$C$42, 21.2387, 21.2387) * CHOOSE(CONTROL!$C$21, $C$9, 100%, $E$9)</f>
        <v>21.238700000000001</v>
      </c>
      <c r="D477" s="17">
        <f>CHOOSE(CONTROL!$C$42, 21.4883, 21.4883) * CHOOSE(CONTROL!$C$21, $C$9, 100%, $E$9)</f>
        <v>21.488299999999999</v>
      </c>
      <c r="E477" s="17">
        <f>CHOOSE(CONTROL!$C$42, 21.5195, 21.5195) * CHOOSE(CONTROL!$C$21, $C$9, 100%, $E$9)</f>
        <v>21.519500000000001</v>
      </c>
      <c r="F477" s="17">
        <f>CHOOSE(CONTROL!$C$42, 21.2367, 21.2367)*CHOOSE(CONTROL!$C$21, $C$9, 100%, $E$9)</f>
        <v>21.236699999999999</v>
      </c>
      <c r="G477" s="17">
        <f>CHOOSE(CONTROL!$C$42, 21.2531, 21.2531)*CHOOSE(CONTROL!$C$21, $C$9, 100%, $E$9)</f>
        <v>21.2531</v>
      </c>
      <c r="H477" s="17">
        <f>CHOOSE(CONTROL!$C$42, 21.5078, 21.5078) * CHOOSE(CONTROL!$C$21, $C$9, 100%, $E$9)</f>
        <v>21.5078</v>
      </c>
      <c r="I477" s="17">
        <f>CHOOSE(CONTROL!$C$42, 21.3168, 21.3168)* CHOOSE(CONTROL!$C$21, $C$9, 100%, $E$9)</f>
        <v>21.316800000000001</v>
      </c>
      <c r="J477" s="17">
        <f>CHOOSE(CONTROL!$C$42, 21.2293, 21.2293)* CHOOSE(CONTROL!$C$21, $C$9, 100%, $E$9)</f>
        <v>21.229299999999999</v>
      </c>
      <c r="K477" s="53">
        <f>CHOOSE(CONTROL!$C$42, 21.3108, 21.3108) * CHOOSE(CONTROL!$C$21, $C$9, 100%, $E$9)</f>
        <v>21.3108</v>
      </c>
      <c r="L477" s="17">
        <f>CHOOSE(CONTROL!$C$42, 22.0948, 22.0948) * CHOOSE(CONTROL!$C$21, $C$9, 100%, $E$9)</f>
        <v>22.094799999999999</v>
      </c>
      <c r="M477" s="17">
        <f>CHOOSE(CONTROL!$C$42, 21.0454, 21.0454) * CHOOSE(CONTROL!$C$21, $C$9, 100%, $E$9)</f>
        <v>21.045400000000001</v>
      </c>
      <c r="N477" s="17">
        <f>CHOOSE(CONTROL!$C$42, 21.0617, 21.0617) * CHOOSE(CONTROL!$C$21, $C$9, 100%, $E$9)</f>
        <v>21.061699999999998</v>
      </c>
      <c r="O477" s="17">
        <f>CHOOSE(CONTROL!$C$42, 21.3214, 21.3214) * CHOOSE(CONTROL!$C$21, $C$9, 100%, $E$9)</f>
        <v>21.321400000000001</v>
      </c>
      <c r="P477" s="17">
        <f>CHOOSE(CONTROL!$C$42, 21.1316, 21.1316) * CHOOSE(CONTROL!$C$21, $C$9, 100%, $E$9)</f>
        <v>21.131599999999999</v>
      </c>
      <c r="Q477" s="17">
        <f>CHOOSE(CONTROL!$C$42, 21.9161, 21.9161) * CHOOSE(CONTROL!$C$21, $C$9, 100%, $E$9)</f>
        <v>21.9161</v>
      </c>
      <c r="R477" s="17">
        <f>CHOOSE(CONTROL!$C$42, 22.5579, 22.5579) * CHOOSE(CONTROL!$C$21, $C$9, 100%, $E$9)</f>
        <v>22.5579</v>
      </c>
      <c r="S477" s="17">
        <f>CHOOSE(CONTROL!$C$42, 20.5758, 20.5758) * CHOOSE(CONTROL!$C$21, $C$9, 100%, $E$9)</f>
        <v>20.575800000000001</v>
      </c>
      <c r="T477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477" s="57">
        <f>(1000*CHOOSE(CONTROL!$C$42, 695, 695)*CHOOSE(CONTROL!$C$42, 0.5599, 0.5599)*CHOOSE(CONTROL!$C$42, 30, 30))/1000000</f>
        <v>11.673914999999997</v>
      </c>
      <c r="V477" s="57">
        <f>(1000*CHOOSE(CONTROL!$C$42, 500, 500)*CHOOSE(CONTROL!$C$42, 0.275, 0.275)*CHOOSE(CONTROL!$C$42, 30, 30))/1000000</f>
        <v>4.125</v>
      </c>
      <c r="W477" s="57">
        <f>(1000*CHOOSE(CONTROL!$C$42, 0.0916, 0.0916)*CHOOSE(CONTROL!$C$42, 121.5, 121.5)*CHOOSE(CONTROL!$C$42, 30, 30))/1000000</f>
        <v>0.33388200000000001</v>
      </c>
      <c r="X477" s="57">
        <f>(30*0.1790888*145000/1000000)+(30*0.2374*100000/1000000)</f>
        <v>1.4912362799999999</v>
      </c>
      <c r="Y477" s="57"/>
      <c r="Z477" s="17"/>
      <c r="AA477" s="56"/>
      <c r="AB477" s="49">
        <f>(B477*194.205+C477*267.466+D477*133.845+E477*153.484+F477*40+G477*85+H477*0+I477*100+J477*300)/(194.205+267.466+133.845+153.484+0+40+85+100+300)</f>
        <v>21.302347079434853</v>
      </c>
      <c r="AC477" s="46">
        <f>(M477*'RAP TEMPLATE-GAS AVAILABILITY'!O476+N477*'RAP TEMPLATE-GAS AVAILABILITY'!P476+O477*'RAP TEMPLATE-GAS AVAILABILITY'!Q476+P477*'RAP TEMPLATE-GAS AVAILABILITY'!R476)/('RAP TEMPLATE-GAS AVAILABILITY'!O476+'RAP TEMPLATE-GAS AVAILABILITY'!P476+'RAP TEMPLATE-GAS AVAILABILITY'!Q476+'RAP TEMPLATE-GAS AVAILABILITY'!R476)</f>
        <v>21.138994244604316</v>
      </c>
    </row>
    <row r="478" spans="1:29" ht="15.75" x14ac:dyDescent="0.25">
      <c r="A478" s="14">
        <v>55457</v>
      </c>
      <c r="B478" s="17">
        <f>CHOOSE(CONTROL!$C$42, 20.7982, 20.7982) * CHOOSE(CONTROL!$C$21, $C$9, 100%, $E$9)</f>
        <v>20.798200000000001</v>
      </c>
      <c r="C478" s="17">
        <f>CHOOSE(CONTROL!$C$42, 20.8035, 20.8035) * CHOOSE(CONTROL!$C$21, $C$9, 100%, $E$9)</f>
        <v>20.8035</v>
      </c>
      <c r="D478" s="17">
        <f>CHOOSE(CONTROL!$C$42, 21.058, 21.058) * CHOOSE(CONTROL!$C$21, $C$9, 100%, $E$9)</f>
        <v>21.058</v>
      </c>
      <c r="E478" s="17">
        <f>CHOOSE(CONTROL!$C$42, 21.0869, 21.0869) * CHOOSE(CONTROL!$C$21, $C$9, 100%, $E$9)</f>
        <v>21.0869</v>
      </c>
      <c r="F478" s="17">
        <f>CHOOSE(CONTROL!$C$42, 20.8064, 20.8064)*CHOOSE(CONTROL!$C$21, $C$9, 100%, $E$9)</f>
        <v>20.8064</v>
      </c>
      <c r="G478" s="17">
        <f>CHOOSE(CONTROL!$C$42, 20.8227, 20.8227)*CHOOSE(CONTROL!$C$21, $C$9, 100%, $E$9)</f>
        <v>20.822700000000001</v>
      </c>
      <c r="H478" s="17">
        <f>CHOOSE(CONTROL!$C$42, 21.077, 21.077) * CHOOSE(CONTROL!$C$21, $C$9, 100%, $E$9)</f>
        <v>21.077000000000002</v>
      </c>
      <c r="I478" s="17">
        <f>CHOOSE(CONTROL!$C$42, 20.8847, 20.8847)* CHOOSE(CONTROL!$C$21, $C$9, 100%, $E$9)</f>
        <v>20.884699999999999</v>
      </c>
      <c r="J478" s="17">
        <f>CHOOSE(CONTROL!$C$42, 20.799, 20.799)* CHOOSE(CONTROL!$C$21, $C$9, 100%, $E$9)</f>
        <v>20.798999999999999</v>
      </c>
      <c r="K478" s="53">
        <f>CHOOSE(CONTROL!$C$42, 20.8786, 20.8786) * CHOOSE(CONTROL!$C$21, $C$9, 100%, $E$9)</f>
        <v>20.878599999999999</v>
      </c>
      <c r="L478" s="17">
        <f>CHOOSE(CONTROL!$C$42, 21.664, 21.664) * CHOOSE(CONTROL!$C$21, $C$9, 100%, $E$9)</f>
        <v>21.664000000000001</v>
      </c>
      <c r="M478" s="17">
        <f>CHOOSE(CONTROL!$C$42, 20.6189, 20.6189) * CHOOSE(CONTROL!$C$21, $C$9, 100%, $E$9)</f>
        <v>20.6189</v>
      </c>
      <c r="N478" s="17">
        <f>CHOOSE(CONTROL!$C$42, 20.6351, 20.6351) * CHOOSE(CONTROL!$C$21, $C$9, 100%, $E$9)</f>
        <v>20.635100000000001</v>
      </c>
      <c r="O478" s="17">
        <f>CHOOSE(CONTROL!$C$42, 20.8944, 20.8944) * CHOOSE(CONTROL!$C$21, $C$9, 100%, $E$9)</f>
        <v>20.894400000000001</v>
      </c>
      <c r="P478" s="17">
        <f>CHOOSE(CONTROL!$C$42, 20.7033, 20.7033) * CHOOSE(CONTROL!$C$21, $C$9, 100%, $E$9)</f>
        <v>20.703299999999999</v>
      </c>
      <c r="Q478" s="17">
        <f>CHOOSE(CONTROL!$C$42, 21.4891, 21.4891) * CHOOSE(CONTROL!$C$21, $C$9, 100%, $E$9)</f>
        <v>21.489100000000001</v>
      </c>
      <c r="R478" s="17">
        <f>CHOOSE(CONTROL!$C$42, 22.1299, 22.1299) * CHOOSE(CONTROL!$C$21, $C$9, 100%, $E$9)</f>
        <v>22.129899999999999</v>
      </c>
      <c r="S478" s="17">
        <f>CHOOSE(CONTROL!$C$42, 20.1581, 20.1581) * CHOOSE(CONTROL!$C$21, $C$9, 100%, $E$9)</f>
        <v>20.158100000000001</v>
      </c>
      <c r="T478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478" s="57">
        <f>(1000*CHOOSE(CONTROL!$C$42, 695, 695)*CHOOSE(CONTROL!$C$42, 0.5599, 0.5599)*CHOOSE(CONTROL!$C$42, 31, 31))/1000000</f>
        <v>12.063045499999998</v>
      </c>
      <c r="V478" s="57">
        <f>(1000*CHOOSE(CONTROL!$C$42, 500, 500)*CHOOSE(CONTROL!$C$42, 0.275, 0.275)*CHOOSE(CONTROL!$C$42, 31, 31))/1000000</f>
        <v>4.2625000000000002</v>
      </c>
      <c r="W478" s="57">
        <f>(1000*CHOOSE(CONTROL!$C$42, 0.0916, 0.0916)*CHOOSE(CONTROL!$C$42, 121.5, 121.5)*CHOOSE(CONTROL!$C$42, 31, 31))/1000000</f>
        <v>0.34501139999999997</v>
      </c>
      <c r="X478" s="57">
        <f>(31*0.1790888*145000/1000000)+(31*0.2374*100000/1000000)</f>
        <v>1.5409441560000001</v>
      </c>
      <c r="Y478" s="57"/>
      <c r="Z478" s="17"/>
      <c r="AA478" s="56"/>
      <c r="AB478" s="49">
        <f>(B478*131.881+C478*277.167+D478*79.08+E478*225.872+F478*40+G478*85+H478*0+I478*100+J478*300)/(131.881+277.167+79.08+225.872+0+40+85+100+300)</f>
        <v>20.877718737288138</v>
      </c>
      <c r="AC478" s="46">
        <f>(M478*'RAP TEMPLATE-GAS AVAILABILITY'!O477+N478*'RAP TEMPLATE-GAS AVAILABILITY'!P477+O478*'RAP TEMPLATE-GAS AVAILABILITY'!Q477+P478*'RAP TEMPLATE-GAS AVAILABILITY'!R477)/('RAP TEMPLATE-GAS AVAILABILITY'!O477+'RAP TEMPLATE-GAS AVAILABILITY'!P477+'RAP TEMPLATE-GAS AVAILABILITY'!Q477+'RAP TEMPLATE-GAS AVAILABILITY'!R477)</f>
        <v>20.712071942446045</v>
      </c>
    </row>
    <row r="479" spans="1:29" ht="15.75" x14ac:dyDescent="0.25">
      <c r="A479" s="14">
        <v>55487</v>
      </c>
      <c r="B479" s="17">
        <f>CHOOSE(CONTROL!$C$42, 21.3454, 21.3454) * CHOOSE(CONTROL!$C$21, $C$9, 100%, $E$9)</f>
        <v>21.345400000000001</v>
      </c>
      <c r="C479" s="17">
        <f>CHOOSE(CONTROL!$C$42, 21.3505, 21.3505) * CHOOSE(CONTROL!$C$21, $C$9, 100%, $E$9)</f>
        <v>21.3505</v>
      </c>
      <c r="D479" s="17">
        <f>CHOOSE(CONTROL!$C$42, 21.4731, 21.4731) * CHOOSE(CONTROL!$C$21, $C$9, 100%, $E$9)</f>
        <v>21.473099999999999</v>
      </c>
      <c r="E479" s="17">
        <f>CHOOSE(CONTROL!$C$42, 21.5069, 21.5069) * CHOOSE(CONTROL!$C$21, $C$9, 100%, $E$9)</f>
        <v>21.506900000000002</v>
      </c>
      <c r="F479" s="17">
        <f>CHOOSE(CONTROL!$C$42, 21.3604, 21.3604)*CHOOSE(CONTROL!$C$21, $C$9, 100%, $E$9)</f>
        <v>21.360399999999998</v>
      </c>
      <c r="G479" s="17">
        <f>CHOOSE(CONTROL!$C$42, 21.3771, 21.3771)*CHOOSE(CONTROL!$C$21, $C$9, 100%, $E$9)</f>
        <v>21.377099999999999</v>
      </c>
      <c r="H479" s="17">
        <f>CHOOSE(CONTROL!$C$42, 21.4957, 21.4957) * CHOOSE(CONTROL!$C$21, $C$9, 100%, $E$9)</f>
        <v>21.495699999999999</v>
      </c>
      <c r="I479" s="17">
        <f>CHOOSE(CONTROL!$C$42, 21.4366, 21.4366)* CHOOSE(CONTROL!$C$21, $C$9, 100%, $E$9)</f>
        <v>21.436599999999999</v>
      </c>
      <c r="J479" s="17">
        <f>CHOOSE(CONTROL!$C$42, 21.353, 21.353)* CHOOSE(CONTROL!$C$21, $C$9, 100%, $E$9)</f>
        <v>21.353000000000002</v>
      </c>
      <c r="K479" s="53">
        <f>CHOOSE(CONTROL!$C$42, 21.4305, 21.4305) * CHOOSE(CONTROL!$C$21, $C$9, 100%, $E$9)</f>
        <v>21.430499999999999</v>
      </c>
      <c r="L479" s="17">
        <f>CHOOSE(CONTROL!$C$42, 22.0827, 22.0827) * CHOOSE(CONTROL!$C$21, $C$9, 100%, $E$9)</f>
        <v>22.082699999999999</v>
      </c>
      <c r="M479" s="17">
        <f>CHOOSE(CONTROL!$C$42, 21.168, 21.168) * CHOOSE(CONTROL!$C$21, $C$9, 100%, $E$9)</f>
        <v>21.167999999999999</v>
      </c>
      <c r="N479" s="17">
        <f>CHOOSE(CONTROL!$C$42, 21.1845, 21.1845) * CHOOSE(CONTROL!$C$21, $C$9, 100%, $E$9)</f>
        <v>21.1845</v>
      </c>
      <c r="O479" s="17">
        <f>CHOOSE(CONTROL!$C$42, 21.3094, 21.3094) * CHOOSE(CONTROL!$C$21, $C$9, 100%, $E$9)</f>
        <v>21.3094</v>
      </c>
      <c r="P479" s="17">
        <f>CHOOSE(CONTROL!$C$42, 21.2503, 21.2503) * CHOOSE(CONTROL!$C$21, $C$9, 100%, $E$9)</f>
        <v>21.250299999999999</v>
      </c>
      <c r="Q479" s="17">
        <f>CHOOSE(CONTROL!$C$42, 21.9041, 21.9041) * CHOOSE(CONTROL!$C$21, $C$9, 100%, $E$9)</f>
        <v>21.9041</v>
      </c>
      <c r="R479" s="17">
        <f>CHOOSE(CONTROL!$C$42, 22.5459, 22.5459) * CHOOSE(CONTROL!$C$21, $C$9, 100%, $E$9)</f>
        <v>22.5459</v>
      </c>
      <c r="S479" s="17">
        <f>CHOOSE(CONTROL!$C$42, 20.6891, 20.6891) * CHOOSE(CONTROL!$C$21, $C$9, 100%, $E$9)</f>
        <v>20.6891</v>
      </c>
      <c r="T479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479" s="57">
        <f>(1000*CHOOSE(CONTROL!$C$42, 695, 695)*CHOOSE(CONTROL!$C$42, 0.5599, 0.5599)*CHOOSE(CONTROL!$C$42, 30, 30))/1000000</f>
        <v>11.673914999999997</v>
      </c>
      <c r="V479" s="57">
        <f>(1000*CHOOSE(CONTROL!$C$42, 500, 500)*CHOOSE(CONTROL!$C$42, 0.275, 0.275)*CHOOSE(CONTROL!$C$42, 30, 30))/1000000</f>
        <v>4.125</v>
      </c>
      <c r="W479" s="57">
        <f>(1000*CHOOSE(CONTROL!$C$42, 0.0916, 0.0916)*CHOOSE(CONTROL!$C$42, 121.5, 121.5)*CHOOSE(CONTROL!$C$42, 30, 30))/1000000</f>
        <v>0.33388200000000001</v>
      </c>
      <c r="X479" s="57">
        <f>(30*0.2374*100000/1000000)</f>
        <v>0.71220000000000006</v>
      </c>
      <c r="Y479" s="57"/>
      <c r="Z479" s="17"/>
      <c r="AA479" s="56"/>
      <c r="AB479" s="49">
        <f>(B479*122.58+C479*297.941+D479*89.177+E479*140.302+F479*40+G479*60+H479*0+I479*100+J479*300)/(122.58+297.941+89.177+140.302+0+40+60+100+300)</f>
        <v>21.388415804347826</v>
      </c>
      <c r="AC479" s="46">
        <f>(M479*'RAP TEMPLATE-GAS AVAILABILITY'!O478+N479*'RAP TEMPLATE-GAS AVAILABILITY'!P478+O479*'RAP TEMPLATE-GAS AVAILABILITY'!Q478+P479*'RAP TEMPLATE-GAS AVAILABILITY'!R478)/('RAP TEMPLATE-GAS AVAILABILITY'!O478+'RAP TEMPLATE-GAS AVAILABILITY'!P478+'RAP TEMPLATE-GAS AVAILABILITY'!Q478+'RAP TEMPLATE-GAS AVAILABILITY'!R478)</f>
        <v>21.244879136690646</v>
      </c>
    </row>
    <row r="480" spans="1:29" ht="15.75" x14ac:dyDescent="0.25">
      <c r="A480" s="14">
        <v>55518</v>
      </c>
      <c r="B480" s="17">
        <f>CHOOSE(CONTROL!$C$42, 22.8, 22.8) * CHOOSE(CONTROL!$C$21, $C$9, 100%, $E$9)</f>
        <v>22.8</v>
      </c>
      <c r="C480" s="17">
        <f>CHOOSE(CONTROL!$C$42, 22.8051, 22.8051) * CHOOSE(CONTROL!$C$21, $C$9, 100%, $E$9)</f>
        <v>22.805099999999999</v>
      </c>
      <c r="D480" s="17">
        <f>CHOOSE(CONTROL!$C$42, 22.9277, 22.9277) * CHOOSE(CONTROL!$C$21, $C$9, 100%, $E$9)</f>
        <v>22.927700000000002</v>
      </c>
      <c r="E480" s="17">
        <f>CHOOSE(CONTROL!$C$42, 22.9614, 22.9614) * CHOOSE(CONTROL!$C$21, $C$9, 100%, $E$9)</f>
        <v>22.961400000000001</v>
      </c>
      <c r="F480" s="17">
        <f>CHOOSE(CONTROL!$C$42, 22.8174, 22.8174)*CHOOSE(CONTROL!$C$21, $C$9, 100%, $E$9)</f>
        <v>22.817399999999999</v>
      </c>
      <c r="G480" s="17">
        <f>CHOOSE(CONTROL!$C$42, 22.8347, 22.8347)*CHOOSE(CONTROL!$C$21, $C$9, 100%, $E$9)</f>
        <v>22.834700000000002</v>
      </c>
      <c r="H480" s="17">
        <f>CHOOSE(CONTROL!$C$42, 22.9503, 22.9503) * CHOOSE(CONTROL!$C$21, $C$9, 100%, $E$9)</f>
        <v>22.950299999999999</v>
      </c>
      <c r="I480" s="17">
        <f>CHOOSE(CONTROL!$C$42, 22.8957, 22.8957)* CHOOSE(CONTROL!$C$21, $C$9, 100%, $E$9)</f>
        <v>22.895700000000001</v>
      </c>
      <c r="J480" s="17">
        <f>CHOOSE(CONTROL!$C$42, 22.81, 22.81)* CHOOSE(CONTROL!$C$21, $C$9, 100%, $E$9)</f>
        <v>22.81</v>
      </c>
      <c r="K480" s="53">
        <f>CHOOSE(CONTROL!$C$42, 22.8897, 22.8897) * CHOOSE(CONTROL!$C$21, $C$9, 100%, $E$9)</f>
        <v>22.889700000000001</v>
      </c>
      <c r="L480" s="17">
        <f>CHOOSE(CONTROL!$C$42, 23.5373, 23.5373) * CHOOSE(CONTROL!$C$21, $C$9, 100%, $E$9)</f>
        <v>23.537299999999998</v>
      </c>
      <c r="M480" s="17">
        <f>CHOOSE(CONTROL!$C$42, 22.6119, 22.6119) * CHOOSE(CONTROL!$C$21, $C$9, 100%, $E$9)</f>
        <v>22.611899999999999</v>
      </c>
      <c r="N480" s="17">
        <f>CHOOSE(CONTROL!$C$42, 22.629, 22.629) * CHOOSE(CONTROL!$C$21, $C$9, 100%, $E$9)</f>
        <v>22.629000000000001</v>
      </c>
      <c r="O480" s="17">
        <f>CHOOSE(CONTROL!$C$42, 22.7509, 22.7509) * CHOOSE(CONTROL!$C$21, $C$9, 100%, $E$9)</f>
        <v>22.750900000000001</v>
      </c>
      <c r="P480" s="17">
        <f>CHOOSE(CONTROL!$C$42, 22.6962, 22.6962) * CHOOSE(CONTROL!$C$21, $C$9, 100%, $E$9)</f>
        <v>22.696200000000001</v>
      </c>
      <c r="Q480" s="17">
        <f>CHOOSE(CONTROL!$C$42, 23.3456, 23.3456) * CHOOSE(CONTROL!$C$21, $C$9, 100%, $E$9)</f>
        <v>23.345600000000001</v>
      </c>
      <c r="R480" s="17">
        <f>CHOOSE(CONTROL!$C$42, 23.991, 23.991) * CHOOSE(CONTROL!$C$21, $C$9, 100%, $E$9)</f>
        <v>23.991</v>
      </c>
      <c r="S480" s="17">
        <f>CHOOSE(CONTROL!$C$42, 22.0996, 22.0996) * CHOOSE(CONTROL!$C$21, $C$9, 100%, $E$9)</f>
        <v>22.099599999999999</v>
      </c>
      <c r="T480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480" s="57">
        <f>(1000*CHOOSE(CONTROL!$C$42, 695, 695)*CHOOSE(CONTROL!$C$42, 0.5599, 0.5599)*CHOOSE(CONTROL!$C$42, 31, 31))/1000000</f>
        <v>12.063045499999998</v>
      </c>
      <c r="V480" s="57">
        <f>(1000*CHOOSE(CONTROL!$C$42, 500, 500)*CHOOSE(CONTROL!$C$42, 0.275, 0.275)*CHOOSE(CONTROL!$C$42, 31, 31))/1000000</f>
        <v>4.2625000000000002</v>
      </c>
      <c r="W480" s="57">
        <f>(1000*CHOOSE(CONTROL!$C$42, 0.0916, 0.0916)*CHOOSE(CONTROL!$C$42, 121.5, 121.5)*CHOOSE(CONTROL!$C$42, 31, 31))/1000000</f>
        <v>0.34501139999999997</v>
      </c>
      <c r="X480" s="57">
        <f>(31*0.2374*100000/1000000)</f>
        <v>0.73594000000000004</v>
      </c>
      <c r="Y480" s="57"/>
      <c r="Z480" s="17"/>
      <c r="AA480" s="56"/>
      <c r="AB480" s="49">
        <f>(B480*122.58+C480*297.941+D480*89.177+E480*140.302+F480*40+G480*60+H480*0+I480*100+J480*300)/(122.58+297.941+89.177+140.302+0+40+60+100+300)</f>
        <v>22.844260995478258</v>
      </c>
      <c r="AC480" s="46">
        <f>(M480*'RAP TEMPLATE-GAS AVAILABILITY'!O479+N480*'RAP TEMPLATE-GAS AVAILABILITY'!P479+O480*'RAP TEMPLATE-GAS AVAILABILITY'!Q479+P480*'RAP TEMPLATE-GAS AVAILABILITY'!R479)/('RAP TEMPLATE-GAS AVAILABILITY'!O479+'RAP TEMPLATE-GAS AVAILABILITY'!P479+'RAP TEMPLATE-GAS AVAILABILITY'!Q479+'RAP TEMPLATE-GAS AVAILABILITY'!R479)</f>
        <v>22.688013669064748</v>
      </c>
    </row>
    <row r="481" spans="1:29" ht="15.75" x14ac:dyDescent="0.25">
      <c r="A481" s="14">
        <v>55549</v>
      </c>
      <c r="B481" s="17">
        <f>CHOOSE(CONTROL!$C$42, 24.6893, 24.6893) * CHOOSE(CONTROL!$C$21, $C$9, 100%, $E$9)</f>
        <v>24.689299999999999</v>
      </c>
      <c r="C481" s="17">
        <f>CHOOSE(CONTROL!$C$42, 24.6943, 24.6943) * CHOOSE(CONTROL!$C$21, $C$9, 100%, $E$9)</f>
        <v>24.694299999999998</v>
      </c>
      <c r="D481" s="17">
        <f>CHOOSE(CONTROL!$C$42, 24.8118, 24.8118) * CHOOSE(CONTROL!$C$21, $C$9, 100%, $E$9)</f>
        <v>24.811800000000002</v>
      </c>
      <c r="E481" s="17">
        <f>CHOOSE(CONTROL!$C$42, 24.8456, 24.8456) * CHOOSE(CONTROL!$C$21, $C$9, 100%, $E$9)</f>
        <v>24.845600000000001</v>
      </c>
      <c r="F481" s="17">
        <f>CHOOSE(CONTROL!$C$42, 24.7029, 24.7029)*CHOOSE(CONTROL!$C$21, $C$9, 100%, $E$9)</f>
        <v>24.7029</v>
      </c>
      <c r="G481" s="17">
        <f>CHOOSE(CONTROL!$C$42, 24.7192, 24.7192)*CHOOSE(CONTROL!$C$21, $C$9, 100%, $E$9)</f>
        <v>24.719200000000001</v>
      </c>
      <c r="H481" s="17">
        <f>CHOOSE(CONTROL!$C$42, 24.8344, 24.8344) * CHOOSE(CONTROL!$C$21, $C$9, 100%, $E$9)</f>
        <v>24.834399999999999</v>
      </c>
      <c r="I481" s="17">
        <f>CHOOSE(CONTROL!$C$42, 24.7893, 24.7893)* CHOOSE(CONTROL!$C$21, $C$9, 100%, $E$9)</f>
        <v>24.789300000000001</v>
      </c>
      <c r="J481" s="17">
        <f>CHOOSE(CONTROL!$C$42, 24.6955, 24.6955)* CHOOSE(CONTROL!$C$21, $C$9, 100%, $E$9)</f>
        <v>24.695499999999999</v>
      </c>
      <c r="K481" s="53">
        <f>CHOOSE(CONTROL!$C$42, 24.7832, 24.7832) * CHOOSE(CONTROL!$C$21, $C$9, 100%, $E$9)</f>
        <v>24.783200000000001</v>
      </c>
      <c r="L481" s="17">
        <f>CHOOSE(CONTROL!$C$42, 25.4214, 25.4214) * CHOOSE(CONTROL!$C$21, $C$9, 100%, $E$9)</f>
        <v>25.421399999999998</v>
      </c>
      <c r="M481" s="17">
        <f>CHOOSE(CONTROL!$C$42, 24.4804, 24.4804) * CHOOSE(CONTROL!$C$21, $C$9, 100%, $E$9)</f>
        <v>24.480399999999999</v>
      </c>
      <c r="N481" s="17">
        <f>CHOOSE(CONTROL!$C$42, 24.4965, 24.4965) * CHOOSE(CONTROL!$C$21, $C$9, 100%, $E$9)</f>
        <v>24.496500000000001</v>
      </c>
      <c r="O481" s="17">
        <f>CHOOSE(CONTROL!$C$42, 24.6181, 24.6181) * CHOOSE(CONTROL!$C$21, $C$9, 100%, $E$9)</f>
        <v>24.618099999999998</v>
      </c>
      <c r="P481" s="17">
        <f>CHOOSE(CONTROL!$C$42, 24.5727, 24.5727) * CHOOSE(CONTROL!$C$21, $C$9, 100%, $E$9)</f>
        <v>24.572700000000001</v>
      </c>
      <c r="Q481" s="17">
        <f>CHOOSE(CONTROL!$C$42, 25.2128, 25.2128) * CHOOSE(CONTROL!$C$21, $C$9, 100%, $E$9)</f>
        <v>25.212800000000001</v>
      </c>
      <c r="R481" s="17">
        <f>CHOOSE(CONTROL!$C$42, 25.8628, 25.8628) * CHOOSE(CONTROL!$C$21, $C$9, 100%, $E$9)</f>
        <v>25.8628</v>
      </c>
      <c r="S481" s="17">
        <f>CHOOSE(CONTROL!$C$42, 23.9317, 23.9317) * CHOOSE(CONTROL!$C$21, $C$9, 100%, $E$9)</f>
        <v>23.931699999999999</v>
      </c>
      <c r="T481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481" s="57">
        <f>(1000*CHOOSE(CONTROL!$C$42, 695, 695)*CHOOSE(CONTROL!$C$42, 0.5599, 0.5599)*CHOOSE(CONTROL!$C$42, 31, 31))/1000000</f>
        <v>12.063045499999998</v>
      </c>
      <c r="V481" s="57">
        <f>(1000*CHOOSE(CONTROL!$C$42, 500, 500)*CHOOSE(CONTROL!$C$42, 0.275, 0.275)*CHOOSE(CONTROL!$C$42, 31, 31))/1000000</f>
        <v>4.2625000000000002</v>
      </c>
      <c r="W481" s="57">
        <f>(1000*CHOOSE(CONTROL!$C$42, 0.0916, 0.0916)*CHOOSE(CONTROL!$C$42, 121.5, 121.5)*CHOOSE(CONTROL!$C$42, 31, 31))/1000000</f>
        <v>0.34501139999999997</v>
      </c>
      <c r="X481" s="57">
        <f>(31*0.2374*100000/1000000)</f>
        <v>0.73594000000000004</v>
      </c>
      <c r="Y481" s="57"/>
      <c r="Z481" s="17"/>
      <c r="AA481" s="56"/>
      <c r="AB481" s="49">
        <f>(B481*122.58+C481*297.941+D481*89.177+E481*140.302+F481*40+G481*60+H481*0+I481*100+J481*300)/(122.58+297.941+89.177+140.302+0+40+60+100+300)</f>
        <v>24.731509643565218</v>
      </c>
      <c r="AC481" s="46">
        <f>(M481*'RAP TEMPLATE-GAS AVAILABILITY'!O480+N481*'RAP TEMPLATE-GAS AVAILABILITY'!P480+O481*'RAP TEMPLATE-GAS AVAILABILITY'!Q480+P481*'RAP TEMPLATE-GAS AVAILABILITY'!R480)/('RAP TEMPLATE-GAS AVAILABILITY'!O480+'RAP TEMPLATE-GAS AVAILABILITY'!P480+'RAP TEMPLATE-GAS AVAILABILITY'!Q480+'RAP TEMPLATE-GAS AVAILABILITY'!R480)</f>
        <v>24.557017985611509</v>
      </c>
    </row>
    <row r="482" spans="1:29" ht="15.75" x14ac:dyDescent="0.25">
      <c r="A482" s="14">
        <v>55577</v>
      </c>
      <c r="B482" s="17">
        <f>CHOOSE(CONTROL!$C$42, 25.1286, 25.1286) * CHOOSE(CONTROL!$C$21, $C$9, 100%, $E$9)</f>
        <v>25.128599999999999</v>
      </c>
      <c r="C482" s="17">
        <f>CHOOSE(CONTROL!$C$42, 25.1337, 25.1337) * CHOOSE(CONTROL!$C$21, $C$9, 100%, $E$9)</f>
        <v>25.133700000000001</v>
      </c>
      <c r="D482" s="17">
        <f>CHOOSE(CONTROL!$C$42, 25.2511, 25.2511) * CHOOSE(CONTROL!$C$21, $C$9, 100%, $E$9)</f>
        <v>25.251100000000001</v>
      </c>
      <c r="E482" s="17">
        <f>CHOOSE(CONTROL!$C$42, 25.2849, 25.2849) * CHOOSE(CONTROL!$C$21, $C$9, 100%, $E$9)</f>
        <v>25.2849</v>
      </c>
      <c r="F482" s="17">
        <f>CHOOSE(CONTROL!$C$42, 25.1422, 25.1422)*CHOOSE(CONTROL!$C$21, $C$9, 100%, $E$9)</f>
        <v>25.142199999999999</v>
      </c>
      <c r="G482" s="17">
        <f>CHOOSE(CONTROL!$C$42, 25.1585, 25.1585)*CHOOSE(CONTROL!$C$21, $C$9, 100%, $E$9)</f>
        <v>25.1585</v>
      </c>
      <c r="H482" s="17">
        <f>CHOOSE(CONTROL!$C$42, 25.2737, 25.2737) * CHOOSE(CONTROL!$C$21, $C$9, 100%, $E$9)</f>
        <v>25.273700000000002</v>
      </c>
      <c r="I482" s="17">
        <f>CHOOSE(CONTROL!$C$42, 25.2299, 25.2299)* CHOOSE(CONTROL!$C$21, $C$9, 100%, $E$9)</f>
        <v>25.229900000000001</v>
      </c>
      <c r="J482" s="17">
        <f>CHOOSE(CONTROL!$C$42, 25.1348, 25.1348)* CHOOSE(CONTROL!$C$21, $C$9, 100%, $E$9)</f>
        <v>25.134799999999998</v>
      </c>
      <c r="K482" s="53">
        <f>CHOOSE(CONTROL!$C$42, 25.2239, 25.2239) * CHOOSE(CONTROL!$C$21, $C$9, 100%, $E$9)</f>
        <v>25.2239</v>
      </c>
      <c r="L482" s="17">
        <f>CHOOSE(CONTROL!$C$42, 25.8607, 25.8607) * CHOOSE(CONTROL!$C$21, $C$9, 100%, $E$9)</f>
        <v>25.860700000000001</v>
      </c>
      <c r="M482" s="17">
        <f>CHOOSE(CONTROL!$C$42, 24.9158, 24.9158) * CHOOSE(CONTROL!$C$21, $C$9, 100%, $E$9)</f>
        <v>24.915800000000001</v>
      </c>
      <c r="N482" s="17">
        <f>CHOOSE(CONTROL!$C$42, 24.9319, 24.9319) * CHOOSE(CONTROL!$C$21, $C$9, 100%, $E$9)</f>
        <v>24.931899999999999</v>
      </c>
      <c r="O482" s="17">
        <f>CHOOSE(CONTROL!$C$42, 25.0535, 25.0535) * CHOOSE(CONTROL!$C$21, $C$9, 100%, $E$9)</f>
        <v>25.0535</v>
      </c>
      <c r="P482" s="17">
        <f>CHOOSE(CONTROL!$C$42, 25.0094, 25.0094) * CHOOSE(CONTROL!$C$21, $C$9, 100%, $E$9)</f>
        <v>25.009399999999999</v>
      </c>
      <c r="Q482" s="17">
        <f>CHOOSE(CONTROL!$C$42, 25.6482, 25.6482) * CHOOSE(CONTROL!$C$21, $C$9, 100%, $E$9)</f>
        <v>25.648199999999999</v>
      </c>
      <c r="R482" s="17">
        <f>CHOOSE(CONTROL!$C$42, 26.2993, 26.2993) * CHOOSE(CONTROL!$C$21, $C$9, 100%, $E$9)</f>
        <v>26.299299999999999</v>
      </c>
      <c r="S482" s="17">
        <f>CHOOSE(CONTROL!$C$42, 24.3577, 24.3577) * CHOOSE(CONTROL!$C$21, $C$9, 100%, $E$9)</f>
        <v>24.357700000000001</v>
      </c>
      <c r="T482" s="57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482" s="57">
        <f>(1000*CHOOSE(CONTROL!$C$42, 695, 695)*CHOOSE(CONTROL!$C$42, 0.5599, 0.5599)*CHOOSE(CONTROL!$C$42, 29, 29))/1000000</f>
        <v>11.284784499999999</v>
      </c>
      <c r="V482" s="57">
        <f>(1000*CHOOSE(CONTROL!$C$42, 500, 500)*CHOOSE(CONTROL!$C$42, 0.275, 0.275)*CHOOSE(CONTROL!$C$42, 29, 29))/1000000</f>
        <v>3.9874999999999998</v>
      </c>
      <c r="W482" s="57">
        <f>(1000*CHOOSE(CONTROL!$C$42, 0.0916, 0.0916)*CHOOSE(CONTROL!$C$42, 121.5, 121.5)*CHOOSE(CONTROL!$C$42, 29, 29))/1000000</f>
        <v>0.3227526</v>
      </c>
      <c r="X482" s="57">
        <f>(29*0.2374*100000/1000000)</f>
        <v>0.68845999999999996</v>
      </c>
      <c r="Y482" s="57"/>
      <c r="Z482" s="17"/>
      <c r="AA482" s="56"/>
      <c r="AB482" s="49">
        <f>(B482*122.58+C482*297.941+D482*89.177+E482*140.302+F482*40+G482*60+H482*0+I482*100+J482*300)/(122.58+297.941+89.177+140.302+0+40+60+100+300)</f>
        <v>25.170948594956521</v>
      </c>
      <c r="AC482" s="46">
        <f>(M482*'RAP TEMPLATE-GAS AVAILABILITY'!O481+N482*'RAP TEMPLATE-GAS AVAILABILITY'!P481+O482*'RAP TEMPLATE-GAS AVAILABILITY'!Q481+P482*'RAP TEMPLATE-GAS AVAILABILITY'!R481)/('RAP TEMPLATE-GAS AVAILABILITY'!O481+'RAP TEMPLATE-GAS AVAILABILITY'!P481+'RAP TEMPLATE-GAS AVAILABILITY'!Q481+'RAP TEMPLATE-GAS AVAILABILITY'!R481)</f>
        <v>24.99260503597122</v>
      </c>
    </row>
    <row r="483" spans="1:29" ht="15.75" x14ac:dyDescent="0.25">
      <c r="A483" s="14">
        <v>55609</v>
      </c>
      <c r="B483" s="17">
        <f>CHOOSE(CONTROL!$C$42, 24.4155, 24.4155) * CHOOSE(CONTROL!$C$21, $C$9, 100%, $E$9)</f>
        <v>24.415500000000002</v>
      </c>
      <c r="C483" s="17">
        <f>CHOOSE(CONTROL!$C$42, 24.4205, 24.4205) * CHOOSE(CONTROL!$C$21, $C$9, 100%, $E$9)</f>
        <v>24.420500000000001</v>
      </c>
      <c r="D483" s="17">
        <f>CHOOSE(CONTROL!$C$42, 24.538, 24.538) * CHOOSE(CONTROL!$C$21, $C$9, 100%, $E$9)</f>
        <v>24.538</v>
      </c>
      <c r="E483" s="17">
        <f>CHOOSE(CONTROL!$C$42, 24.5718, 24.5718) * CHOOSE(CONTROL!$C$21, $C$9, 100%, $E$9)</f>
        <v>24.5718</v>
      </c>
      <c r="F483" s="17">
        <f>CHOOSE(CONTROL!$C$42, 24.4285, 24.4285)*CHOOSE(CONTROL!$C$21, $C$9, 100%, $E$9)</f>
        <v>24.4285</v>
      </c>
      <c r="G483" s="17">
        <f>CHOOSE(CONTROL!$C$42, 24.4446, 24.4446)*CHOOSE(CONTROL!$C$21, $C$9, 100%, $E$9)</f>
        <v>24.444600000000001</v>
      </c>
      <c r="H483" s="17">
        <f>CHOOSE(CONTROL!$C$42, 24.5606, 24.5606) * CHOOSE(CONTROL!$C$21, $C$9, 100%, $E$9)</f>
        <v>24.560600000000001</v>
      </c>
      <c r="I483" s="17">
        <f>CHOOSE(CONTROL!$C$42, 24.5146, 24.5146)* CHOOSE(CONTROL!$C$21, $C$9, 100%, $E$9)</f>
        <v>24.514600000000002</v>
      </c>
      <c r="J483" s="17">
        <f>CHOOSE(CONTROL!$C$42, 24.4211, 24.4211)* CHOOSE(CONTROL!$C$21, $C$9, 100%, $E$9)</f>
        <v>24.421099999999999</v>
      </c>
      <c r="K483" s="53">
        <f>CHOOSE(CONTROL!$C$42, 24.5086, 24.5086) * CHOOSE(CONTROL!$C$21, $C$9, 100%, $E$9)</f>
        <v>24.508600000000001</v>
      </c>
      <c r="L483" s="17">
        <f>CHOOSE(CONTROL!$C$42, 25.1476, 25.1476) * CHOOSE(CONTROL!$C$21, $C$9, 100%, $E$9)</f>
        <v>25.147600000000001</v>
      </c>
      <c r="M483" s="17">
        <f>CHOOSE(CONTROL!$C$42, 24.2084, 24.2084) * CHOOSE(CONTROL!$C$21, $C$9, 100%, $E$9)</f>
        <v>24.208400000000001</v>
      </c>
      <c r="N483" s="17">
        <f>CHOOSE(CONTROL!$C$42, 24.2244, 24.2244) * CHOOSE(CONTROL!$C$21, $C$9, 100%, $E$9)</f>
        <v>24.224399999999999</v>
      </c>
      <c r="O483" s="17">
        <f>CHOOSE(CONTROL!$C$42, 24.3468, 24.3468) * CHOOSE(CONTROL!$C$21, $C$9, 100%, $E$9)</f>
        <v>24.346800000000002</v>
      </c>
      <c r="P483" s="17">
        <f>CHOOSE(CONTROL!$C$42, 24.3005, 24.3005) * CHOOSE(CONTROL!$C$21, $C$9, 100%, $E$9)</f>
        <v>24.3005</v>
      </c>
      <c r="Q483" s="17">
        <f>CHOOSE(CONTROL!$C$42, 24.9415, 24.9415) * CHOOSE(CONTROL!$C$21, $C$9, 100%, $E$9)</f>
        <v>24.941500000000001</v>
      </c>
      <c r="R483" s="17">
        <f>CHOOSE(CONTROL!$C$42, 25.5908, 25.5908) * CHOOSE(CONTROL!$C$21, $C$9, 100%, $E$9)</f>
        <v>25.590800000000002</v>
      </c>
      <c r="S483" s="17">
        <f>CHOOSE(CONTROL!$C$42, 23.6662, 23.6662) * CHOOSE(CONTROL!$C$21, $C$9, 100%, $E$9)</f>
        <v>23.6662</v>
      </c>
      <c r="T483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483" s="57">
        <f>(1000*CHOOSE(CONTROL!$C$42, 695, 695)*CHOOSE(CONTROL!$C$42, 0.5599, 0.5599)*CHOOSE(CONTROL!$C$42, 31, 31))/1000000</f>
        <v>12.063045499999998</v>
      </c>
      <c r="V483" s="57">
        <f>(1000*CHOOSE(CONTROL!$C$42, 500, 500)*CHOOSE(CONTROL!$C$42, 0.275, 0.275)*CHOOSE(CONTROL!$C$42, 31, 31))/1000000</f>
        <v>4.2625000000000002</v>
      </c>
      <c r="W483" s="57">
        <f>(1000*CHOOSE(CONTROL!$C$42, 0.0916, 0.0916)*CHOOSE(CONTROL!$C$42, 121.5, 121.5)*CHOOSE(CONTROL!$C$42, 31, 31))/1000000</f>
        <v>0.34501139999999997</v>
      </c>
      <c r="X483" s="57">
        <f>(31*0.2374*100000/1000000)</f>
        <v>0.73594000000000004</v>
      </c>
      <c r="Y483" s="57"/>
      <c r="Z483" s="17"/>
      <c r="AA483" s="56"/>
      <c r="AB483" s="49">
        <f>(B483*122.58+C483*297.941+D483*89.177+E483*140.302+F483*40+G483*60+H483*0+I483*100+J483*300)/(122.58+297.941+89.177+140.302+0+40+60+100+300)</f>
        <v>24.45741225226087</v>
      </c>
      <c r="AC483" s="46">
        <f>(M483*'RAP TEMPLATE-GAS AVAILABILITY'!O482+N483*'RAP TEMPLATE-GAS AVAILABILITY'!P482+O483*'RAP TEMPLATE-GAS AVAILABILITY'!Q482+P483*'RAP TEMPLATE-GAS AVAILABILITY'!R482)/('RAP TEMPLATE-GAS AVAILABILITY'!O482+'RAP TEMPLATE-GAS AVAILABILITY'!P482+'RAP TEMPLATE-GAS AVAILABILITY'!Q482+'RAP TEMPLATE-GAS AVAILABILITY'!R482)</f>
        <v>24.285300719424459</v>
      </c>
    </row>
    <row r="484" spans="1:29" ht="15.75" x14ac:dyDescent="0.25">
      <c r="A484" s="14">
        <v>55639</v>
      </c>
      <c r="B484" s="17">
        <f>CHOOSE(CONTROL!$C$42, 24.3434, 24.3434) * CHOOSE(CONTROL!$C$21, $C$9, 100%, $E$9)</f>
        <v>24.343399999999999</v>
      </c>
      <c r="C484" s="17">
        <f>CHOOSE(CONTROL!$C$42, 24.3479, 24.3479) * CHOOSE(CONTROL!$C$21, $C$9, 100%, $E$9)</f>
        <v>24.347899999999999</v>
      </c>
      <c r="D484" s="17">
        <f>CHOOSE(CONTROL!$C$42, 24.6006, 24.6006) * CHOOSE(CONTROL!$C$21, $C$9, 100%, $E$9)</f>
        <v>24.6006</v>
      </c>
      <c r="E484" s="17">
        <f>CHOOSE(CONTROL!$C$42, 24.6324, 24.6324) * CHOOSE(CONTROL!$C$21, $C$9, 100%, $E$9)</f>
        <v>24.632400000000001</v>
      </c>
      <c r="F484" s="17">
        <f>CHOOSE(CONTROL!$C$42, 24.3493, 24.3493)*CHOOSE(CONTROL!$C$21, $C$9, 100%, $E$9)</f>
        <v>24.349299999999999</v>
      </c>
      <c r="G484" s="17">
        <f>CHOOSE(CONTROL!$C$42, 24.3652, 24.3652)*CHOOSE(CONTROL!$C$21, $C$9, 100%, $E$9)</f>
        <v>24.365200000000002</v>
      </c>
      <c r="H484" s="17">
        <f>CHOOSE(CONTROL!$C$42, 24.6218, 24.6218) * CHOOSE(CONTROL!$C$21, $C$9, 100%, $E$9)</f>
        <v>24.6218</v>
      </c>
      <c r="I484" s="17">
        <f>CHOOSE(CONTROL!$C$42, 24.4405, 24.4405)* CHOOSE(CONTROL!$C$21, $C$9, 100%, $E$9)</f>
        <v>24.4405</v>
      </c>
      <c r="J484" s="17">
        <f>CHOOSE(CONTROL!$C$42, 24.3419, 24.3419)* CHOOSE(CONTROL!$C$21, $C$9, 100%, $E$9)</f>
        <v>24.341899999999999</v>
      </c>
      <c r="K484" s="53">
        <f>CHOOSE(CONTROL!$C$42, 24.4345, 24.4345) * CHOOSE(CONTROL!$C$21, $C$9, 100%, $E$9)</f>
        <v>24.4345</v>
      </c>
      <c r="L484" s="17">
        <f>CHOOSE(CONTROL!$C$42, 25.2088, 25.2088) * CHOOSE(CONTROL!$C$21, $C$9, 100%, $E$9)</f>
        <v>25.2088</v>
      </c>
      <c r="M484" s="17">
        <f>CHOOSE(CONTROL!$C$42, 24.13, 24.13) * CHOOSE(CONTROL!$C$21, $C$9, 100%, $E$9)</f>
        <v>24.13</v>
      </c>
      <c r="N484" s="17">
        <f>CHOOSE(CONTROL!$C$42, 24.1457, 24.1457) * CHOOSE(CONTROL!$C$21, $C$9, 100%, $E$9)</f>
        <v>24.145700000000001</v>
      </c>
      <c r="O484" s="17">
        <f>CHOOSE(CONTROL!$C$42, 24.4074, 24.4074) * CHOOSE(CONTROL!$C$21, $C$9, 100%, $E$9)</f>
        <v>24.407399999999999</v>
      </c>
      <c r="P484" s="17">
        <f>CHOOSE(CONTROL!$C$42, 24.2271, 24.2271) * CHOOSE(CONTROL!$C$21, $C$9, 100%, $E$9)</f>
        <v>24.2271</v>
      </c>
      <c r="Q484" s="17">
        <f>CHOOSE(CONTROL!$C$42, 25.0021, 25.0021) * CHOOSE(CONTROL!$C$21, $C$9, 100%, $E$9)</f>
        <v>25.002099999999999</v>
      </c>
      <c r="R484" s="17">
        <f>CHOOSE(CONTROL!$C$42, 25.6516, 25.6516) * CHOOSE(CONTROL!$C$21, $C$9, 100%, $E$9)</f>
        <v>25.651599999999998</v>
      </c>
      <c r="S484" s="17">
        <f>CHOOSE(CONTROL!$C$42, 23.5955, 23.5955) * CHOOSE(CONTROL!$C$21, $C$9, 100%, $E$9)</f>
        <v>23.595500000000001</v>
      </c>
      <c r="T484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484" s="57">
        <f>(1000*CHOOSE(CONTROL!$C$42, 695, 695)*CHOOSE(CONTROL!$C$42, 0.5599, 0.5599)*CHOOSE(CONTROL!$C$42, 30, 30))/1000000</f>
        <v>11.673914999999997</v>
      </c>
      <c r="V484" s="57">
        <f>(1000*CHOOSE(CONTROL!$C$42, 500, 500)*CHOOSE(CONTROL!$C$42, 0.275, 0.275)*CHOOSE(CONTROL!$C$42, 30, 30))/1000000</f>
        <v>4.125</v>
      </c>
      <c r="W484" s="57">
        <f>(1000*CHOOSE(CONTROL!$C$42, 0.0916, 0.0916)*CHOOSE(CONTROL!$C$42, 121.5, 121.5)*CHOOSE(CONTROL!$C$42, 30, 30))/1000000</f>
        <v>0.33388200000000001</v>
      </c>
      <c r="X484" s="57">
        <f>(30*0.1790888*145000/1000000)+(30*0.2374*100000/1000000)</f>
        <v>1.4912362799999999</v>
      </c>
      <c r="Y484" s="57"/>
      <c r="Z484" s="17"/>
      <c r="AA484" s="56"/>
      <c r="AB484" s="49">
        <f>(B484*141.293+C484*267.993+D484*115.016+E484*189.698+F484*40+G484*85+H484*0+I484*100+J484*300)/(141.293+267.993+115.016+189.698+0+40+85+100+300)</f>
        <v>24.421656501775626</v>
      </c>
      <c r="AC484" s="46">
        <f>(M484*'RAP TEMPLATE-GAS AVAILABILITY'!O483+N484*'RAP TEMPLATE-GAS AVAILABILITY'!P483+O484*'RAP TEMPLATE-GAS AVAILABILITY'!Q483+P484*'RAP TEMPLATE-GAS AVAILABILITY'!R483)/('RAP TEMPLATE-GAS AVAILABILITY'!O483+'RAP TEMPLATE-GAS AVAILABILITY'!P483+'RAP TEMPLATE-GAS AVAILABILITY'!Q483+'RAP TEMPLATE-GAS AVAILABILITY'!R483)</f>
        <v>24.225417266187051</v>
      </c>
    </row>
    <row r="485" spans="1:29" ht="15.75" x14ac:dyDescent="0.25">
      <c r="A485" s="14">
        <v>55670</v>
      </c>
      <c r="B485" s="17">
        <f>CHOOSE(CONTROL!$C$42, 24.5595, 24.5595) * CHOOSE(CONTROL!$C$21, $C$9, 100%, $E$9)</f>
        <v>24.5595</v>
      </c>
      <c r="C485" s="17">
        <f>CHOOSE(CONTROL!$C$42, 24.5675, 24.5675) * CHOOSE(CONTROL!$C$21, $C$9, 100%, $E$9)</f>
        <v>24.567499999999999</v>
      </c>
      <c r="D485" s="17">
        <f>CHOOSE(CONTROL!$C$42, 24.8171, 24.8171) * CHOOSE(CONTROL!$C$21, $C$9, 100%, $E$9)</f>
        <v>24.8171</v>
      </c>
      <c r="E485" s="17">
        <f>CHOOSE(CONTROL!$C$42, 24.8483, 24.8483) * CHOOSE(CONTROL!$C$21, $C$9, 100%, $E$9)</f>
        <v>24.848299999999998</v>
      </c>
      <c r="F485" s="17">
        <f>CHOOSE(CONTROL!$C$42, 24.5643, 24.5643)*CHOOSE(CONTROL!$C$21, $C$9, 100%, $E$9)</f>
        <v>24.564299999999999</v>
      </c>
      <c r="G485" s="17">
        <f>CHOOSE(CONTROL!$C$42, 24.5805, 24.5805)*CHOOSE(CONTROL!$C$21, $C$9, 100%, $E$9)</f>
        <v>24.580500000000001</v>
      </c>
      <c r="H485" s="17">
        <f>CHOOSE(CONTROL!$C$42, 24.8366, 24.8366) * CHOOSE(CONTROL!$C$21, $C$9, 100%, $E$9)</f>
        <v>24.836600000000001</v>
      </c>
      <c r="I485" s="17">
        <f>CHOOSE(CONTROL!$C$42, 24.6559, 24.6559)* CHOOSE(CONTROL!$C$21, $C$9, 100%, $E$9)</f>
        <v>24.655899999999999</v>
      </c>
      <c r="J485" s="17">
        <f>CHOOSE(CONTROL!$C$42, 24.5569, 24.5569)* CHOOSE(CONTROL!$C$21, $C$9, 100%, $E$9)</f>
        <v>24.556899999999999</v>
      </c>
      <c r="K485" s="53">
        <f>CHOOSE(CONTROL!$C$42, 24.6499, 24.6499) * CHOOSE(CONTROL!$C$21, $C$9, 100%, $E$9)</f>
        <v>24.649899999999999</v>
      </c>
      <c r="L485" s="17">
        <f>CHOOSE(CONTROL!$C$42, 25.4236, 25.4236) * CHOOSE(CONTROL!$C$21, $C$9, 100%, $E$9)</f>
        <v>25.4236</v>
      </c>
      <c r="M485" s="17">
        <f>CHOOSE(CONTROL!$C$42, 24.3431, 24.3431) * CHOOSE(CONTROL!$C$21, $C$9, 100%, $E$9)</f>
        <v>24.3431</v>
      </c>
      <c r="N485" s="17">
        <f>CHOOSE(CONTROL!$C$42, 24.3591, 24.3591) * CHOOSE(CONTROL!$C$21, $C$9, 100%, $E$9)</f>
        <v>24.359100000000002</v>
      </c>
      <c r="O485" s="17">
        <f>CHOOSE(CONTROL!$C$42, 24.6202, 24.6202) * CHOOSE(CONTROL!$C$21, $C$9, 100%, $E$9)</f>
        <v>24.620200000000001</v>
      </c>
      <c r="P485" s="17">
        <f>CHOOSE(CONTROL!$C$42, 24.4406, 24.4406) * CHOOSE(CONTROL!$C$21, $C$9, 100%, $E$9)</f>
        <v>24.4406</v>
      </c>
      <c r="Q485" s="17">
        <f>CHOOSE(CONTROL!$C$42, 25.2149, 25.2149) * CHOOSE(CONTROL!$C$21, $C$9, 100%, $E$9)</f>
        <v>25.2149</v>
      </c>
      <c r="R485" s="17">
        <f>CHOOSE(CONTROL!$C$42, 25.865, 25.865) * CHOOSE(CONTROL!$C$21, $C$9, 100%, $E$9)</f>
        <v>25.864999999999998</v>
      </c>
      <c r="S485" s="17">
        <f>CHOOSE(CONTROL!$C$42, 23.8038, 23.8038) * CHOOSE(CONTROL!$C$21, $C$9, 100%, $E$9)</f>
        <v>23.803799999999999</v>
      </c>
      <c r="T485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485" s="57">
        <f>(1000*CHOOSE(CONTROL!$C$42, 695, 695)*CHOOSE(CONTROL!$C$42, 0.5599, 0.5599)*CHOOSE(CONTROL!$C$42, 31, 31))/1000000</f>
        <v>12.063045499999998</v>
      </c>
      <c r="V485" s="57">
        <f>(1000*CHOOSE(CONTROL!$C$42, 500, 500)*CHOOSE(CONTROL!$C$42, 0.275, 0.275)*CHOOSE(CONTROL!$C$42, 31, 31))/1000000</f>
        <v>4.2625000000000002</v>
      </c>
      <c r="W485" s="57">
        <f>(1000*CHOOSE(CONTROL!$C$42, 0.0916, 0.0916)*CHOOSE(CONTROL!$C$42, 121.5, 121.5)*CHOOSE(CONTROL!$C$42, 31, 31))/1000000</f>
        <v>0.34501139999999997</v>
      </c>
      <c r="X485" s="57">
        <f>(31*0.1790888*145000/1000000)+(31*0.2374*100000/1000000)</f>
        <v>1.5409441560000001</v>
      </c>
      <c r="Y485" s="57"/>
      <c r="Z485" s="17"/>
      <c r="AA485" s="56"/>
      <c r="AB485" s="49">
        <f>(B485*194.205+C485*267.466+D485*133.845+E485*153.484+F485*40+G485*85+H485*0+I485*100+J485*300)/(194.205+267.466+133.845+153.484+0+40+85+100+300)</f>
        <v>24.631541898901098</v>
      </c>
      <c r="AC485" s="46">
        <f>(M485*'RAP TEMPLATE-GAS AVAILABILITY'!O484+N485*'RAP TEMPLATE-GAS AVAILABILITY'!P484+O485*'RAP TEMPLATE-GAS AVAILABILITY'!Q484+P485*'RAP TEMPLATE-GAS AVAILABILITY'!R484)/('RAP TEMPLATE-GAS AVAILABILITY'!O484+'RAP TEMPLATE-GAS AVAILABILITY'!P484+'RAP TEMPLATE-GAS AVAILABILITY'!Q484+'RAP TEMPLATE-GAS AVAILABILITY'!R484)</f>
        <v>24.438559712230216</v>
      </c>
    </row>
    <row r="486" spans="1:29" ht="15.75" x14ac:dyDescent="0.25">
      <c r="A486" s="14">
        <v>55700</v>
      </c>
      <c r="B486" s="17">
        <f>CHOOSE(CONTROL!$C$42, 25.2558, 25.2558) * CHOOSE(CONTROL!$C$21, $C$9, 100%, $E$9)</f>
        <v>25.255800000000001</v>
      </c>
      <c r="C486" s="17">
        <f>CHOOSE(CONTROL!$C$42, 25.2638, 25.2638) * CHOOSE(CONTROL!$C$21, $C$9, 100%, $E$9)</f>
        <v>25.2638</v>
      </c>
      <c r="D486" s="17">
        <f>CHOOSE(CONTROL!$C$42, 25.5134, 25.5134) * CHOOSE(CONTROL!$C$21, $C$9, 100%, $E$9)</f>
        <v>25.513400000000001</v>
      </c>
      <c r="E486" s="17">
        <f>CHOOSE(CONTROL!$C$42, 25.5446, 25.5446) * CHOOSE(CONTROL!$C$21, $C$9, 100%, $E$9)</f>
        <v>25.544599999999999</v>
      </c>
      <c r="F486" s="17">
        <f>CHOOSE(CONTROL!$C$42, 25.261, 25.261)*CHOOSE(CONTROL!$C$21, $C$9, 100%, $E$9)</f>
        <v>25.260999999999999</v>
      </c>
      <c r="G486" s="17">
        <f>CHOOSE(CONTROL!$C$42, 25.2772, 25.2772)*CHOOSE(CONTROL!$C$21, $C$9, 100%, $E$9)</f>
        <v>25.277200000000001</v>
      </c>
      <c r="H486" s="17">
        <f>CHOOSE(CONTROL!$C$42, 25.5329, 25.5329) * CHOOSE(CONTROL!$C$21, $C$9, 100%, $E$9)</f>
        <v>25.532900000000001</v>
      </c>
      <c r="I486" s="17">
        <f>CHOOSE(CONTROL!$C$42, 25.3544, 25.3544)* CHOOSE(CONTROL!$C$21, $C$9, 100%, $E$9)</f>
        <v>25.354399999999998</v>
      </c>
      <c r="J486" s="17">
        <f>CHOOSE(CONTROL!$C$42, 25.2536, 25.2536)* CHOOSE(CONTROL!$C$21, $C$9, 100%, $E$9)</f>
        <v>25.253599999999999</v>
      </c>
      <c r="K486" s="53">
        <f>CHOOSE(CONTROL!$C$42, 25.3484, 25.3484) * CHOOSE(CONTROL!$C$21, $C$9, 100%, $E$9)</f>
        <v>25.348400000000002</v>
      </c>
      <c r="L486" s="17">
        <f>CHOOSE(CONTROL!$C$42, 26.1199, 26.1199) * CHOOSE(CONTROL!$C$21, $C$9, 100%, $E$9)</f>
        <v>26.119900000000001</v>
      </c>
      <c r="M486" s="17">
        <f>CHOOSE(CONTROL!$C$42, 25.0335, 25.0335) * CHOOSE(CONTROL!$C$21, $C$9, 100%, $E$9)</f>
        <v>25.0335</v>
      </c>
      <c r="N486" s="17">
        <f>CHOOSE(CONTROL!$C$42, 25.0495, 25.0495) * CHOOSE(CONTROL!$C$21, $C$9, 100%, $E$9)</f>
        <v>25.049499999999998</v>
      </c>
      <c r="O486" s="17">
        <f>CHOOSE(CONTROL!$C$42, 25.3103, 25.3103) * CHOOSE(CONTROL!$C$21, $C$9, 100%, $E$9)</f>
        <v>25.310300000000002</v>
      </c>
      <c r="P486" s="17">
        <f>CHOOSE(CONTROL!$C$42, 25.1327, 25.1327) * CHOOSE(CONTROL!$C$21, $C$9, 100%, $E$9)</f>
        <v>25.1327</v>
      </c>
      <c r="Q486" s="17">
        <f>CHOOSE(CONTROL!$C$42, 25.905, 25.905) * CHOOSE(CONTROL!$C$21, $C$9, 100%, $E$9)</f>
        <v>25.905000000000001</v>
      </c>
      <c r="R486" s="17">
        <f>CHOOSE(CONTROL!$C$42, 26.5567, 26.5567) * CHOOSE(CONTROL!$C$21, $C$9, 100%, $E$9)</f>
        <v>26.556699999999999</v>
      </c>
      <c r="S486" s="17">
        <f>CHOOSE(CONTROL!$C$42, 24.479, 24.479) * CHOOSE(CONTROL!$C$21, $C$9, 100%, $E$9)</f>
        <v>24.478999999999999</v>
      </c>
      <c r="T486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486" s="57">
        <f>(1000*CHOOSE(CONTROL!$C$42, 695, 695)*CHOOSE(CONTROL!$C$42, 0.5599, 0.5599)*CHOOSE(CONTROL!$C$42, 30, 30))/1000000</f>
        <v>11.673914999999997</v>
      </c>
      <c r="V486" s="57">
        <f>(1000*CHOOSE(CONTROL!$C$42, 500, 500)*CHOOSE(CONTROL!$C$42, 0.275, 0.275)*CHOOSE(CONTROL!$C$42, 30, 30))/1000000</f>
        <v>4.125</v>
      </c>
      <c r="W486" s="57">
        <f>(1000*CHOOSE(CONTROL!$C$42, 0.0916, 0.0916)*CHOOSE(CONTROL!$C$42, 121.5, 121.5)*CHOOSE(CONTROL!$C$42, 30, 30))/1000000</f>
        <v>0.33388200000000001</v>
      </c>
      <c r="X486" s="57">
        <f>(30*0.1790888*145000/1000000)+(30*0.2374*100000/1000000)</f>
        <v>1.4912362799999999</v>
      </c>
      <c r="Y486" s="57"/>
      <c r="Z486" s="17"/>
      <c r="AA486" s="56"/>
      <c r="AB486" s="49">
        <f>(B486*194.205+C486*267.466+D486*133.845+E486*153.484+F486*40+G486*85+H486*0+I486*100+J486*300)/(194.205+267.466+133.845+153.484+0+40+85+100+300)</f>
        <v>25.328148021350078</v>
      </c>
      <c r="AC486" s="46">
        <f>(M486*'RAP TEMPLATE-GAS AVAILABILITY'!O485+N486*'RAP TEMPLATE-GAS AVAILABILITY'!P485+O486*'RAP TEMPLATE-GAS AVAILABILITY'!Q485+P486*'RAP TEMPLATE-GAS AVAILABILITY'!R485)/('RAP TEMPLATE-GAS AVAILABILITY'!O485+'RAP TEMPLATE-GAS AVAILABILITY'!P485+'RAP TEMPLATE-GAS AVAILABILITY'!Q485+'RAP TEMPLATE-GAS AVAILABILITY'!R485)</f>
        <v>25.12912014388489</v>
      </c>
    </row>
    <row r="487" spans="1:29" ht="15.75" x14ac:dyDescent="0.25">
      <c r="A487" s="14">
        <v>55731</v>
      </c>
      <c r="B487" s="17">
        <f>CHOOSE(CONTROL!$C$42, 24.7715, 24.7715) * CHOOSE(CONTROL!$C$21, $C$9, 100%, $E$9)</f>
        <v>24.7715</v>
      </c>
      <c r="C487" s="17">
        <f>CHOOSE(CONTROL!$C$42, 24.7795, 24.7795) * CHOOSE(CONTROL!$C$21, $C$9, 100%, $E$9)</f>
        <v>24.779499999999999</v>
      </c>
      <c r="D487" s="17">
        <f>CHOOSE(CONTROL!$C$42, 25.0291, 25.0291) * CHOOSE(CONTROL!$C$21, $C$9, 100%, $E$9)</f>
        <v>25.0291</v>
      </c>
      <c r="E487" s="17">
        <f>CHOOSE(CONTROL!$C$42, 25.0603, 25.0603) * CHOOSE(CONTROL!$C$21, $C$9, 100%, $E$9)</f>
        <v>25.060300000000002</v>
      </c>
      <c r="F487" s="17">
        <f>CHOOSE(CONTROL!$C$42, 24.7772, 24.7772)*CHOOSE(CONTROL!$C$21, $C$9, 100%, $E$9)</f>
        <v>24.777200000000001</v>
      </c>
      <c r="G487" s="17">
        <f>CHOOSE(CONTROL!$C$42, 24.7936, 24.7936)*CHOOSE(CONTROL!$C$21, $C$9, 100%, $E$9)</f>
        <v>24.793600000000001</v>
      </c>
      <c r="H487" s="17">
        <f>CHOOSE(CONTROL!$C$42, 25.0486, 25.0486) * CHOOSE(CONTROL!$C$21, $C$9, 100%, $E$9)</f>
        <v>25.0486</v>
      </c>
      <c r="I487" s="17">
        <f>CHOOSE(CONTROL!$C$42, 24.8686, 24.8686)* CHOOSE(CONTROL!$C$21, $C$9, 100%, $E$9)</f>
        <v>24.868600000000001</v>
      </c>
      <c r="J487" s="17">
        <f>CHOOSE(CONTROL!$C$42, 24.7698, 24.7698)* CHOOSE(CONTROL!$C$21, $C$9, 100%, $E$9)</f>
        <v>24.7698</v>
      </c>
      <c r="K487" s="53">
        <f>CHOOSE(CONTROL!$C$42, 24.8626, 24.8626) * CHOOSE(CONTROL!$C$21, $C$9, 100%, $E$9)</f>
        <v>24.8626</v>
      </c>
      <c r="L487" s="17">
        <f>CHOOSE(CONTROL!$C$42, 25.6356, 25.6356) * CHOOSE(CONTROL!$C$21, $C$9, 100%, $E$9)</f>
        <v>25.6356</v>
      </c>
      <c r="M487" s="17">
        <f>CHOOSE(CONTROL!$C$42, 24.554, 24.554) * CHOOSE(CONTROL!$C$21, $C$9, 100%, $E$9)</f>
        <v>24.553999999999998</v>
      </c>
      <c r="N487" s="17">
        <f>CHOOSE(CONTROL!$C$42, 24.5703, 24.5703) * CHOOSE(CONTROL!$C$21, $C$9, 100%, $E$9)</f>
        <v>24.5703</v>
      </c>
      <c r="O487" s="17">
        <f>CHOOSE(CONTROL!$C$42, 24.8304, 24.8304) * CHOOSE(CONTROL!$C$21, $C$9, 100%, $E$9)</f>
        <v>24.830400000000001</v>
      </c>
      <c r="P487" s="17">
        <f>CHOOSE(CONTROL!$C$42, 24.6513, 24.6513) * CHOOSE(CONTROL!$C$21, $C$9, 100%, $E$9)</f>
        <v>24.651299999999999</v>
      </c>
      <c r="Q487" s="17">
        <f>CHOOSE(CONTROL!$C$42, 25.4251, 25.4251) * CHOOSE(CONTROL!$C$21, $C$9, 100%, $E$9)</f>
        <v>25.4251</v>
      </c>
      <c r="R487" s="17">
        <f>CHOOSE(CONTROL!$C$42, 26.0756, 26.0756) * CHOOSE(CONTROL!$C$21, $C$9, 100%, $E$9)</f>
        <v>26.075600000000001</v>
      </c>
      <c r="S487" s="17">
        <f>CHOOSE(CONTROL!$C$42, 24.0094, 24.0094) * CHOOSE(CONTROL!$C$21, $C$9, 100%, $E$9)</f>
        <v>24.009399999999999</v>
      </c>
      <c r="T487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487" s="57">
        <f>(1000*CHOOSE(CONTROL!$C$42, 695, 695)*CHOOSE(CONTROL!$C$42, 0.5599, 0.5599)*CHOOSE(CONTROL!$C$42, 31, 31))/1000000</f>
        <v>12.063045499999998</v>
      </c>
      <c r="V487" s="57">
        <f>(1000*CHOOSE(CONTROL!$C$42, 500, 500)*CHOOSE(CONTROL!$C$42, 0.275, 0.275)*CHOOSE(CONTROL!$C$42, 31, 31))/1000000</f>
        <v>4.2625000000000002</v>
      </c>
      <c r="W487" s="57">
        <f>(1000*CHOOSE(CONTROL!$C$42, 0.0916, 0.0916)*CHOOSE(CONTROL!$C$42, 121.5, 121.5)*CHOOSE(CONTROL!$C$42, 31, 31))/1000000</f>
        <v>0.34501139999999997</v>
      </c>
      <c r="X487" s="57">
        <f>(31*0.1790888*145000/1000000)+(31*0.2374*100000/1000000)</f>
        <v>1.5409441560000001</v>
      </c>
      <c r="Y487" s="57"/>
      <c r="Z487" s="17"/>
      <c r="AA487" s="56"/>
      <c r="AB487" s="49">
        <f>(B487*194.205+C487*267.466+D487*133.845+E487*153.484+F487*40+G487*85+H487*0+I487*100+J487*300)/(194.205+267.466+133.845+153.484+0+40+85+100+300)</f>
        <v>24.843910423233908</v>
      </c>
      <c r="AC487" s="46">
        <f>(M487*'RAP TEMPLATE-GAS AVAILABILITY'!O486+N487*'RAP TEMPLATE-GAS AVAILABILITY'!P486+O487*'RAP TEMPLATE-GAS AVAILABILITY'!Q486+P487*'RAP TEMPLATE-GAS AVAILABILITY'!R486)/('RAP TEMPLATE-GAS AVAILABILITY'!O486+'RAP TEMPLATE-GAS AVAILABILITY'!P486+'RAP TEMPLATE-GAS AVAILABILITY'!Q486+'RAP TEMPLATE-GAS AVAILABILITY'!R486)</f>
        <v>24.649303597122302</v>
      </c>
    </row>
    <row r="488" spans="1:29" ht="15.75" x14ac:dyDescent="0.25">
      <c r="A488" s="14">
        <v>55762</v>
      </c>
      <c r="B488" s="17">
        <f>CHOOSE(CONTROL!$C$42, 23.5486, 23.5486) * CHOOSE(CONTROL!$C$21, $C$9, 100%, $E$9)</f>
        <v>23.5486</v>
      </c>
      <c r="C488" s="17">
        <f>CHOOSE(CONTROL!$C$42, 23.5565, 23.5565) * CHOOSE(CONTROL!$C$21, $C$9, 100%, $E$9)</f>
        <v>23.5565</v>
      </c>
      <c r="D488" s="17">
        <f>CHOOSE(CONTROL!$C$42, 23.8062, 23.8062) * CHOOSE(CONTROL!$C$21, $C$9, 100%, $E$9)</f>
        <v>23.8062</v>
      </c>
      <c r="E488" s="17">
        <f>CHOOSE(CONTROL!$C$42, 23.8373, 23.8373) * CHOOSE(CONTROL!$C$21, $C$9, 100%, $E$9)</f>
        <v>23.837299999999999</v>
      </c>
      <c r="F488" s="17">
        <f>CHOOSE(CONTROL!$C$42, 23.5545, 23.5545)*CHOOSE(CONTROL!$C$21, $C$9, 100%, $E$9)</f>
        <v>23.554500000000001</v>
      </c>
      <c r="G488" s="17">
        <f>CHOOSE(CONTROL!$C$42, 23.5709, 23.5709)*CHOOSE(CONTROL!$C$21, $C$9, 100%, $E$9)</f>
        <v>23.570900000000002</v>
      </c>
      <c r="H488" s="17">
        <f>CHOOSE(CONTROL!$C$42, 23.8257, 23.8257) * CHOOSE(CONTROL!$C$21, $C$9, 100%, $E$9)</f>
        <v>23.825700000000001</v>
      </c>
      <c r="I488" s="17">
        <f>CHOOSE(CONTROL!$C$42, 23.6419, 23.6419)* CHOOSE(CONTROL!$C$21, $C$9, 100%, $E$9)</f>
        <v>23.6419</v>
      </c>
      <c r="J488" s="17">
        <f>CHOOSE(CONTROL!$C$42, 23.5471, 23.5471)* CHOOSE(CONTROL!$C$21, $C$9, 100%, $E$9)</f>
        <v>23.5471</v>
      </c>
      <c r="K488" s="53">
        <f>CHOOSE(CONTROL!$C$42, 23.6358, 23.6358) * CHOOSE(CONTROL!$C$21, $C$9, 100%, $E$9)</f>
        <v>23.6358</v>
      </c>
      <c r="L488" s="17">
        <f>CHOOSE(CONTROL!$C$42, 24.4127, 24.4127) * CHOOSE(CONTROL!$C$21, $C$9, 100%, $E$9)</f>
        <v>24.412700000000001</v>
      </c>
      <c r="M488" s="17">
        <f>CHOOSE(CONTROL!$C$42, 23.3423, 23.3423) * CHOOSE(CONTROL!$C$21, $C$9, 100%, $E$9)</f>
        <v>23.342300000000002</v>
      </c>
      <c r="N488" s="17">
        <f>CHOOSE(CONTROL!$C$42, 23.3586, 23.3586) * CHOOSE(CONTROL!$C$21, $C$9, 100%, $E$9)</f>
        <v>23.358599999999999</v>
      </c>
      <c r="O488" s="17">
        <f>CHOOSE(CONTROL!$C$42, 23.6184, 23.6184) * CHOOSE(CONTROL!$C$21, $C$9, 100%, $E$9)</f>
        <v>23.618400000000001</v>
      </c>
      <c r="P488" s="17">
        <f>CHOOSE(CONTROL!$C$42, 23.4356, 23.4356) * CHOOSE(CONTROL!$C$21, $C$9, 100%, $E$9)</f>
        <v>23.435600000000001</v>
      </c>
      <c r="Q488" s="17">
        <f>CHOOSE(CONTROL!$C$42, 24.2131, 24.2131) * CHOOSE(CONTROL!$C$21, $C$9, 100%, $E$9)</f>
        <v>24.213100000000001</v>
      </c>
      <c r="R488" s="17">
        <f>CHOOSE(CONTROL!$C$42, 24.8606, 24.8606) * CHOOSE(CONTROL!$C$21, $C$9, 100%, $E$9)</f>
        <v>24.860600000000002</v>
      </c>
      <c r="S488" s="17">
        <f>CHOOSE(CONTROL!$C$42, 22.8235, 22.8235) * CHOOSE(CONTROL!$C$21, $C$9, 100%, $E$9)</f>
        <v>22.823499999999999</v>
      </c>
      <c r="T488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488" s="57">
        <f>(1000*CHOOSE(CONTROL!$C$42, 695, 695)*CHOOSE(CONTROL!$C$42, 0.5599, 0.5599)*CHOOSE(CONTROL!$C$42, 31, 31))/1000000</f>
        <v>12.063045499999998</v>
      </c>
      <c r="V488" s="57">
        <f>(1000*CHOOSE(CONTROL!$C$42, 500, 500)*CHOOSE(CONTROL!$C$42, 0.275, 0.275)*CHOOSE(CONTROL!$C$42, 31, 31))/1000000</f>
        <v>4.2625000000000002</v>
      </c>
      <c r="W488" s="57">
        <f>(1000*CHOOSE(CONTROL!$C$42, 0.0916, 0.0916)*CHOOSE(CONTROL!$C$42, 121.5, 121.5)*CHOOSE(CONTROL!$C$42, 31, 31))/1000000</f>
        <v>0.34501139999999997</v>
      </c>
      <c r="X488" s="57">
        <f>(31*0.1790888*145000/1000000)+(31*0.2374*100000/1000000)</f>
        <v>1.5409441560000001</v>
      </c>
      <c r="Y488" s="57"/>
      <c r="Z488" s="17"/>
      <c r="AA488" s="56"/>
      <c r="AB488" s="49">
        <f>(B488*194.205+C488*267.466+D488*133.845+E488*153.484+F488*40+G488*85+H488*0+I488*100+J488*300)/(194.205+267.466+133.845+153.484+0+40+85+100+300)</f>
        <v>23.620745827472529</v>
      </c>
      <c r="AC488" s="46">
        <f>(M488*'RAP TEMPLATE-GAS AVAILABILITY'!O487+N488*'RAP TEMPLATE-GAS AVAILABILITY'!P487+O488*'RAP TEMPLATE-GAS AVAILABILITY'!Q487+P488*'RAP TEMPLATE-GAS AVAILABILITY'!R487)/('RAP TEMPLATE-GAS AVAILABILITY'!O487+'RAP TEMPLATE-GAS AVAILABILITY'!P487+'RAP TEMPLATE-GAS AVAILABILITY'!Q487+'RAP TEMPLATE-GAS AVAILABILITY'!R487)</f>
        <v>23.436943884892088</v>
      </c>
    </row>
    <row r="489" spans="1:29" ht="15.75" x14ac:dyDescent="0.25">
      <c r="A489" s="14">
        <v>55792</v>
      </c>
      <c r="B489" s="17">
        <f>CHOOSE(CONTROL!$C$42, 22.0541, 22.0541) * CHOOSE(CONTROL!$C$21, $C$9, 100%, $E$9)</f>
        <v>22.054099999999998</v>
      </c>
      <c r="C489" s="17">
        <f>CHOOSE(CONTROL!$C$42, 22.0621, 22.0621) * CHOOSE(CONTROL!$C$21, $C$9, 100%, $E$9)</f>
        <v>22.062100000000001</v>
      </c>
      <c r="D489" s="17">
        <f>CHOOSE(CONTROL!$C$42, 22.3117, 22.3117) * CHOOSE(CONTROL!$C$21, $C$9, 100%, $E$9)</f>
        <v>22.311699999999998</v>
      </c>
      <c r="E489" s="17">
        <f>CHOOSE(CONTROL!$C$42, 22.3429, 22.3429) * CHOOSE(CONTROL!$C$21, $C$9, 100%, $E$9)</f>
        <v>22.3429</v>
      </c>
      <c r="F489" s="17">
        <f>CHOOSE(CONTROL!$C$42, 22.0601, 22.0601)*CHOOSE(CONTROL!$C$21, $C$9, 100%, $E$9)</f>
        <v>22.060099999999998</v>
      </c>
      <c r="G489" s="17">
        <f>CHOOSE(CONTROL!$C$42, 22.0765, 22.0765)*CHOOSE(CONTROL!$C$21, $C$9, 100%, $E$9)</f>
        <v>22.076499999999999</v>
      </c>
      <c r="H489" s="17">
        <f>CHOOSE(CONTROL!$C$42, 22.3312, 22.3312) * CHOOSE(CONTROL!$C$21, $C$9, 100%, $E$9)</f>
        <v>22.331199999999999</v>
      </c>
      <c r="I489" s="17">
        <f>CHOOSE(CONTROL!$C$42, 22.1428, 22.1428)* CHOOSE(CONTROL!$C$21, $C$9, 100%, $E$9)</f>
        <v>22.142800000000001</v>
      </c>
      <c r="J489" s="17">
        <f>CHOOSE(CONTROL!$C$42, 22.0527, 22.0527)* CHOOSE(CONTROL!$C$21, $C$9, 100%, $E$9)</f>
        <v>22.052700000000002</v>
      </c>
      <c r="K489" s="53">
        <f>CHOOSE(CONTROL!$C$42, 22.1367, 22.1367) * CHOOSE(CONTROL!$C$21, $C$9, 100%, $E$9)</f>
        <v>22.136700000000001</v>
      </c>
      <c r="L489" s="17">
        <f>CHOOSE(CONTROL!$C$42, 22.9182, 22.9182) * CHOOSE(CONTROL!$C$21, $C$9, 100%, $E$9)</f>
        <v>22.918199999999999</v>
      </c>
      <c r="M489" s="17">
        <f>CHOOSE(CONTROL!$C$42, 21.8614, 21.8614) * CHOOSE(CONTROL!$C$21, $C$9, 100%, $E$9)</f>
        <v>21.8614</v>
      </c>
      <c r="N489" s="17">
        <f>CHOOSE(CONTROL!$C$42, 21.8777, 21.8777) * CHOOSE(CONTROL!$C$21, $C$9, 100%, $E$9)</f>
        <v>21.877700000000001</v>
      </c>
      <c r="O489" s="17">
        <f>CHOOSE(CONTROL!$C$42, 22.1374, 22.1374) * CHOOSE(CONTROL!$C$21, $C$9, 100%, $E$9)</f>
        <v>22.1374</v>
      </c>
      <c r="P489" s="17">
        <f>CHOOSE(CONTROL!$C$42, 21.9501, 21.9501) * CHOOSE(CONTROL!$C$21, $C$9, 100%, $E$9)</f>
        <v>21.950099999999999</v>
      </c>
      <c r="Q489" s="17">
        <f>CHOOSE(CONTROL!$C$42, 22.7321, 22.7321) * CHOOSE(CONTROL!$C$21, $C$9, 100%, $E$9)</f>
        <v>22.732099999999999</v>
      </c>
      <c r="R489" s="17">
        <f>CHOOSE(CONTROL!$C$42, 23.3759, 23.3759) * CHOOSE(CONTROL!$C$21, $C$9, 100%, $E$9)</f>
        <v>23.375900000000001</v>
      </c>
      <c r="S489" s="17">
        <f>CHOOSE(CONTROL!$C$42, 21.3743, 21.3743) * CHOOSE(CONTROL!$C$21, $C$9, 100%, $E$9)</f>
        <v>21.374300000000002</v>
      </c>
      <c r="T489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489" s="57">
        <f>(1000*CHOOSE(CONTROL!$C$42, 695, 695)*CHOOSE(CONTROL!$C$42, 0.5599, 0.5599)*CHOOSE(CONTROL!$C$42, 30, 30))/1000000</f>
        <v>11.673914999999997</v>
      </c>
      <c r="V489" s="57">
        <f>(1000*CHOOSE(CONTROL!$C$42, 500, 500)*CHOOSE(CONTROL!$C$42, 0.275, 0.275)*CHOOSE(CONTROL!$C$42, 30, 30))/1000000</f>
        <v>4.125</v>
      </c>
      <c r="W489" s="57">
        <f>(1000*CHOOSE(CONTROL!$C$42, 0.0916, 0.0916)*CHOOSE(CONTROL!$C$42, 121.5, 121.5)*CHOOSE(CONTROL!$C$42, 30, 30))/1000000</f>
        <v>0.33388200000000001</v>
      </c>
      <c r="X489" s="57">
        <f>(30*0.1790888*145000/1000000)+(30*0.2374*100000/1000000)</f>
        <v>1.4912362799999999</v>
      </c>
      <c r="Y489" s="57"/>
      <c r="Z489" s="17"/>
      <c r="AA489" s="56"/>
      <c r="AB489" s="49">
        <f>(B489*194.205+C489*267.466+D489*133.845+E489*153.484+F489*40+G489*85+H489*0+I489*100+J489*300)/(194.205+267.466+133.845+153.484+0+40+85+100+300)</f>
        <v>22.125951161067505</v>
      </c>
      <c r="AC489" s="46">
        <f>(M489*'RAP TEMPLATE-GAS AVAILABILITY'!O488+N489*'RAP TEMPLATE-GAS AVAILABILITY'!P488+O489*'RAP TEMPLATE-GAS AVAILABILITY'!Q488+P489*'RAP TEMPLATE-GAS AVAILABILITY'!R488)/('RAP TEMPLATE-GAS AVAILABILITY'!O488+'RAP TEMPLATE-GAS AVAILABILITY'!P488+'RAP TEMPLATE-GAS AVAILABILITY'!Q488+'RAP TEMPLATE-GAS AVAILABILITY'!R488)</f>
        <v>21.955353956834532</v>
      </c>
    </row>
    <row r="490" spans="1:29" ht="15.75" x14ac:dyDescent="0.25">
      <c r="A490" s="14">
        <v>55823</v>
      </c>
      <c r="B490" s="17">
        <f>CHOOSE(CONTROL!$C$42, 21.6048, 21.6048) * CHOOSE(CONTROL!$C$21, $C$9, 100%, $E$9)</f>
        <v>21.604800000000001</v>
      </c>
      <c r="C490" s="17">
        <f>CHOOSE(CONTROL!$C$42, 21.6102, 21.6102) * CHOOSE(CONTROL!$C$21, $C$9, 100%, $E$9)</f>
        <v>21.610199999999999</v>
      </c>
      <c r="D490" s="17">
        <f>CHOOSE(CONTROL!$C$42, 21.8647, 21.8647) * CHOOSE(CONTROL!$C$21, $C$9, 100%, $E$9)</f>
        <v>21.864699999999999</v>
      </c>
      <c r="E490" s="17">
        <f>CHOOSE(CONTROL!$C$42, 21.8936, 21.8936) * CHOOSE(CONTROL!$C$21, $C$9, 100%, $E$9)</f>
        <v>21.893599999999999</v>
      </c>
      <c r="F490" s="17">
        <f>CHOOSE(CONTROL!$C$42, 21.613, 21.613)*CHOOSE(CONTROL!$C$21, $C$9, 100%, $E$9)</f>
        <v>21.613</v>
      </c>
      <c r="G490" s="17">
        <f>CHOOSE(CONTROL!$C$42, 21.6294, 21.6294)*CHOOSE(CONTROL!$C$21, $C$9, 100%, $E$9)</f>
        <v>21.6294</v>
      </c>
      <c r="H490" s="17">
        <f>CHOOSE(CONTROL!$C$42, 21.8837, 21.8837) * CHOOSE(CONTROL!$C$21, $C$9, 100%, $E$9)</f>
        <v>21.883700000000001</v>
      </c>
      <c r="I490" s="17">
        <f>CHOOSE(CONTROL!$C$42, 21.6938, 21.6938)* CHOOSE(CONTROL!$C$21, $C$9, 100%, $E$9)</f>
        <v>21.6938</v>
      </c>
      <c r="J490" s="17">
        <f>CHOOSE(CONTROL!$C$42, 21.6056, 21.6056)* CHOOSE(CONTROL!$C$21, $C$9, 100%, $E$9)</f>
        <v>21.605599999999999</v>
      </c>
      <c r="K490" s="53">
        <f>CHOOSE(CONTROL!$C$42, 21.6878, 21.6878) * CHOOSE(CONTROL!$C$21, $C$9, 100%, $E$9)</f>
        <v>21.687799999999999</v>
      </c>
      <c r="L490" s="17">
        <f>CHOOSE(CONTROL!$C$42, 22.4707, 22.4707) * CHOOSE(CONTROL!$C$21, $C$9, 100%, $E$9)</f>
        <v>22.470700000000001</v>
      </c>
      <c r="M490" s="17">
        <f>CHOOSE(CONTROL!$C$42, 21.4183, 21.4183) * CHOOSE(CONTROL!$C$21, $C$9, 100%, $E$9)</f>
        <v>21.418299999999999</v>
      </c>
      <c r="N490" s="17">
        <f>CHOOSE(CONTROL!$C$42, 21.4345, 21.4345) * CHOOSE(CONTROL!$C$21, $C$9, 100%, $E$9)</f>
        <v>21.4345</v>
      </c>
      <c r="O490" s="17">
        <f>CHOOSE(CONTROL!$C$42, 21.6939, 21.6939) * CHOOSE(CONTROL!$C$21, $C$9, 100%, $E$9)</f>
        <v>21.693899999999999</v>
      </c>
      <c r="P490" s="17">
        <f>CHOOSE(CONTROL!$C$42, 21.5052, 21.5052) * CHOOSE(CONTROL!$C$21, $C$9, 100%, $E$9)</f>
        <v>21.505199999999999</v>
      </c>
      <c r="Q490" s="17">
        <f>CHOOSE(CONTROL!$C$42, 22.2886, 22.2886) * CHOOSE(CONTROL!$C$21, $C$9, 100%, $E$9)</f>
        <v>22.288599999999999</v>
      </c>
      <c r="R490" s="17">
        <f>CHOOSE(CONTROL!$C$42, 22.9313, 22.9313) * CHOOSE(CONTROL!$C$21, $C$9, 100%, $E$9)</f>
        <v>22.9313</v>
      </c>
      <c r="S490" s="17">
        <f>CHOOSE(CONTROL!$C$42, 20.9403, 20.9403) * CHOOSE(CONTROL!$C$21, $C$9, 100%, $E$9)</f>
        <v>20.940300000000001</v>
      </c>
      <c r="T490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490" s="57">
        <f>(1000*CHOOSE(CONTROL!$C$42, 695, 695)*CHOOSE(CONTROL!$C$42, 0.5599, 0.5599)*CHOOSE(CONTROL!$C$42, 31, 31))/1000000</f>
        <v>12.063045499999998</v>
      </c>
      <c r="V490" s="57">
        <f>(1000*CHOOSE(CONTROL!$C$42, 500, 500)*CHOOSE(CONTROL!$C$42, 0.275, 0.275)*CHOOSE(CONTROL!$C$42, 31, 31))/1000000</f>
        <v>4.2625000000000002</v>
      </c>
      <c r="W490" s="57">
        <f>(1000*CHOOSE(CONTROL!$C$42, 0.0916, 0.0916)*CHOOSE(CONTROL!$C$42, 121.5, 121.5)*CHOOSE(CONTROL!$C$42, 31, 31))/1000000</f>
        <v>0.34501139999999997</v>
      </c>
      <c r="X490" s="57">
        <f>(31*0.1790888*145000/1000000)+(31*0.2374*100000/1000000)</f>
        <v>1.5409441560000001</v>
      </c>
      <c r="Y490" s="57"/>
      <c r="Z490" s="17"/>
      <c r="AA490" s="56"/>
      <c r="AB490" s="49">
        <f>(B490*131.881+C490*277.167+D490*79.08+E490*225.872+F490*40+G490*85+H490*0+I490*100+J490*300)/(131.881+277.167+79.08+225.872+0+40+85+100+300)</f>
        <v>21.684574356255045</v>
      </c>
      <c r="AC490" s="46">
        <f>(M490*'RAP TEMPLATE-GAS AVAILABILITY'!O489+N490*'RAP TEMPLATE-GAS AVAILABILITY'!P489+O490*'RAP TEMPLATE-GAS AVAILABILITY'!Q489+P490*'RAP TEMPLATE-GAS AVAILABILITY'!R489)/('RAP TEMPLATE-GAS AVAILABILITY'!O489+'RAP TEMPLATE-GAS AVAILABILITY'!P489+'RAP TEMPLATE-GAS AVAILABILITY'!Q489+'RAP TEMPLATE-GAS AVAILABILITY'!R489)</f>
        <v>21.511859712230216</v>
      </c>
    </row>
    <row r="491" spans="1:29" ht="15.75" x14ac:dyDescent="0.25">
      <c r="A491" s="14">
        <v>55853</v>
      </c>
      <c r="B491" s="17">
        <f>CHOOSE(CONTROL!$C$42, 22.1733, 22.1733) * CHOOSE(CONTROL!$C$21, $C$9, 100%, $E$9)</f>
        <v>22.173300000000001</v>
      </c>
      <c r="C491" s="17">
        <f>CHOOSE(CONTROL!$C$42, 22.1784, 22.1784) * CHOOSE(CONTROL!$C$21, $C$9, 100%, $E$9)</f>
        <v>22.1784</v>
      </c>
      <c r="D491" s="17">
        <f>CHOOSE(CONTROL!$C$42, 22.301, 22.301) * CHOOSE(CONTROL!$C$21, $C$9, 100%, $E$9)</f>
        <v>22.300999999999998</v>
      </c>
      <c r="E491" s="17">
        <f>CHOOSE(CONTROL!$C$42, 22.3348, 22.3348) * CHOOSE(CONTROL!$C$21, $C$9, 100%, $E$9)</f>
        <v>22.334800000000001</v>
      </c>
      <c r="F491" s="17">
        <f>CHOOSE(CONTROL!$C$42, 22.1883, 22.1883)*CHOOSE(CONTROL!$C$21, $C$9, 100%, $E$9)</f>
        <v>22.188300000000002</v>
      </c>
      <c r="G491" s="17">
        <f>CHOOSE(CONTROL!$C$42, 22.205, 22.205)*CHOOSE(CONTROL!$C$21, $C$9, 100%, $E$9)</f>
        <v>22.204999999999998</v>
      </c>
      <c r="H491" s="17">
        <f>CHOOSE(CONTROL!$C$42, 22.3237, 22.3237) * CHOOSE(CONTROL!$C$21, $C$9, 100%, $E$9)</f>
        <v>22.323699999999999</v>
      </c>
      <c r="I491" s="17">
        <f>CHOOSE(CONTROL!$C$42, 22.2671, 22.2671)* CHOOSE(CONTROL!$C$21, $C$9, 100%, $E$9)</f>
        <v>22.267099999999999</v>
      </c>
      <c r="J491" s="17">
        <f>CHOOSE(CONTROL!$C$42, 22.1809, 22.1809)* CHOOSE(CONTROL!$C$21, $C$9, 100%, $E$9)</f>
        <v>22.180900000000001</v>
      </c>
      <c r="K491" s="53">
        <f>CHOOSE(CONTROL!$C$42, 22.261, 22.261) * CHOOSE(CONTROL!$C$21, $C$9, 100%, $E$9)</f>
        <v>22.260999999999999</v>
      </c>
      <c r="L491" s="17">
        <f>CHOOSE(CONTROL!$C$42, 22.9107, 22.9107) * CHOOSE(CONTROL!$C$21, $C$9, 100%, $E$9)</f>
        <v>22.910699999999999</v>
      </c>
      <c r="M491" s="17">
        <f>CHOOSE(CONTROL!$C$42, 21.9885, 21.9885) * CHOOSE(CONTROL!$C$21, $C$9, 100%, $E$9)</f>
        <v>21.988499999999998</v>
      </c>
      <c r="N491" s="17">
        <f>CHOOSE(CONTROL!$C$42, 22.005, 22.005) * CHOOSE(CONTROL!$C$21, $C$9, 100%, $E$9)</f>
        <v>22.004999999999999</v>
      </c>
      <c r="O491" s="17">
        <f>CHOOSE(CONTROL!$C$42, 22.1299, 22.1299) * CHOOSE(CONTROL!$C$21, $C$9, 100%, $E$9)</f>
        <v>22.129899999999999</v>
      </c>
      <c r="P491" s="17">
        <f>CHOOSE(CONTROL!$C$42, 22.0733, 22.0733) * CHOOSE(CONTROL!$C$21, $C$9, 100%, $E$9)</f>
        <v>22.0733</v>
      </c>
      <c r="Q491" s="17">
        <f>CHOOSE(CONTROL!$C$42, 22.7246, 22.7246) * CHOOSE(CONTROL!$C$21, $C$9, 100%, $E$9)</f>
        <v>22.724599999999999</v>
      </c>
      <c r="R491" s="17">
        <f>CHOOSE(CONTROL!$C$42, 23.3684, 23.3684) * CHOOSE(CONTROL!$C$21, $C$9, 100%, $E$9)</f>
        <v>23.368400000000001</v>
      </c>
      <c r="S491" s="17">
        <f>CHOOSE(CONTROL!$C$42, 21.492, 21.492) * CHOOSE(CONTROL!$C$21, $C$9, 100%, $E$9)</f>
        <v>21.492000000000001</v>
      </c>
      <c r="T491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491" s="57">
        <f>(1000*CHOOSE(CONTROL!$C$42, 695, 695)*CHOOSE(CONTROL!$C$42, 0.5599, 0.5599)*CHOOSE(CONTROL!$C$42, 30, 30))/1000000</f>
        <v>11.673914999999997</v>
      </c>
      <c r="V491" s="57">
        <f>(1000*CHOOSE(CONTROL!$C$42, 500, 500)*CHOOSE(CONTROL!$C$42, 0.275, 0.275)*CHOOSE(CONTROL!$C$42, 30, 30))/1000000</f>
        <v>4.125</v>
      </c>
      <c r="W491" s="57">
        <f>(1000*CHOOSE(CONTROL!$C$42, 0.0916, 0.0916)*CHOOSE(CONTROL!$C$42, 121.5, 121.5)*CHOOSE(CONTROL!$C$42, 30, 30))/1000000</f>
        <v>0.33388200000000001</v>
      </c>
      <c r="X491" s="57">
        <f>(30*0.2374*100000/1000000)</f>
        <v>0.71220000000000006</v>
      </c>
      <c r="Y491" s="57"/>
      <c r="Z491" s="17"/>
      <c r="AA491" s="56"/>
      <c r="AB491" s="49">
        <f>(B491*122.58+C491*297.941+D491*89.177+E491*140.302+F491*40+G491*60+H491*0+I491*100+J491*300)/(122.58+297.941+89.177+140.302+0+40+60+100+300)</f>
        <v>22.216541891304345</v>
      </c>
      <c r="AC491" s="46">
        <f>(M491*'RAP TEMPLATE-GAS AVAILABILITY'!O490+N491*'RAP TEMPLATE-GAS AVAILABILITY'!P490+O491*'RAP TEMPLATE-GAS AVAILABILITY'!Q490+P491*'RAP TEMPLATE-GAS AVAILABILITY'!R490)/('RAP TEMPLATE-GAS AVAILABILITY'!O490+'RAP TEMPLATE-GAS AVAILABILITY'!P490+'RAP TEMPLATE-GAS AVAILABILITY'!Q490+'RAP TEMPLATE-GAS AVAILABILITY'!R490)</f>
        <v>22.065738848920862</v>
      </c>
    </row>
    <row r="492" spans="1:29" ht="15.75" x14ac:dyDescent="0.25">
      <c r="A492" s="14">
        <v>55884</v>
      </c>
      <c r="B492" s="17">
        <f>CHOOSE(CONTROL!$C$42, 23.6844, 23.6844) * CHOOSE(CONTROL!$C$21, $C$9, 100%, $E$9)</f>
        <v>23.6844</v>
      </c>
      <c r="C492" s="17">
        <f>CHOOSE(CONTROL!$C$42, 23.6895, 23.6895) * CHOOSE(CONTROL!$C$21, $C$9, 100%, $E$9)</f>
        <v>23.689499999999999</v>
      </c>
      <c r="D492" s="17">
        <f>CHOOSE(CONTROL!$C$42, 23.8121, 23.8121) * CHOOSE(CONTROL!$C$21, $C$9, 100%, $E$9)</f>
        <v>23.812100000000001</v>
      </c>
      <c r="E492" s="17">
        <f>CHOOSE(CONTROL!$C$42, 23.8458, 23.8458) * CHOOSE(CONTROL!$C$21, $C$9, 100%, $E$9)</f>
        <v>23.845800000000001</v>
      </c>
      <c r="F492" s="17">
        <f>CHOOSE(CONTROL!$C$42, 23.7018, 23.7018)*CHOOSE(CONTROL!$C$21, $C$9, 100%, $E$9)</f>
        <v>23.701799999999999</v>
      </c>
      <c r="G492" s="17">
        <f>CHOOSE(CONTROL!$C$42, 23.7191, 23.7191)*CHOOSE(CONTROL!$C$21, $C$9, 100%, $E$9)</f>
        <v>23.719100000000001</v>
      </c>
      <c r="H492" s="17">
        <f>CHOOSE(CONTROL!$C$42, 23.8347, 23.8347) * CHOOSE(CONTROL!$C$21, $C$9, 100%, $E$9)</f>
        <v>23.834700000000002</v>
      </c>
      <c r="I492" s="17">
        <f>CHOOSE(CONTROL!$C$42, 23.7828, 23.7828)* CHOOSE(CONTROL!$C$21, $C$9, 100%, $E$9)</f>
        <v>23.782800000000002</v>
      </c>
      <c r="J492" s="17">
        <f>CHOOSE(CONTROL!$C$42, 23.6944, 23.6944)* CHOOSE(CONTROL!$C$21, $C$9, 100%, $E$9)</f>
        <v>23.694400000000002</v>
      </c>
      <c r="K492" s="53">
        <f>CHOOSE(CONTROL!$C$42, 23.7768, 23.7768) * CHOOSE(CONTROL!$C$21, $C$9, 100%, $E$9)</f>
        <v>23.776800000000001</v>
      </c>
      <c r="L492" s="17">
        <f>CHOOSE(CONTROL!$C$42, 24.4217, 24.4217) * CHOOSE(CONTROL!$C$21, $C$9, 100%, $E$9)</f>
        <v>24.421700000000001</v>
      </c>
      <c r="M492" s="17">
        <f>CHOOSE(CONTROL!$C$42, 23.4883, 23.4883) * CHOOSE(CONTROL!$C$21, $C$9, 100%, $E$9)</f>
        <v>23.488299999999999</v>
      </c>
      <c r="N492" s="17">
        <f>CHOOSE(CONTROL!$C$42, 23.5055, 23.5055) * CHOOSE(CONTROL!$C$21, $C$9, 100%, $E$9)</f>
        <v>23.505500000000001</v>
      </c>
      <c r="O492" s="17">
        <f>CHOOSE(CONTROL!$C$42, 23.6274, 23.6274) * CHOOSE(CONTROL!$C$21, $C$9, 100%, $E$9)</f>
        <v>23.627400000000002</v>
      </c>
      <c r="P492" s="17">
        <f>CHOOSE(CONTROL!$C$42, 23.5753, 23.5753) * CHOOSE(CONTROL!$C$21, $C$9, 100%, $E$9)</f>
        <v>23.575299999999999</v>
      </c>
      <c r="Q492" s="17">
        <f>CHOOSE(CONTROL!$C$42, 24.2221, 24.2221) * CHOOSE(CONTROL!$C$21, $C$9, 100%, $E$9)</f>
        <v>24.222100000000001</v>
      </c>
      <c r="R492" s="17">
        <f>CHOOSE(CONTROL!$C$42, 24.8696, 24.8696) * CHOOSE(CONTROL!$C$21, $C$9, 100%, $E$9)</f>
        <v>24.869599999999998</v>
      </c>
      <c r="S492" s="17">
        <f>CHOOSE(CONTROL!$C$42, 22.9572, 22.9572) * CHOOSE(CONTROL!$C$21, $C$9, 100%, $E$9)</f>
        <v>22.9572</v>
      </c>
      <c r="T492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492" s="57">
        <f>(1000*CHOOSE(CONTROL!$C$42, 695, 695)*CHOOSE(CONTROL!$C$42, 0.5599, 0.5599)*CHOOSE(CONTROL!$C$42, 31, 31))/1000000</f>
        <v>12.063045499999998</v>
      </c>
      <c r="V492" s="57">
        <f>(1000*CHOOSE(CONTROL!$C$42, 500, 500)*CHOOSE(CONTROL!$C$42, 0.275, 0.275)*CHOOSE(CONTROL!$C$42, 31, 31))/1000000</f>
        <v>4.2625000000000002</v>
      </c>
      <c r="W492" s="57">
        <f>(1000*CHOOSE(CONTROL!$C$42, 0.0916, 0.0916)*CHOOSE(CONTROL!$C$42, 121.5, 121.5)*CHOOSE(CONTROL!$C$42, 31, 31))/1000000</f>
        <v>0.34501139999999997</v>
      </c>
      <c r="X492" s="57">
        <f>(31*0.2374*100000/1000000)</f>
        <v>0.73594000000000004</v>
      </c>
      <c r="Y492" s="57"/>
      <c r="Z492" s="17"/>
      <c r="AA492" s="56"/>
      <c r="AB492" s="49">
        <f>(B492*122.58+C492*297.941+D492*89.177+E492*140.302+F492*40+G492*60+H492*0+I492*100+J492*300)/(122.58+297.941+89.177+140.302+0+40+60+100+300)</f>
        <v>23.728895778086958</v>
      </c>
      <c r="AC492" s="46">
        <f>(M492*'RAP TEMPLATE-GAS AVAILABILITY'!O491+N492*'RAP TEMPLATE-GAS AVAILABILITY'!P491+O492*'RAP TEMPLATE-GAS AVAILABILITY'!Q491+P492*'RAP TEMPLATE-GAS AVAILABILITY'!R491)/('RAP TEMPLATE-GAS AVAILABILITY'!O491+'RAP TEMPLATE-GAS AVAILABILITY'!P491+'RAP TEMPLATE-GAS AVAILABILITY'!Q491+'RAP TEMPLATE-GAS AVAILABILITY'!R491)</f>
        <v>23.564853237410073</v>
      </c>
    </row>
    <row r="493" spans="1:29" ht="15.75" x14ac:dyDescent="0.25">
      <c r="A493" s="14">
        <v>55915</v>
      </c>
      <c r="B493" s="17">
        <f>CHOOSE(CONTROL!$C$42, 25.6469, 25.6469) * CHOOSE(CONTROL!$C$21, $C$9, 100%, $E$9)</f>
        <v>25.646899999999999</v>
      </c>
      <c r="C493" s="17">
        <f>CHOOSE(CONTROL!$C$42, 25.652, 25.652) * CHOOSE(CONTROL!$C$21, $C$9, 100%, $E$9)</f>
        <v>25.652000000000001</v>
      </c>
      <c r="D493" s="17">
        <f>CHOOSE(CONTROL!$C$42, 25.7695, 25.7695) * CHOOSE(CONTROL!$C$21, $C$9, 100%, $E$9)</f>
        <v>25.769500000000001</v>
      </c>
      <c r="E493" s="17">
        <f>CHOOSE(CONTROL!$C$42, 25.8032, 25.8032) * CHOOSE(CONTROL!$C$21, $C$9, 100%, $E$9)</f>
        <v>25.8032</v>
      </c>
      <c r="F493" s="17">
        <f>CHOOSE(CONTROL!$C$42, 25.6606, 25.6606)*CHOOSE(CONTROL!$C$21, $C$9, 100%, $E$9)</f>
        <v>25.660599999999999</v>
      </c>
      <c r="G493" s="17">
        <f>CHOOSE(CONTROL!$C$42, 25.6769, 25.6769)*CHOOSE(CONTROL!$C$21, $C$9, 100%, $E$9)</f>
        <v>25.6769</v>
      </c>
      <c r="H493" s="17">
        <f>CHOOSE(CONTROL!$C$42, 25.7921, 25.7921) * CHOOSE(CONTROL!$C$21, $C$9, 100%, $E$9)</f>
        <v>25.792100000000001</v>
      </c>
      <c r="I493" s="17">
        <f>CHOOSE(CONTROL!$C$42, 25.7499, 25.7499)* CHOOSE(CONTROL!$C$21, $C$9, 100%, $E$9)</f>
        <v>25.7499</v>
      </c>
      <c r="J493" s="17">
        <f>CHOOSE(CONTROL!$C$42, 25.6532, 25.6532)* CHOOSE(CONTROL!$C$21, $C$9, 100%, $E$9)</f>
        <v>25.653199999999998</v>
      </c>
      <c r="K493" s="53">
        <f>CHOOSE(CONTROL!$C$42, 25.7439, 25.7439) * CHOOSE(CONTROL!$C$21, $C$9, 100%, $E$9)</f>
        <v>25.7439</v>
      </c>
      <c r="L493" s="17">
        <f>CHOOSE(CONTROL!$C$42, 26.3791, 26.3791) * CHOOSE(CONTROL!$C$21, $C$9, 100%, $E$9)</f>
        <v>26.379100000000001</v>
      </c>
      <c r="M493" s="17">
        <f>CHOOSE(CONTROL!$C$42, 25.4295, 25.4295) * CHOOSE(CONTROL!$C$21, $C$9, 100%, $E$9)</f>
        <v>25.429500000000001</v>
      </c>
      <c r="N493" s="17">
        <f>CHOOSE(CONTROL!$C$42, 25.4456, 25.4456) * CHOOSE(CONTROL!$C$21, $C$9, 100%, $E$9)</f>
        <v>25.445599999999999</v>
      </c>
      <c r="O493" s="17">
        <f>CHOOSE(CONTROL!$C$42, 25.5672, 25.5672) * CHOOSE(CONTROL!$C$21, $C$9, 100%, $E$9)</f>
        <v>25.5672</v>
      </c>
      <c r="P493" s="17">
        <f>CHOOSE(CONTROL!$C$42, 25.5247, 25.5247) * CHOOSE(CONTROL!$C$21, $C$9, 100%, $E$9)</f>
        <v>25.524699999999999</v>
      </c>
      <c r="Q493" s="17">
        <f>CHOOSE(CONTROL!$C$42, 26.1619, 26.1619) * CHOOSE(CONTROL!$C$21, $C$9, 100%, $E$9)</f>
        <v>26.161899999999999</v>
      </c>
      <c r="R493" s="17">
        <f>CHOOSE(CONTROL!$C$42, 26.8143, 26.8143) * CHOOSE(CONTROL!$C$21, $C$9, 100%, $E$9)</f>
        <v>26.814299999999999</v>
      </c>
      <c r="S493" s="17">
        <f>CHOOSE(CONTROL!$C$42, 24.8603, 24.8603) * CHOOSE(CONTROL!$C$21, $C$9, 100%, $E$9)</f>
        <v>24.860299999999999</v>
      </c>
      <c r="T493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493" s="57">
        <f>(1000*CHOOSE(CONTROL!$C$42, 695, 695)*CHOOSE(CONTROL!$C$42, 0.5599, 0.5599)*CHOOSE(CONTROL!$C$42, 31, 31))/1000000</f>
        <v>12.063045499999998</v>
      </c>
      <c r="V493" s="57">
        <f>(1000*CHOOSE(CONTROL!$C$42, 500, 500)*CHOOSE(CONTROL!$C$42, 0.275, 0.275)*CHOOSE(CONTROL!$C$42, 31, 31))/1000000</f>
        <v>4.2625000000000002</v>
      </c>
      <c r="W493" s="57">
        <f>(1000*CHOOSE(CONTROL!$C$42, 0.0916, 0.0916)*CHOOSE(CONTROL!$C$42, 121.5, 121.5)*CHOOSE(CONTROL!$C$42, 31, 31))/1000000</f>
        <v>0.34501139999999997</v>
      </c>
      <c r="X493" s="57">
        <f>(31*0.2374*100000/1000000)</f>
        <v>0.73594000000000004</v>
      </c>
      <c r="Y493" s="57"/>
      <c r="Z493" s="17"/>
      <c r="AA493" s="56"/>
      <c r="AB493" s="49">
        <f>(B493*122.58+C493*297.941+D493*89.177+E493*140.302+F493*40+G493*60+H493*0+I493*100+J493*300)/(122.58+297.941+89.177+140.302+0+40+60+100+300)</f>
        <v>25.689438958173913</v>
      </c>
      <c r="AC493" s="46">
        <f>(M493*'RAP TEMPLATE-GAS AVAILABILITY'!O492+N493*'RAP TEMPLATE-GAS AVAILABILITY'!P492+O493*'RAP TEMPLATE-GAS AVAILABILITY'!Q492+P493*'RAP TEMPLATE-GAS AVAILABILITY'!R492)/('RAP TEMPLATE-GAS AVAILABILITY'!O492+'RAP TEMPLATE-GAS AVAILABILITY'!P492+'RAP TEMPLATE-GAS AVAILABILITY'!Q492+'RAP TEMPLATE-GAS AVAILABILITY'!R492)</f>
        <v>25.506535251798564</v>
      </c>
    </row>
    <row r="494" spans="1:29" ht="15.75" x14ac:dyDescent="0.25">
      <c r="A494" s="14">
        <v>55943</v>
      </c>
      <c r="B494" s="17">
        <f>CHOOSE(CONTROL!$C$42, 26.1033, 26.1033) * CHOOSE(CONTROL!$C$21, $C$9, 100%, $E$9)</f>
        <v>26.103300000000001</v>
      </c>
      <c r="C494" s="17">
        <f>CHOOSE(CONTROL!$C$42, 26.1084, 26.1084) * CHOOSE(CONTROL!$C$21, $C$9, 100%, $E$9)</f>
        <v>26.1084</v>
      </c>
      <c r="D494" s="17">
        <f>CHOOSE(CONTROL!$C$42, 26.2259, 26.2259) * CHOOSE(CONTROL!$C$21, $C$9, 100%, $E$9)</f>
        <v>26.225899999999999</v>
      </c>
      <c r="E494" s="17">
        <f>CHOOSE(CONTROL!$C$42, 26.2596, 26.2596) * CHOOSE(CONTROL!$C$21, $C$9, 100%, $E$9)</f>
        <v>26.259599999999999</v>
      </c>
      <c r="F494" s="17">
        <f>CHOOSE(CONTROL!$C$42, 26.117, 26.117)*CHOOSE(CONTROL!$C$21, $C$9, 100%, $E$9)</f>
        <v>26.117000000000001</v>
      </c>
      <c r="G494" s="17">
        <f>CHOOSE(CONTROL!$C$42, 26.1333, 26.1333)*CHOOSE(CONTROL!$C$21, $C$9, 100%, $E$9)</f>
        <v>26.133299999999998</v>
      </c>
      <c r="H494" s="17">
        <f>CHOOSE(CONTROL!$C$42, 26.2485, 26.2485) * CHOOSE(CONTROL!$C$21, $C$9, 100%, $E$9)</f>
        <v>26.2485</v>
      </c>
      <c r="I494" s="17">
        <f>CHOOSE(CONTROL!$C$42, 26.2077, 26.2077)* CHOOSE(CONTROL!$C$21, $C$9, 100%, $E$9)</f>
        <v>26.207699999999999</v>
      </c>
      <c r="J494" s="17">
        <f>CHOOSE(CONTROL!$C$42, 26.1096, 26.1096)* CHOOSE(CONTROL!$C$21, $C$9, 100%, $E$9)</f>
        <v>26.1096</v>
      </c>
      <c r="K494" s="53">
        <f>CHOOSE(CONTROL!$C$42, 26.2017, 26.2017) * CHOOSE(CONTROL!$C$21, $C$9, 100%, $E$9)</f>
        <v>26.201699999999999</v>
      </c>
      <c r="L494" s="17">
        <f>CHOOSE(CONTROL!$C$42, 26.8355, 26.8355) * CHOOSE(CONTROL!$C$21, $C$9, 100%, $E$9)</f>
        <v>26.8355</v>
      </c>
      <c r="M494" s="17">
        <f>CHOOSE(CONTROL!$C$42, 25.8817, 25.8817) * CHOOSE(CONTROL!$C$21, $C$9, 100%, $E$9)</f>
        <v>25.881699999999999</v>
      </c>
      <c r="N494" s="17">
        <f>CHOOSE(CONTROL!$C$42, 25.8979, 25.8979) * CHOOSE(CONTROL!$C$21, $C$9, 100%, $E$9)</f>
        <v>25.8979</v>
      </c>
      <c r="O494" s="17">
        <f>CHOOSE(CONTROL!$C$42, 26.0194, 26.0194) * CHOOSE(CONTROL!$C$21, $C$9, 100%, $E$9)</f>
        <v>26.019400000000001</v>
      </c>
      <c r="P494" s="17">
        <f>CHOOSE(CONTROL!$C$42, 25.9784, 25.9784) * CHOOSE(CONTROL!$C$21, $C$9, 100%, $E$9)</f>
        <v>25.978400000000001</v>
      </c>
      <c r="Q494" s="17">
        <f>CHOOSE(CONTROL!$C$42, 26.6141, 26.6141) * CHOOSE(CONTROL!$C$21, $C$9, 100%, $E$9)</f>
        <v>26.614100000000001</v>
      </c>
      <c r="R494" s="17">
        <f>CHOOSE(CONTROL!$C$42, 27.2677, 27.2677) * CHOOSE(CONTROL!$C$21, $C$9, 100%, $E$9)</f>
        <v>27.267700000000001</v>
      </c>
      <c r="S494" s="17">
        <f>CHOOSE(CONTROL!$C$42, 25.3029, 25.3029) * CHOOSE(CONTROL!$C$21, $C$9, 100%, $E$9)</f>
        <v>25.302900000000001</v>
      </c>
      <c r="T494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494" s="57">
        <f>(1000*CHOOSE(CONTROL!$C$42, 695, 695)*CHOOSE(CONTROL!$C$42, 0.5599, 0.5599)*CHOOSE(CONTROL!$C$42, 28, 28))/1000000</f>
        <v>10.895653999999999</v>
      </c>
      <c r="V494" s="57">
        <f>(1000*CHOOSE(CONTROL!$C$42, 500, 500)*CHOOSE(CONTROL!$C$42, 0.275, 0.275)*CHOOSE(CONTROL!$C$42, 28, 28))/1000000</f>
        <v>3.85</v>
      </c>
      <c r="W494" s="57">
        <f>(1000*CHOOSE(CONTROL!$C$42, 0.0916, 0.0916)*CHOOSE(CONTROL!$C$42, 121.5, 121.5)*CHOOSE(CONTROL!$C$42, 28, 28))/1000000</f>
        <v>0.31162319999999999</v>
      </c>
      <c r="X494" s="57">
        <f>(28*0.2374*100000/1000000)</f>
        <v>0.66471999999999998</v>
      </c>
      <c r="Y494" s="57"/>
      <c r="Z494" s="17"/>
      <c r="AA494" s="56"/>
      <c r="AB494" s="49">
        <f>(B494*122.58+C494*297.941+D494*89.177+E494*140.302+F494*40+G494*60+H494*0+I494*100+J494*300)/(122.58+297.941+89.177+140.302+0+40+60+100+300)</f>
        <v>26.14596069730435</v>
      </c>
      <c r="AC494" s="46">
        <f>(M494*'RAP TEMPLATE-GAS AVAILABILITY'!O493+N494*'RAP TEMPLATE-GAS AVAILABILITY'!P493+O494*'RAP TEMPLATE-GAS AVAILABILITY'!Q493+P494*'RAP TEMPLATE-GAS AVAILABILITY'!R493)/('RAP TEMPLATE-GAS AVAILABILITY'!O493+'RAP TEMPLATE-GAS AVAILABILITY'!P493+'RAP TEMPLATE-GAS AVAILABILITY'!Q493+'RAP TEMPLATE-GAS AVAILABILITY'!R493)</f>
        <v>25.958956834532373</v>
      </c>
    </row>
    <row r="495" spans="1:29" ht="15.75" x14ac:dyDescent="0.25">
      <c r="A495" s="14">
        <v>55974</v>
      </c>
      <c r="B495" s="17">
        <f>CHOOSE(CONTROL!$C$42, 25.3625, 25.3625) * CHOOSE(CONTROL!$C$21, $C$9, 100%, $E$9)</f>
        <v>25.362500000000001</v>
      </c>
      <c r="C495" s="17">
        <f>CHOOSE(CONTROL!$C$42, 25.3676, 25.3676) * CHOOSE(CONTROL!$C$21, $C$9, 100%, $E$9)</f>
        <v>25.367599999999999</v>
      </c>
      <c r="D495" s="17">
        <f>CHOOSE(CONTROL!$C$42, 25.4851, 25.4851) * CHOOSE(CONTROL!$C$21, $C$9, 100%, $E$9)</f>
        <v>25.485099999999999</v>
      </c>
      <c r="E495" s="17">
        <f>CHOOSE(CONTROL!$C$42, 25.5188, 25.5188) * CHOOSE(CONTROL!$C$21, $C$9, 100%, $E$9)</f>
        <v>25.518799999999999</v>
      </c>
      <c r="F495" s="17">
        <f>CHOOSE(CONTROL!$C$42, 25.3755, 25.3755)*CHOOSE(CONTROL!$C$21, $C$9, 100%, $E$9)</f>
        <v>25.375499999999999</v>
      </c>
      <c r="G495" s="17">
        <f>CHOOSE(CONTROL!$C$42, 25.3917, 25.3917)*CHOOSE(CONTROL!$C$21, $C$9, 100%, $E$9)</f>
        <v>25.3917</v>
      </c>
      <c r="H495" s="17">
        <f>CHOOSE(CONTROL!$C$42, 25.5077, 25.5077) * CHOOSE(CONTROL!$C$21, $C$9, 100%, $E$9)</f>
        <v>25.5077</v>
      </c>
      <c r="I495" s="17">
        <f>CHOOSE(CONTROL!$C$42, 25.4646, 25.4646)* CHOOSE(CONTROL!$C$21, $C$9, 100%, $E$9)</f>
        <v>25.464600000000001</v>
      </c>
      <c r="J495" s="17">
        <f>CHOOSE(CONTROL!$C$42, 25.3681, 25.3681)* CHOOSE(CONTROL!$C$21, $C$9, 100%, $E$9)</f>
        <v>25.368099999999998</v>
      </c>
      <c r="K495" s="53">
        <f>CHOOSE(CONTROL!$C$42, 25.4586, 25.4586) * CHOOSE(CONTROL!$C$21, $C$9, 100%, $E$9)</f>
        <v>25.458600000000001</v>
      </c>
      <c r="L495" s="17">
        <f>CHOOSE(CONTROL!$C$42, 26.0947, 26.0947) * CHOOSE(CONTROL!$C$21, $C$9, 100%, $E$9)</f>
        <v>26.0947</v>
      </c>
      <c r="M495" s="17">
        <f>CHOOSE(CONTROL!$C$42, 25.147, 25.147) * CHOOSE(CONTROL!$C$21, $C$9, 100%, $E$9)</f>
        <v>25.146999999999998</v>
      </c>
      <c r="N495" s="17">
        <f>CHOOSE(CONTROL!$C$42, 25.163, 25.163) * CHOOSE(CONTROL!$C$21, $C$9, 100%, $E$9)</f>
        <v>25.163</v>
      </c>
      <c r="O495" s="17">
        <f>CHOOSE(CONTROL!$C$42, 25.2853, 25.2853) * CHOOSE(CONTROL!$C$21, $C$9, 100%, $E$9)</f>
        <v>25.285299999999999</v>
      </c>
      <c r="P495" s="17">
        <f>CHOOSE(CONTROL!$C$42, 25.242, 25.242) * CHOOSE(CONTROL!$C$21, $C$9, 100%, $E$9)</f>
        <v>25.242000000000001</v>
      </c>
      <c r="Q495" s="17">
        <f>CHOOSE(CONTROL!$C$42, 25.88, 25.88) * CHOOSE(CONTROL!$C$21, $C$9, 100%, $E$9)</f>
        <v>25.88</v>
      </c>
      <c r="R495" s="17">
        <f>CHOOSE(CONTROL!$C$42, 26.5317, 26.5317) * CHOOSE(CONTROL!$C$21, $C$9, 100%, $E$9)</f>
        <v>26.531700000000001</v>
      </c>
      <c r="S495" s="17">
        <f>CHOOSE(CONTROL!$C$42, 24.5845, 24.5845) * CHOOSE(CONTROL!$C$21, $C$9, 100%, $E$9)</f>
        <v>24.584499999999998</v>
      </c>
      <c r="T495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495" s="57">
        <f>(1000*CHOOSE(CONTROL!$C$42, 695, 695)*CHOOSE(CONTROL!$C$42, 0.5599, 0.5599)*CHOOSE(CONTROL!$C$42, 31, 31))/1000000</f>
        <v>12.063045499999998</v>
      </c>
      <c r="V495" s="57">
        <f>(1000*CHOOSE(CONTROL!$C$42, 500, 500)*CHOOSE(CONTROL!$C$42, 0.275, 0.275)*CHOOSE(CONTROL!$C$42, 31, 31))/1000000</f>
        <v>4.2625000000000002</v>
      </c>
      <c r="W495" s="57">
        <f>(1000*CHOOSE(CONTROL!$C$42, 0.0916, 0.0916)*CHOOSE(CONTROL!$C$42, 121.5, 121.5)*CHOOSE(CONTROL!$C$42, 31, 31))/1000000</f>
        <v>0.34501139999999997</v>
      </c>
      <c r="X495" s="57">
        <f>(31*0.2374*100000/1000000)</f>
        <v>0.73594000000000004</v>
      </c>
      <c r="Y495" s="57"/>
      <c r="Z495" s="17"/>
      <c r="AA495" s="56"/>
      <c r="AB495" s="49">
        <f>(B495*122.58+C495*297.941+D495*89.177+E495*140.302+F495*40+G495*60+H495*0+I495*100+J495*300)/(122.58+297.941+89.177+140.302+0+40+60+100+300)</f>
        <v>25.404712001652172</v>
      </c>
      <c r="AC495" s="46">
        <f>(M495*'RAP TEMPLATE-GAS AVAILABILITY'!O494+N495*'RAP TEMPLATE-GAS AVAILABILITY'!P494+O495*'RAP TEMPLATE-GAS AVAILABILITY'!Q494+P495*'RAP TEMPLATE-GAS AVAILABILITY'!R494)/('RAP TEMPLATE-GAS AVAILABILITY'!O494+'RAP TEMPLATE-GAS AVAILABILITY'!P494+'RAP TEMPLATE-GAS AVAILABILITY'!Q494+'RAP TEMPLATE-GAS AVAILABILITY'!R494)</f>
        <v>25.224272661870504</v>
      </c>
    </row>
    <row r="496" spans="1:29" ht="15.75" x14ac:dyDescent="0.25">
      <c r="A496" s="14">
        <v>56004</v>
      </c>
      <c r="B496" s="17">
        <f>CHOOSE(CONTROL!$C$42, 25.2876, 25.2876) * CHOOSE(CONTROL!$C$21, $C$9, 100%, $E$9)</f>
        <v>25.287600000000001</v>
      </c>
      <c r="C496" s="17">
        <f>CHOOSE(CONTROL!$C$42, 25.2921, 25.2921) * CHOOSE(CONTROL!$C$21, $C$9, 100%, $E$9)</f>
        <v>25.292100000000001</v>
      </c>
      <c r="D496" s="17">
        <f>CHOOSE(CONTROL!$C$42, 25.5448, 25.5448) * CHOOSE(CONTROL!$C$21, $C$9, 100%, $E$9)</f>
        <v>25.544799999999999</v>
      </c>
      <c r="E496" s="17">
        <f>CHOOSE(CONTROL!$C$42, 25.5766, 25.5766) * CHOOSE(CONTROL!$C$21, $C$9, 100%, $E$9)</f>
        <v>25.576599999999999</v>
      </c>
      <c r="F496" s="17">
        <f>CHOOSE(CONTROL!$C$42, 25.2936, 25.2936)*CHOOSE(CONTROL!$C$21, $C$9, 100%, $E$9)</f>
        <v>25.293600000000001</v>
      </c>
      <c r="G496" s="17">
        <f>CHOOSE(CONTROL!$C$42, 25.3094, 25.3094)*CHOOSE(CONTROL!$C$21, $C$9, 100%, $E$9)</f>
        <v>25.3094</v>
      </c>
      <c r="H496" s="17">
        <f>CHOOSE(CONTROL!$C$42, 25.5661, 25.5661) * CHOOSE(CONTROL!$C$21, $C$9, 100%, $E$9)</f>
        <v>25.566099999999999</v>
      </c>
      <c r="I496" s="17">
        <f>CHOOSE(CONTROL!$C$42, 25.3877, 25.3877)* CHOOSE(CONTROL!$C$21, $C$9, 100%, $E$9)</f>
        <v>25.387699999999999</v>
      </c>
      <c r="J496" s="17">
        <f>CHOOSE(CONTROL!$C$42, 25.2862, 25.2862)* CHOOSE(CONTROL!$C$21, $C$9, 100%, $E$9)</f>
        <v>25.286200000000001</v>
      </c>
      <c r="K496" s="53">
        <f>CHOOSE(CONTROL!$C$42, 25.3816, 25.3816) * CHOOSE(CONTROL!$C$21, $C$9, 100%, $E$9)</f>
        <v>25.381599999999999</v>
      </c>
      <c r="L496" s="17">
        <f>CHOOSE(CONTROL!$C$42, 26.1531, 26.1531) * CHOOSE(CONTROL!$C$21, $C$9, 100%, $E$9)</f>
        <v>26.153099999999998</v>
      </c>
      <c r="M496" s="17">
        <f>CHOOSE(CONTROL!$C$42, 25.0658, 25.0658) * CHOOSE(CONTROL!$C$21, $C$9, 100%, $E$9)</f>
        <v>25.065799999999999</v>
      </c>
      <c r="N496" s="17">
        <f>CHOOSE(CONTROL!$C$42, 25.0815, 25.0815) * CHOOSE(CONTROL!$C$21, $C$9, 100%, $E$9)</f>
        <v>25.081499999999998</v>
      </c>
      <c r="O496" s="17">
        <f>CHOOSE(CONTROL!$C$42, 25.3432, 25.3432) * CHOOSE(CONTROL!$C$21, $C$9, 100%, $E$9)</f>
        <v>25.3432</v>
      </c>
      <c r="P496" s="17">
        <f>CHOOSE(CONTROL!$C$42, 25.1657, 25.1657) * CHOOSE(CONTROL!$C$21, $C$9, 100%, $E$9)</f>
        <v>25.165700000000001</v>
      </c>
      <c r="Q496" s="17">
        <f>CHOOSE(CONTROL!$C$42, 25.9379, 25.9379) * CHOOSE(CONTROL!$C$21, $C$9, 100%, $E$9)</f>
        <v>25.937899999999999</v>
      </c>
      <c r="R496" s="17">
        <f>CHOOSE(CONTROL!$C$42, 26.5897, 26.5897) * CHOOSE(CONTROL!$C$21, $C$9, 100%, $E$9)</f>
        <v>26.589700000000001</v>
      </c>
      <c r="S496" s="17">
        <f>CHOOSE(CONTROL!$C$42, 24.5111, 24.5111) * CHOOSE(CONTROL!$C$21, $C$9, 100%, $E$9)</f>
        <v>24.511099999999999</v>
      </c>
      <c r="T496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496" s="57">
        <f>(1000*CHOOSE(CONTROL!$C$42, 695, 695)*CHOOSE(CONTROL!$C$42, 0.5599, 0.5599)*CHOOSE(CONTROL!$C$42, 30, 30))/1000000</f>
        <v>11.673914999999997</v>
      </c>
      <c r="V496" s="57">
        <f>(1000*CHOOSE(CONTROL!$C$42, 500, 500)*CHOOSE(CONTROL!$C$42, 0.275, 0.275)*CHOOSE(CONTROL!$C$42, 30, 30))/1000000</f>
        <v>4.125</v>
      </c>
      <c r="W496" s="57">
        <f>(1000*CHOOSE(CONTROL!$C$42, 0.0916, 0.0916)*CHOOSE(CONTROL!$C$42, 121.5, 121.5)*CHOOSE(CONTROL!$C$42, 30, 30))/1000000</f>
        <v>0.33388200000000001</v>
      </c>
      <c r="X496" s="57">
        <f>(30*0.1790888*145000/1000000)+(30*0.2374*100000/1000000)</f>
        <v>1.4912362799999999</v>
      </c>
      <c r="Y496" s="57"/>
      <c r="Z496" s="17"/>
      <c r="AA496" s="56"/>
      <c r="AB496" s="49">
        <f>(B496*141.293+C496*267.993+D496*115.016+E496*189.698+F496*40+G496*85+H496*0+I496*100+J496*300)/(141.293+267.993+115.016+189.698+0+40+85+100+300)</f>
        <v>25.366126074011298</v>
      </c>
      <c r="AC496" s="46">
        <f>(M496*'RAP TEMPLATE-GAS AVAILABILITY'!O495+N496*'RAP TEMPLATE-GAS AVAILABILITY'!P495+O496*'RAP TEMPLATE-GAS AVAILABILITY'!Q495+P496*'RAP TEMPLATE-GAS AVAILABILITY'!R495)/('RAP TEMPLATE-GAS AVAILABILITY'!O495+'RAP TEMPLATE-GAS AVAILABILITY'!P495+'RAP TEMPLATE-GAS AVAILABILITY'!Q495+'RAP TEMPLATE-GAS AVAILABILITY'!R495)</f>
        <v>25.161620143884889</v>
      </c>
    </row>
    <row r="497" spans="1:29" ht="15.75" x14ac:dyDescent="0.25">
      <c r="A497" s="14">
        <v>56035</v>
      </c>
      <c r="B497" s="17">
        <f>CHOOSE(CONTROL!$C$42, 25.5121, 25.5121) * CHOOSE(CONTROL!$C$21, $C$9, 100%, $E$9)</f>
        <v>25.5121</v>
      </c>
      <c r="C497" s="17">
        <f>CHOOSE(CONTROL!$C$42, 25.52, 25.52) * CHOOSE(CONTROL!$C$21, $C$9, 100%, $E$9)</f>
        <v>25.52</v>
      </c>
      <c r="D497" s="17">
        <f>CHOOSE(CONTROL!$C$42, 25.7697, 25.7697) * CHOOSE(CONTROL!$C$21, $C$9, 100%, $E$9)</f>
        <v>25.7697</v>
      </c>
      <c r="E497" s="17">
        <f>CHOOSE(CONTROL!$C$42, 25.8008, 25.8008) * CHOOSE(CONTROL!$C$21, $C$9, 100%, $E$9)</f>
        <v>25.800799999999999</v>
      </c>
      <c r="F497" s="17">
        <f>CHOOSE(CONTROL!$C$42, 25.5169, 25.5169)*CHOOSE(CONTROL!$C$21, $C$9, 100%, $E$9)</f>
        <v>25.5169</v>
      </c>
      <c r="G497" s="17">
        <f>CHOOSE(CONTROL!$C$42, 25.533, 25.533)*CHOOSE(CONTROL!$C$21, $C$9, 100%, $E$9)</f>
        <v>25.533000000000001</v>
      </c>
      <c r="H497" s="17">
        <f>CHOOSE(CONTROL!$C$42, 25.7892, 25.7892) * CHOOSE(CONTROL!$C$21, $C$9, 100%, $E$9)</f>
        <v>25.789200000000001</v>
      </c>
      <c r="I497" s="17">
        <f>CHOOSE(CONTROL!$C$42, 25.6115, 25.6115)* CHOOSE(CONTROL!$C$21, $C$9, 100%, $E$9)</f>
        <v>25.611499999999999</v>
      </c>
      <c r="J497" s="17">
        <f>CHOOSE(CONTROL!$C$42, 25.5095, 25.5095)* CHOOSE(CONTROL!$C$21, $C$9, 100%, $E$9)</f>
        <v>25.509499999999999</v>
      </c>
      <c r="K497" s="53">
        <f>CHOOSE(CONTROL!$C$42, 25.6054, 25.6054) * CHOOSE(CONTROL!$C$21, $C$9, 100%, $E$9)</f>
        <v>25.605399999999999</v>
      </c>
      <c r="L497" s="17">
        <f>CHOOSE(CONTROL!$C$42, 26.3762, 26.3762) * CHOOSE(CONTROL!$C$21, $C$9, 100%, $E$9)</f>
        <v>26.376200000000001</v>
      </c>
      <c r="M497" s="17">
        <f>CHOOSE(CONTROL!$C$42, 25.2871, 25.2871) * CHOOSE(CONTROL!$C$21, $C$9, 100%, $E$9)</f>
        <v>25.287099999999999</v>
      </c>
      <c r="N497" s="17">
        <f>CHOOSE(CONTROL!$C$42, 25.3031, 25.3031) * CHOOSE(CONTROL!$C$21, $C$9, 100%, $E$9)</f>
        <v>25.303100000000001</v>
      </c>
      <c r="O497" s="17">
        <f>CHOOSE(CONTROL!$C$42, 25.5642, 25.5642) * CHOOSE(CONTROL!$C$21, $C$9, 100%, $E$9)</f>
        <v>25.5642</v>
      </c>
      <c r="P497" s="17">
        <f>CHOOSE(CONTROL!$C$42, 25.3875, 25.3875) * CHOOSE(CONTROL!$C$21, $C$9, 100%, $E$9)</f>
        <v>25.387499999999999</v>
      </c>
      <c r="Q497" s="17">
        <f>CHOOSE(CONTROL!$C$42, 26.1589, 26.1589) * CHOOSE(CONTROL!$C$21, $C$9, 100%, $E$9)</f>
        <v>26.158899999999999</v>
      </c>
      <c r="R497" s="17">
        <f>CHOOSE(CONTROL!$C$42, 26.8113, 26.8113) * CHOOSE(CONTROL!$C$21, $C$9, 100%, $E$9)</f>
        <v>26.811299999999999</v>
      </c>
      <c r="S497" s="17">
        <f>CHOOSE(CONTROL!$C$42, 24.7275, 24.7275) * CHOOSE(CONTROL!$C$21, $C$9, 100%, $E$9)</f>
        <v>24.727499999999999</v>
      </c>
      <c r="T497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497" s="57">
        <f>(1000*CHOOSE(CONTROL!$C$42, 695, 695)*CHOOSE(CONTROL!$C$42, 0.5599, 0.5599)*CHOOSE(CONTROL!$C$42, 31, 31))/1000000</f>
        <v>12.063045499999998</v>
      </c>
      <c r="V497" s="57">
        <f>(1000*CHOOSE(CONTROL!$C$42, 500, 500)*CHOOSE(CONTROL!$C$42, 0.275, 0.275)*CHOOSE(CONTROL!$C$42, 31, 31))/1000000</f>
        <v>4.2625000000000002</v>
      </c>
      <c r="W497" s="57">
        <f>(1000*CHOOSE(CONTROL!$C$42, 0.0916, 0.0916)*CHOOSE(CONTROL!$C$42, 121.5, 121.5)*CHOOSE(CONTROL!$C$42, 31, 31))/1000000</f>
        <v>0.34501139999999997</v>
      </c>
      <c r="X497" s="57">
        <f>(31*0.1790888*145000/1000000)+(31*0.2374*100000/1000000)</f>
        <v>1.5409441560000001</v>
      </c>
      <c r="Y497" s="57"/>
      <c r="Z497" s="17"/>
      <c r="AA497" s="56"/>
      <c r="AB497" s="49">
        <f>(B497*194.205+C497*267.466+D497*133.845+E497*153.484+F497*40+G497*85+H497*0+I497*100+J497*300)/(194.205+267.466+133.845+153.484+0+40+85+100+300)</f>
        <v>25.584337664207222</v>
      </c>
      <c r="AC497" s="46">
        <f>(M497*'RAP TEMPLATE-GAS AVAILABILITY'!O496+N497*'RAP TEMPLATE-GAS AVAILABILITY'!P496+O497*'RAP TEMPLATE-GAS AVAILABILITY'!Q496+P497*'RAP TEMPLATE-GAS AVAILABILITY'!R496)/('RAP TEMPLATE-GAS AVAILABILITY'!O496+'RAP TEMPLATE-GAS AVAILABILITY'!P496+'RAP TEMPLATE-GAS AVAILABILITY'!Q496+'RAP TEMPLATE-GAS AVAILABILITY'!R496)</f>
        <v>25.382976978417268</v>
      </c>
    </row>
    <row r="498" spans="1:29" ht="15.75" x14ac:dyDescent="0.25">
      <c r="A498" s="14">
        <v>56065</v>
      </c>
      <c r="B498" s="17">
        <f>CHOOSE(CONTROL!$C$42, 26.2354, 26.2354) * CHOOSE(CONTROL!$C$21, $C$9, 100%, $E$9)</f>
        <v>26.235399999999998</v>
      </c>
      <c r="C498" s="17">
        <f>CHOOSE(CONTROL!$C$42, 26.2434, 26.2434) * CHOOSE(CONTROL!$C$21, $C$9, 100%, $E$9)</f>
        <v>26.243400000000001</v>
      </c>
      <c r="D498" s="17">
        <f>CHOOSE(CONTROL!$C$42, 26.493, 26.493) * CHOOSE(CONTROL!$C$21, $C$9, 100%, $E$9)</f>
        <v>26.492999999999999</v>
      </c>
      <c r="E498" s="17">
        <f>CHOOSE(CONTROL!$C$42, 26.5242, 26.5242) * CHOOSE(CONTROL!$C$21, $C$9, 100%, $E$9)</f>
        <v>26.5242</v>
      </c>
      <c r="F498" s="17">
        <f>CHOOSE(CONTROL!$C$42, 26.2406, 26.2406)*CHOOSE(CONTROL!$C$21, $C$9, 100%, $E$9)</f>
        <v>26.240600000000001</v>
      </c>
      <c r="G498" s="17">
        <f>CHOOSE(CONTROL!$C$42, 26.2568, 26.2568)*CHOOSE(CONTROL!$C$21, $C$9, 100%, $E$9)</f>
        <v>26.256799999999998</v>
      </c>
      <c r="H498" s="17">
        <f>CHOOSE(CONTROL!$C$42, 26.5125, 26.5125) * CHOOSE(CONTROL!$C$21, $C$9, 100%, $E$9)</f>
        <v>26.512499999999999</v>
      </c>
      <c r="I498" s="17">
        <f>CHOOSE(CONTROL!$C$42, 26.337, 26.337)* CHOOSE(CONTROL!$C$21, $C$9, 100%, $E$9)</f>
        <v>26.337</v>
      </c>
      <c r="J498" s="17">
        <f>CHOOSE(CONTROL!$C$42, 26.2332, 26.2332)* CHOOSE(CONTROL!$C$21, $C$9, 100%, $E$9)</f>
        <v>26.2332</v>
      </c>
      <c r="K498" s="53">
        <f>CHOOSE(CONTROL!$C$42, 26.331, 26.331) * CHOOSE(CONTROL!$C$21, $C$9, 100%, $E$9)</f>
        <v>26.331</v>
      </c>
      <c r="L498" s="17">
        <f>CHOOSE(CONTROL!$C$42, 27.0995, 27.0995) * CHOOSE(CONTROL!$C$21, $C$9, 100%, $E$9)</f>
        <v>27.099499999999999</v>
      </c>
      <c r="M498" s="17">
        <f>CHOOSE(CONTROL!$C$42, 26.0042, 26.0042) * CHOOSE(CONTROL!$C$21, $C$9, 100%, $E$9)</f>
        <v>26.004200000000001</v>
      </c>
      <c r="N498" s="17">
        <f>CHOOSE(CONTROL!$C$42, 26.0203, 26.0203) * CHOOSE(CONTROL!$C$21, $C$9, 100%, $E$9)</f>
        <v>26.020299999999999</v>
      </c>
      <c r="O498" s="17">
        <f>CHOOSE(CONTROL!$C$42, 26.2811, 26.2811) * CHOOSE(CONTROL!$C$21, $C$9, 100%, $E$9)</f>
        <v>26.281099999999999</v>
      </c>
      <c r="P498" s="17">
        <f>CHOOSE(CONTROL!$C$42, 26.1065, 26.1065) * CHOOSE(CONTROL!$C$21, $C$9, 100%, $E$9)</f>
        <v>26.1065</v>
      </c>
      <c r="Q498" s="17">
        <f>CHOOSE(CONTROL!$C$42, 26.8758, 26.8758) * CHOOSE(CONTROL!$C$21, $C$9, 100%, $E$9)</f>
        <v>26.875800000000002</v>
      </c>
      <c r="R498" s="17">
        <f>CHOOSE(CONTROL!$C$42, 27.5299, 27.5299) * CHOOSE(CONTROL!$C$21, $C$9, 100%, $E$9)</f>
        <v>27.529900000000001</v>
      </c>
      <c r="S498" s="17">
        <f>CHOOSE(CONTROL!$C$42, 25.4289, 25.4289) * CHOOSE(CONTROL!$C$21, $C$9, 100%, $E$9)</f>
        <v>25.428899999999999</v>
      </c>
      <c r="T498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498" s="57">
        <f>(1000*CHOOSE(CONTROL!$C$42, 695, 695)*CHOOSE(CONTROL!$C$42, 0.5599, 0.5599)*CHOOSE(CONTROL!$C$42, 30, 30))/1000000</f>
        <v>11.673914999999997</v>
      </c>
      <c r="V498" s="57">
        <f>(1000*CHOOSE(CONTROL!$C$42, 500, 500)*CHOOSE(CONTROL!$C$42, 0.275, 0.275)*CHOOSE(CONTROL!$C$42, 30, 30))/1000000</f>
        <v>4.125</v>
      </c>
      <c r="W498" s="57">
        <f>(1000*CHOOSE(CONTROL!$C$42, 0.0916, 0.0916)*CHOOSE(CONTROL!$C$42, 121.5, 121.5)*CHOOSE(CONTROL!$C$42, 30, 30))/1000000</f>
        <v>0.33388200000000001</v>
      </c>
      <c r="X498" s="57">
        <f>(30*0.1790888*145000/1000000)+(30*0.2374*100000/1000000)</f>
        <v>1.4912362799999999</v>
      </c>
      <c r="Y498" s="57"/>
      <c r="Z498" s="17"/>
      <c r="AA498" s="56"/>
      <c r="AB498" s="49">
        <f>(B498*194.205+C498*267.466+D498*133.845+E498*153.484+F498*40+G498*85+H498*0+I498*100+J498*300)/(194.205+267.466+133.845+153.484+0+40+85+100+300)</f>
        <v>26.307983500156986</v>
      </c>
      <c r="AC498" s="46">
        <f>(M498*'RAP TEMPLATE-GAS AVAILABILITY'!O497+N498*'RAP TEMPLATE-GAS AVAILABILITY'!P497+O498*'RAP TEMPLATE-GAS AVAILABILITY'!Q497+P498*'RAP TEMPLATE-GAS AVAILABILITY'!R497)/('RAP TEMPLATE-GAS AVAILABILITY'!O497+'RAP TEMPLATE-GAS AVAILABILITY'!P497+'RAP TEMPLATE-GAS AVAILABILITY'!Q497+'RAP TEMPLATE-GAS AVAILABILITY'!R497)</f>
        <v>26.100317266187048</v>
      </c>
    </row>
    <row r="499" spans="1:29" ht="15.75" x14ac:dyDescent="0.25">
      <c r="A499" s="14">
        <v>56096</v>
      </c>
      <c r="B499" s="17">
        <f>CHOOSE(CONTROL!$C$42, 25.7323, 25.7323) * CHOOSE(CONTROL!$C$21, $C$9, 100%, $E$9)</f>
        <v>25.732299999999999</v>
      </c>
      <c r="C499" s="17">
        <f>CHOOSE(CONTROL!$C$42, 25.7403, 25.7403) * CHOOSE(CONTROL!$C$21, $C$9, 100%, $E$9)</f>
        <v>25.740300000000001</v>
      </c>
      <c r="D499" s="17">
        <f>CHOOSE(CONTROL!$C$42, 25.9899, 25.9899) * CHOOSE(CONTROL!$C$21, $C$9, 100%, $E$9)</f>
        <v>25.989899999999999</v>
      </c>
      <c r="E499" s="17">
        <f>CHOOSE(CONTROL!$C$42, 26.0211, 26.0211) * CHOOSE(CONTROL!$C$21, $C$9, 100%, $E$9)</f>
        <v>26.021100000000001</v>
      </c>
      <c r="F499" s="17">
        <f>CHOOSE(CONTROL!$C$42, 25.738, 25.738)*CHOOSE(CONTROL!$C$21, $C$9, 100%, $E$9)</f>
        <v>25.738</v>
      </c>
      <c r="G499" s="17">
        <f>CHOOSE(CONTROL!$C$42, 25.7544, 25.7544)*CHOOSE(CONTROL!$C$21, $C$9, 100%, $E$9)</f>
        <v>25.7544</v>
      </c>
      <c r="H499" s="17">
        <f>CHOOSE(CONTROL!$C$42, 26.0094, 26.0094) * CHOOSE(CONTROL!$C$21, $C$9, 100%, $E$9)</f>
        <v>26.009399999999999</v>
      </c>
      <c r="I499" s="17">
        <f>CHOOSE(CONTROL!$C$42, 25.8324, 25.8324)* CHOOSE(CONTROL!$C$21, $C$9, 100%, $E$9)</f>
        <v>25.8324</v>
      </c>
      <c r="J499" s="17">
        <f>CHOOSE(CONTROL!$C$42, 25.7306, 25.7306)* CHOOSE(CONTROL!$C$21, $C$9, 100%, $E$9)</f>
        <v>25.730599999999999</v>
      </c>
      <c r="K499" s="53">
        <f>CHOOSE(CONTROL!$C$42, 25.8263, 25.8263) * CHOOSE(CONTROL!$C$21, $C$9, 100%, $E$9)</f>
        <v>25.8263</v>
      </c>
      <c r="L499" s="17">
        <f>CHOOSE(CONTROL!$C$42, 26.5964, 26.5964) * CHOOSE(CONTROL!$C$21, $C$9, 100%, $E$9)</f>
        <v>26.596399999999999</v>
      </c>
      <c r="M499" s="17">
        <f>CHOOSE(CONTROL!$C$42, 25.5062, 25.5062) * CHOOSE(CONTROL!$C$21, $C$9, 100%, $E$9)</f>
        <v>25.5062</v>
      </c>
      <c r="N499" s="17">
        <f>CHOOSE(CONTROL!$C$42, 25.5224, 25.5224) * CHOOSE(CONTROL!$C$21, $C$9, 100%, $E$9)</f>
        <v>25.522400000000001</v>
      </c>
      <c r="O499" s="17">
        <f>CHOOSE(CONTROL!$C$42, 25.7825, 25.7825) * CHOOSE(CONTROL!$C$21, $C$9, 100%, $E$9)</f>
        <v>25.782499999999999</v>
      </c>
      <c r="P499" s="17">
        <f>CHOOSE(CONTROL!$C$42, 25.6064, 25.6064) * CHOOSE(CONTROL!$C$21, $C$9, 100%, $E$9)</f>
        <v>25.606400000000001</v>
      </c>
      <c r="Q499" s="17">
        <f>CHOOSE(CONTROL!$C$42, 26.3772, 26.3772) * CHOOSE(CONTROL!$C$21, $C$9, 100%, $E$9)</f>
        <v>26.377199999999998</v>
      </c>
      <c r="R499" s="17">
        <f>CHOOSE(CONTROL!$C$42, 27.0302, 27.0302) * CHOOSE(CONTROL!$C$21, $C$9, 100%, $E$9)</f>
        <v>27.030200000000001</v>
      </c>
      <c r="S499" s="17">
        <f>CHOOSE(CONTROL!$C$42, 24.941, 24.941) * CHOOSE(CONTROL!$C$21, $C$9, 100%, $E$9)</f>
        <v>24.940999999999999</v>
      </c>
      <c r="T499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499" s="57">
        <f>(1000*CHOOSE(CONTROL!$C$42, 695, 695)*CHOOSE(CONTROL!$C$42, 0.5599, 0.5599)*CHOOSE(CONTROL!$C$42, 31, 31))/1000000</f>
        <v>12.063045499999998</v>
      </c>
      <c r="V499" s="57">
        <f>(1000*CHOOSE(CONTROL!$C$42, 500, 500)*CHOOSE(CONTROL!$C$42, 0.275, 0.275)*CHOOSE(CONTROL!$C$42, 31, 31))/1000000</f>
        <v>4.2625000000000002</v>
      </c>
      <c r="W499" s="57">
        <f>(1000*CHOOSE(CONTROL!$C$42, 0.0916, 0.0916)*CHOOSE(CONTROL!$C$42, 121.5, 121.5)*CHOOSE(CONTROL!$C$42, 31, 31))/1000000</f>
        <v>0.34501139999999997</v>
      </c>
      <c r="X499" s="57">
        <f>(31*0.1790888*145000/1000000)+(31*0.2374*100000/1000000)</f>
        <v>1.5409441560000001</v>
      </c>
      <c r="Y499" s="57"/>
      <c r="Z499" s="17"/>
      <c r="AA499" s="56"/>
      <c r="AB499" s="49">
        <f>(B499*194.205+C499*267.466+D499*133.845+E499*153.484+F499*40+G499*85+H499*0+I499*100+J499*300)/(194.205+267.466+133.845+153.484+0+40+85+100+300)</f>
        <v>25.804945902040817</v>
      </c>
      <c r="AC499" s="46">
        <f>(M499*'RAP TEMPLATE-GAS AVAILABILITY'!O498+N499*'RAP TEMPLATE-GAS AVAILABILITY'!P498+O499*'RAP TEMPLATE-GAS AVAILABILITY'!Q498+P499*'RAP TEMPLATE-GAS AVAILABILITY'!R498)/('RAP TEMPLATE-GAS AVAILABILITY'!O498+'RAP TEMPLATE-GAS AVAILABILITY'!P498+'RAP TEMPLATE-GAS AVAILABILITY'!Q498+'RAP TEMPLATE-GAS AVAILABILITY'!R498)</f>
        <v>25.601869784172663</v>
      </c>
    </row>
    <row r="500" spans="1:29" ht="15.75" x14ac:dyDescent="0.25">
      <c r="A500" s="14">
        <v>56127</v>
      </c>
      <c r="B500" s="17">
        <f>CHOOSE(CONTROL!$C$42, 24.4619, 24.4619) * CHOOSE(CONTROL!$C$21, $C$9, 100%, $E$9)</f>
        <v>24.4619</v>
      </c>
      <c r="C500" s="17">
        <f>CHOOSE(CONTROL!$C$42, 24.4699, 24.4699) * CHOOSE(CONTROL!$C$21, $C$9, 100%, $E$9)</f>
        <v>24.469899999999999</v>
      </c>
      <c r="D500" s="17">
        <f>CHOOSE(CONTROL!$C$42, 24.7195, 24.7195) * CHOOSE(CONTROL!$C$21, $C$9, 100%, $E$9)</f>
        <v>24.7195</v>
      </c>
      <c r="E500" s="17">
        <f>CHOOSE(CONTROL!$C$42, 24.7507, 24.7507) * CHOOSE(CONTROL!$C$21, $C$9, 100%, $E$9)</f>
        <v>24.750699999999998</v>
      </c>
      <c r="F500" s="17">
        <f>CHOOSE(CONTROL!$C$42, 24.4678, 24.4678)*CHOOSE(CONTROL!$C$21, $C$9, 100%, $E$9)</f>
        <v>24.4678</v>
      </c>
      <c r="G500" s="17">
        <f>CHOOSE(CONTROL!$C$42, 24.4843, 24.4843)*CHOOSE(CONTROL!$C$21, $C$9, 100%, $E$9)</f>
        <v>24.484300000000001</v>
      </c>
      <c r="H500" s="17">
        <f>CHOOSE(CONTROL!$C$42, 24.739, 24.739) * CHOOSE(CONTROL!$C$21, $C$9, 100%, $E$9)</f>
        <v>24.739000000000001</v>
      </c>
      <c r="I500" s="17">
        <f>CHOOSE(CONTROL!$C$42, 24.558, 24.558)* CHOOSE(CONTROL!$C$21, $C$9, 100%, $E$9)</f>
        <v>24.558</v>
      </c>
      <c r="J500" s="17">
        <f>CHOOSE(CONTROL!$C$42, 24.4604, 24.4604)* CHOOSE(CONTROL!$C$21, $C$9, 100%, $E$9)</f>
        <v>24.4604</v>
      </c>
      <c r="K500" s="53">
        <f>CHOOSE(CONTROL!$C$42, 24.552, 24.552) * CHOOSE(CONTROL!$C$21, $C$9, 100%, $E$9)</f>
        <v>24.552</v>
      </c>
      <c r="L500" s="17">
        <f>CHOOSE(CONTROL!$C$42, 25.326, 25.326) * CHOOSE(CONTROL!$C$21, $C$9, 100%, $E$9)</f>
        <v>25.326000000000001</v>
      </c>
      <c r="M500" s="17">
        <f>CHOOSE(CONTROL!$C$42, 24.2475, 24.2475) * CHOOSE(CONTROL!$C$21, $C$9, 100%, $E$9)</f>
        <v>24.247499999999999</v>
      </c>
      <c r="N500" s="17">
        <f>CHOOSE(CONTROL!$C$42, 24.2637, 24.2637) * CHOOSE(CONTROL!$C$21, $C$9, 100%, $E$9)</f>
        <v>24.2637</v>
      </c>
      <c r="O500" s="17">
        <f>CHOOSE(CONTROL!$C$42, 24.5235, 24.5235) * CHOOSE(CONTROL!$C$21, $C$9, 100%, $E$9)</f>
        <v>24.523499999999999</v>
      </c>
      <c r="P500" s="17">
        <f>CHOOSE(CONTROL!$C$42, 24.3435, 24.3435) * CHOOSE(CONTROL!$C$21, $C$9, 100%, $E$9)</f>
        <v>24.343499999999999</v>
      </c>
      <c r="Q500" s="17">
        <f>CHOOSE(CONTROL!$C$42, 25.1182, 25.1182) * CHOOSE(CONTROL!$C$21, $C$9, 100%, $E$9)</f>
        <v>25.118200000000002</v>
      </c>
      <c r="R500" s="17">
        <f>CHOOSE(CONTROL!$C$42, 25.768, 25.768) * CHOOSE(CONTROL!$C$21, $C$9, 100%, $E$9)</f>
        <v>25.768000000000001</v>
      </c>
      <c r="S500" s="17">
        <f>CHOOSE(CONTROL!$C$42, 23.7091, 23.7091) * CHOOSE(CONTROL!$C$21, $C$9, 100%, $E$9)</f>
        <v>23.709099999999999</v>
      </c>
      <c r="T500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500" s="57">
        <f>(1000*CHOOSE(CONTROL!$C$42, 695, 695)*CHOOSE(CONTROL!$C$42, 0.5599, 0.5599)*CHOOSE(CONTROL!$C$42, 31, 31))/1000000</f>
        <v>12.063045499999998</v>
      </c>
      <c r="V500" s="57">
        <f>(1000*CHOOSE(CONTROL!$C$42, 500, 500)*CHOOSE(CONTROL!$C$42, 0.275, 0.275)*CHOOSE(CONTROL!$C$42, 31, 31))/1000000</f>
        <v>4.2625000000000002</v>
      </c>
      <c r="W500" s="57">
        <f>(1000*CHOOSE(CONTROL!$C$42, 0.0916, 0.0916)*CHOOSE(CONTROL!$C$42, 121.5, 121.5)*CHOOSE(CONTROL!$C$42, 31, 31))/1000000</f>
        <v>0.34501139999999997</v>
      </c>
      <c r="X500" s="57">
        <f>(31*0.1790888*145000/1000000)+(31*0.2374*100000/1000000)</f>
        <v>1.5409441560000001</v>
      </c>
      <c r="Y500" s="57"/>
      <c r="Z500" s="17"/>
      <c r="AA500" s="56"/>
      <c r="AB500" s="49">
        <f>(B500*194.205+C500*267.466+D500*133.845+E500*153.484+F500*40+G500*85+H500*0+I500*100+J500*300)/(194.205+267.466+133.845+153.484+0+40+85+100+300)</f>
        <v>24.534305321193088</v>
      </c>
      <c r="AC500" s="46">
        <f>(M500*'RAP TEMPLATE-GAS AVAILABILITY'!O499+N500*'RAP TEMPLATE-GAS AVAILABILITY'!P499+O500*'RAP TEMPLATE-GAS AVAILABILITY'!Q499+P500*'RAP TEMPLATE-GAS AVAILABILITY'!R499)/('RAP TEMPLATE-GAS AVAILABILITY'!O499+'RAP TEMPLATE-GAS AVAILABILITY'!P499+'RAP TEMPLATE-GAS AVAILABILITY'!Q499+'RAP TEMPLATE-GAS AVAILABILITY'!R499)</f>
        <v>24.342481294964028</v>
      </c>
    </row>
    <row r="501" spans="1:29" ht="15.75" x14ac:dyDescent="0.25">
      <c r="A501" s="14">
        <v>56157</v>
      </c>
      <c r="B501" s="17">
        <f>CHOOSE(CONTROL!$C$42, 22.9094, 22.9094) * CHOOSE(CONTROL!$C$21, $C$9, 100%, $E$9)</f>
        <v>22.909400000000002</v>
      </c>
      <c r="C501" s="17">
        <f>CHOOSE(CONTROL!$C$42, 22.9174, 22.9174) * CHOOSE(CONTROL!$C$21, $C$9, 100%, $E$9)</f>
        <v>22.917400000000001</v>
      </c>
      <c r="D501" s="17">
        <f>CHOOSE(CONTROL!$C$42, 23.1671, 23.1671) * CHOOSE(CONTROL!$C$21, $C$9, 100%, $E$9)</f>
        <v>23.167100000000001</v>
      </c>
      <c r="E501" s="17">
        <f>CHOOSE(CONTROL!$C$42, 23.1982, 23.1982) * CHOOSE(CONTROL!$C$21, $C$9, 100%, $E$9)</f>
        <v>23.1982</v>
      </c>
      <c r="F501" s="17">
        <f>CHOOSE(CONTROL!$C$42, 22.9154, 22.9154)*CHOOSE(CONTROL!$C$21, $C$9, 100%, $E$9)</f>
        <v>22.915400000000002</v>
      </c>
      <c r="G501" s="17">
        <f>CHOOSE(CONTROL!$C$42, 22.9319, 22.9319)*CHOOSE(CONTROL!$C$21, $C$9, 100%, $E$9)</f>
        <v>22.931899999999999</v>
      </c>
      <c r="H501" s="17">
        <f>CHOOSE(CONTROL!$C$42, 23.1866, 23.1866) * CHOOSE(CONTROL!$C$21, $C$9, 100%, $E$9)</f>
        <v>23.186599999999999</v>
      </c>
      <c r="I501" s="17">
        <f>CHOOSE(CONTROL!$C$42, 23.0008, 23.0008)* CHOOSE(CONTROL!$C$21, $C$9, 100%, $E$9)</f>
        <v>23.000800000000002</v>
      </c>
      <c r="J501" s="17">
        <f>CHOOSE(CONTROL!$C$42, 22.908, 22.908)* CHOOSE(CONTROL!$C$21, $C$9, 100%, $E$9)</f>
        <v>22.908000000000001</v>
      </c>
      <c r="K501" s="53">
        <f>CHOOSE(CONTROL!$C$42, 22.9947, 22.9947) * CHOOSE(CONTROL!$C$21, $C$9, 100%, $E$9)</f>
        <v>22.994700000000002</v>
      </c>
      <c r="L501" s="17">
        <f>CHOOSE(CONTROL!$C$42, 23.7736, 23.7736) * CHOOSE(CONTROL!$C$21, $C$9, 100%, $E$9)</f>
        <v>23.773599999999998</v>
      </c>
      <c r="M501" s="17">
        <f>CHOOSE(CONTROL!$C$42, 22.709, 22.709) * CHOOSE(CONTROL!$C$21, $C$9, 100%, $E$9)</f>
        <v>22.709</v>
      </c>
      <c r="N501" s="17">
        <f>CHOOSE(CONTROL!$C$42, 22.7253, 22.7253) * CHOOSE(CONTROL!$C$21, $C$9, 100%, $E$9)</f>
        <v>22.725300000000001</v>
      </c>
      <c r="O501" s="17">
        <f>CHOOSE(CONTROL!$C$42, 22.985, 22.985) * CHOOSE(CONTROL!$C$21, $C$9, 100%, $E$9)</f>
        <v>22.984999999999999</v>
      </c>
      <c r="P501" s="17">
        <f>CHOOSE(CONTROL!$C$42, 22.8003, 22.8003) * CHOOSE(CONTROL!$C$21, $C$9, 100%, $E$9)</f>
        <v>22.8003</v>
      </c>
      <c r="Q501" s="17">
        <f>CHOOSE(CONTROL!$C$42, 23.5797, 23.5797) * CHOOSE(CONTROL!$C$21, $C$9, 100%, $E$9)</f>
        <v>23.579699999999999</v>
      </c>
      <c r="R501" s="17">
        <f>CHOOSE(CONTROL!$C$42, 24.2257, 24.2257) * CHOOSE(CONTROL!$C$21, $C$9, 100%, $E$9)</f>
        <v>24.2257</v>
      </c>
      <c r="S501" s="17">
        <f>CHOOSE(CONTROL!$C$42, 22.2037, 22.2037) * CHOOSE(CONTROL!$C$21, $C$9, 100%, $E$9)</f>
        <v>22.203700000000001</v>
      </c>
      <c r="T501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501" s="57">
        <f>(1000*CHOOSE(CONTROL!$C$42, 695, 695)*CHOOSE(CONTROL!$C$42, 0.5599, 0.5599)*CHOOSE(CONTROL!$C$42, 30, 30))/1000000</f>
        <v>11.673914999999997</v>
      </c>
      <c r="V501" s="57">
        <f>(1000*CHOOSE(CONTROL!$C$42, 500, 500)*CHOOSE(CONTROL!$C$42, 0.275, 0.275)*CHOOSE(CONTROL!$C$42, 30, 30))/1000000</f>
        <v>4.125</v>
      </c>
      <c r="W501" s="57">
        <f>(1000*CHOOSE(CONTROL!$C$42, 0.0916, 0.0916)*CHOOSE(CONTROL!$C$42, 121.5, 121.5)*CHOOSE(CONTROL!$C$42, 30, 30))/1000000</f>
        <v>0.33388200000000001</v>
      </c>
      <c r="X501" s="57">
        <f>(30*0.1790888*145000/1000000)+(30*0.2374*100000/1000000)</f>
        <v>1.4912362799999999</v>
      </c>
      <c r="Y501" s="57"/>
      <c r="Z501" s="17"/>
      <c r="AA501" s="56"/>
      <c r="AB501" s="49">
        <f>(B501*194.205+C501*267.466+D501*133.845+E501*153.484+F501*40+G501*85+H501*0+I501*100+J501*300)/(194.205+267.466+133.845+153.484+0+40+85+100+300)</f>
        <v>22.981480269780224</v>
      </c>
      <c r="AC501" s="46">
        <f>(M501*'RAP TEMPLATE-GAS AVAILABILITY'!O500+N501*'RAP TEMPLATE-GAS AVAILABILITY'!P500+O501*'RAP TEMPLATE-GAS AVAILABILITY'!Q500+P501*'RAP TEMPLATE-GAS AVAILABILITY'!R500)/('RAP TEMPLATE-GAS AVAILABILITY'!O500+'RAP TEMPLATE-GAS AVAILABILITY'!P500+'RAP TEMPLATE-GAS AVAILABILITY'!Q500+'RAP TEMPLATE-GAS AVAILABILITY'!R500)</f>
        <v>22.803328057553959</v>
      </c>
    </row>
    <row r="502" spans="1:29" ht="15.75" x14ac:dyDescent="0.25">
      <c r="A502" s="14">
        <v>56188</v>
      </c>
      <c r="B502" s="17">
        <f>CHOOSE(CONTROL!$C$42, 22.4428, 22.4428) * CHOOSE(CONTROL!$C$21, $C$9, 100%, $E$9)</f>
        <v>22.442799999999998</v>
      </c>
      <c r="C502" s="17">
        <f>CHOOSE(CONTROL!$C$42, 22.4482, 22.4482) * CHOOSE(CONTROL!$C$21, $C$9, 100%, $E$9)</f>
        <v>22.4482</v>
      </c>
      <c r="D502" s="17">
        <f>CHOOSE(CONTROL!$C$42, 22.7027, 22.7027) * CHOOSE(CONTROL!$C$21, $C$9, 100%, $E$9)</f>
        <v>22.7027</v>
      </c>
      <c r="E502" s="17">
        <f>CHOOSE(CONTROL!$C$42, 22.7315, 22.7315) * CHOOSE(CONTROL!$C$21, $C$9, 100%, $E$9)</f>
        <v>22.7315</v>
      </c>
      <c r="F502" s="17">
        <f>CHOOSE(CONTROL!$C$42, 22.451, 22.451)*CHOOSE(CONTROL!$C$21, $C$9, 100%, $E$9)</f>
        <v>22.451000000000001</v>
      </c>
      <c r="G502" s="17">
        <f>CHOOSE(CONTROL!$C$42, 22.4674, 22.4674)*CHOOSE(CONTROL!$C$21, $C$9, 100%, $E$9)</f>
        <v>22.467400000000001</v>
      </c>
      <c r="H502" s="17">
        <f>CHOOSE(CONTROL!$C$42, 22.7217, 22.7217) * CHOOSE(CONTROL!$C$21, $C$9, 100%, $E$9)</f>
        <v>22.721699999999998</v>
      </c>
      <c r="I502" s="17">
        <f>CHOOSE(CONTROL!$C$42, 22.5344, 22.5344)* CHOOSE(CONTROL!$C$21, $C$9, 100%, $E$9)</f>
        <v>22.534400000000002</v>
      </c>
      <c r="J502" s="17">
        <f>CHOOSE(CONTROL!$C$42, 22.4436, 22.4436)* CHOOSE(CONTROL!$C$21, $C$9, 100%, $E$9)</f>
        <v>22.4436</v>
      </c>
      <c r="K502" s="53">
        <f>CHOOSE(CONTROL!$C$42, 22.5284, 22.5284) * CHOOSE(CONTROL!$C$21, $C$9, 100%, $E$9)</f>
        <v>22.528400000000001</v>
      </c>
      <c r="L502" s="17">
        <f>CHOOSE(CONTROL!$C$42, 23.3087, 23.3087) * CHOOSE(CONTROL!$C$21, $C$9, 100%, $E$9)</f>
        <v>23.308700000000002</v>
      </c>
      <c r="M502" s="17">
        <f>CHOOSE(CONTROL!$C$42, 22.2488, 22.2488) * CHOOSE(CONTROL!$C$21, $C$9, 100%, $E$9)</f>
        <v>22.248799999999999</v>
      </c>
      <c r="N502" s="17">
        <f>CHOOSE(CONTROL!$C$42, 22.265, 22.265) * CHOOSE(CONTROL!$C$21, $C$9, 100%, $E$9)</f>
        <v>22.265000000000001</v>
      </c>
      <c r="O502" s="17">
        <f>CHOOSE(CONTROL!$C$42, 22.5243, 22.5243) * CHOOSE(CONTROL!$C$21, $C$9, 100%, $E$9)</f>
        <v>22.5243</v>
      </c>
      <c r="P502" s="17">
        <f>CHOOSE(CONTROL!$C$42, 22.3382, 22.3382) * CHOOSE(CONTROL!$C$21, $C$9, 100%, $E$9)</f>
        <v>22.338200000000001</v>
      </c>
      <c r="Q502" s="17">
        <f>CHOOSE(CONTROL!$C$42, 23.119, 23.119) * CHOOSE(CONTROL!$C$21, $C$9, 100%, $E$9)</f>
        <v>23.119</v>
      </c>
      <c r="R502" s="17">
        <f>CHOOSE(CONTROL!$C$42, 23.7638, 23.7638) * CHOOSE(CONTROL!$C$21, $C$9, 100%, $E$9)</f>
        <v>23.7638</v>
      </c>
      <c r="S502" s="17">
        <f>CHOOSE(CONTROL!$C$42, 21.7529, 21.7529) * CHOOSE(CONTROL!$C$21, $C$9, 100%, $E$9)</f>
        <v>21.7529</v>
      </c>
      <c r="T502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502" s="57">
        <f>(1000*CHOOSE(CONTROL!$C$42, 695, 695)*CHOOSE(CONTROL!$C$42, 0.5599, 0.5599)*CHOOSE(CONTROL!$C$42, 31, 31))/1000000</f>
        <v>12.063045499999998</v>
      </c>
      <c r="V502" s="57">
        <f>(1000*CHOOSE(CONTROL!$C$42, 500, 500)*CHOOSE(CONTROL!$C$42, 0.275, 0.275)*CHOOSE(CONTROL!$C$42, 31, 31))/1000000</f>
        <v>4.2625000000000002</v>
      </c>
      <c r="W502" s="57">
        <f>(1000*CHOOSE(CONTROL!$C$42, 0.0916, 0.0916)*CHOOSE(CONTROL!$C$42, 121.5, 121.5)*CHOOSE(CONTROL!$C$42, 31, 31))/1000000</f>
        <v>0.34501139999999997</v>
      </c>
      <c r="X502" s="57">
        <f>(31*0.1790888*145000/1000000)+(31*0.2374*100000/1000000)</f>
        <v>1.5409441560000001</v>
      </c>
      <c r="Y502" s="57"/>
      <c r="Z502" s="17"/>
      <c r="AA502" s="56"/>
      <c r="AB502" s="49">
        <f>(B502*131.881+C502*277.167+D502*79.08+E502*225.872+F502*40+G502*85+H502*0+I502*100+J502*300)/(131.881+277.167+79.08+225.872+0+40+85+100+300)</f>
        <v>22.522765972719931</v>
      </c>
      <c r="AC502" s="46">
        <f>(M502*'RAP TEMPLATE-GAS AVAILABILITY'!O501+N502*'RAP TEMPLATE-GAS AVAILABILITY'!P501+O502*'RAP TEMPLATE-GAS AVAILABILITY'!Q501+P502*'RAP TEMPLATE-GAS AVAILABILITY'!R501)/('RAP TEMPLATE-GAS AVAILABILITY'!O501+'RAP TEMPLATE-GAS AVAILABILITY'!P501+'RAP TEMPLATE-GAS AVAILABILITY'!Q501+'RAP TEMPLATE-GAS AVAILABILITY'!R501)</f>
        <v>22.342691366906475</v>
      </c>
    </row>
    <row r="503" spans="1:29" ht="15.75" x14ac:dyDescent="0.25">
      <c r="A503" s="14">
        <v>56218</v>
      </c>
      <c r="B503" s="17">
        <f>CHOOSE(CONTROL!$C$42, 23.0334, 23.0334) * CHOOSE(CONTROL!$C$21, $C$9, 100%, $E$9)</f>
        <v>23.0334</v>
      </c>
      <c r="C503" s="17">
        <f>CHOOSE(CONTROL!$C$42, 23.0385, 23.0385) * CHOOSE(CONTROL!$C$21, $C$9, 100%, $E$9)</f>
        <v>23.038499999999999</v>
      </c>
      <c r="D503" s="17">
        <f>CHOOSE(CONTROL!$C$42, 23.1611, 23.1611) * CHOOSE(CONTROL!$C$21, $C$9, 100%, $E$9)</f>
        <v>23.161100000000001</v>
      </c>
      <c r="E503" s="17">
        <f>CHOOSE(CONTROL!$C$42, 23.1948, 23.1948) * CHOOSE(CONTROL!$C$21, $C$9, 100%, $E$9)</f>
        <v>23.194800000000001</v>
      </c>
      <c r="F503" s="17">
        <f>CHOOSE(CONTROL!$C$42, 23.0484, 23.0484)*CHOOSE(CONTROL!$C$21, $C$9, 100%, $E$9)</f>
        <v>23.048400000000001</v>
      </c>
      <c r="G503" s="17">
        <f>CHOOSE(CONTROL!$C$42, 23.0651, 23.0651)*CHOOSE(CONTROL!$C$21, $C$9, 100%, $E$9)</f>
        <v>23.065100000000001</v>
      </c>
      <c r="H503" s="17">
        <f>CHOOSE(CONTROL!$C$42, 23.1837, 23.1837) * CHOOSE(CONTROL!$C$21, $C$9, 100%, $E$9)</f>
        <v>23.183700000000002</v>
      </c>
      <c r="I503" s="17">
        <f>CHOOSE(CONTROL!$C$42, 23.1298, 23.1298)* CHOOSE(CONTROL!$C$21, $C$9, 100%, $E$9)</f>
        <v>23.129799999999999</v>
      </c>
      <c r="J503" s="17">
        <f>CHOOSE(CONTROL!$C$42, 23.041, 23.041)* CHOOSE(CONTROL!$C$21, $C$9, 100%, $E$9)</f>
        <v>23.041</v>
      </c>
      <c r="K503" s="53">
        <f>CHOOSE(CONTROL!$C$42, 23.1238, 23.1238) * CHOOSE(CONTROL!$C$21, $C$9, 100%, $E$9)</f>
        <v>23.123799999999999</v>
      </c>
      <c r="L503" s="17">
        <f>CHOOSE(CONTROL!$C$42, 23.7707, 23.7707) * CHOOSE(CONTROL!$C$21, $C$9, 100%, $E$9)</f>
        <v>23.770700000000001</v>
      </c>
      <c r="M503" s="17">
        <f>CHOOSE(CONTROL!$C$42, 22.8408, 22.8408) * CHOOSE(CONTROL!$C$21, $C$9, 100%, $E$9)</f>
        <v>22.840800000000002</v>
      </c>
      <c r="N503" s="17">
        <f>CHOOSE(CONTROL!$C$42, 22.8573, 22.8573) * CHOOSE(CONTROL!$C$21, $C$9, 100%, $E$9)</f>
        <v>22.857299999999999</v>
      </c>
      <c r="O503" s="17">
        <f>CHOOSE(CONTROL!$C$42, 22.9822, 22.9822) * CHOOSE(CONTROL!$C$21, $C$9, 100%, $E$9)</f>
        <v>22.982199999999999</v>
      </c>
      <c r="P503" s="17">
        <f>CHOOSE(CONTROL!$C$42, 22.9282, 22.9282) * CHOOSE(CONTROL!$C$21, $C$9, 100%, $E$9)</f>
        <v>22.9282</v>
      </c>
      <c r="Q503" s="17">
        <f>CHOOSE(CONTROL!$C$42, 23.5769, 23.5769) * CHOOSE(CONTROL!$C$21, $C$9, 100%, $E$9)</f>
        <v>23.576899999999998</v>
      </c>
      <c r="R503" s="17">
        <f>CHOOSE(CONTROL!$C$42, 24.2229, 24.2229) * CHOOSE(CONTROL!$C$21, $C$9, 100%, $E$9)</f>
        <v>24.222899999999999</v>
      </c>
      <c r="S503" s="17">
        <f>CHOOSE(CONTROL!$C$42, 22.326, 22.326) * CHOOSE(CONTROL!$C$21, $C$9, 100%, $E$9)</f>
        <v>22.326000000000001</v>
      </c>
      <c r="T503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503" s="57">
        <f>(1000*CHOOSE(CONTROL!$C$42, 695, 695)*CHOOSE(CONTROL!$C$42, 0.5599, 0.5599)*CHOOSE(CONTROL!$C$42, 30, 30))/1000000</f>
        <v>11.673914999999997</v>
      </c>
      <c r="V503" s="57">
        <f>(1000*CHOOSE(CONTROL!$C$42, 500, 500)*CHOOSE(CONTROL!$C$42, 0.275, 0.275)*CHOOSE(CONTROL!$C$42, 30, 30))/1000000</f>
        <v>4.125</v>
      </c>
      <c r="W503" s="57">
        <f>(1000*CHOOSE(CONTROL!$C$42, 0.0916, 0.0916)*CHOOSE(CONTROL!$C$42, 121.5, 121.5)*CHOOSE(CONTROL!$C$42, 30, 30))/1000000</f>
        <v>0.33388200000000001</v>
      </c>
      <c r="X503" s="57">
        <f>(30*0.2374*100000/1000000)</f>
        <v>0.71220000000000006</v>
      </c>
      <c r="Y503" s="57"/>
      <c r="Z503" s="17"/>
      <c r="AA503" s="56"/>
      <c r="AB503" s="49">
        <f>(B503*122.58+C503*297.941+D503*89.177+E503*140.302+F503*40+G503*60+H503*0+I503*100+J503*300)/(122.58+297.941+89.177+140.302+0+40+60+100+300)</f>
        <v>23.076855778086955</v>
      </c>
      <c r="AC503" s="46">
        <f>(M503*'RAP TEMPLATE-GAS AVAILABILITY'!O502+N503*'RAP TEMPLATE-GAS AVAILABILITY'!P502+O503*'RAP TEMPLATE-GAS AVAILABILITY'!Q502+P503*'RAP TEMPLATE-GAS AVAILABILITY'!R502)/('RAP TEMPLATE-GAS AVAILABILITY'!O502+'RAP TEMPLATE-GAS AVAILABILITY'!P502+'RAP TEMPLATE-GAS AVAILABILITY'!Q502+'RAP TEMPLATE-GAS AVAILABILITY'!R502)</f>
        <v>22.918412949640288</v>
      </c>
    </row>
    <row r="504" spans="1:29" ht="15.75" x14ac:dyDescent="0.25">
      <c r="A504" s="14">
        <v>56249</v>
      </c>
      <c r="B504" s="17">
        <f>CHOOSE(CONTROL!$C$42, 24.6031, 24.6031) * CHOOSE(CONTROL!$C$21, $C$9, 100%, $E$9)</f>
        <v>24.603100000000001</v>
      </c>
      <c r="C504" s="17">
        <f>CHOOSE(CONTROL!$C$42, 24.6082, 24.6082) * CHOOSE(CONTROL!$C$21, $C$9, 100%, $E$9)</f>
        <v>24.6082</v>
      </c>
      <c r="D504" s="17">
        <f>CHOOSE(CONTROL!$C$42, 24.7308, 24.7308) * CHOOSE(CONTROL!$C$21, $C$9, 100%, $E$9)</f>
        <v>24.730799999999999</v>
      </c>
      <c r="E504" s="17">
        <f>CHOOSE(CONTROL!$C$42, 24.7645, 24.7645) * CHOOSE(CONTROL!$C$21, $C$9, 100%, $E$9)</f>
        <v>24.764500000000002</v>
      </c>
      <c r="F504" s="17">
        <f>CHOOSE(CONTROL!$C$42, 24.6205, 24.6205)*CHOOSE(CONTROL!$C$21, $C$9, 100%, $E$9)</f>
        <v>24.6205</v>
      </c>
      <c r="G504" s="17">
        <f>CHOOSE(CONTROL!$C$42, 24.6378, 24.6378)*CHOOSE(CONTROL!$C$21, $C$9, 100%, $E$9)</f>
        <v>24.637799999999999</v>
      </c>
      <c r="H504" s="17">
        <f>CHOOSE(CONTROL!$C$42, 24.7534, 24.7534) * CHOOSE(CONTROL!$C$21, $C$9, 100%, $E$9)</f>
        <v>24.753399999999999</v>
      </c>
      <c r="I504" s="17">
        <f>CHOOSE(CONTROL!$C$42, 24.7044, 24.7044)* CHOOSE(CONTROL!$C$21, $C$9, 100%, $E$9)</f>
        <v>24.7044</v>
      </c>
      <c r="J504" s="17">
        <f>CHOOSE(CONTROL!$C$42, 24.6131, 24.6131)* CHOOSE(CONTROL!$C$21, $C$9, 100%, $E$9)</f>
        <v>24.613099999999999</v>
      </c>
      <c r="K504" s="53">
        <f>CHOOSE(CONTROL!$C$42, 24.6983, 24.6983) * CHOOSE(CONTROL!$C$21, $C$9, 100%, $E$9)</f>
        <v>24.6983</v>
      </c>
      <c r="L504" s="17">
        <f>CHOOSE(CONTROL!$C$42, 25.3404, 25.3404) * CHOOSE(CONTROL!$C$21, $C$9, 100%, $E$9)</f>
        <v>25.340399999999999</v>
      </c>
      <c r="M504" s="17">
        <f>CHOOSE(CONTROL!$C$42, 24.3987, 24.3987) * CHOOSE(CONTROL!$C$21, $C$9, 100%, $E$9)</f>
        <v>24.398700000000002</v>
      </c>
      <c r="N504" s="17">
        <f>CHOOSE(CONTROL!$C$42, 24.4159, 24.4159) * CHOOSE(CONTROL!$C$21, $C$9, 100%, $E$9)</f>
        <v>24.415900000000001</v>
      </c>
      <c r="O504" s="17">
        <f>CHOOSE(CONTROL!$C$42, 24.5378, 24.5378) * CHOOSE(CONTROL!$C$21, $C$9, 100%, $E$9)</f>
        <v>24.537800000000001</v>
      </c>
      <c r="P504" s="17">
        <f>CHOOSE(CONTROL!$C$42, 24.4886, 24.4886) * CHOOSE(CONTROL!$C$21, $C$9, 100%, $E$9)</f>
        <v>24.488600000000002</v>
      </c>
      <c r="Q504" s="17">
        <f>CHOOSE(CONTROL!$C$42, 25.1325, 25.1325) * CHOOSE(CONTROL!$C$21, $C$9, 100%, $E$9)</f>
        <v>25.1325</v>
      </c>
      <c r="R504" s="17">
        <f>CHOOSE(CONTROL!$C$42, 25.7823, 25.7823) * CHOOSE(CONTROL!$C$21, $C$9, 100%, $E$9)</f>
        <v>25.782299999999999</v>
      </c>
      <c r="S504" s="17">
        <f>CHOOSE(CONTROL!$C$42, 23.8481, 23.8481) * CHOOSE(CONTROL!$C$21, $C$9, 100%, $E$9)</f>
        <v>23.848099999999999</v>
      </c>
      <c r="T504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504" s="57">
        <f>(1000*CHOOSE(CONTROL!$C$42, 695, 695)*CHOOSE(CONTROL!$C$42, 0.5599, 0.5599)*CHOOSE(CONTROL!$C$42, 31, 31))/1000000</f>
        <v>12.063045499999998</v>
      </c>
      <c r="V504" s="57">
        <f>(1000*CHOOSE(CONTROL!$C$42, 500, 500)*CHOOSE(CONTROL!$C$42, 0.275, 0.275)*CHOOSE(CONTROL!$C$42, 31, 31))/1000000</f>
        <v>4.2625000000000002</v>
      </c>
      <c r="W504" s="57">
        <f>(1000*CHOOSE(CONTROL!$C$42, 0.0916, 0.0916)*CHOOSE(CONTROL!$C$42, 121.5, 121.5)*CHOOSE(CONTROL!$C$42, 31, 31))/1000000</f>
        <v>0.34501139999999997</v>
      </c>
      <c r="X504" s="57">
        <f>(31*0.2374*100000/1000000)</f>
        <v>0.73594000000000004</v>
      </c>
      <c r="Y504" s="57"/>
      <c r="Z504" s="17"/>
      <c r="AA504" s="56"/>
      <c r="AB504" s="49">
        <f>(B504*122.58+C504*297.941+D504*89.177+E504*140.302+F504*40+G504*60+H504*0+I504*100+J504*300)/(122.58+297.941+89.177+140.302+0+40+60+100+300)</f>
        <v>24.647847951999999</v>
      </c>
      <c r="AC504" s="46">
        <f>(M504*'RAP TEMPLATE-GAS AVAILABILITY'!O503+N504*'RAP TEMPLATE-GAS AVAILABILITY'!P503+O504*'RAP TEMPLATE-GAS AVAILABILITY'!Q503+P504*'RAP TEMPLATE-GAS AVAILABILITY'!R503)/('RAP TEMPLATE-GAS AVAILABILITY'!O503+'RAP TEMPLATE-GAS AVAILABILITY'!P503+'RAP TEMPLATE-GAS AVAILABILITY'!Q503+'RAP TEMPLATE-GAS AVAILABILITY'!R503)</f>
        <v>24.475670503597122</v>
      </c>
    </row>
    <row r="505" spans="1:29" ht="15.75" x14ac:dyDescent="0.25">
      <c r="A505" s="14">
        <v>56280</v>
      </c>
      <c r="B505" s="17">
        <f>CHOOSE(CONTROL!$C$42, 26.6418, 26.6418) * CHOOSE(CONTROL!$C$21, $C$9, 100%, $E$9)</f>
        <v>26.6418</v>
      </c>
      <c r="C505" s="17">
        <f>CHOOSE(CONTROL!$C$42, 26.6469, 26.6469) * CHOOSE(CONTROL!$C$21, $C$9, 100%, $E$9)</f>
        <v>26.646899999999999</v>
      </c>
      <c r="D505" s="17">
        <f>CHOOSE(CONTROL!$C$42, 26.7643, 26.7643) * CHOOSE(CONTROL!$C$21, $C$9, 100%, $E$9)</f>
        <v>26.764299999999999</v>
      </c>
      <c r="E505" s="17">
        <f>CHOOSE(CONTROL!$C$42, 26.7981, 26.7981) * CHOOSE(CONTROL!$C$21, $C$9, 100%, $E$9)</f>
        <v>26.798100000000002</v>
      </c>
      <c r="F505" s="17">
        <f>CHOOSE(CONTROL!$C$42, 26.6554, 26.6554)*CHOOSE(CONTROL!$C$21, $C$9, 100%, $E$9)</f>
        <v>26.6554</v>
      </c>
      <c r="G505" s="17">
        <f>CHOOSE(CONTROL!$C$42, 26.6717, 26.6717)*CHOOSE(CONTROL!$C$21, $C$9, 100%, $E$9)</f>
        <v>26.671700000000001</v>
      </c>
      <c r="H505" s="17">
        <f>CHOOSE(CONTROL!$C$42, 26.787, 26.787) * CHOOSE(CONTROL!$C$21, $C$9, 100%, $E$9)</f>
        <v>26.786999999999999</v>
      </c>
      <c r="I505" s="17">
        <f>CHOOSE(CONTROL!$C$42, 26.7479, 26.7479)* CHOOSE(CONTROL!$C$21, $C$9, 100%, $E$9)</f>
        <v>26.747900000000001</v>
      </c>
      <c r="J505" s="17">
        <f>CHOOSE(CONTROL!$C$42, 26.648, 26.648)* CHOOSE(CONTROL!$C$21, $C$9, 100%, $E$9)</f>
        <v>26.648</v>
      </c>
      <c r="K505" s="53">
        <f>CHOOSE(CONTROL!$C$42, 26.7418, 26.7418) * CHOOSE(CONTROL!$C$21, $C$9, 100%, $E$9)</f>
        <v>26.741800000000001</v>
      </c>
      <c r="L505" s="17">
        <f>CHOOSE(CONTROL!$C$42, 27.374, 27.374) * CHOOSE(CONTROL!$C$21, $C$9, 100%, $E$9)</f>
        <v>27.373999999999999</v>
      </c>
      <c r="M505" s="17">
        <f>CHOOSE(CONTROL!$C$42, 26.4154, 26.4154) * CHOOSE(CONTROL!$C$21, $C$9, 100%, $E$9)</f>
        <v>26.415400000000002</v>
      </c>
      <c r="N505" s="17">
        <f>CHOOSE(CONTROL!$C$42, 26.4315, 26.4315) * CHOOSE(CONTROL!$C$21, $C$9, 100%, $E$9)</f>
        <v>26.4315</v>
      </c>
      <c r="O505" s="17">
        <f>CHOOSE(CONTROL!$C$42, 26.5531, 26.5531) * CHOOSE(CONTROL!$C$21, $C$9, 100%, $E$9)</f>
        <v>26.553100000000001</v>
      </c>
      <c r="P505" s="17">
        <f>CHOOSE(CONTROL!$C$42, 26.5136, 26.5136) * CHOOSE(CONTROL!$C$21, $C$9, 100%, $E$9)</f>
        <v>26.5136</v>
      </c>
      <c r="Q505" s="17">
        <f>CHOOSE(CONTROL!$C$42, 27.1478, 27.1478) * CHOOSE(CONTROL!$C$21, $C$9, 100%, $E$9)</f>
        <v>27.1478</v>
      </c>
      <c r="R505" s="17">
        <f>CHOOSE(CONTROL!$C$42, 27.8026, 27.8026) * CHOOSE(CONTROL!$C$21, $C$9, 100%, $E$9)</f>
        <v>27.802600000000002</v>
      </c>
      <c r="S505" s="17">
        <f>CHOOSE(CONTROL!$C$42, 25.825, 25.825) * CHOOSE(CONTROL!$C$21, $C$9, 100%, $E$9)</f>
        <v>25.824999999999999</v>
      </c>
      <c r="T505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505" s="57">
        <f>(1000*CHOOSE(CONTROL!$C$42, 695, 695)*CHOOSE(CONTROL!$C$42, 0.5599, 0.5599)*CHOOSE(CONTROL!$C$42, 31, 31))/1000000</f>
        <v>12.063045499999998</v>
      </c>
      <c r="V505" s="57">
        <f>(1000*CHOOSE(CONTROL!$C$42, 500, 500)*CHOOSE(CONTROL!$C$42, 0.275, 0.275)*CHOOSE(CONTROL!$C$42, 31, 31))/1000000</f>
        <v>4.2625000000000002</v>
      </c>
      <c r="W505" s="57">
        <f>(1000*CHOOSE(CONTROL!$C$42, 0.0916, 0.0916)*CHOOSE(CONTROL!$C$42, 121.5, 121.5)*CHOOSE(CONTROL!$C$42, 31, 31))/1000000</f>
        <v>0.34501139999999997</v>
      </c>
      <c r="X505" s="57">
        <f>(31*0.2374*100000/1000000)</f>
        <v>0.73594000000000004</v>
      </c>
      <c r="Y505" s="57"/>
      <c r="Z505" s="17"/>
      <c r="AA505" s="56"/>
      <c r="AB505" s="49">
        <f>(B505*122.58+C505*297.941+D505*89.177+E505*140.302+F505*40+G505*60+H505*0+I505*100+J505*300)/(122.58+297.941+89.177+140.302+0+40+60+100+300)</f>
        <v>26.684565986260871</v>
      </c>
      <c r="AC505" s="46">
        <f>(M505*'RAP TEMPLATE-GAS AVAILABILITY'!O504+N505*'RAP TEMPLATE-GAS AVAILABILITY'!P504+O505*'RAP TEMPLATE-GAS AVAILABILITY'!Q504+P505*'RAP TEMPLATE-GAS AVAILABILITY'!R504)/('RAP TEMPLATE-GAS AVAILABILITY'!O504+'RAP TEMPLATE-GAS AVAILABILITY'!P504+'RAP TEMPLATE-GAS AVAILABILITY'!Q504+'RAP TEMPLATE-GAS AVAILABILITY'!R504)</f>
        <v>26.492866906474823</v>
      </c>
    </row>
    <row r="506" spans="1:29" ht="15.75" x14ac:dyDescent="0.25">
      <c r="A506" s="14">
        <v>56308</v>
      </c>
      <c r="B506" s="17">
        <f>CHOOSE(CONTROL!$C$42, 27.1159, 27.1159) * CHOOSE(CONTROL!$C$21, $C$9, 100%, $E$9)</f>
        <v>27.1159</v>
      </c>
      <c r="C506" s="17">
        <f>CHOOSE(CONTROL!$C$42, 27.121, 27.121) * CHOOSE(CONTROL!$C$21, $C$9, 100%, $E$9)</f>
        <v>27.120999999999999</v>
      </c>
      <c r="D506" s="17">
        <f>CHOOSE(CONTROL!$C$42, 27.2384, 27.2384) * CHOOSE(CONTROL!$C$21, $C$9, 100%, $E$9)</f>
        <v>27.238399999999999</v>
      </c>
      <c r="E506" s="17">
        <f>CHOOSE(CONTROL!$C$42, 27.2722, 27.2722) * CHOOSE(CONTROL!$C$21, $C$9, 100%, $E$9)</f>
        <v>27.272200000000002</v>
      </c>
      <c r="F506" s="17">
        <f>CHOOSE(CONTROL!$C$42, 27.1295, 27.1295)*CHOOSE(CONTROL!$C$21, $C$9, 100%, $E$9)</f>
        <v>27.1295</v>
      </c>
      <c r="G506" s="17">
        <f>CHOOSE(CONTROL!$C$42, 27.1458, 27.1458)*CHOOSE(CONTROL!$C$21, $C$9, 100%, $E$9)</f>
        <v>27.145800000000001</v>
      </c>
      <c r="H506" s="17">
        <f>CHOOSE(CONTROL!$C$42, 27.2611, 27.2611) * CHOOSE(CONTROL!$C$21, $C$9, 100%, $E$9)</f>
        <v>27.261099999999999</v>
      </c>
      <c r="I506" s="17">
        <f>CHOOSE(CONTROL!$C$42, 27.2234, 27.2234)* CHOOSE(CONTROL!$C$21, $C$9, 100%, $E$9)</f>
        <v>27.223400000000002</v>
      </c>
      <c r="J506" s="17">
        <f>CHOOSE(CONTROL!$C$42, 27.1221, 27.1221)* CHOOSE(CONTROL!$C$21, $C$9, 100%, $E$9)</f>
        <v>27.1221</v>
      </c>
      <c r="K506" s="53">
        <f>CHOOSE(CONTROL!$C$42, 27.2174, 27.2174) * CHOOSE(CONTROL!$C$21, $C$9, 100%, $E$9)</f>
        <v>27.217400000000001</v>
      </c>
      <c r="L506" s="17">
        <f>CHOOSE(CONTROL!$C$42, 27.8481, 27.8481) * CHOOSE(CONTROL!$C$21, $C$9, 100%, $E$9)</f>
        <v>27.848099999999999</v>
      </c>
      <c r="M506" s="17">
        <f>CHOOSE(CONTROL!$C$42, 26.8852, 26.8852) * CHOOSE(CONTROL!$C$21, $C$9, 100%, $E$9)</f>
        <v>26.885200000000001</v>
      </c>
      <c r="N506" s="17">
        <f>CHOOSE(CONTROL!$C$42, 26.9014, 26.9014) * CHOOSE(CONTROL!$C$21, $C$9, 100%, $E$9)</f>
        <v>26.901399999999999</v>
      </c>
      <c r="O506" s="17">
        <f>CHOOSE(CONTROL!$C$42, 27.0229, 27.0229) * CHOOSE(CONTROL!$C$21, $C$9, 100%, $E$9)</f>
        <v>27.0229</v>
      </c>
      <c r="P506" s="17">
        <f>CHOOSE(CONTROL!$C$42, 26.9849, 26.9849) * CHOOSE(CONTROL!$C$21, $C$9, 100%, $E$9)</f>
        <v>26.9849</v>
      </c>
      <c r="Q506" s="17">
        <f>CHOOSE(CONTROL!$C$42, 27.6176, 27.6176) * CHOOSE(CONTROL!$C$21, $C$9, 100%, $E$9)</f>
        <v>27.617599999999999</v>
      </c>
      <c r="R506" s="17">
        <f>CHOOSE(CONTROL!$C$42, 28.2736, 28.2736) * CHOOSE(CONTROL!$C$21, $C$9, 100%, $E$9)</f>
        <v>28.273599999999998</v>
      </c>
      <c r="S506" s="17">
        <f>CHOOSE(CONTROL!$C$42, 26.2848, 26.2848) * CHOOSE(CONTROL!$C$21, $C$9, 100%, $E$9)</f>
        <v>26.284800000000001</v>
      </c>
      <c r="T506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506" s="57">
        <f>(1000*CHOOSE(CONTROL!$C$42, 695, 695)*CHOOSE(CONTROL!$C$42, 0.5599, 0.5599)*CHOOSE(CONTROL!$C$42, 28, 28))/1000000</f>
        <v>10.895653999999999</v>
      </c>
      <c r="V506" s="57">
        <f>(1000*CHOOSE(CONTROL!$C$42, 500, 500)*CHOOSE(CONTROL!$C$42, 0.275, 0.275)*CHOOSE(CONTROL!$C$42, 28, 28))/1000000</f>
        <v>3.85</v>
      </c>
      <c r="W506" s="57">
        <f>(1000*CHOOSE(CONTROL!$C$42, 0.0916, 0.0916)*CHOOSE(CONTROL!$C$42, 121.5, 121.5)*CHOOSE(CONTROL!$C$42, 28, 28))/1000000</f>
        <v>0.31162319999999999</v>
      </c>
      <c r="X506" s="57">
        <f>(28*0.2374*100000/1000000)</f>
        <v>0.66471999999999998</v>
      </c>
      <c r="Y506" s="57"/>
      <c r="Z506" s="17"/>
      <c r="AA506" s="56"/>
      <c r="AB506" s="49">
        <f>(B506*122.58+C506*297.941+D506*89.177+E506*140.302+F506*40+G506*60+H506*0+I506*100+J506*300)/(122.58+297.941+89.177+140.302+0+40+60+100+300)</f>
        <v>27.158787725391303</v>
      </c>
      <c r="AC506" s="46">
        <f>(M506*'RAP TEMPLATE-GAS AVAILABILITY'!O505+N506*'RAP TEMPLATE-GAS AVAILABILITY'!P505+O506*'RAP TEMPLATE-GAS AVAILABILITY'!Q505+P506*'RAP TEMPLATE-GAS AVAILABILITY'!R505)/('RAP TEMPLATE-GAS AVAILABILITY'!O505+'RAP TEMPLATE-GAS AVAILABILITY'!P505+'RAP TEMPLATE-GAS AVAILABILITY'!Q505+'RAP TEMPLATE-GAS AVAILABILITY'!R505)</f>
        <v>26.962888489208634</v>
      </c>
    </row>
    <row r="507" spans="1:29" ht="15.75" x14ac:dyDescent="0.25">
      <c r="A507" s="14">
        <v>56339</v>
      </c>
      <c r="B507" s="17">
        <f>CHOOSE(CONTROL!$C$42, 26.3463, 26.3463) * CHOOSE(CONTROL!$C$21, $C$9, 100%, $E$9)</f>
        <v>26.346299999999999</v>
      </c>
      <c r="C507" s="17">
        <f>CHOOSE(CONTROL!$C$42, 26.3514, 26.3514) * CHOOSE(CONTROL!$C$21, $C$9, 100%, $E$9)</f>
        <v>26.351400000000002</v>
      </c>
      <c r="D507" s="17">
        <f>CHOOSE(CONTROL!$C$42, 26.4689, 26.4689) * CHOOSE(CONTROL!$C$21, $C$9, 100%, $E$9)</f>
        <v>26.468900000000001</v>
      </c>
      <c r="E507" s="17">
        <f>CHOOSE(CONTROL!$C$42, 26.5026, 26.5026) * CHOOSE(CONTROL!$C$21, $C$9, 100%, $E$9)</f>
        <v>26.502600000000001</v>
      </c>
      <c r="F507" s="17">
        <f>CHOOSE(CONTROL!$C$42, 26.3593, 26.3593)*CHOOSE(CONTROL!$C$21, $C$9, 100%, $E$9)</f>
        <v>26.359300000000001</v>
      </c>
      <c r="G507" s="17">
        <f>CHOOSE(CONTROL!$C$42, 26.3755, 26.3755)*CHOOSE(CONTROL!$C$21, $C$9, 100%, $E$9)</f>
        <v>26.375499999999999</v>
      </c>
      <c r="H507" s="17">
        <f>CHOOSE(CONTROL!$C$42, 26.4915, 26.4915) * CHOOSE(CONTROL!$C$21, $C$9, 100%, $E$9)</f>
        <v>26.491499999999998</v>
      </c>
      <c r="I507" s="17">
        <f>CHOOSE(CONTROL!$C$42, 26.4515, 26.4515)* CHOOSE(CONTROL!$C$21, $C$9, 100%, $E$9)</f>
        <v>26.451499999999999</v>
      </c>
      <c r="J507" s="17">
        <f>CHOOSE(CONTROL!$C$42, 26.3519, 26.3519)* CHOOSE(CONTROL!$C$21, $C$9, 100%, $E$9)</f>
        <v>26.351900000000001</v>
      </c>
      <c r="K507" s="53">
        <f>CHOOSE(CONTROL!$C$42, 26.4455, 26.4455) * CHOOSE(CONTROL!$C$21, $C$9, 100%, $E$9)</f>
        <v>26.445499999999999</v>
      </c>
      <c r="L507" s="17">
        <f>CHOOSE(CONTROL!$C$42, 27.0785, 27.0785) * CHOOSE(CONTROL!$C$21, $C$9, 100%, $E$9)</f>
        <v>27.078499999999998</v>
      </c>
      <c r="M507" s="17">
        <f>CHOOSE(CONTROL!$C$42, 26.122, 26.122) * CHOOSE(CONTROL!$C$21, $C$9, 100%, $E$9)</f>
        <v>26.122</v>
      </c>
      <c r="N507" s="17">
        <f>CHOOSE(CONTROL!$C$42, 26.1379, 26.1379) * CHOOSE(CONTROL!$C$21, $C$9, 100%, $E$9)</f>
        <v>26.137899999999998</v>
      </c>
      <c r="O507" s="17">
        <f>CHOOSE(CONTROL!$C$42, 26.2603, 26.2603) * CHOOSE(CONTROL!$C$21, $C$9, 100%, $E$9)</f>
        <v>26.260300000000001</v>
      </c>
      <c r="P507" s="17">
        <f>CHOOSE(CONTROL!$C$42, 26.2199, 26.2199) * CHOOSE(CONTROL!$C$21, $C$9, 100%, $E$9)</f>
        <v>26.219899999999999</v>
      </c>
      <c r="Q507" s="17">
        <f>CHOOSE(CONTROL!$C$42, 26.855, 26.855) * CHOOSE(CONTROL!$C$21, $C$9, 100%, $E$9)</f>
        <v>26.855</v>
      </c>
      <c r="R507" s="17">
        <f>CHOOSE(CONTROL!$C$42, 27.5091, 27.5091) * CHOOSE(CONTROL!$C$21, $C$9, 100%, $E$9)</f>
        <v>27.5091</v>
      </c>
      <c r="S507" s="17">
        <f>CHOOSE(CONTROL!$C$42, 25.5385, 25.5385) * CHOOSE(CONTROL!$C$21, $C$9, 100%, $E$9)</f>
        <v>25.538499999999999</v>
      </c>
      <c r="T507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507" s="57">
        <f>(1000*CHOOSE(CONTROL!$C$42, 695, 695)*CHOOSE(CONTROL!$C$42, 0.5599, 0.5599)*CHOOSE(CONTROL!$C$42, 31, 31))/1000000</f>
        <v>12.063045499999998</v>
      </c>
      <c r="V507" s="57">
        <f>(1000*CHOOSE(CONTROL!$C$42, 500, 500)*CHOOSE(CONTROL!$C$42, 0.275, 0.275)*CHOOSE(CONTROL!$C$42, 31, 31))/1000000</f>
        <v>4.2625000000000002</v>
      </c>
      <c r="W507" s="57">
        <f>(1000*CHOOSE(CONTROL!$C$42, 0.0916, 0.0916)*CHOOSE(CONTROL!$C$42, 121.5, 121.5)*CHOOSE(CONTROL!$C$42, 31, 31))/1000000</f>
        <v>0.34501139999999997</v>
      </c>
      <c r="X507" s="57">
        <f>(31*0.2374*100000/1000000)</f>
        <v>0.73594000000000004</v>
      </c>
      <c r="Y507" s="57"/>
      <c r="Z507" s="17"/>
      <c r="AA507" s="56"/>
      <c r="AB507" s="49">
        <f>(B507*122.58+C507*297.941+D507*89.177+E507*140.302+F507*40+G507*60+H507*0+I507*100+J507*300)/(122.58+297.941+89.177+140.302+0+40+60+100+300)</f>
        <v>26.388781566869564</v>
      </c>
      <c r="AC507" s="46">
        <f>(M507*'RAP TEMPLATE-GAS AVAILABILITY'!O506+N507*'RAP TEMPLATE-GAS AVAILABILITY'!P506+O507*'RAP TEMPLATE-GAS AVAILABILITY'!Q506+P507*'RAP TEMPLATE-GAS AVAILABILITY'!R506)/('RAP TEMPLATE-GAS AVAILABILITY'!O506+'RAP TEMPLATE-GAS AVAILABILITY'!P506+'RAP TEMPLATE-GAS AVAILABILITY'!Q506+'RAP TEMPLATE-GAS AVAILABILITY'!R506)</f>
        <v>26.199684172661872</v>
      </c>
    </row>
    <row r="508" spans="1:29" ht="15.75" x14ac:dyDescent="0.25">
      <c r="A508" s="14">
        <v>56369</v>
      </c>
      <c r="B508" s="17">
        <f>CHOOSE(CONTROL!$C$42, 26.2685, 26.2685) * CHOOSE(CONTROL!$C$21, $C$9, 100%, $E$9)</f>
        <v>26.2685</v>
      </c>
      <c r="C508" s="17">
        <f>CHOOSE(CONTROL!$C$42, 26.273, 26.273) * CHOOSE(CONTROL!$C$21, $C$9, 100%, $E$9)</f>
        <v>26.273</v>
      </c>
      <c r="D508" s="17">
        <f>CHOOSE(CONTROL!$C$42, 26.5257, 26.5257) * CHOOSE(CONTROL!$C$21, $C$9, 100%, $E$9)</f>
        <v>26.525700000000001</v>
      </c>
      <c r="E508" s="17">
        <f>CHOOSE(CONTROL!$C$42, 26.5575, 26.5575) * CHOOSE(CONTROL!$C$21, $C$9, 100%, $E$9)</f>
        <v>26.557500000000001</v>
      </c>
      <c r="F508" s="17">
        <f>CHOOSE(CONTROL!$C$42, 26.2744, 26.2744)*CHOOSE(CONTROL!$C$21, $C$9, 100%, $E$9)</f>
        <v>26.2744</v>
      </c>
      <c r="G508" s="17">
        <f>CHOOSE(CONTROL!$C$42, 26.2903, 26.2903)*CHOOSE(CONTROL!$C$21, $C$9, 100%, $E$9)</f>
        <v>26.290299999999998</v>
      </c>
      <c r="H508" s="17">
        <f>CHOOSE(CONTROL!$C$42, 26.547, 26.547) * CHOOSE(CONTROL!$C$21, $C$9, 100%, $E$9)</f>
        <v>26.547000000000001</v>
      </c>
      <c r="I508" s="17">
        <f>CHOOSE(CONTROL!$C$42, 26.3716, 26.3716)* CHOOSE(CONTROL!$C$21, $C$9, 100%, $E$9)</f>
        <v>26.371600000000001</v>
      </c>
      <c r="J508" s="17">
        <f>CHOOSE(CONTROL!$C$42, 26.267, 26.267)* CHOOSE(CONTROL!$C$21, $C$9, 100%, $E$9)</f>
        <v>26.266999999999999</v>
      </c>
      <c r="K508" s="53">
        <f>CHOOSE(CONTROL!$C$42, 26.3656, 26.3656) * CHOOSE(CONTROL!$C$21, $C$9, 100%, $E$9)</f>
        <v>26.365600000000001</v>
      </c>
      <c r="L508" s="17">
        <f>CHOOSE(CONTROL!$C$42, 27.134, 27.134) * CHOOSE(CONTROL!$C$21, $C$9, 100%, $E$9)</f>
        <v>27.134</v>
      </c>
      <c r="M508" s="17">
        <f>CHOOSE(CONTROL!$C$42, 26.0378, 26.0378) * CHOOSE(CONTROL!$C$21, $C$9, 100%, $E$9)</f>
        <v>26.037800000000001</v>
      </c>
      <c r="N508" s="17">
        <f>CHOOSE(CONTROL!$C$42, 26.0535, 26.0535) * CHOOSE(CONTROL!$C$21, $C$9, 100%, $E$9)</f>
        <v>26.0535</v>
      </c>
      <c r="O508" s="17">
        <f>CHOOSE(CONTROL!$C$42, 26.3152, 26.3152) * CHOOSE(CONTROL!$C$21, $C$9, 100%, $E$9)</f>
        <v>26.315200000000001</v>
      </c>
      <c r="P508" s="17">
        <f>CHOOSE(CONTROL!$C$42, 26.1408, 26.1408) * CHOOSE(CONTROL!$C$21, $C$9, 100%, $E$9)</f>
        <v>26.140799999999999</v>
      </c>
      <c r="Q508" s="17">
        <f>CHOOSE(CONTROL!$C$42, 26.9099, 26.9099) * CHOOSE(CONTROL!$C$21, $C$9, 100%, $E$9)</f>
        <v>26.9099</v>
      </c>
      <c r="R508" s="17">
        <f>CHOOSE(CONTROL!$C$42, 27.5642, 27.5642) * CHOOSE(CONTROL!$C$21, $C$9, 100%, $E$9)</f>
        <v>27.5642</v>
      </c>
      <c r="S508" s="17">
        <f>CHOOSE(CONTROL!$C$42, 25.4623, 25.4623) * CHOOSE(CONTROL!$C$21, $C$9, 100%, $E$9)</f>
        <v>25.462299999999999</v>
      </c>
      <c r="T508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508" s="57">
        <f>(1000*CHOOSE(CONTROL!$C$42, 695, 695)*CHOOSE(CONTROL!$C$42, 0.5599, 0.5599)*CHOOSE(CONTROL!$C$42, 30, 30))/1000000</f>
        <v>11.673914999999997</v>
      </c>
      <c r="V508" s="57">
        <f>(1000*CHOOSE(CONTROL!$C$42, 500, 500)*CHOOSE(CONTROL!$C$42, 0.275, 0.275)*CHOOSE(CONTROL!$C$42, 30, 30))/1000000</f>
        <v>4.125</v>
      </c>
      <c r="W508" s="57">
        <f>(1000*CHOOSE(CONTROL!$C$42, 0.0916, 0.0916)*CHOOSE(CONTROL!$C$42, 121.5, 121.5)*CHOOSE(CONTROL!$C$42, 30, 30))/1000000</f>
        <v>0.33388200000000001</v>
      </c>
      <c r="X508" s="57">
        <f>(30*0.1790888*145000/1000000)+(30*0.2374*100000/1000000)</f>
        <v>1.4912362799999999</v>
      </c>
      <c r="Y508" s="57"/>
      <c r="Z508" s="17"/>
      <c r="AA508" s="56"/>
      <c r="AB508" s="49">
        <f>(B508*141.293+C508*267.993+D508*115.016+E508*189.698+F508*40+G508*85+H508*0+I508*100+J508*300)/(141.293+267.993+115.016+189.698+0+40+85+100+300)</f>
        <v>26.347240763276837</v>
      </c>
      <c r="AC508" s="46">
        <f>(M508*'RAP TEMPLATE-GAS AVAILABILITY'!O507+N508*'RAP TEMPLATE-GAS AVAILABILITY'!P507+O508*'RAP TEMPLATE-GAS AVAILABILITY'!Q507+P508*'RAP TEMPLATE-GAS AVAILABILITY'!R507)/('RAP TEMPLATE-GAS AVAILABILITY'!O507+'RAP TEMPLATE-GAS AVAILABILITY'!P507+'RAP TEMPLATE-GAS AVAILABILITY'!Q507+'RAP TEMPLATE-GAS AVAILABILITY'!R507)</f>
        <v>26.134066187050358</v>
      </c>
    </row>
    <row r="509" spans="1:29" ht="15.75" x14ac:dyDescent="0.25">
      <c r="A509" s="14">
        <v>56400</v>
      </c>
      <c r="B509" s="17">
        <f>CHOOSE(CONTROL!$C$42, 26.5016, 26.5016) * CHOOSE(CONTROL!$C$21, $C$9, 100%, $E$9)</f>
        <v>26.5016</v>
      </c>
      <c r="C509" s="17">
        <f>CHOOSE(CONTROL!$C$42, 26.5096, 26.5096) * CHOOSE(CONTROL!$C$21, $C$9, 100%, $E$9)</f>
        <v>26.509599999999999</v>
      </c>
      <c r="D509" s="17">
        <f>CHOOSE(CONTROL!$C$42, 26.7592, 26.7592) * CHOOSE(CONTROL!$C$21, $C$9, 100%, $E$9)</f>
        <v>26.7592</v>
      </c>
      <c r="E509" s="17">
        <f>CHOOSE(CONTROL!$C$42, 26.7904, 26.7904) * CHOOSE(CONTROL!$C$21, $C$9, 100%, $E$9)</f>
        <v>26.790400000000002</v>
      </c>
      <c r="F509" s="17">
        <f>CHOOSE(CONTROL!$C$42, 26.5064, 26.5064)*CHOOSE(CONTROL!$C$21, $C$9, 100%, $E$9)</f>
        <v>26.506399999999999</v>
      </c>
      <c r="G509" s="17">
        <f>CHOOSE(CONTROL!$C$42, 26.5226, 26.5226)*CHOOSE(CONTROL!$C$21, $C$9, 100%, $E$9)</f>
        <v>26.522600000000001</v>
      </c>
      <c r="H509" s="17">
        <f>CHOOSE(CONTROL!$C$42, 26.7787, 26.7787) * CHOOSE(CONTROL!$C$21, $C$9, 100%, $E$9)</f>
        <v>26.778700000000001</v>
      </c>
      <c r="I509" s="17">
        <f>CHOOSE(CONTROL!$C$42, 26.6041, 26.6041)* CHOOSE(CONTROL!$C$21, $C$9, 100%, $E$9)</f>
        <v>26.604099999999999</v>
      </c>
      <c r="J509" s="17">
        <f>CHOOSE(CONTROL!$C$42, 26.499, 26.499)* CHOOSE(CONTROL!$C$21, $C$9, 100%, $E$9)</f>
        <v>26.498999999999999</v>
      </c>
      <c r="K509" s="53">
        <f>CHOOSE(CONTROL!$C$42, 26.598, 26.598) * CHOOSE(CONTROL!$C$21, $C$9, 100%, $E$9)</f>
        <v>26.597999999999999</v>
      </c>
      <c r="L509" s="17">
        <f>CHOOSE(CONTROL!$C$42, 27.3657, 27.3657) * CHOOSE(CONTROL!$C$21, $C$9, 100%, $E$9)</f>
        <v>27.3657</v>
      </c>
      <c r="M509" s="17">
        <f>CHOOSE(CONTROL!$C$42, 26.2677, 26.2677) * CHOOSE(CONTROL!$C$21, $C$9, 100%, $E$9)</f>
        <v>26.267700000000001</v>
      </c>
      <c r="N509" s="17">
        <f>CHOOSE(CONTROL!$C$42, 26.2837, 26.2837) * CHOOSE(CONTROL!$C$21, $C$9, 100%, $E$9)</f>
        <v>26.2837</v>
      </c>
      <c r="O509" s="17">
        <f>CHOOSE(CONTROL!$C$42, 26.5449, 26.5449) * CHOOSE(CONTROL!$C$21, $C$9, 100%, $E$9)</f>
        <v>26.544899999999998</v>
      </c>
      <c r="P509" s="17">
        <f>CHOOSE(CONTROL!$C$42, 26.3711, 26.3711) * CHOOSE(CONTROL!$C$21, $C$9, 100%, $E$9)</f>
        <v>26.371099999999998</v>
      </c>
      <c r="Q509" s="17">
        <f>CHOOSE(CONTROL!$C$42, 27.1396, 27.1396) * CHOOSE(CONTROL!$C$21, $C$9, 100%, $E$9)</f>
        <v>27.139600000000002</v>
      </c>
      <c r="R509" s="17">
        <f>CHOOSE(CONTROL!$C$42, 27.7944, 27.7944) * CHOOSE(CONTROL!$C$21, $C$9, 100%, $E$9)</f>
        <v>27.7944</v>
      </c>
      <c r="S509" s="17">
        <f>CHOOSE(CONTROL!$C$42, 25.687, 25.687) * CHOOSE(CONTROL!$C$21, $C$9, 100%, $E$9)</f>
        <v>25.687000000000001</v>
      </c>
      <c r="T509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509" s="57">
        <f>(1000*CHOOSE(CONTROL!$C$42, 695, 695)*CHOOSE(CONTROL!$C$42, 0.5599, 0.5599)*CHOOSE(CONTROL!$C$42, 31, 31))/1000000</f>
        <v>12.063045499999998</v>
      </c>
      <c r="V509" s="57">
        <f>(1000*CHOOSE(CONTROL!$C$42, 500, 500)*CHOOSE(CONTROL!$C$42, 0.275, 0.275)*CHOOSE(CONTROL!$C$42, 31, 31))/1000000</f>
        <v>4.2625000000000002</v>
      </c>
      <c r="W509" s="57">
        <f>(1000*CHOOSE(CONTROL!$C$42, 0.0916, 0.0916)*CHOOSE(CONTROL!$C$42, 121.5, 121.5)*CHOOSE(CONTROL!$C$42, 31, 31))/1000000</f>
        <v>0.34501139999999997</v>
      </c>
      <c r="X509" s="57">
        <f>(31*0.1790888*145000/1000000)+(31*0.2374*100000/1000000)</f>
        <v>1.5409441560000001</v>
      </c>
      <c r="Y509" s="57"/>
      <c r="Z509" s="17"/>
      <c r="AA509" s="56"/>
      <c r="AB509" s="49">
        <f>(B509*194.205+C509*267.466+D509*133.845+E509*153.484+F509*40+G509*85+H509*0+I509*100+J509*300)/(194.205+267.466+133.845+153.484+0+40+85+100+300)</f>
        <v>26.574120705808483</v>
      </c>
      <c r="AC509" s="46">
        <f>(M509*'RAP TEMPLATE-GAS AVAILABILITY'!O508+N509*'RAP TEMPLATE-GAS AVAILABILITY'!P508+O509*'RAP TEMPLATE-GAS AVAILABILITY'!Q508+P509*'RAP TEMPLATE-GAS AVAILABILITY'!R508)/('RAP TEMPLATE-GAS AVAILABILITY'!O508+'RAP TEMPLATE-GAS AVAILABILITY'!P508+'RAP TEMPLATE-GAS AVAILABILITY'!Q508+'RAP TEMPLATE-GAS AVAILABILITY'!R508)</f>
        <v>26.364036690647481</v>
      </c>
    </row>
    <row r="510" spans="1:29" ht="15.75" x14ac:dyDescent="0.25">
      <c r="A510" s="14">
        <v>56430</v>
      </c>
      <c r="B510" s="17">
        <f>CHOOSE(CONTROL!$C$42, 27.253, 27.253) * CHOOSE(CONTROL!$C$21, $C$9, 100%, $E$9)</f>
        <v>27.253</v>
      </c>
      <c r="C510" s="17">
        <f>CHOOSE(CONTROL!$C$42, 27.261, 27.261) * CHOOSE(CONTROL!$C$21, $C$9, 100%, $E$9)</f>
        <v>27.260999999999999</v>
      </c>
      <c r="D510" s="17">
        <f>CHOOSE(CONTROL!$C$42, 27.5106, 27.5106) * CHOOSE(CONTROL!$C$21, $C$9, 100%, $E$9)</f>
        <v>27.5106</v>
      </c>
      <c r="E510" s="17">
        <f>CHOOSE(CONTROL!$C$42, 27.5418, 27.5418) * CHOOSE(CONTROL!$C$21, $C$9, 100%, $E$9)</f>
        <v>27.541799999999999</v>
      </c>
      <c r="F510" s="17">
        <f>CHOOSE(CONTROL!$C$42, 27.2582, 27.2582)*CHOOSE(CONTROL!$C$21, $C$9, 100%, $E$9)</f>
        <v>27.258199999999999</v>
      </c>
      <c r="G510" s="17">
        <f>CHOOSE(CONTROL!$C$42, 27.2744, 27.2744)*CHOOSE(CONTROL!$C$21, $C$9, 100%, $E$9)</f>
        <v>27.2744</v>
      </c>
      <c r="H510" s="17">
        <f>CHOOSE(CONTROL!$C$42, 27.5301, 27.5301) * CHOOSE(CONTROL!$C$21, $C$9, 100%, $E$9)</f>
        <v>27.530100000000001</v>
      </c>
      <c r="I510" s="17">
        <f>CHOOSE(CONTROL!$C$42, 27.3578, 27.3578)* CHOOSE(CONTROL!$C$21, $C$9, 100%, $E$9)</f>
        <v>27.357800000000001</v>
      </c>
      <c r="J510" s="17">
        <f>CHOOSE(CONTROL!$C$42, 27.2508, 27.2508)* CHOOSE(CONTROL!$C$21, $C$9, 100%, $E$9)</f>
        <v>27.250800000000002</v>
      </c>
      <c r="K510" s="53">
        <f>CHOOSE(CONTROL!$C$42, 27.3517, 27.3517) * CHOOSE(CONTROL!$C$21, $C$9, 100%, $E$9)</f>
        <v>27.351700000000001</v>
      </c>
      <c r="L510" s="17">
        <f>CHOOSE(CONTROL!$C$42, 28.1171, 28.1171) * CHOOSE(CONTROL!$C$21, $C$9, 100%, $E$9)</f>
        <v>28.117100000000001</v>
      </c>
      <c r="M510" s="17">
        <f>CHOOSE(CONTROL!$C$42, 27.0127, 27.0127) * CHOOSE(CONTROL!$C$21, $C$9, 100%, $E$9)</f>
        <v>27.012699999999999</v>
      </c>
      <c r="N510" s="17">
        <f>CHOOSE(CONTROL!$C$42, 27.0288, 27.0288) * CHOOSE(CONTROL!$C$21, $C$9, 100%, $E$9)</f>
        <v>27.0288</v>
      </c>
      <c r="O510" s="17">
        <f>CHOOSE(CONTROL!$C$42, 27.2895, 27.2895) * CHOOSE(CONTROL!$C$21, $C$9, 100%, $E$9)</f>
        <v>27.2895</v>
      </c>
      <c r="P510" s="17">
        <f>CHOOSE(CONTROL!$C$42, 27.118, 27.118) * CHOOSE(CONTROL!$C$21, $C$9, 100%, $E$9)</f>
        <v>27.117999999999999</v>
      </c>
      <c r="Q510" s="17">
        <f>CHOOSE(CONTROL!$C$42, 27.8842, 27.8842) * CHOOSE(CONTROL!$C$21, $C$9, 100%, $E$9)</f>
        <v>27.8842</v>
      </c>
      <c r="R510" s="17">
        <f>CHOOSE(CONTROL!$C$42, 28.5409, 28.5409) * CHOOSE(CONTROL!$C$21, $C$9, 100%, $E$9)</f>
        <v>28.540900000000001</v>
      </c>
      <c r="S510" s="17">
        <f>CHOOSE(CONTROL!$C$42, 26.4156, 26.4156) * CHOOSE(CONTROL!$C$21, $C$9, 100%, $E$9)</f>
        <v>26.415600000000001</v>
      </c>
      <c r="T510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510" s="57">
        <f>(1000*CHOOSE(CONTROL!$C$42, 695, 695)*CHOOSE(CONTROL!$C$42, 0.5599, 0.5599)*CHOOSE(CONTROL!$C$42, 30, 30))/1000000</f>
        <v>11.673914999999997</v>
      </c>
      <c r="V510" s="57">
        <f>(1000*CHOOSE(CONTROL!$C$42, 500, 500)*CHOOSE(CONTROL!$C$42, 0.275, 0.275)*CHOOSE(CONTROL!$C$42, 30, 30))/1000000</f>
        <v>4.125</v>
      </c>
      <c r="W510" s="57">
        <f>(1000*CHOOSE(CONTROL!$C$42, 0.0916, 0.0916)*CHOOSE(CONTROL!$C$42, 121.5, 121.5)*CHOOSE(CONTROL!$C$42, 30, 30))/1000000</f>
        <v>0.33388200000000001</v>
      </c>
      <c r="X510" s="57">
        <f>(30*0.1790888*145000/1000000)+(30*0.2374*100000/1000000)</f>
        <v>1.4912362799999999</v>
      </c>
      <c r="Y510" s="57"/>
      <c r="Z510" s="17"/>
      <c r="AA510" s="56"/>
      <c r="AB510" s="49">
        <f>(B510*194.205+C510*267.466+D510*133.845+E510*153.484+F510*40+G510*85+H510*0+I510*100+J510*300)/(194.205+267.466+133.845+153.484+0+40+85+100+300)</f>
        <v>27.325834677551022</v>
      </c>
      <c r="AC510" s="46">
        <f>(M510*'RAP TEMPLATE-GAS AVAILABILITY'!O509+N510*'RAP TEMPLATE-GAS AVAILABILITY'!P509+O510*'RAP TEMPLATE-GAS AVAILABILITY'!Q509+P510*'RAP TEMPLATE-GAS AVAILABILITY'!R509)/('RAP TEMPLATE-GAS AVAILABILITY'!O509+'RAP TEMPLATE-GAS AVAILABILITY'!P509+'RAP TEMPLATE-GAS AVAILABILITY'!Q509+'RAP TEMPLATE-GAS AVAILABILITY'!R509)</f>
        <v>27.10922086330935</v>
      </c>
    </row>
    <row r="511" spans="1:29" ht="15.75" x14ac:dyDescent="0.25">
      <c r="A511" s="14">
        <v>56461</v>
      </c>
      <c r="B511" s="17">
        <f>CHOOSE(CONTROL!$C$42, 26.7304, 26.7304) * CHOOSE(CONTROL!$C$21, $C$9, 100%, $E$9)</f>
        <v>26.730399999999999</v>
      </c>
      <c r="C511" s="17">
        <f>CHOOSE(CONTROL!$C$42, 26.7384, 26.7384) * CHOOSE(CONTROL!$C$21, $C$9, 100%, $E$9)</f>
        <v>26.738399999999999</v>
      </c>
      <c r="D511" s="17">
        <f>CHOOSE(CONTROL!$C$42, 26.988, 26.988) * CHOOSE(CONTROL!$C$21, $C$9, 100%, $E$9)</f>
        <v>26.988</v>
      </c>
      <c r="E511" s="17">
        <f>CHOOSE(CONTROL!$C$42, 27.0192, 27.0192) * CHOOSE(CONTROL!$C$21, $C$9, 100%, $E$9)</f>
        <v>27.019200000000001</v>
      </c>
      <c r="F511" s="17">
        <f>CHOOSE(CONTROL!$C$42, 26.7361, 26.7361)*CHOOSE(CONTROL!$C$21, $C$9, 100%, $E$9)</f>
        <v>26.7361</v>
      </c>
      <c r="G511" s="17">
        <f>CHOOSE(CONTROL!$C$42, 26.7524, 26.7524)*CHOOSE(CONTROL!$C$21, $C$9, 100%, $E$9)</f>
        <v>26.752400000000002</v>
      </c>
      <c r="H511" s="17">
        <f>CHOOSE(CONTROL!$C$42, 27.0075, 27.0075) * CHOOSE(CONTROL!$C$21, $C$9, 100%, $E$9)</f>
        <v>27.0075</v>
      </c>
      <c r="I511" s="17">
        <f>CHOOSE(CONTROL!$C$42, 26.8336, 26.8336)* CHOOSE(CONTROL!$C$21, $C$9, 100%, $E$9)</f>
        <v>26.833600000000001</v>
      </c>
      <c r="J511" s="17">
        <f>CHOOSE(CONTROL!$C$42, 26.7287, 26.7287)* CHOOSE(CONTROL!$C$21, $C$9, 100%, $E$9)</f>
        <v>26.7287</v>
      </c>
      <c r="K511" s="53">
        <f>CHOOSE(CONTROL!$C$42, 26.8275, 26.8275) * CHOOSE(CONTROL!$C$21, $C$9, 100%, $E$9)</f>
        <v>26.827500000000001</v>
      </c>
      <c r="L511" s="17">
        <f>CHOOSE(CONTROL!$C$42, 27.5945, 27.5945) * CHOOSE(CONTROL!$C$21, $C$9, 100%, $E$9)</f>
        <v>27.5945</v>
      </c>
      <c r="M511" s="17">
        <f>CHOOSE(CONTROL!$C$42, 26.4953, 26.4953) * CHOOSE(CONTROL!$C$21, $C$9, 100%, $E$9)</f>
        <v>26.4953</v>
      </c>
      <c r="N511" s="17">
        <f>CHOOSE(CONTROL!$C$42, 26.5115, 26.5115) * CHOOSE(CONTROL!$C$21, $C$9, 100%, $E$9)</f>
        <v>26.511500000000002</v>
      </c>
      <c r="O511" s="17">
        <f>CHOOSE(CONTROL!$C$42, 26.7716, 26.7716) * CHOOSE(CONTROL!$C$21, $C$9, 100%, $E$9)</f>
        <v>26.771599999999999</v>
      </c>
      <c r="P511" s="17">
        <f>CHOOSE(CONTROL!$C$42, 26.5986, 26.5986) * CHOOSE(CONTROL!$C$21, $C$9, 100%, $E$9)</f>
        <v>26.598600000000001</v>
      </c>
      <c r="Q511" s="17">
        <f>CHOOSE(CONTROL!$C$42, 27.3663, 27.3663) * CHOOSE(CONTROL!$C$21, $C$9, 100%, $E$9)</f>
        <v>27.366299999999999</v>
      </c>
      <c r="R511" s="17">
        <f>CHOOSE(CONTROL!$C$42, 28.0217, 28.0217) * CHOOSE(CONTROL!$C$21, $C$9, 100%, $E$9)</f>
        <v>28.021699999999999</v>
      </c>
      <c r="S511" s="17">
        <f>CHOOSE(CONTROL!$C$42, 25.9089, 25.9089) * CHOOSE(CONTROL!$C$21, $C$9, 100%, $E$9)</f>
        <v>25.908899999999999</v>
      </c>
      <c r="T511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511" s="57">
        <f>(1000*CHOOSE(CONTROL!$C$42, 695, 695)*CHOOSE(CONTROL!$C$42, 0.5599, 0.5599)*CHOOSE(CONTROL!$C$42, 31, 31))/1000000</f>
        <v>12.063045499999998</v>
      </c>
      <c r="V511" s="57">
        <f>(1000*CHOOSE(CONTROL!$C$42, 500, 500)*CHOOSE(CONTROL!$C$42, 0.275, 0.275)*CHOOSE(CONTROL!$C$42, 31, 31))/1000000</f>
        <v>4.2625000000000002</v>
      </c>
      <c r="W511" s="57">
        <f>(1000*CHOOSE(CONTROL!$C$42, 0.0916, 0.0916)*CHOOSE(CONTROL!$C$42, 121.5, 121.5)*CHOOSE(CONTROL!$C$42, 31, 31))/1000000</f>
        <v>0.34501139999999997</v>
      </c>
      <c r="X511" s="57">
        <f>(31*0.1790888*145000/1000000)+(31*0.2374*100000/1000000)</f>
        <v>1.5409441560000001</v>
      </c>
      <c r="Y511" s="57"/>
      <c r="Z511" s="17"/>
      <c r="AA511" s="56"/>
      <c r="AB511" s="49">
        <f>(B511*194.205+C511*267.466+D511*133.845+E511*153.484+F511*40+G511*85+H511*0+I511*100+J511*300)/(194.205+267.466+133.845+153.484+0+40+85+100+300)</f>
        <v>26.803282558241758</v>
      </c>
      <c r="AC511" s="46">
        <f>(M511*'RAP TEMPLATE-GAS AVAILABILITY'!O510+N511*'RAP TEMPLATE-GAS AVAILABILITY'!P510+O511*'RAP TEMPLATE-GAS AVAILABILITY'!Q510+P511*'RAP TEMPLATE-GAS AVAILABILITY'!R510)/('RAP TEMPLATE-GAS AVAILABILITY'!O510+'RAP TEMPLATE-GAS AVAILABILITY'!P510+'RAP TEMPLATE-GAS AVAILABILITY'!Q510+'RAP TEMPLATE-GAS AVAILABILITY'!R510)</f>
        <v>26.591415827338128</v>
      </c>
    </row>
    <row r="512" spans="1:29" ht="15.75" x14ac:dyDescent="0.25">
      <c r="A512" s="14">
        <v>56492</v>
      </c>
      <c r="B512" s="17">
        <f>CHOOSE(CONTROL!$C$42, 25.4107, 25.4107) * CHOOSE(CONTROL!$C$21, $C$9, 100%, $E$9)</f>
        <v>25.410699999999999</v>
      </c>
      <c r="C512" s="17">
        <f>CHOOSE(CONTROL!$C$42, 25.4187, 25.4187) * CHOOSE(CONTROL!$C$21, $C$9, 100%, $E$9)</f>
        <v>25.418700000000001</v>
      </c>
      <c r="D512" s="17">
        <f>CHOOSE(CONTROL!$C$42, 25.6683, 25.6683) * CHOOSE(CONTROL!$C$21, $C$9, 100%, $E$9)</f>
        <v>25.668299999999999</v>
      </c>
      <c r="E512" s="17">
        <f>CHOOSE(CONTROL!$C$42, 25.6994, 25.6994) * CHOOSE(CONTROL!$C$21, $C$9, 100%, $E$9)</f>
        <v>25.699400000000001</v>
      </c>
      <c r="F512" s="17">
        <f>CHOOSE(CONTROL!$C$42, 25.4166, 25.4166)*CHOOSE(CONTROL!$C$21, $C$9, 100%, $E$9)</f>
        <v>25.416599999999999</v>
      </c>
      <c r="G512" s="17">
        <f>CHOOSE(CONTROL!$C$42, 25.433, 25.433)*CHOOSE(CONTROL!$C$21, $C$9, 100%, $E$9)</f>
        <v>25.433</v>
      </c>
      <c r="H512" s="17">
        <f>CHOOSE(CONTROL!$C$42, 25.6878, 25.6878) * CHOOSE(CONTROL!$C$21, $C$9, 100%, $E$9)</f>
        <v>25.687799999999999</v>
      </c>
      <c r="I512" s="17">
        <f>CHOOSE(CONTROL!$C$42, 25.5097, 25.5097)* CHOOSE(CONTROL!$C$21, $C$9, 100%, $E$9)</f>
        <v>25.509699999999999</v>
      </c>
      <c r="J512" s="17">
        <f>CHOOSE(CONTROL!$C$42, 25.4092, 25.4092)* CHOOSE(CONTROL!$C$21, $C$9, 100%, $E$9)</f>
        <v>25.409199999999998</v>
      </c>
      <c r="K512" s="53">
        <f>CHOOSE(CONTROL!$C$42, 25.5037, 25.5037) * CHOOSE(CONTROL!$C$21, $C$9, 100%, $E$9)</f>
        <v>25.503699999999998</v>
      </c>
      <c r="L512" s="17">
        <f>CHOOSE(CONTROL!$C$42, 26.2748, 26.2748) * CHOOSE(CONTROL!$C$21, $C$9, 100%, $E$9)</f>
        <v>26.274799999999999</v>
      </c>
      <c r="M512" s="17">
        <f>CHOOSE(CONTROL!$C$42, 25.1877, 25.1877) * CHOOSE(CONTROL!$C$21, $C$9, 100%, $E$9)</f>
        <v>25.1877</v>
      </c>
      <c r="N512" s="17">
        <f>CHOOSE(CONTROL!$C$42, 25.204, 25.204) * CHOOSE(CONTROL!$C$21, $C$9, 100%, $E$9)</f>
        <v>25.204000000000001</v>
      </c>
      <c r="O512" s="17">
        <f>CHOOSE(CONTROL!$C$42, 25.4638, 25.4638) * CHOOSE(CONTROL!$C$21, $C$9, 100%, $E$9)</f>
        <v>25.463799999999999</v>
      </c>
      <c r="P512" s="17">
        <f>CHOOSE(CONTROL!$C$42, 25.2867, 25.2867) * CHOOSE(CONTROL!$C$21, $C$9, 100%, $E$9)</f>
        <v>25.2867</v>
      </c>
      <c r="Q512" s="17">
        <f>CHOOSE(CONTROL!$C$42, 26.0585, 26.0585) * CHOOSE(CONTROL!$C$21, $C$9, 100%, $E$9)</f>
        <v>26.058499999999999</v>
      </c>
      <c r="R512" s="17">
        <f>CHOOSE(CONTROL!$C$42, 26.7106, 26.7106) * CHOOSE(CONTROL!$C$21, $C$9, 100%, $E$9)</f>
        <v>26.710599999999999</v>
      </c>
      <c r="S512" s="17">
        <f>CHOOSE(CONTROL!$C$42, 24.6291, 24.6291) * CHOOSE(CONTROL!$C$21, $C$9, 100%, $E$9)</f>
        <v>24.629100000000001</v>
      </c>
      <c r="T512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512" s="57">
        <f>(1000*CHOOSE(CONTROL!$C$42, 695, 695)*CHOOSE(CONTROL!$C$42, 0.5599, 0.5599)*CHOOSE(CONTROL!$C$42, 31, 31))/1000000</f>
        <v>12.063045499999998</v>
      </c>
      <c r="V512" s="57">
        <f>(1000*CHOOSE(CONTROL!$C$42, 500, 500)*CHOOSE(CONTROL!$C$42, 0.275, 0.275)*CHOOSE(CONTROL!$C$42, 31, 31))/1000000</f>
        <v>4.2625000000000002</v>
      </c>
      <c r="W512" s="57">
        <f>(1000*CHOOSE(CONTROL!$C$42, 0.0916, 0.0916)*CHOOSE(CONTROL!$C$42, 121.5, 121.5)*CHOOSE(CONTROL!$C$42, 31, 31))/1000000</f>
        <v>0.34501139999999997</v>
      </c>
      <c r="X512" s="57">
        <f>(31*0.1790888*145000/1000000)+(31*0.2374*100000/1000000)</f>
        <v>1.5409441560000001</v>
      </c>
      <c r="Y512" s="57"/>
      <c r="Z512" s="17"/>
      <c r="AA512" s="56"/>
      <c r="AB512" s="49">
        <f>(B512*194.205+C512*267.466+D512*133.845+E512*153.484+F512*40+G512*85+H512*0+I512*100+J512*300)/(194.205+267.466+133.845+153.484+0+40+85+100+300)</f>
        <v>25.483314231397177</v>
      </c>
      <c r="AC512" s="46">
        <f>(M512*'RAP TEMPLATE-GAS AVAILABILITY'!O511+N512*'RAP TEMPLATE-GAS AVAILABILITY'!P511+O512*'RAP TEMPLATE-GAS AVAILABILITY'!Q511+P512*'RAP TEMPLATE-GAS AVAILABILITY'!R511)/('RAP TEMPLATE-GAS AVAILABILITY'!O511+'RAP TEMPLATE-GAS AVAILABILITY'!P511+'RAP TEMPLATE-GAS AVAILABILITY'!Q511+'RAP TEMPLATE-GAS AVAILABILITY'!R511)</f>
        <v>25.283164028776977</v>
      </c>
    </row>
    <row r="513" spans="1:29" ht="15.75" x14ac:dyDescent="0.25">
      <c r="A513" s="14">
        <v>56522</v>
      </c>
      <c r="B513" s="17">
        <f>CHOOSE(CONTROL!$C$42, 23.798, 23.798) * CHOOSE(CONTROL!$C$21, $C$9, 100%, $E$9)</f>
        <v>23.797999999999998</v>
      </c>
      <c r="C513" s="17">
        <f>CHOOSE(CONTROL!$C$42, 23.806, 23.806) * CHOOSE(CONTROL!$C$21, $C$9, 100%, $E$9)</f>
        <v>23.806000000000001</v>
      </c>
      <c r="D513" s="17">
        <f>CHOOSE(CONTROL!$C$42, 24.0556, 24.0556) * CHOOSE(CONTROL!$C$21, $C$9, 100%, $E$9)</f>
        <v>24.055599999999998</v>
      </c>
      <c r="E513" s="17">
        <f>CHOOSE(CONTROL!$C$42, 24.0868, 24.0868) * CHOOSE(CONTROL!$C$21, $C$9, 100%, $E$9)</f>
        <v>24.0868</v>
      </c>
      <c r="F513" s="17">
        <f>CHOOSE(CONTROL!$C$42, 23.804, 23.804)*CHOOSE(CONTROL!$C$21, $C$9, 100%, $E$9)</f>
        <v>23.803999999999998</v>
      </c>
      <c r="G513" s="17">
        <f>CHOOSE(CONTROL!$C$42, 23.8204, 23.8204)*CHOOSE(CONTROL!$C$21, $C$9, 100%, $E$9)</f>
        <v>23.820399999999999</v>
      </c>
      <c r="H513" s="17">
        <f>CHOOSE(CONTROL!$C$42, 24.0751, 24.0751) * CHOOSE(CONTROL!$C$21, $C$9, 100%, $E$9)</f>
        <v>24.075099999999999</v>
      </c>
      <c r="I513" s="17">
        <f>CHOOSE(CONTROL!$C$42, 23.8921, 23.8921)* CHOOSE(CONTROL!$C$21, $C$9, 100%, $E$9)</f>
        <v>23.892099999999999</v>
      </c>
      <c r="J513" s="17">
        <f>CHOOSE(CONTROL!$C$42, 23.7966, 23.7966)* CHOOSE(CONTROL!$C$21, $C$9, 100%, $E$9)</f>
        <v>23.796600000000002</v>
      </c>
      <c r="K513" s="53">
        <f>CHOOSE(CONTROL!$C$42, 23.886, 23.886) * CHOOSE(CONTROL!$C$21, $C$9, 100%, $E$9)</f>
        <v>23.885999999999999</v>
      </c>
      <c r="L513" s="17">
        <f>CHOOSE(CONTROL!$C$42, 24.6621, 24.6621) * CHOOSE(CONTROL!$C$21, $C$9, 100%, $E$9)</f>
        <v>24.662099999999999</v>
      </c>
      <c r="M513" s="17">
        <f>CHOOSE(CONTROL!$C$42, 23.5896, 23.5896) * CHOOSE(CONTROL!$C$21, $C$9, 100%, $E$9)</f>
        <v>23.589600000000001</v>
      </c>
      <c r="N513" s="17">
        <f>CHOOSE(CONTROL!$C$42, 23.6059, 23.6059) * CHOOSE(CONTROL!$C$21, $C$9, 100%, $E$9)</f>
        <v>23.605899999999998</v>
      </c>
      <c r="O513" s="17">
        <f>CHOOSE(CONTROL!$C$42, 23.8656, 23.8656) * CHOOSE(CONTROL!$C$21, $C$9, 100%, $E$9)</f>
        <v>23.865600000000001</v>
      </c>
      <c r="P513" s="17">
        <f>CHOOSE(CONTROL!$C$42, 23.6836, 23.6836) * CHOOSE(CONTROL!$C$21, $C$9, 100%, $E$9)</f>
        <v>23.683599999999998</v>
      </c>
      <c r="Q513" s="17">
        <f>CHOOSE(CONTROL!$C$42, 24.4603, 24.4603) * CHOOSE(CONTROL!$C$21, $C$9, 100%, $E$9)</f>
        <v>24.4603</v>
      </c>
      <c r="R513" s="17">
        <f>CHOOSE(CONTROL!$C$42, 25.1084, 25.1084) * CHOOSE(CONTROL!$C$21, $C$9, 100%, $E$9)</f>
        <v>25.1084</v>
      </c>
      <c r="S513" s="17">
        <f>CHOOSE(CONTROL!$C$42, 23.0653, 23.0653) * CHOOSE(CONTROL!$C$21, $C$9, 100%, $E$9)</f>
        <v>23.065300000000001</v>
      </c>
      <c r="T513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513" s="57">
        <f>(1000*CHOOSE(CONTROL!$C$42, 695, 695)*CHOOSE(CONTROL!$C$42, 0.5599, 0.5599)*CHOOSE(CONTROL!$C$42, 30, 30))/1000000</f>
        <v>11.673914999999997</v>
      </c>
      <c r="V513" s="57">
        <f>(1000*CHOOSE(CONTROL!$C$42, 500, 500)*CHOOSE(CONTROL!$C$42, 0.275, 0.275)*CHOOSE(CONTROL!$C$42, 30, 30))/1000000</f>
        <v>4.125</v>
      </c>
      <c r="W513" s="57">
        <f>(1000*CHOOSE(CONTROL!$C$42, 0.0916, 0.0916)*CHOOSE(CONTROL!$C$42, 121.5, 121.5)*CHOOSE(CONTROL!$C$42, 30, 30))/1000000</f>
        <v>0.33388200000000001</v>
      </c>
      <c r="X513" s="57">
        <f>(30*0.1790888*145000/1000000)+(30*0.2374*100000/1000000)</f>
        <v>1.4912362799999999</v>
      </c>
      <c r="Y513" s="57"/>
      <c r="Z513" s="17"/>
      <c r="AA513" s="56"/>
      <c r="AB513" s="49">
        <f>(B513*194.205+C513*267.466+D513*133.845+E513*153.484+F513*40+G513*85+H513*0+I513*100+J513*300)/(194.205+267.466+133.845+153.484+0+40+85+100+300)</f>
        <v>23.870275022919937</v>
      </c>
      <c r="AC513" s="46">
        <f>(M513*'RAP TEMPLATE-GAS AVAILABILITY'!O512+N513*'RAP TEMPLATE-GAS AVAILABILITY'!P512+O513*'RAP TEMPLATE-GAS AVAILABILITY'!Q512+P513*'RAP TEMPLATE-GAS AVAILABILITY'!R512)/('RAP TEMPLATE-GAS AVAILABILITY'!O512+'RAP TEMPLATE-GAS AVAILABILITY'!P512+'RAP TEMPLATE-GAS AVAILABILITY'!Q512+'RAP TEMPLATE-GAS AVAILABILITY'!R512)</f>
        <v>23.684316546762592</v>
      </c>
    </row>
    <row r="514" spans="1:29" ht="15.75" x14ac:dyDescent="0.25">
      <c r="A514" s="14">
        <v>56553</v>
      </c>
      <c r="B514" s="17">
        <f>CHOOSE(CONTROL!$C$42, 23.3133, 23.3133) * CHOOSE(CONTROL!$C$21, $C$9, 100%, $E$9)</f>
        <v>23.313300000000002</v>
      </c>
      <c r="C514" s="17">
        <f>CHOOSE(CONTROL!$C$42, 23.3187, 23.3187) * CHOOSE(CONTROL!$C$21, $C$9, 100%, $E$9)</f>
        <v>23.3187</v>
      </c>
      <c r="D514" s="17">
        <f>CHOOSE(CONTROL!$C$42, 23.5732, 23.5732) * CHOOSE(CONTROL!$C$21, $C$9, 100%, $E$9)</f>
        <v>23.5732</v>
      </c>
      <c r="E514" s="17">
        <f>CHOOSE(CONTROL!$C$42, 23.602, 23.602) * CHOOSE(CONTROL!$C$21, $C$9, 100%, $E$9)</f>
        <v>23.602</v>
      </c>
      <c r="F514" s="17">
        <f>CHOOSE(CONTROL!$C$42, 23.3215, 23.3215)*CHOOSE(CONTROL!$C$21, $C$9, 100%, $E$9)</f>
        <v>23.3215</v>
      </c>
      <c r="G514" s="17">
        <f>CHOOSE(CONTROL!$C$42, 23.3379, 23.3379)*CHOOSE(CONTROL!$C$21, $C$9, 100%, $E$9)</f>
        <v>23.337900000000001</v>
      </c>
      <c r="H514" s="17">
        <f>CHOOSE(CONTROL!$C$42, 23.5922, 23.5922) * CHOOSE(CONTROL!$C$21, $C$9, 100%, $E$9)</f>
        <v>23.592199999999998</v>
      </c>
      <c r="I514" s="17">
        <f>CHOOSE(CONTROL!$C$42, 23.4076, 23.4076)* CHOOSE(CONTROL!$C$21, $C$9, 100%, $E$9)</f>
        <v>23.407599999999999</v>
      </c>
      <c r="J514" s="17">
        <f>CHOOSE(CONTROL!$C$42, 23.3141, 23.3141)* CHOOSE(CONTROL!$C$21, $C$9, 100%, $E$9)</f>
        <v>23.3141</v>
      </c>
      <c r="K514" s="53">
        <f>CHOOSE(CONTROL!$C$42, 23.4016, 23.4016) * CHOOSE(CONTROL!$C$21, $C$9, 100%, $E$9)</f>
        <v>23.401599999999998</v>
      </c>
      <c r="L514" s="17">
        <f>CHOOSE(CONTROL!$C$42, 24.1792, 24.1792) * CHOOSE(CONTROL!$C$21, $C$9, 100%, $E$9)</f>
        <v>24.179200000000002</v>
      </c>
      <c r="M514" s="17">
        <f>CHOOSE(CONTROL!$C$42, 23.1115, 23.1115) * CHOOSE(CONTROL!$C$21, $C$9, 100%, $E$9)</f>
        <v>23.111499999999999</v>
      </c>
      <c r="N514" s="17">
        <f>CHOOSE(CONTROL!$C$42, 23.1276, 23.1276) * CHOOSE(CONTROL!$C$21, $C$9, 100%, $E$9)</f>
        <v>23.127600000000001</v>
      </c>
      <c r="O514" s="17">
        <f>CHOOSE(CONTROL!$C$42, 23.387, 23.387) * CHOOSE(CONTROL!$C$21, $C$9, 100%, $E$9)</f>
        <v>23.387</v>
      </c>
      <c r="P514" s="17">
        <f>CHOOSE(CONTROL!$C$42, 23.2035, 23.2035) * CHOOSE(CONTROL!$C$21, $C$9, 100%, $E$9)</f>
        <v>23.203499999999998</v>
      </c>
      <c r="Q514" s="17">
        <f>CHOOSE(CONTROL!$C$42, 23.9817, 23.9817) * CHOOSE(CONTROL!$C$21, $C$9, 100%, $E$9)</f>
        <v>23.9817</v>
      </c>
      <c r="R514" s="17">
        <f>CHOOSE(CONTROL!$C$42, 24.6286, 24.6286) * CHOOSE(CONTROL!$C$21, $C$9, 100%, $E$9)</f>
        <v>24.628599999999999</v>
      </c>
      <c r="S514" s="17">
        <f>CHOOSE(CONTROL!$C$42, 22.597, 22.597) * CHOOSE(CONTROL!$C$21, $C$9, 100%, $E$9)</f>
        <v>22.597000000000001</v>
      </c>
      <c r="T514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514" s="57">
        <f>(1000*CHOOSE(CONTROL!$C$42, 695, 695)*CHOOSE(CONTROL!$C$42, 0.5599, 0.5599)*CHOOSE(CONTROL!$C$42, 31, 31))/1000000</f>
        <v>12.063045499999998</v>
      </c>
      <c r="V514" s="57">
        <f>(1000*CHOOSE(CONTROL!$C$42, 500, 500)*CHOOSE(CONTROL!$C$42, 0.275, 0.275)*CHOOSE(CONTROL!$C$42, 31, 31))/1000000</f>
        <v>4.2625000000000002</v>
      </c>
      <c r="W514" s="57">
        <f>(1000*CHOOSE(CONTROL!$C$42, 0.0916, 0.0916)*CHOOSE(CONTROL!$C$42, 121.5, 121.5)*CHOOSE(CONTROL!$C$42, 31, 31))/1000000</f>
        <v>0.34501139999999997</v>
      </c>
      <c r="X514" s="57">
        <f>(31*0.1790888*145000/1000000)+(31*0.2374*100000/1000000)</f>
        <v>1.5409441560000001</v>
      </c>
      <c r="Y514" s="57"/>
      <c r="Z514" s="17"/>
      <c r="AA514" s="56"/>
      <c r="AB514" s="49">
        <f>(B514*131.881+C514*277.167+D514*79.08+E514*225.872+F514*40+G514*85+H514*0+I514*100+J514*300)/(131.881+277.167+79.08+225.872+0+40+85+100+300)</f>
        <v>23.393483890395476</v>
      </c>
      <c r="AC514" s="46">
        <f>(M514*'RAP TEMPLATE-GAS AVAILABILITY'!O513+N514*'RAP TEMPLATE-GAS AVAILABILITY'!P513+O514*'RAP TEMPLATE-GAS AVAILABILITY'!Q513+P514*'RAP TEMPLATE-GAS AVAILABILITY'!R513)/('RAP TEMPLATE-GAS AVAILABILITY'!O513+'RAP TEMPLATE-GAS AVAILABILITY'!P513+'RAP TEMPLATE-GAS AVAILABILITY'!Q513+'RAP TEMPLATE-GAS AVAILABILITY'!R513)</f>
        <v>23.205742446043164</v>
      </c>
    </row>
    <row r="515" spans="1:29" ht="15.75" x14ac:dyDescent="0.25">
      <c r="A515" s="14">
        <v>56583</v>
      </c>
      <c r="B515" s="17">
        <f>CHOOSE(CONTROL!$C$42, 23.9268, 23.9268) * CHOOSE(CONTROL!$C$21, $C$9, 100%, $E$9)</f>
        <v>23.9268</v>
      </c>
      <c r="C515" s="17">
        <f>CHOOSE(CONTROL!$C$42, 23.9319, 23.9319) * CHOOSE(CONTROL!$C$21, $C$9, 100%, $E$9)</f>
        <v>23.931899999999999</v>
      </c>
      <c r="D515" s="17">
        <f>CHOOSE(CONTROL!$C$42, 24.0545, 24.0545) * CHOOSE(CONTROL!$C$21, $C$9, 100%, $E$9)</f>
        <v>24.054500000000001</v>
      </c>
      <c r="E515" s="17">
        <f>CHOOSE(CONTROL!$C$42, 24.0883, 24.0883) * CHOOSE(CONTROL!$C$21, $C$9, 100%, $E$9)</f>
        <v>24.0883</v>
      </c>
      <c r="F515" s="17">
        <f>CHOOSE(CONTROL!$C$42, 23.9418, 23.9418)*CHOOSE(CONTROL!$C$21, $C$9, 100%, $E$9)</f>
        <v>23.941800000000001</v>
      </c>
      <c r="G515" s="17">
        <f>CHOOSE(CONTROL!$C$42, 23.9585, 23.9585)*CHOOSE(CONTROL!$C$21, $C$9, 100%, $E$9)</f>
        <v>23.958500000000001</v>
      </c>
      <c r="H515" s="17">
        <f>CHOOSE(CONTROL!$C$42, 24.0772, 24.0772) * CHOOSE(CONTROL!$C$21, $C$9, 100%, $E$9)</f>
        <v>24.077200000000001</v>
      </c>
      <c r="I515" s="17">
        <f>CHOOSE(CONTROL!$C$42, 24.026, 24.026)* CHOOSE(CONTROL!$C$21, $C$9, 100%, $E$9)</f>
        <v>24.026</v>
      </c>
      <c r="J515" s="17">
        <f>CHOOSE(CONTROL!$C$42, 23.9344, 23.9344)* CHOOSE(CONTROL!$C$21, $C$9, 100%, $E$9)</f>
        <v>23.9344</v>
      </c>
      <c r="K515" s="53">
        <f>CHOOSE(CONTROL!$C$42, 24.02, 24.02) * CHOOSE(CONTROL!$C$21, $C$9, 100%, $E$9)</f>
        <v>24.02</v>
      </c>
      <c r="L515" s="17">
        <f>CHOOSE(CONTROL!$C$42, 24.6642, 24.6642) * CHOOSE(CONTROL!$C$21, $C$9, 100%, $E$9)</f>
        <v>24.664200000000001</v>
      </c>
      <c r="M515" s="17">
        <f>CHOOSE(CONTROL!$C$42, 23.7262, 23.7262) * CHOOSE(CONTROL!$C$21, $C$9, 100%, $E$9)</f>
        <v>23.726199999999999</v>
      </c>
      <c r="N515" s="17">
        <f>CHOOSE(CONTROL!$C$42, 23.7427, 23.7427) * CHOOSE(CONTROL!$C$21, $C$9, 100%, $E$9)</f>
        <v>23.742699999999999</v>
      </c>
      <c r="O515" s="17">
        <f>CHOOSE(CONTROL!$C$42, 23.8676, 23.8676) * CHOOSE(CONTROL!$C$21, $C$9, 100%, $E$9)</f>
        <v>23.867599999999999</v>
      </c>
      <c r="P515" s="17">
        <f>CHOOSE(CONTROL!$C$42, 23.8163, 23.8163) * CHOOSE(CONTROL!$C$21, $C$9, 100%, $E$9)</f>
        <v>23.816299999999998</v>
      </c>
      <c r="Q515" s="17">
        <f>CHOOSE(CONTROL!$C$42, 24.4623, 24.4623) * CHOOSE(CONTROL!$C$21, $C$9, 100%, $E$9)</f>
        <v>24.462299999999999</v>
      </c>
      <c r="R515" s="17">
        <f>CHOOSE(CONTROL!$C$42, 25.1105, 25.1105) * CHOOSE(CONTROL!$C$21, $C$9, 100%, $E$9)</f>
        <v>25.110499999999998</v>
      </c>
      <c r="S515" s="17">
        <f>CHOOSE(CONTROL!$C$42, 23.1923, 23.1923) * CHOOSE(CONTROL!$C$21, $C$9, 100%, $E$9)</f>
        <v>23.192299999999999</v>
      </c>
      <c r="T515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515" s="57">
        <f>(1000*CHOOSE(CONTROL!$C$42, 695, 695)*CHOOSE(CONTROL!$C$42, 0.5599, 0.5599)*CHOOSE(CONTROL!$C$42, 30, 30))/1000000</f>
        <v>11.673914999999997</v>
      </c>
      <c r="V515" s="57">
        <f>(1000*CHOOSE(CONTROL!$C$42, 500, 500)*CHOOSE(CONTROL!$C$42, 0.275, 0.275)*CHOOSE(CONTROL!$C$42, 30, 30))/1000000</f>
        <v>4.125</v>
      </c>
      <c r="W515" s="57">
        <f>(1000*CHOOSE(CONTROL!$C$42, 0.0916, 0.0916)*CHOOSE(CONTROL!$C$42, 121.5, 121.5)*CHOOSE(CONTROL!$C$42, 30, 30))/1000000</f>
        <v>0.33388200000000001</v>
      </c>
      <c r="X515" s="57">
        <f>(30*0.2374*100000/1000000)</f>
        <v>0.71220000000000006</v>
      </c>
      <c r="Y515" s="57"/>
      <c r="Z515" s="17"/>
      <c r="AA515" s="56"/>
      <c r="AB515" s="49">
        <f>(B515*122.58+C515*297.941+D515*89.177+E515*140.302+F515*40+G515*60+H515*0+I515*100+J515*300)/(122.58+297.941+89.177+140.302+0+40+60+100+300)</f>
        <v>23.970511456521738</v>
      </c>
      <c r="AC515" s="46">
        <f>(M515*'RAP TEMPLATE-GAS AVAILABILITY'!O514+N515*'RAP TEMPLATE-GAS AVAILABILITY'!P514+O515*'RAP TEMPLATE-GAS AVAILABILITY'!Q514+P515*'RAP TEMPLATE-GAS AVAILABILITY'!R514)/('RAP TEMPLATE-GAS AVAILABILITY'!O514+'RAP TEMPLATE-GAS AVAILABILITY'!P514+'RAP TEMPLATE-GAS AVAILABILITY'!Q514+'RAP TEMPLATE-GAS AVAILABILITY'!R514)</f>
        <v>23.804201438848917</v>
      </c>
    </row>
    <row r="516" spans="1:29" ht="15.75" x14ac:dyDescent="0.25">
      <c r="A516" s="14">
        <v>56614</v>
      </c>
      <c r="B516" s="17">
        <f>CHOOSE(CONTROL!$C$42, 25.5574, 25.5574) * CHOOSE(CONTROL!$C$21, $C$9, 100%, $E$9)</f>
        <v>25.557400000000001</v>
      </c>
      <c r="C516" s="17">
        <f>CHOOSE(CONTROL!$C$42, 25.5625, 25.5625) * CHOOSE(CONTROL!$C$21, $C$9, 100%, $E$9)</f>
        <v>25.5625</v>
      </c>
      <c r="D516" s="17">
        <f>CHOOSE(CONTROL!$C$42, 25.6851, 25.6851) * CHOOSE(CONTROL!$C$21, $C$9, 100%, $E$9)</f>
        <v>25.685099999999998</v>
      </c>
      <c r="E516" s="17">
        <f>CHOOSE(CONTROL!$C$42, 25.7189, 25.7189) * CHOOSE(CONTROL!$C$21, $C$9, 100%, $E$9)</f>
        <v>25.718900000000001</v>
      </c>
      <c r="F516" s="17">
        <f>CHOOSE(CONTROL!$C$42, 25.5748, 25.5748)*CHOOSE(CONTROL!$C$21, $C$9, 100%, $E$9)</f>
        <v>25.5748</v>
      </c>
      <c r="G516" s="17">
        <f>CHOOSE(CONTROL!$C$42, 25.5922, 25.5922)*CHOOSE(CONTROL!$C$21, $C$9, 100%, $E$9)</f>
        <v>25.592199999999998</v>
      </c>
      <c r="H516" s="17">
        <f>CHOOSE(CONTROL!$C$42, 25.7077, 25.7077) * CHOOSE(CONTROL!$C$21, $C$9, 100%, $E$9)</f>
        <v>25.707699999999999</v>
      </c>
      <c r="I516" s="17">
        <f>CHOOSE(CONTROL!$C$42, 25.6617, 25.6617)* CHOOSE(CONTROL!$C$21, $C$9, 100%, $E$9)</f>
        <v>25.6617</v>
      </c>
      <c r="J516" s="17">
        <f>CHOOSE(CONTROL!$C$42, 25.5674, 25.5674)* CHOOSE(CONTROL!$C$21, $C$9, 100%, $E$9)</f>
        <v>25.567399999999999</v>
      </c>
      <c r="K516" s="53">
        <f>CHOOSE(CONTROL!$C$42, 25.6556, 25.6556) * CHOOSE(CONTROL!$C$21, $C$9, 100%, $E$9)</f>
        <v>25.6556</v>
      </c>
      <c r="L516" s="17">
        <f>CHOOSE(CONTROL!$C$42, 26.2947, 26.2947) * CHOOSE(CONTROL!$C$21, $C$9, 100%, $E$9)</f>
        <v>26.294699999999999</v>
      </c>
      <c r="M516" s="17">
        <f>CHOOSE(CONTROL!$C$42, 25.3445, 25.3445) * CHOOSE(CONTROL!$C$21, $C$9, 100%, $E$9)</f>
        <v>25.3445</v>
      </c>
      <c r="N516" s="17">
        <f>CHOOSE(CONTROL!$C$42, 25.3617, 25.3617) * CHOOSE(CONTROL!$C$21, $C$9, 100%, $E$9)</f>
        <v>25.361699999999999</v>
      </c>
      <c r="O516" s="17">
        <f>CHOOSE(CONTROL!$C$42, 25.4836, 25.4836) * CHOOSE(CONTROL!$C$21, $C$9, 100%, $E$9)</f>
        <v>25.483599999999999</v>
      </c>
      <c r="P516" s="17">
        <f>CHOOSE(CONTROL!$C$42, 25.4372, 25.4372) * CHOOSE(CONTROL!$C$21, $C$9, 100%, $E$9)</f>
        <v>25.437200000000001</v>
      </c>
      <c r="Q516" s="17">
        <f>CHOOSE(CONTROL!$C$42, 26.0783, 26.0783) * CHOOSE(CONTROL!$C$21, $C$9, 100%, $E$9)</f>
        <v>26.078299999999999</v>
      </c>
      <c r="R516" s="17">
        <f>CHOOSE(CONTROL!$C$42, 26.7304, 26.7304) * CHOOSE(CONTROL!$C$21, $C$9, 100%, $E$9)</f>
        <v>26.730399999999999</v>
      </c>
      <c r="S516" s="17">
        <f>CHOOSE(CONTROL!$C$42, 24.7735, 24.7735) * CHOOSE(CONTROL!$C$21, $C$9, 100%, $E$9)</f>
        <v>24.773499999999999</v>
      </c>
      <c r="T516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516" s="57">
        <f>(1000*CHOOSE(CONTROL!$C$42, 695, 695)*CHOOSE(CONTROL!$C$42, 0.5599, 0.5599)*CHOOSE(CONTROL!$C$42, 31, 31))/1000000</f>
        <v>12.063045499999998</v>
      </c>
      <c r="V516" s="57">
        <f>(1000*CHOOSE(CONTROL!$C$42, 500, 500)*CHOOSE(CONTROL!$C$42, 0.275, 0.275)*CHOOSE(CONTROL!$C$42, 31, 31))/1000000</f>
        <v>4.2625000000000002</v>
      </c>
      <c r="W516" s="57">
        <f>(1000*CHOOSE(CONTROL!$C$42, 0.0916, 0.0916)*CHOOSE(CONTROL!$C$42, 121.5, 121.5)*CHOOSE(CONTROL!$C$42, 31, 31))/1000000</f>
        <v>0.34501139999999997</v>
      </c>
      <c r="X516" s="57">
        <f>(31*0.2374*100000/1000000)</f>
        <v>0.73594000000000004</v>
      </c>
      <c r="Y516" s="57"/>
      <c r="Z516" s="17"/>
      <c r="AA516" s="56"/>
      <c r="AB516" s="49">
        <f>(B516*122.58+C516*297.941+D516*89.177+E516*140.302+F516*40+G516*60+H516*0+I516*100+J516*300)/(122.58+297.941+89.177+140.302+0+40+60+100+300)</f>
        <v>25.602426239130438</v>
      </c>
      <c r="AC516" s="46">
        <f>(M516*'RAP TEMPLATE-GAS AVAILABILITY'!O515+N516*'RAP TEMPLATE-GAS AVAILABILITY'!P515+O516*'RAP TEMPLATE-GAS AVAILABILITY'!Q515+P516*'RAP TEMPLATE-GAS AVAILABILITY'!R515)/('RAP TEMPLATE-GAS AVAILABILITY'!O515+'RAP TEMPLATE-GAS AVAILABILITY'!P515+'RAP TEMPLATE-GAS AVAILABILITY'!Q515+'RAP TEMPLATE-GAS AVAILABILITY'!R515)</f>
        <v>25.421873381294965</v>
      </c>
    </row>
    <row r="517" spans="1:29" ht="15.75" x14ac:dyDescent="0.25">
      <c r="A517" s="13">
        <v>56645</v>
      </c>
      <c r="B517" s="17">
        <f>CHOOSE(CONTROL!$C$42, 27.6753, 27.6753) * CHOOSE(CONTROL!$C$21, $C$9, 100%, $E$9)</f>
        <v>27.6753</v>
      </c>
      <c r="C517" s="17">
        <f>CHOOSE(CONTROL!$C$42, 27.6804, 27.6804) * CHOOSE(CONTROL!$C$21, $C$9, 100%, $E$9)</f>
        <v>27.680399999999999</v>
      </c>
      <c r="D517" s="17">
        <f>CHOOSE(CONTROL!$C$42, 27.7978, 27.7978) * CHOOSE(CONTROL!$C$21, $C$9, 100%, $E$9)</f>
        <v>27.797799999999999</v>
      </c>
      <c r="E517" s="17">
        <f>CHOOSE(CONTROL!$C$42, 27.8316, 27.8316) * CHOOSE(CONTROL!$C$21, $C$9, 100%, $E$9)</f>
        <v>27.831600000000002</v>
      </c>
      <c r="F517" s="17">
        <f>CHOOSE(CONTROL!$C$42, 27.6889, 27.6889)*CHOOSE(CONTROL!$C$21, $C$9, 100%, $E$9)</f>
        <v>27.6889</v>
      </c>
      <c r="G517" s="17">
        <f>CHOOSE(CONTROL!$C$42, 27.7052, 27.7052)*CHOOSE(CONTROL!$C$21, $C$9, 100%, $E$9)</f>
        <v>27.705200000000001</v>
      </c>
      <c r="H517" s="17">
        <f>CHOOSE(CONTROL!$C$42, 27.8204, 27.8204) * CHOOSE(CONTROL!$C$21, $C$9, 100%, $E$9)</f>
        <v>27.820399999999999</v>
      </c>
      <c r="I517" s="17">
        <f>CHOOSE(CONTROL!$C$42, 27.7846, 27.7846)* CHOOSE(CONTROL!$C$21, $C$9, 100%, $E$9)</f>
        <v>27.784600000000001</v>
      </c>
      <c r="J517" s="17">
        <f>CHOOSE(CONTROL!$C$42, 27.6815, 27.6815)* CHOOSE(CONTROL!$C$21, $C$9, 100%, $E$9)</f>
        <v>27.6815</v>
      </c>
      <c r="K517" s="53">
        <f>CHOOSE(CONTROL!$C$42, 27.7785, 27.7785) * CHOOSE(CONTROL!$C$21, $C$9, 100%, $E$9)</f>
        <v>27.778500000000001</v>
      </c>
      <c r="L517" s="17">
        <f>CHOOSE(CONTROL!$C$42, 28.4074, 28.4074) * CHOOSE(CONTROL!$C$21, $C$9, 100%, $E$9)</f>
        <v>28.407399999999999</v>
      </c>
      <c r="M517" s="17">
        <f>CHOOSE(CONTROL!$C$42, 27.4395, 27.4395) * CHOOSE(CONTROL!$C$21, $C$9, 100%, $E$9)</f>
        <v>27.439499999999999</v>
      </c>
      <c r="N517" s="17">
        <f>CHOOSE(CONTROL!$C$42, 27.4557, 27.4557) * CHOOSE(CONTROL!$C$21, $C$9, 100%, $E$9)</f>
        <v>27.4557</v>
      </c>
      <c r="O517" s="17">
        <f>CHOOSE(CONTROL!$C$42, 27.5773, 27.5773) * CHOOSE(CONTROL!$C$21, $C$9, 100%, $E$9)</f>
        <v>27.577300000000001</v>
      </c>
      <c r="P517" s="17">
        <f>CHOOSE(CONTROL!$C$42, 27.541, 27.541) * CHOOSE(CONTROL!$C$21, $C$9, 100%, $E$9)</f>
        <v>27.541</v>
      </c>
      <c r="Q517" s="17">
        <f>CHOOSE(CONTROL!$C$42, 28.172, 28.172) * CHOOSE(CONTROL!$C$21, $C$9, 100%, $E$9)</f>
        <v>28.172000000000001</v>
      </c>
      <c r="R517" s="17">
        <f>CHOOSE(CONTROL!$C$42, 28.8294, 28.8294) * CHOOSE(CONTROL!$C$21, $C$9, 100%, $E$9)</f>
        <v>28.8294</v>
      </c>
      <c r="S517" s="17">
        <f>CHOOSE(CONTROL!$C$42, 26.8272, 26.8272) * CHOOSE(CONTROL!$C$21, $C$9, 100%, $E$9)</f>
        <v>26.827200000000001</v>
      </c>
      <c r="T517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517" s="57">
        <f>(1000*CHOOSE(CONTROL!$C$42, 695, 695)*CHOOSE(CONTROL!$C$42, 0.5599, 0.5599)*CHOOSE(CONTROL!$C$42, 31, 31))/1000000</f>
        <v>12.063045499999998</v>
      </c>
      <c r="V517" s="57">
        <f>(1000*CHOOSE(CONTROL!$C$42, 500, 500)*CHOOSE(CONTROL!$C$42, 0.275, 0.275)*CHOOSE(CONTROL!$C$42, 31, 31))/1000000</f>
        <v>4.2625000000000002</v>
      </c>
      <c r="W517" s="57">
        <f>(1000*CHOOSE(CONTROL!$C$42, 0.0916, 0.0916)*CHOOSE(CONTROL!$C$42, 121.5, 121.5)*CHOOSE(CONTROL!$C$42, 31, 31))/1000000</f>
        <v>0.34501139999999997</v>
      </c>
      <c r="X517" s="57">
        <f>(31*0.2374*100000/1000000)</f>
        <v>0.73594000000000004</v>
      </c>
      <c r="Y517" s="57"/>
      <c r="Z517" s="17"/>
      <c r="AA517" s="56"/>
      <c r="AB517" s="49">
        <f>(B517*122.58+C517*297.941+D517*89.177+E517*140.302+F517*40+G517*60+H517*0+I517*100+J517*300)/(122.58+297.941+89.177+140.302+0+40+60+100+300)</f>
        <v>27.718344247130435</v>
      </c>
      <c r="AC517" s="46">
        <f>(M517*'RAP TEMPLATE-GAS AVAILABILITY'!O516+N517*'RAP TEMPLATE-GAS AVAILABILITY'!P516+O517*'RAP TEMPLATE-GAS AVAILABILITY'!Q516+P517*'RAP TEMPLATE-GAS AVAILABILITY'!R516)/('RAP TEMPLATE-GAS AVAILABILITY'!O516+'RAP TEMPLATE-GAS AVAILABILITY'!P516+'RAP TEMPLATE-GAS AVAILABILITY'!Q516+'RAP TEMPLATE-GAS AVAILABILITY'!R516)</f>
        <v>27.517492805755392</v>
      </c>
    </row>
    <row r="518" spans="1:29" ht="15.75" x14ac:dyDescent="0.25">
      <c r="A518" s="13">
        <v>56673</v>
      </c>
      <c r="B518" s="17">
        <f>CHOOSE(CONTROL!$C$42, 28.1677, 28.1677) * CHOOSE(CONTROL!$C$21, $C$9, 100%, $E$9)</f>
        <v>28.1677</v>
      </c>
      <c r="C518" s="17">
        <f>CHOOSE(CONTROL!$C$42, 28.1728, 28.1728) * CHOOSE(CONTROL!$C$21, $C$9, 100%, $E$9)</f>
        <v>28.172799999999999</v>
      </c>
      <c r="D518" s="17">
        <f>CHOOSE(CONTROL!$C$42, 28.2903, 28.2903) * CHOOSE(CONTROL!$C$21, $C$9, 100%, $E$9)</f>
        <v>28.290299999999998</v>
      </c>
      <c r="E518" s="17">
        <f>CHOOSE(CONTROL!$C$42, 28.324, 28.324) * CHOOSE(CONTROL!$C$21, $C$9, 100%, $E$9)</f>
        <v>28.324000000000002</v>
      </c>
      <c r="F518" s="17">
        <f>CHOOSE(CONTROL!$C$42, 28.1814, 28.1814)*CHOOSE(CONTROL!$C$21, $C$9, 100%, $E$9)</f>
        <v>28.1814</v>
      </c>
      <c r="G518" s="17">
        <f>CHOOSE(CONTROL!$C$42, 28.1977, 28.1977)*CHOOSE(CONTROL!$C$21, $C$9, 100%, $E$9)</f>
        <v>28.197700000000001</v>
      </c>
      <c r="H518" s="17">
        <f>CHOOSE(CONTROL!$C$42, 28.3129, 28.3129) * CHOOSE(CONTROL!$C$21, $C$9, 100%, $E$9)</f>
        <v>28.312899999999999</v>
      </c>
      <c r="I518" s="17">
        <f>CHOOSE(CONTROL!$C$42, 28.2786, 28.2786)* CHOOSE(CONTROL!$C$21, $C$9, 100%, $E$9)</f>
        <v>28.278600000000001</v>
      </c>
      <c r="J518" s="17">
        <f>CHOOSE(CONTROL!$C$42, 28.174, 28.174)* CHOOSE(CONTROL!$C$21, $C$9, 100%, $E$9)</f>
        <v>28.173999999999999</v>
      </c>
      <c r="K518" s="53">
        <f>CHOOSE(CONTROL!$C$42, 28.2725, 28.2725) * CHOOSE(CONTROL!$C$21, $C$9, 100%, $E$9)</f>
        <v>28.272500000000001</v>
      </c>
      <c r="L518" s="17">
        <f>CHOOSE(CONTROL!$C$42, 28.8999, 28.8999) * CHOOSE(CONTROL!$C$21, $C$9, 100%, $E$9)</f>
        <v>28.899899999999999</v>
      </c>
      <c r="M518" s="17">
        <f>CHOOSE(CONTROL!$C$42, 27.9276, 27.9276) * CHOOSE(CONTROL!$C$21, $C$9, 100%, $E$9)</f>
        <v>27.927600000000002</v>
      </c>
      <c r="N518" s="17">
        <f>CHOOSE(CONTROL!$C$42, 27.9438, 27.9438) * CHOOSE(CONTROL!$C$21, $C$9, 100%, $E$9)</f>
        <v>27.9438</v>
      </c>
      <c r="O518" s="17">
        <f>CHOOSE(CONTROL!$C$42, 28.0653, 28.0653) * CHOOSE(CONTROL!$C$21, $C$9, 100%, $E$9)</f>
        <v>28.065300000000001</v>
      </c>
      <c r="P518" s="17">
        <f>CHOOSE(CONTROL!$C$42, 28.0305, 28.0305) * CHOOSE(CONTROL!$C$21, $C$9, 100%, $E$9)</f>
        <v>28.0305</v>
      </c>
      <c r="Q518" s="17">
        <f>CHOOSE(CONTROL!$C$42, 28.66, 28.66) * CHOOSE(CONTROL!$C$21, $C$9, 100%, $E$9)</f>
        <v>28.66</v>
      </c>
      <c r="R518" s="17">
        <f>CHOOSE(CONTROL!$C$42, 29.3186, 29.3186) * CHOOSE(CONTROL!$C$21, $C$9, 100%, $E$9)</f>
        <v>29.3186</v>
      </c>
      <c r="S518" s="17">
        <f>CHOOSE(CONTROL!$C$42, 27.3047, 27.3047) * CHOOSE(CONTROL!$C$21, $C$9, 100%, $E$9)</f>
        <v>27.3047</v>
      </c>
      <c r="T518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518" s="57">
        <f>(1000*CHOOSE(CONTROL!$C$42, 695, 695)*CHOOSE(CONTROL!$C$42, 0.5599, 0.5599)*CHOOSE(CONTROL!$C$42, 28, 28))/1000000</f>
        <v>10.895653999999999</v>
      </c>
      <c r="V518" s="57">
        <f>(1000*CHOOSE(CONTROL!$C$42, 500, 500)*CHOOSE(CONTROL!$C$42, 0.275, 0.275)*CHOOSE(CONTROL!$C$42, 28, 28))/1000000</f>
        <v>3.85</v>
      </c>
      <c r="W518" s="57">
        <f>(1000*CHOOSE(CONTROL!$C$42, 0.0916, 0.0916)*CHOOSE(CONTROL!$C$42, 121.5, 121.5)*CHOOSE(CONTROL!$C$42, 28, 28))/1000000</f>
        <v>0.31162319999999999</v>
      </c>
      <c r="X518" s="57">
        <f>(28*0.2374*100000/1000000)</f>
        <v>0.66471999999999998</v>
      </c>
      <c r="Y518" s="57"/>
      <c r="Z518" s="17"/>
      <c r="AA518" s="56"/>
      <c r="AB518" s="49">
        <f>(B518*122.58+C518*297.941+D518*89.177+E518*140.302+F518*40+G518*60+H518*0+I518*100+J518*300)/(122.58+297.941+89.177+140.302+0+40+60+100+300)</f>
        <v>28.210925914695654</v>
      </c>
      <c r="AC518" s="46">
        <f>(M518*'RAP TEMPLATE-GAS AVAILABILITY'!O517+N518*'RAP TEMPLATE-GAS AVAILABILITY'!P517+O518*'RAP TEMPLATE-GAS AVAILABILITY'!Q517+P518*'RAP TEMPLATE-GAS AVAILABILITY'!R517)/('RAP TEMPLATE-GAS AVAILABILITY'!O517+'RAP TEMPLATE-GAS AVAILABILITY'!P517+'RAP TEMPLATE-GAS AVAILABILITY'!Q517+'RAP TEMPLATE-GAS AVAILABILITY'!R517)</f>
        <v>28.005748920863311</v>
      </c>
    </row>
    <row r="519" spans="1:29" ht="15.75" x14ac:dyDescent="0.25">
      <c r="A519" s="13">
        <v>56704</v>
      </c>
      <c r="B519" s="17">
        <f>CHOOSE(CONTROL!$C$42, 27.3683, 27.3683) * CHOOSE(CONTROL!$C$21, $C$9, 100%, $E$9)</f>
        <v>27.368300000000001</v>
      </c>
      <c r="C519" s="17">
        <f>CHOOSE(CONTROL!$C$42, 27.3734, 27.3734) * CHOOSE(CONTROL!$C$21, $C$9, 100%, $E$9)</f>
        <v>27.3734</v>
      </c>
      <c r="D519" s="17">
        <f>CHOOSE(CONTROL!$C$42, 27.4909, 27.4909) * CHOOSE(CONTROL!$C$21, $C$9, 100%, $E$9)</f>
        <v>27.4909</v>
      </c>
      <c r="E519" s="17">
        <f>CHOOSE(CONTROL!$C$42, 27.5246, 27.5246) * CHOOSE(CONTROL!$C$21, $C$9, 100%, $E$9)</f>
        <v>27.5246</v>
      </c>
      <c r="F519" s="17">
        <f>CHOOSE(CONTROL!$C$42, 27.3813, 27.3813)*CHOOSE(CONTROL!$C$21, $C$9, 100%, $E$9)</f>
        <v>27.3813</v>
      </c>
      <c r="G519" s="17">
        <f>CHOOSE(CONTROL!$C$42, 27.3975, 27.3975)*CHOOSE(CONTROL!$C$21, $C$9, 100%, $E$9)</f>
        <v>27.397500000000001</v>
      </c>
      <c r="H519" s="17">
        <f>CHOOSE(CONTROL!$C$42, 27.5135, 27.5135) * CHOOSE(CONTROL!$C$21, $C$9, 100%, $E$9)</f>
        <v>27.513500000000001</v>
      </c>
      <c r="I519" s="17">
        <f>CHOOSE(CONTROL!$C$42, 27.4767, 27.4767)* CHOOSE(CONTROL!$C$21, $C$9, 100%, $E$9)</f>
        <v>27.476700000000001</v>
      </c>
      <c r="J519" s="17">
        <f>CHOOSE(CONTROL!$C$42, 27.3739, 27.3739)* CHOOSE(CONTROL!$C$21, $C$9, 100%, $E$9)</f>
        <v>27.373899999999999</v>
      </c>
      <c r="K519" s="53">
        <f>CHOOSE(CONTROL!$C$42, 27.4706, 27.4706) * CHOOSE(CONTROL!$C$21, $C$9, 100%, $E$9)</f>
        <v>27.470600000000001</v>
      </c>
      <c r="L519" s="17">
        <f>CHOOSE(CONTROL!$C$42, 28.1005, 28.1005) * CHOOSE(CONTROL!$C$21, $C$9, 100%, $E$9)</f>
        <v>28.1005</v>
      </c>
      <c r="M519" s="17">
        <f>CHOOSE(CONTROL!$C$42, 27.1348, 27.1348) * CHOOSE(CONTROL!$C$21, $C$9, 100%, $E$9)</f>
        <v>27.134799999999998</v>
      </c>
      <c r="N519" s="17">
        <f>CHOOSE(CONTROL!$C$42, 27.1508, 27.1508) * CHOOSE(CONTROL!$C$21, $C$9, 100%, $E$9)</f>
        <v>27.1508</v>
      </c>
      <c r="O519" s="17">
        <f>CHOOSE(CONTROL!$C$42, 27.2731, 27.2731) * CHOOSE(CONTROL!$C$21, $C$9, 100%, $E$9)</f>
        <v>27.273099999999999</v>
      </c>
      <c r="P519" s="17">
        <f>CHOOSE(CONTROL!$C$42, 27.2359, 27.2359) * CHOOSE(CONTROL!$C$21, $C$9, 100%, $E$9)</f>
        <v>27.235900000000001</v>
      </c>
      <c r="Q519" s="17">
        <f>CHOOSE(CONTROL!$C$42, 27.8678, 27.8678) * CHOOSE(CONTROL!$C$21, $C$9, 100%, $E$9)</f>
        <v>27.867799999999999</v>
      </c>
      <c r="R519" s="17">
        <f>CHOOSE(CONTROL!$C$42, 28.5245, 28.5245) * CHOOSE(CONTROL!$C$21, $C$9, 100%, $E$9)</f>
        <v>28.5245</v>
      </c>
      <c r="S519" s="17">
        <f>CHOOSE(CONTROL!$C$42, 26.5296, 26.5296) * CHOOSE(CONTROL!$C$21, $C$9, 100%, $E$9)</f>
        <v>26.529599999999999</v>
      </c>
      <c r="T519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519" s="57">
        <f>(1000*CHOOSE(CONTROL!$C$42, 695, 695)*CHOOSE(CONTROL!$C$42, 0.5599, 0.5599)*CHOOSE(CONTROL!$C$42, 31, 31))/1000000</f>
        <v>12.063045499999998</v>
      </c>
      <c r="V519" s="57">
        <f>(1000*CHOOSE(CONTROL!$C$42, 500, 500)*CHOOSE(CONTROL!$C$42, 0.275, 0.275)*CHOOSE(CONTROL!$C$42, 31, 31))/1000000</f>
        <v>4.2625000000000002</v>
      </c>
      <c r="W519" s="57">
        <f>(1000*CHOOSE(CONTROL!$C$42, 0.0916, 0.0916)*CHOOSE(CONTROL!$C$42, 121.5, 121.5)*CHOOSE(CONTROL!$C$42, 31, 31))/1000000</f>
        <v>0.34501139999999997</v>
      </c>
      <c r="X519" s="57">
        <f>(31*0.2374*100000/1000000)</f>
        <v>0.73594000000000004</v>
      </c>
      <c r="Y519" s="57"/>
      <c r="Z519" s="17"/>
      <c r="AA519" s="56"/>
      <c r="AB519" s="49">
        <f>(B519*122.58+C519*297.941+D519*89.177+E519*140.302+F519*40+G519*60+H519*0+I519*100+J519*300)/(122.58+297.941+89.177+140.302+0+40+60+100+300)</f>
        <v>27.411059827739127</v>
      </c>
      <c r="AC519" s="46">
        <f>(M519*'RAP TEMPLATE-GAS AVAILABILITY'!O518+N519*'RAP TEMPLATE-GAS AVAILABILITY'!P518+O519*'RAP TEMPLATE-GAS AVAILABILITY'!Q518+P519*'RAP TEMPLATE-GAS AVAILABILITY'!R518)/('RAP TEMPLATE-GAS AVAILABILITY'!O518+'RAP TEMPLATE-GAS AVAILABILITY'!P518+'RAP TEMPLATE-GAS AVAILABILITY'!Q518+'RAP TEMPLATE-GAS AVAILABILITY'!R518)</f>
        <v>27.212950359712234</v>
      </c>
    </row>
    <row r="520" spans="1:29" ht="15.75" x14ac:dyDescent="0.25">
      <c r="A520" s="13">
        <v>56734</v>
      </c>
      <c r="B520" s="17">
        <f>CHOOSE(CONTROL!$C$42, 27.2874, 27.2874) * CHOOSE(CONTROL!$C$21, $C$9, 100%, $E$9)</f>
        <v>27.287400000000002</v>
      </c>
      <c r="C520" s="17">
        <f>CHOOSE(CONTROL!$C$42, 27.2919, 27.2919) * CHOOSE(CONTROL!$C$21, $C$9, 100%, $E$9)</f>
        <v>27.291899999999998</v>
      </c>
      <c r="D520" s="17">
        <f>CHOOSE(CONTROL!$C$42, 27.5446, 27.5446) * CHOOSE(CONTROL!$C$21, $C$9, 100%, $E$9)</f>
        <v>27.544599999999999</v>
      </c>
      <c r="E520" s="17">
        <f>CHOOSE(CONTROL!$C$42, 27.5764, 27.5764) * CHOOSE(CONTROL!$C$21, $C$9, 100%, $E$9)</f>
        <v>27.5764</v>
      </c>
      <c r="F520" s="17">
        <f>CHOOSE(CONTROL!$C$42, 27.2934, 27.2934)*CHOOSE(CONTROL!$C$21, $C$9, 100%, $E$9)</f>
        <v>27.293399999999998</v>
      </c>
      <c r="G520" s="17">
        <f>CHOOSE(CONTROL!$C$42, 27.3092, 27.3092)*CHOOSE(CONTROL!$C$21, $C$9, 100%, $E$9)</f>
        <v>27.309200000000001</v>
      </c>
      <c r="H520" s="17">
        <f>CHOOSE(CONTROL!$C$42, 27.5659, 27.5659) * CHOOSE(CONTROL!$C$21, $C$9, 100%, $E$9)</f>
        <v>27.565899999999999</v>
      </c>
      <c r="I520" s="17">
        <f>CHOOSE(CONTROL!$C$42, 27.3937, 27.3937)* CHOOSE(CONTROL!$C$21, $C$9, 100%, $E$9)</f>
        <v>27.393699999999999</v>
      </c>
      <c r="J520" s="17">
        <f>CHOOSE(CONTROL!$C$42, 27.286, 27.286)* CHOOSE(CONTROL!$C$21, $C$9, 100%, $E$9)</f>
        <v>27.286000000000001</v>
      </c>
      <c r="K520" s="53">
        <f>CHOOSE(CONTROL!$C$42, 27.3877, 27.3877) * CHOOSE(CONTROL!$C$21, $C$9, 100%, $E$9)</f>
        <v>27.387699999999999</v>
      </c>
      <c r="L520" s="17">
        <f>CHOOSE(CONTROL!$C$42, 28.1529, 28.1529) * CHOOSE(CONTROL!$C$21, $C$9, 100%, $E$9)</f>
        <v>28.152899999999999</v>
      </c>
      <c r="M520" s="17">
        <f>CHOOSE(CONTROL!$C$42, 27.0476, 27.0476) * CHOOSE(CONTROL!$C$21, $C$9, 100%, $E$9)</f>
        <v>27.047599999999999</v>
      </c>
      <c r="N520" s="17">
        <f>CHOOSE(CONTROL!$C$42, 27.0633, 27.0633) * CHOOSE(CONTROL!$C$21, $C$9, 100%, $E$9)</f>
        <v>27.063300000000002</v>
      </c>
      <c r="O520" s="17">
        <f>CHOOSE(CONTROL!$C$42, 27.325, 27.325) * CHOOSE(CONTROL!$C$21, $C$9, 100%, $E$9)</f>
        <v>27.324999999999999</v>
      </c>
      <c r="P520" s="17">
        <f>CHOOSE(CONTROL!$C$42, 27.1536, 27.1536) * CHOOSE(CONTROL!$C$21, $C$9, 100%, $E$9)</f>
        <v>27.153600000000001</v>
      </c>
      <c r="Q520" s="17">
        <f>CHOOSE(CONTROL!$C$42, 27.9197, 27.9197) * CHOOSE(CONTROL!$C$21, $C$9, 100%, $E$9)</f>
        <v>27.919699999999999</v>
      </c>
      <c r="R520" s="17">
        <f>CHOOSE(CONTROL!$C$42, 28.5765, 28.5765) * CHOOSE(CONTROL!$C$21, $C$9, 100%, $E$9)</f>
        <v>28.576499999999999</v>
      </c>
      <c r="S520" s="17">
        <f>CHOOSE(CONTROL!$C$42, 26.4504, 26.4504) * CHOOSE(CONTROL!$C$21, $C$9, 100%, $E$9)</f>
        <v>26.450399999999998</v>
      </c>
      <c r="T520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520" s="57">
        <f>(1000*CHOOSE(CONTROL!$C$42, 695, 695)*CHOOSE(CONTROL!$C$42, 0.5599, 0.5599)*CHOOSE(CONTROL!$C$42, 30, 30))/1000000</f>
        <v>11.673914999999997</v>
      </c>
      <c r="V520" s="57">
        <f>(1000*CHOOSE(CONTROL!$C$42, 500, 500)*CHOOSE(CONTROL!$C$42, 0.275, 0.275)*CHOOSE(CONTROL!$C$42, 30, 30))/1000000</f>
        <v>4.125</v>
      </c>
      <c r="W520" s="57">
        <f>(1000*CHOOSE(CONTROL!$C$42, 0.0916, 0.0916)*CHOOSE(CONTROL!$C$42, 121.5, 121.5)*CHOOSE(CONTROL!$C$42, 30, 30))/1000000</f>
        <v>0.33388200000000001</v>
      </c>
      <c r="X520" s="57">
        <f>(30*0.1790888*145000/1000000)+(30*0.2374*100000/1000000)</f>
        <v>1.4912362799999999</v>
      </c>
      <c r="Y520" s="57"/>
      <c r="Z520" s="17"/>
      <c r="AA520" s="56"/>
      <c r="AB520" s="49">
        <f>(B520*141.293+C520*267.993+D520*115.016+E520*189.698+F520*40+G520*85+H520*0+I520*100+J520*300)/(141.293+267.993+115.016+189.698+0+40+85+100+300)</f>
        <v>27.366426477562555</v>
      </c>
      <c r="AC520" s="46">
        <f>(M520*'RAP TEMPLATE-GAS AVAILABILITY'!O519+N520*'RAP TEMPLATE-GAS AVAILABILITY'!P519+O520*'RAP TEMPLATE-GAS AVAILABILITY'!Q519+P520*'RAP TEMPLATE-GAS AVAILABILITY'!R519)/('RAP TEMPLATE-GAS AVAILABILITY'!O519+'RAP TEMPLATE-GAS AVAILABILITY'!P519+'RAP TEMPLATE-GAS AVAILABILITY'!Q519+'RAP TEMPLATE-GAS AVAILABILITY'!R519)</f>
        <v>27.144297841726619</v>
      </c>
    </row>
    <row r="521" spans="1:29" ht="15.75" x14ac:dyDescent="0.25">
      <c r="A521" s="13">
        <v>56765</v>
      </c>
      <c r="B521" s="17">
        <f>CHOOSE(CONTROL!$C$42, 27.5295, 27.5295) * CHOOSE(CONTROL!$C$21, $C$9, 100%, $E$9)</f>
        <v>27.529499999999999</v>
      </c>
      <c r="C521" s="17">
        <f>CHOOSE(CONTROL!$C$42, 27.5375, 27.5375) * CHOOSE(CONTROL!$C$21, $C$9, 100%, $E$9)</f>
        <v>27.537500000000001</v>
      </c>
      <c r="D521" s="17">
        <f>CHOOSE(CONTROL!$C$42, 27.7871, 27.7871) * CHOOSE(CONTROL!$C$21, $C$9, 100%, $E$9)</f>
        <v>27.787099999999999</v>
      </c>
      <c r="E521" s="17">
        <f>CHOOSE(CONTROL!$C$42, 27.8183, 27.8183) * CHOOSE(CONTROL!$C$21, $C$9, 100%, $E$9)</f>
        <v>27.818300000000001</v>
      </c>
      <c r="F521" s="17">
        <f>CHOOSE(CONTROL!$C$42, 27.5344, 27.5344)*CHOOSE(CONTROL!$C$21, $C$9, 100%, $E$9)</f>
        <v>27.534400000000002</v>
      </c>
      <c r="G521" s="17">
        <f>CHOOSE(CONTROL!$C$42, 27.5505, 27.5505)*CHOOSE(CONTROL!$C$21, $C$9, 100%, $E$9)</f>
        <v>27.5505</v>
      </c>
      <c r="H521" s="17">
        <f>CHOOSE(CONTROL!$C$42, 27.8066, 27.8066) * CHOOSE(CONTROL!$C$21, $C$9, 100%, $E$9)</f>
        <v>27.8066</v>
      </c>
      <c r="I521" s="17">
        <f>CHOOSE(CONTROL!$C$42, 27.6352, 27.6352)* CHOOSE(CONTROL!$C$21, $C$9, 100%, $E$9)</f>
        <v>27.635200000000001</v>
      </c>
      <c r="J521" s="17">
        <f>CHOOSE(CONTROL!$C$42, 27.527, 27.527)* CHOOSE(CONTROL!$C$21, $C$9, 100%, $E$9)</f>
        <v>27.527000000000001</v>
      </c>
      <c r="K521" s="53">
        <f>CHOOSE(CONTROL!$C$42, 27.6291, 27.6291) * CHOOSE(CONTROL!$C$21, $C$9, 100%, $E$9)</f>
        <v>27.629100000000001</v>
      </c>
      <c r="L521" s="17">
        <f>CHOOSE(CONTROL!$C$42, 28.3936, 28.3936) * CHOOSE(CONTROL!$C$21, $C$9, 100%, $E$9)</f>
        <v>28.393599999999999</v>
      </c>
      <c r="M521" s="17">
        <f>CHOOSE(CONTROL!$C$42, 27.2864, 27.2864) * CHOOSE(CONTROL!$C$21, $C$9, 100%, $E$9)</f>
        <v>27.2864</v>
      </c>
      <c r="N521" s="17">
        <f>CHOOSE(CONTROL!$C$42, 27.3024, 27.3024) * CHOOSE(CONTROL!$C$21, $C$9, 100%, $E$9)</f>
        <v>27.302399999999999</v>
      </c>
      <c r="O521" s="17">
        <f>CHOOSE(CONTROL!$C$42, 27.5636, 27.5636) * CHOOSE(CONTROL!$C$21, $C$9, 100%, $E$9)</f>
        <v>27.563600000000001</v>
      </c>
      <c r="P521" s="17">
        <f>CHOOSE(CONTROL!$C$42, 27.3929, 27.3929) * CHOOSE(CONTROL!$C$21, $C$9, 100%, $E$9)</f>
        <v>27.392900000000001</v>
      </c>
      <c r="Q521" s="17">
        <f>CHOOSE(CONTROL!$C$42, 28.1583, 28.1583) * CHOOSE(CONTROL!$C$21, $C$9, 100%, $E$9)</f>
        <v>28.158300000000001</v>
      </c>
      <c r="R521" s="17">
        <f>CHOOSE(CONTROL!$C$42, 28.8157, 28.8157) * CHOOSE(CONTROL!$C$21, $C$9, 100%, $E$9)</f>
        <v>28.8157</v>
      </c>
      <c r="S521" s="17">
        <f>CHOOSE(CONTROL!$C$42, 26.6838, 26.6838) * CHOOSE(CONTROL!$C$21, $C$9, 100%, $E$9)</f>
        <v>26.683800000000002</v>
      </c>
      <c r="T521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521" s="57">
        <f>(1000*CHOOSE(CONTROL!$C$42, 695, 695)*CHOOSE(CONTROL!$C$42, 0.5599, 0.5599)*CHOOSE(CONTROL!$C$42, 31, 31))/1000000</f>
        <v>12.063045499999998</v>
      </c>
      <c r="V521" s="57">
        <f>(1000*CHOOSE(CONTROL!$C$42, 500, 500)*CHOOSE(CONTROL!$C$42, 0.275, 0.275)*CHOOSE(CONTROL!$C$42, 31, 31))/1000000</f>
        <v>4.2625000000000002</v>
      </c>
      <c r="W521" s="57">
        <f>(1000*CHOOSE(CONTROL!$C$42, 0.0916, 0.0916)*CHOOSE(CONTROL!$C$42, 121.5, 121.5)*CHOOSE(CONTROL!$C$42, 31, 31))/1000000</f>
        <v>0.34501139999999997</v>
      </c>
      <c r="X521" s="57">
        <f>(31*0.1790888*145000/1000000)+(31*0.2374*100000/1000000)</f>
        <v>1.5409441560000001</v>
      </c>
      <c r="Y521" s="57"/>
      <c r="Z521" s="17"/>
      <c r="AA521" s="56"/>
      <c r="AB521" s="49">
        <f>(B521*194.205+C521*267.466+D521*133.845+E521*153.484+F521*40+G521*85+H521*0+I521*100+J521*300)/(194.205+267.466+133.845+153.484+0+40+85+100+300)</f>
        <v>27.602298570800635</v>
      </c>
      <c r="AC521" s="46">
        <f>(M521*'RAP TEMPLATE-GAS AVAILABILITY'!O520+N521*'RAP TEMPLATE-GAS AVAILABILITY'!P520+O521*'RAP TEMPLATE-GAS AVAILABILITY'!Q520+P521*'RAP TEMPLATE-GAS AVAILABILITY'!R520)/('RAP TEMPLATE-GAS AVAILABILITY'!O520+'RAP TEMPLATE-GAS AVAILABILITY'!P520+'RAP TEMPLATE-GAS AVAILABILITY'!Q520+'RAP TEMPLATE-GAS AVAILABILITY'!R520)</f>
        <v>27.383182733812948</v>
      </c>
    </row>
    <row r="522" spans="1:29" ht="15.75" x14ac:dyDescent="0.25">
      <c r="A522" s="13">
        <v>56795</v>
      </c>
      <c r="B522" s="17">
        <f>CHOOSE(CONTROL!$C$42, 28.3101, 28.3101) * CHOOSE(CONTROL!$C$21, $C$9, 100%, $E$9)</f>
        <v>28.310099999999998</v>
      </c>
      <c r="C522" s="17">
        <f>CHOOSE(CONTROL!$C$42, 28.3181, 28.3181) * CHOOSE(CONTROL!$C$21, $C$9, 100%, $E$9)</f>
        <v>28.318100000000001</v>
      </c>
      <c r="D522" s="17">
        <f>CHOOSE(CONTROL!$C$42, 28.5677, 28.5677) * CHOOSE(CONTROL!$C$21, $C$9, 100%, $E$9)</f>
        <v>28.567699999999999</v>
      </c>
      <c r="E522" s="17">
        <f>CHOOSE(CONTROL!$C$42, 28.5989, 28.5989) * CHOOSE(CONTROL!$C$21, $C$9, 100%, $E$9)</f>
        <v>28.5989</v>
      </c>
      <c r="F522" s="17">
        <f>CHOOSE(CONTROL!$C$42, 28.3153, 28.3153)*CHOOSE(CONTROL!$C$21, $C$9, 100%, $E$9)</f>
        <v>28.315300000000001</v>
      </c>
      <c r="G522" s="17">
        <f>CHOOSE(CONTROL!$C$42, 28.3315, 28.3315)*CHOOSE(CONTROL!$C$21, $C$9, 100%, $E$9)</f>
        <v>28.331499999999998</v>
      </c>
      <c r="H522" s="17">
        <f>CHOOSE(CONTROL!$C$42, 28.5872, 28.5872) * CHOOSE(CONTROL!$C$21, $C$9, 100%, $E$9)</f>
        <v>28.587199999999999</v>
      </c>
      <c r="I522" s="17">
        <f>CHOOSE(CONTROL!$C$42, 28.4182, 28.4182)* CHOOSE(CONTROL!$C$21, $C$9, 100%, $E$9)</f>
        <v>28.418199999999999</v>
      </c>
      <c r="J522" s="17">
        <f>CHOOSE(CONTROL!$C$42, 28.3079, 28.3079)* CHOOSE(CONTROL!$C$21, $C$9, 100%, $E$9)</f>
        <v>28.3079</v>
      </c>
      <c r="K522" s="53">
        <f>CHOOSE(CONTROL!$C$42, 28.4121, 28.4121) * CHOOSE(CONTROL!$C$21, $C$9, 100%, $E$9)</f>
        <v>28.412099999999999</v>
      </c>
      <c r="L522" s="17">
        <f>CHOOSE(CONTROL!$C$42, 29.1742, 29.1742) * CHOOSE(CONTROL!$C$21, $C$9, 100%, $E$9)</f>
        <v>29.174199999999999</v>
      </c>
      <c r="M522" s="17">
        <f>CHOOSE(CONTROL!$C$42, 28.0603, 28.0603) * CHOOSE(CONTROL!$C$21, $C$9, 100%, $E$9)</f>
        <v>28.060300000000002</v>
      </c>
      <c r="N522" s="17">
        <f>CHOOSE(CONTROL!$C$42, 28.0764, 28.0764) * CHOOSE(CONTROL!$C$21, $C$9, 100%, $E$9)</f>
        <v>28.0764</v>
      </c>
      <c r="O522" s="17">
        <f>CHOOSE(CONTROL!$C$42, 28.3371, 28.3371) * CHOOSE(CONTROL!$C$21, $C$9, 100%, $E$9)</f>
        <v>28.3371</v>
      </c>
      <c r="P522" s="17">
        <f>CHOOSE(CONTROL!$C$42, 28.1688, 28.1688) * CHOOSE(CONTROL!$C$21, $C$9, 100%, $E$9)</f>
        <v>28.168800000000001</v>
      </c>
      <c r="Q522" s="17">
        <f>CHOOSE(CONTROL!$C$42, 28.9318, 28.9318) * CHOOSE(CONTROL!$C$21, $C$9, 100%, $E$9)</f>
        <v>28.931799999999999</v>
      </c>
      <c r="R522" s="17">
        <f>CHOOSE(CONTROL!$C$42, 29.5911, 29.5911) * CHOOSE(CONTROL!$C$21, $C$9, 100%, $E$9)</f>
        <v>29.591100000000001</v>
      </c>
      <c r="S522" s="17">
        <f>CHOOSE(CONTROL!$C$42, 27.4407, 27.4407) * CHOOSE(CONTROL!$C$21, $C$9, 100%, $E$9)</f>
        <v>27.4407</v>
      </c>
      <c r="T522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522" s="57">
        <f>(1000*CHOOSE(CONTROL!$C$42, 695, 695)*CHOOSE(CONTROL!$C$42, 0.5599, 0.5599)*CHOOSE(CONTROL!$C$42, 30, 30))/1000000</f>
        <v>11.673914999999997</v>
      </c>
      <c r="V522" s="57">
        <f>(1000*CHOOSE(CONTROL!$C$42, 500, 500)*CHOOSE(CONTROL!$C$42, 0.275, 0.275)*CHOOSE(CONTROL!$C$42, 30, 30))/1000000</f>
        <v>4.125</v>
      </c>
      <c r="W522" s="57">
        <f>(1000*CHOOSE(CONTROL!$C$42, 0.0916, 0.0916)*CHOOSE(CONTROL!$C$42, 121.5, 121.5)*CHOOSE(CONTROL!$C$42, 30, 30))/1000000</f>
        <v>0.33388200000000001</v>
      </c>
      <c r="X522" s="57">
        <f>(30*0.1790888*145000/1000000)+(30*0.2374*100000/1000000)</f>
        <v>1.4912362799999999</v>
      </c>
      <c r="Y522" s="57"/>
      <c r="Z522" s="17"/>
      <c r="AA522" s="56"/>
      <c r="AB522" s="49">
        <f>(B522*194.205+C522*267.466+D522*133.845+E522*153.484+F522*40+G522*85+H522*0+I522*100+J522*300)/(194.205+267.466+133.845+153.484+0+40+85+100+300)</f>
        <v>28.383193704238618</v>
      </c>
      <c r="AC522" s="46">
        <f>(M522*'RAP TEMPLATE-GAS AVAILABILITY'!O521+N522*'RAP TEMPLATE-GAS AVAILABILITY'!P521+O522*'RAP TEMPLATE-GAS AVAILABILITY'!Q521+P522*'RAP TEMPLATE-GAS AVAILABILITY'!R521)/('RAP TEMPLATE-GAS AVAILABILITY'!O521+'RAP TEMPLATE-GAS AVAILABILITY'!P521+'RAP TEMPLATE-GAS AVAILABILITY'!Q521+'RAP TEMPLATE-GAS AVAILABILITY'!R521)</f>
        <v>28.157281294964029</v>
      </c>
    </row>
    <row r="523" spans="1:29" ht="15.75" x14ac:dyDescent="0.25">
      <c r="A523" s="13">
        <v>56826</v>
      </c>
      <c r="B523" s="17">
        <f>CHOOSE(CONTROL!$C$42, 27.7672, 27.7672) * CHOOSE(CONTROL!$C$21, $C$9, 100%, $E$9)</f>
        <v>27.767199999999999</v>
      </c>
      <c r="C523" s="17">
        <f>CHOOSE(CONTROL!$C$42, 27.7752, 27.7752) * CHOOSE(CONTROL!$C$21, $C$9, 100%, $E$9)</f>
        <v>27.775200000000002</v>
      </c>
      <c r="D523" s="17">
        <f>CHOOSE(CONTROL!$C$42, 28.0248, 28.0248) * CHOOSE(CONTROL!$C$21, $C$9, 100%, $E$9)</f>
        <v>28.024799999999999</v>
      </c>
      <c r="E523" s="17">
        <f>CHOOSE(CONTROL!$C$42, 28.056, 28.056) * CHOOSE(CONTROL!$C$21, $C$9, 100%, $E$9)</f>
        <v>28.056000000000001</v>
      </c>
      <c r="F523" s="17">
        <f>CHOOSE(CONTROL!$C$42, 27.7729, 27.7729)*CHOOSE(CONTROL!$C$21, $C$9, 100%, $E$9)</f>
        <v>27.7729</v>
      </c>
      <c r="G523" s="17">
        <f>CHOOSE(CONTROL!$C$42, 27.7892, 27.7892)*CHOOSE(CONTROL!$C$21, $C$9, 100%, $E$9)</f>
        <v>27.789200000000001</v>
      </c>
      <c r="H523" s="17">
        <f>CHOOSE(CONTROL!$C$42, 28.0443, 28.0443) * CHOOSE(CONTROL!$C$21, $C$9, 100%, $E$9)</f>
        <v>28.0443</v>
      </c>
      <c r="I523" s="17">
        <f>CHOOSE(CONTROL!$C$42, 27.8736, 27.8736)* CHOOSE(CONTROL!$C$21, $C$9, 100%, $E$9)</f>
        <v>27.8736</v>
      </c>
      <c r="J523" s="17">
        <f>CHOOSE(CONTROL!$C$42, 27.7655, 27.7655)* CHOOSE(CONTROL!$C$21, $C$9, 100%, $E$9)</f>
        <v>27.765499999999999</v>
      </c>
      <c r="K523" s="53">
        <f>CHOOSE(CONTROL!$C$42, 27.8676, 27.8676) * CHOOSE(CONTROL!$C$21, $C$9, 100%, $E$9)</f>
        <v>27.867599999999999</v>
      </c>
      <c r="L523" s="17">
        <f>CHOOSE(CONTROL!$C$42, 28.6313, 28.6313) * CHOOSE(CONTROL!$C$21, $C$9, 100%, $E$9)</f>
        <v>28.6313</v>
      </c>
      <c r="M523" s="17">
        <f>CHOOSE(CONTROL!$C$42, 27.5228, 27.5228) * CHOOSE(CONTROL!$C$21, $C$9, 100%, $E$9)</f>
        <v>27.5228</v>
      </c>
      <c r="N523" s="17">
        <f>CHOOSE(CONTROL!$C$42, 27.539, 27.539) * CHOOSE(CONTROL!$C$21, $C$9, 100%, $E$9)</f>
        <v>27.539000000000001</v>
      </c>
      <c r="O523" s="17">
        <f>CHOOSE(CONTROL!$C$42, 27.7991, 27.7991) * CHOOSE(CONTROL!$C$21, $C$9, 100%, $E$9)</f>
        <v>27.799099999999999</v>
      </c>
      <c r="P523" s="17">
        <f>CHOOSE(CONTROL!$C$42, 27.6292, 27.6292) * CHOOSE(CONTROL!$C$21, $C$9, 100%, $E$9)</f>
        <v>27.629200000000001</v>
      </c>
      <c r="Q523" s="17">
        <f>CHOOSE(CONTROL!$C$42, 28.3938, 28.3938) * CHOOSE(CONTROL!$C$21, $C$9, 100%, $E$9)</f>
        <v>28.393799999999999</v>
      </c>
      <c r="R523" s="17">
        <f>CHOOSE(CONTROL!$C$42, 29.0518, 29.0518) * CHOOSE(CONTROL!$C$21, $C$9, 100%, $E$9)</f>
        <v>29.0518</v>
      </c>
      <c r="S523" s="17">
        <f>CHOOSE(CONTROL!$C$42, 26.9143, 26.9143) * CHOOSE(CONTROL!$C$21, $C$9, 100%, $E$9)</f>
        <v>26.914300000000001</v>
      </c>
      <c r="T523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523" s="57">
        <f>(1000*CHOOSE(CONTROL!$C$42, 695, 695)*CHOOSE(CONTROL!$C$42, 0.5599, 0.5599)*CHOOSE(CONTROL!$C$42, 31, 31))/1000000</f>
        <v>12.063045499999998</v>
      </c>
      <c r="V523" s="57">
        <f>(1000*CHOOSE(CONTROL!$C$42, 500, 500)*CHOOSE(CONTROL!$C$42, 0.275, 0.275)*CHOOSE(CONTROL!$C$42, 31, 31))/1000000</f>
        <v>4.2625000000000002</v>
      </c>
      <c r="W523" s="57">
        <f>(1000*CHOOSE(CONTROL!$C$42, 0.0916, 0.0916)*CHOOSE(CONTROL!$C$42, 121.5, 121.5)*CHOOSE(CONTROL!$C$42, 31, 31))/1000000</f>
        <v>0.34501139999999997</v>
      </c>
      <c r="X523" s="57">
        <f>(31*0.1790888*145000/1000000)+(31*0.2374*100000/1000000)</f>
        <v>1.5409441560000001</v>
      </c>
      <c r="Y523" s="57"/>
      <c r="Z523" s="17"/>
      <c r="AA523" s="56"/>
      <c r="AB523" s="49">
        <f>(B523*194.205+C523*267.466+D523*133.845+E523*153.484+F523*40+G523*85+H523*0+I523*100+J523*300)/(194.205+267.466+133.845+153.484+0+40+85+100+300)</f>
        <v>27.840333735635788</v>
      </c>
      <c r="AC523" s="46">
        <f>(M523*'RAP TEMPLATE-GAS AVAILABILITY'!O522+N523*'RAP TEMPLATE-GAS AVAILABILITY'!P522+O523*'RAP TEMPLATE-GAS AVAILABILITY'!Q522+P523*'RAP TEMPLATE-GAS AVAILABILITY'!R522)/('RAP TEMPLATE-GAS AVAILABILITY'!O522+'RAP TEMPLATE-GAS AVAILABILITY'!P522+'RAP TEMPLATE-GAS AVAILABILITY'!Q522+'RAP TEMPLATE-GAS AVAILABILITY'!R522)</f>
        <v>27.619361870503596</v>
      </c>
    </row>
    <row r="524" spans="1:29" ht="15.75" x14ac:dyDescent="0.25">
      <c r="A524" s="13">
        <v>56857</v>
      </c>
      <c r="B524" s="17">
        <f>CHOOSE(CONTROL!$C$42, 26.3963, 26.3963) * CHOOSE(CONTROL!$C$21, $C$9, 100%, $E$9)</f>
        <v>26.3963</v>
      </c>
      <c r="C524" s="17">
        <f>CHOOSE(CONTROL!$C$42, 26.4042, 26.4042) * CHOOSE(CONTROL!$C$21, $C$9, 100%, $E$9)</f>
        <v>26.404199999999999</v>
      </c>
      <c r="D524" s="17">
        <f>CHOOSE(CONTROL!$C$42, 26.6539, 26.6539) * CHOOSE(CONTROL!$C$21, $C$9, 100%, $E$9)</f>
        <v>26.6539</v>
      </c>
      <c r="E524" s="17">
        <f>CHOOSE(CONTROL!$C$42, 26.685, 26.685) * CHOOSE(CONTROL!$C$21, $C$9, 100%, $E$9)</f>
        <v>26.684999999999999</v>
      </c>
      <c r="F524" s="17">
        <f>CHOOSE(CONTROL!$C$42, 26.4022, 26.4022)*CHOOSE(CONTROL!$C$21, $C$9, 100%, $E$9)</f>
        <v>26.402200000000001</v>
      </c>
      <c r="G524" s="17">
        <f>CHOOSE(CONTROL!$C$42, 26.4186, 26.4186)*CHOOSE(CONTROL!$C$21, $C$9, 100%, $E$9)</f>
        <v>26.418600000000001</v>
      </c>
      <c r="H524" s="17">
        <f>CHOOSE(CONTROL!$C$42, 26.6734, 26.6734) * CHOOSE(CONTROL!$C$21, $C$9, 100%, $E$9)</f>
        <v>26.673400000000001</v>
      </c>
      <c r="I524" s="17">
        <f>CHOOSE(CONTROL!$C$42, 26.4984, 26.4984)* CHOOSE(CONTROL!$C$21, $C$9, 100%, $E$9)</f>
        <v>26.4984</v>
      </c>
      <c r="J524" s="17">
        <f>CHOOSE(CONTROL!$C$42, 26.3948, 26.3948)* CHOOSE(CONTROL!$C$21, $C$9, 100%, $E$9)</f>
        <v>26.3948</v>
      </c>
      <c r="K524" s="53">
        <f>CHOOSE(CONTROL!$C$42, 26.4924, 26.4924) * CHOOSE(CONTROL!$C$21, $C$9, 100%, $E$9)</f>
        <v>26.4924</v>
      </c>
      <c r="L524" s="17">
        <f>CHOOSE(CONTROL!$C$42, 27.2604, 27.2604) * CHOOSE(CONTROL!$C$21, $C$9, 100%, $E$9)</f>
        <v>27.260400000000001</v>
      </c>
      <c r="M524" s="17">
        <f>CHOOSE(CONTROL!$C$42, 26.1644, 26.1644) * CHOOSE(CONTROL!$C$21, $C$9, 100%, $E$9)</f>
        <v>26.164400000000001</v>
      </c>
      <c r="N524" s="17">
        <f>CHOOSE(CONTROL!$C$42, 26.1807, 26.1807) * CHOOSE(CONTROL!$C$21, $C$9, 100%, $E$9)</f>
        <v>26.180700000000002</v>
      </c>
      <c r="O524" s="17">
        <f>CHOOSE(CONTROL!$C$42, 26.4405, 26.4405) * CHOOSE(CONTROL!$C$21, $C$9, 100%, $E$9)</f>
        <v>26.4405</v>
      </c>
      <c r="P524" s="17">
        <f>CHOOSE(CONTROL!$C$42, 26.2664, 26.2664) * CHOOSE(CONTROL!$C$21, $C$9, 100%, $E$9)</f>
        <v>26.266400000000001</v>
      </c>
      <c r="Q524" s="17">
        <f>CHOOSE(CONTROL!$C$42, 27.0352, 27.0352) * CHOOSE(CONTROL!$C$21, $C$9, 100%, $E$9)</f>
        <v>27.0352</v>
      </c>
      <c r="R524" s="17">
        <f>CHOOSE(CONTROL!$C$42, 27.6898, 27.6898) * CHOOSE(CONTROL!$C$21, $C$9, 100%, $E$9)</f>
        <v>27.689800000000002</v>
      </c>
      <c r="S524" s="17">
        <f>CHOOSE(CONTROL!$C$42, 25.5849, 25.5849) * CHOOSE(CONTROL!$C$21, $C$9, 100%, $E$9)</f>
        <v>25.584900000000001</v>
      </c>
      <c r="T524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524" s="57">
        <f>(1000*CHOOSE(CONTROL!$C$42, 695, 695)*CHOOSE(CONTROL!$C$42, 0.5599, 0.5599)*CHOOSE(CONTROL!$C$42, 31, 31))/1000000</f>
        <v>12.063045499999998</v>
      </c>
      <c r="V524" s="57">
        <f>(1000*CHOOSE(CONTROL!$C$42, 500, 500)*CHOOSE(CONTROL!$C$42, 0.275, 0.275)*CHOOSE(CONTROL!$C$42, 31, 31))/1000000</f>
        <v>4.2625000000000002</v>
      </c>
      <c r="W524" s="57">
        <f>(1000*CHOOSE(CONTROL!$C$42, 0.0916, 0.0916)*CHOOSE(CONTROL!$C$42, 121.5, 121.5)*CHOOSE(CONTROL!$C$42, 31, 31))/1000000</f>
        <v>0.34501139999999997</v>
      </c>
      <c r="X524" s="57">
        <f>(31*0.1790888*145000/1000000)+(31*0.2374*100000/1000000)</f>
        <v>1.5409441560000001</v>
      </c>
      <c r="Y524" s="57"/>
      <c r="Z524" s="17"/>
      <c r="AA524" s="56"/>
      <c r="AB524" s="49">
        <f>(B524*194.205+C524*267.466+D524*133.845+E524*153.484+F524*40+G524*85+H524*0+I524*100+J524*300)/(194.205+267.466+133.845+153.484+0+40+85+100+300)</f>
        <v>26.469136565306119</v>
      </c>
      <c r="AC524" s="46">
        <f>(M524*'RAP TEMPLATE-GAS AVAILABILITY'!O523+N524*'RAP TEMPLATE-GAS AVAILABILITY'!P523+O524*'RAP TEMPLATE-GAS AVAILABILITY'!Q523+P524*'RAP TEMPLATE-GAS AVAILABILITY'!R523)/('RAP TEMPLATE-GAS AVAILABILITY'!O523+'RAP TEMPLATE-GAS AVAILABILITY'!P523+'RAP TEMPLATE-GAS AVAILABILITY'!Q523+'RAP TEMPLATE-GAS AVAILABILITY'!R523)</f>
        <v>26.26029568345324</v>
      </c>
    </row>
    <row r="525" spans="1:29" ht="15.75" x14ac:dyDescent="0.25">
      <c r="A525" s="13">
        <v>56887</v>
      </c>
      <c r="B525" s="17">
        <f>CHOOSE(CONTROL!$C$42, 24.721, 24.721) * CHOOSE(CONTROL!$C$21, $C$9, 100%, $E$9)</f>
        <v>24.721</v>
      </c>
      <c r="C525" s="17">
        <f>CHOOSE(CONTROL!$C$42, 24.729, 24.729) * CHOOSE(CONTROL!$C$21, $C$9, 100%, $E$9)</f>
        <v>24.728999999999999</v>
      </c>
      <c r="D525" s="17">
        <f>CHOOSE(CONTROL!$C$42, 24.9786, 24.9786) * CHOOSE(CONTROL!$C$21, $C$9, 100%, $E$9)</f>
        <v>24.9786</v>
      </c>
      <c r="E525" s="17">
        <f>CHOOSE(CONTROL!$C$42, 25.0098, 25.0098) * CHOOSE(CONTROL!$C$21, $C$9, 100%, $E$9)</f>
        <v>25.009799999999998</v>
      </c>
      <c r="F525" s="17">
        <f>CHOOSE(CONTROL!$C$42, 24.727, 24.727)*CHOOSE(CONTROL!$C$21, $C$9, 100%, $E$9)</f>
        <v>24.727</v>
      </c>
      <c r="G525" s="17">
        <f>CHOOSE(CONTROL!$C$42, 24.7434, 24.7434)*CHOOSE(CONTROL!$C$21, $C$9, 100%, $E$9)</f>
        <v>24.743400000000001</v>
      </c>
      <c r="H525" s="17">
        <f>CHOOSE(CONTROL!$C$42, 24.9981, 24.9981) * CHOOSE(CONTROL!$C$21, $C$9, 100%, $E$9)</f>
        <v>24.998100000000001</v>
      </c>
      <c r="I525" s="17">
        <f>CHOOSE(CONTROL!$C$42, 24.818, 24.818)* CHOOSE(CONTROL!$C$21, $C$9, 100%, $E$9)</f>
        <v>24.818000000000001</v>
      </c>
      <c r="J525" s="17">
        <f>CHOOSE(CONTROL!$C$42, 24.7196, 24.7196)* CHOOSE(CONTROL!$C$21, $C$9, 100%, $E$9)</f>
        <v>24.7196</v>
      </c>
      <c r="K525" s="53">
        <f>CHOOSE(CONTROL!$C$42, 24.8119, 24.8119) * CHOOSE(CONTROL!$C$21, $C$9, 100%, $E$9)</f>
        <v>24.811900000000001</v>
      </c>
      <c r="L525" s="17">
        <f>CHOOSE(CONTROL!$C$42, 25.5851, 25.5851) * CHOOSE(CONTROL!$C$21, $C$9, 100%, $E$9)</f>
        <v>25.585100000000001</v>
      </c>
      <c r="M525" s="17">
        <f>CHOOSE(CONTROL!$C$42, 24.5043, 24.5043) * CHOOSE(CONTROL!$C$21, $C$9, 100%, $E$9)</f>
        <v>24.504300000000001</v>
      </c>
      <c r="N525" s="17">
        <f>CHOOSE(CONTROL!$C$42, 24.5206, 24.5206) * CHOOSE(CONTROL!$C$21, $C$9, 100%, $E$9)</f>
        <v>24.520600000000002</v>
      </c>
      <c r="O525" s="17">
        <f>CHOOSE(CONTROL!$C$42, 24.7803, 24.7803) * CHOOSE(CONTROL!$C$21, $C$9, 100%, $E$9)</f>
        <v>24.7803</v>
      </c>
      <c r="P525" s="17">
        <f>CHOOSE(CONTROL!$C$42, 24.6011, 24.6011) * CHOOSE(CONTROL!$C$21, $C$9, 100%, $E$9)</f>
        <v>24.601099999999999</v>
      </c>
      <c r="Q525" s="17">
        <f>CHOOSE(CONTROL!$C$42, 25.375, 25.375) * CHOOSE(CONTROL!$C$21, $C$9, 100%, $E$9)</f>
        <v>25.375</v>
      </c>
      <c r="R525" s="17">
        <f>CHOOSE(CONTROL!$C$42, 26.0254, 26.0254) * CHOOSE(CONTROL!$C$21, $C$9, 100%, $E$9)</f>
        <v>26.025400000000001</v>
      </c>
      <c r="S525" s="17">
        <f>CHOOSE(CONTROL!$C$42, 23.9604, 23.9604) * CHOOSE(CONTROL!$C$21, $C$9, 100%, $E$9)</f>
        <v>23.9604</v>
      </c>
      <c r="T525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525" s="57">
        <f>(1000*CHOOSE(CONTROL!$C$42, 695, 695)*CHOOSE(CONTROL!$C$42, 0.5599, 0.5599)*CHOOSE(CONTROL!$C$42, 30, 30))/1000000</f>
        <v>11.673914999999997</v>
      </c>
      <c r="V525" s="57">
        <f>(1000*CHOOSE(CONTROL!$C$42, 500, 500)*CHOOSE(CONTROL!$C$42, 0.275, 0.275)*CHOOSE(CONTROL!$C$42, 30, 30))/1000000</f>
        <v>4.125</v>
      </c>
      <c r="W525" s="57">
        <f>(1000*CHOOSE(CONTROL!$C$42, 0.0916, 0.0916)*CHOOSE(CONTROL!$C$42, 121.5, 121.5)*CHOOSE(CONTROL!$C$42, 30, 30))/1000000</f>
        <v>0.33388200000000001</v>
      </c>
      <c r="X525" s="57">
        <f>(30*0.1790888*145000/1000000)+(30*0.2374*100000/1000000)</f>
        <v>1.4912362799999999</v>
      </c>
      <c r="Y525" s="57"/>
      <c r="Z525" s="17"/>
      <c r="AA525" s="56"/>
      <c r="AB525" s="49">
        <f>(B525*194.205+C525*267.466+D525*133.845+E525*153.484+F525*40+G525*85+H525*0+I525*100+J525*300)/(194.205+267.466+133.845+153.484+0+40+85+100+300)</f>
        <v>24.793502652433286</v>
      </c>
      <c r="AC525" s="46">
        <f>(M525*'RAP TEMPLATE-GAS AVAILABILITY'!O524+N525*'RAP TEMPLATE-GAS AVAILABILITY'!P524+O525*'RAP TEMPLATE-GAS AVAILABILITY'!Q524+P525*'RAP TEMPLATE-GAS AVAILABILITY'!R524)/('RAP TEMPLATE-GAS AVAILABILITY'!O524+'RAP TEMPLATE-GAS AVAILABILITY'!P524+'RAP TEMPLATE-GAS AVAILABILITY'!Q524+'RAP TEMPLATE-GAS AVAILABILITY'!R524)</f>
        <v>24.599419424460436</v>
      </c>
    </row>
    <row r="526" spans="1:29" ht="15.75" x14ac:dyDescent="0.25">
      <c r="A526" s="13">
        <v>56918</v>
      </c>
      <c r="B526" s="17">
        <f>CHOOSE(CONTROL!$C$42, 24.2176, 24.2176) * CHOOSE(CONTROL!$C$21, $C$9, 100%, $E$9)</f>
        <v>24.217600000000001</v>
      </c>
      <c r="C526" s="17">
        <f>CHOOSE(CONTROL!$C$42, 24.2229, 24.2229) * CHOOSE(CONTROL!$C$21, $C$9, 100%, $E$9)</f>
        <v>24.222899999999999</v>
      </c>
      <c r="D526" s="17">
        <f>CHOOSE(CONTROL!$C$42, 24.4774, 24.4774) * CHOOSE(CONTROL!$C$21, $C$9, 100%, $E$9)</f>
        <v>24.477399999999999</v>
      </c>
      <c r="E526" s="17">
        <f>CHOOSE(CONTROL!$C$42, 24.5063, 24.5063) * CHOOSE(CONTROL!$C$21, $C$9, 100%, $E$9)</f>
        <v>24.5063</v>
      </c>
      <c r="F526" s="17">
        <f>CHOOSE(CONTROL!$C$42, 24.2258, 24.2258)*CHOOSE(CONTROL!$C$21, $C$9, 100%, $E$9)</f>
        <v>24.2258</v>
      </c>
      <c r="G526" s="17">
        <f>CHOOSE(CONTROL!$C$42, 24.2421, 24.2421)*CHOOSE(CONTROL!$C$21, $C$9, 100%, $E$9)</f>
        <v>24.242100000000001</v>
      </c>
      <c r="H526" s="17">
        <f>CHOOSE(CONTROL!$C$42, 24.4964, 24.4964) * CHOOSE(CONTROL!$C$21, $C$9, 100%, $E$9)</f>
        <v>24.496400000000001</v>
      </c>
      <c r="I526" s="17">
        <f>CHOOSE(CONTROL!$C$42, 24.3147, 24.3147)* CHOOSE(CONTROL!$C$21, $C$9, 100%, $E$9)</f>
        <v>24.314699999999998</v>
      </c>
      <c r="J526" s="17">
        <f>CHOOSE(CONTROL!$C$42, 24.2184, 24.2184)* CHOOSE(CONTROL!$C$21, $C$9, 100%, $E$9)</f>
        <v>24.218399999999999</v>
      </c>
      <c r="K526" s="53">
        <f>CHOOSE(CONTROL!$C$42, 24.3087, 24.3087) * CHOOSE(CONTROL!$C$21, $C$9, 100%, $E$9)</f>
        <v>24.308700000000002</v>
      </c>
      <c r="L526" s="17">
        <f>CHOOSE(CONTROL!$C$42, 25.0834, 25.0834) * CHOOSE(CONTROL!$C$21, $C$9, 100%, $E$9)</f>
        <v>25.083400000000001</v>
      </c>
      <c r="M526" s="17">
        <f>CHOOSE(CONTROL!$C$42, 24.0076, 24.0076) * CHOOSE(CONTROL!$C$21, $C$9, 100%, $E$9)</f>
        <v>24.0076</v>
      </c>
      <c r="N526" s="17">
        <f>CHOOSE(CONTROL!$C$42, 24.0238, 24.0238) * CHOOSE(CONTROL!$C$21, $C$9, 100%, $E$9)</f>
        <v>24.023800000000001</v>
      </c>
      <c r="O526" s="17">
        <f>CHOOSE(CONTROL!$C$42, 24.2831, 24.2831) * CHOOSE(CONTROL!$C$21, $C$9, 100%, $E$9)</f>
        <v>24.283100000000001</v>
      </c>
      <c r="P526" s="17">
        <f>CHOOSE(CONTROL!$C$42, 24.1024, 24.1024) * CHOOSE(CONTROL!$C$21, $C$9, 100%, $E$9)</f>
        <v>24.102399999999999</v>
      </c>
      <c r="Q526" s="17">
        <f>CHOOSE(CONTROL!$C$42, 24.8778, 24.8778) * CHOOSE(CONTROL!$C$21, $C$9, 100%, $E$9)</f>
        <v>24.877800000000001</v>
      </c>
      <c r="R526" s="17">
        <f>CHOOSE(CONTROL!$C$42, 25.527, 25.527) * CHOOSE(CONTROL!$C$21, $C$9, 100%, $E$9)</f>
        <v>25.527000000000001</v>
      </c>
      <c r="S526" s="17">
        <f>CHOOSE(CONTROL!$C$42, 23.4739, 23.4739) * CHOOSE(CONTROL!$C$21, $C$9, 100%, $E$9)</f>
        <v>23.4739</v>
      </c>
      <c r="T526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526" s="57">
        <f>(1000*CHOOSE(CONTROL!$C$42, 695, 695)*CHOOSE(CONTROL!$C$42, 0.5599, 0.5599)*CHOOSE(CONTROL!$C$42, 31, 31))/1000000</f>
        <v>12.063045499999998</v>
      </c>
      <c r="V526" s="57">
        <f>(1000*CHOOSE(CONTROL!$C$42, 500, 500)*CHOOSE(CONTROL!$C$42, 0.275, 0.275)*CHOOSE(CONTROL!$C$42, 31, 31))/1000000</f>
        <v>4.2625000000000002</v>
      </c>
      <c r="W526" s="57">
        <f>(1000*CHOOSE(CONTROL!$C$42, 0.0916, 0.0916)*CHOOSE(CONTROL!$C$42, 121.5, 121.5)*CHOOSE(CONTROL!$C$42, 31, 31))/1000000</f>
        <v>0.34501139999999997</v>
      </c>
      <c r="X526" s="57">
        <f>(31*0.1790888*145000/1000000)+(31*0.2374*100000/1000000)</f>
        <v>1.5409441560000001</v>
      </c>
      <c r="Y526" s="57"/>
      <c r="Z526" s="17"/>
      <c r="AA526" s="56"/>
      <c r="AB526" s="49">
        <f>(B526*131.881+C526*277.167+D526*79.08+E526*225.872+F526*40+G526*85+H526*0+I526*100+J526*300)/(131.881+277.167+79.08+225.872+0+40+85+100+300)</f>
        <v>24.297974265940276</v>
      </c>
      <c r="AC526" s="46">
        <f>(M526*'RAP TEMPLATE-GAS AVAILABILITY'!O525+N526*'RAP TEMPLATE-GAS AVAILABILITY'!P525+O526*'RAP TEMPLATE-GAS AVAILABILITY'!Q525+P526*'RAP TEMPLATE-GAS AVAILABILITY'!R525)/('RAP TEMPLATE-GAS AVAILABILITY'!O525+'RAP TEMPLATE-GAS AVAILABILITY'!P525+'RAP TEMPLATE-GAS AVAILABILITY'!Q525+'RAP TEMPLATE-GAS AVAILABILITY'!R525)</f>
        <v>24.10226834532374</v>
      </c>
    </row>
    <row r="527" spans="1:29" ht="15.75" x14ac:dyDescent="0.25">
      <c r="A527" s="13">
        <v>56948</v>
      </c>
      <c r="B527" s="17">
        <f>CHOOSE(CONTROL!$C$42, 24.8549, 24.8549) * CHOOSE(CONTROL!$C$21, $C$9, 100%, $E$9)</f>
        <v>24.854900000000001</v>
      </c>
      <c r="C527" s="17">
        <f>CHOOSE(CONTROL!$C$42, 24.86, 24.86) * CHOOSE(CONTROL!$C$21, $C$9, 100%, $E$9)</f>
        <v>24.86</v>
      </c>
      <c r="D527" s="17">
        <f>CHOOSE(CONTROL!$C$42, 24.9826, 24.9826) * CHOOSE(CONTROL!$C$21, $C$9, 100%, $E$9)</f>
        <v>24.982600000000001</v>
      </c>
      <c r="E527" s="17">
        <f>CHOOSE(CONTROL!$C$42, 25.0164, 25.0164) * CHOOSE(CONTROL!$C$21, $C$9, 100%, $E$9)</f>
        <v>25.016400000000001</v>
      </c>
      <c r="F527" s="17">
        <f>CHOOSE(CONTROL!$C$42, 24.8699, 24.8699)*CHOOSE(CONTROL!$C$21, $C$9, 100%, $E$9)</f>
        <v>24.869900000000001</v>
      </c>
      <c r="G527" s="17">
        <f>CHOOSE(CONTROL!$C$42, 24.8866, 24.8866)*CHOOSE(CONTROL!$C$21, $C$9, 100%, $E$9)</f>
        <v>24.886600000000001</v>
      </c>
      <c r="H527" s="17">
        <f>CHOOSE(CONTROL!$C$42, 25.0053, 25.0053) * CHOOSE(CONTROL!$C$21, $C$9, 100%, $E$9)</f>
        <v>25.005299999999998</v>
      </c>
      <c r="I527" s="17">
        <f>CHOOSE(CONTROL!$C$42, 24.957, 24.957)* CHOOSE(CONTROL!$C$21, $C$9, 100%, $E$9)</f>
        <v>24.957000000000001</v>
      </c>
      <c r="J527" s="17">
        <f>CHOOSE(CONTROL!$C$42, 24.8625, 24.8625)* CHOOSE(CONTROL!$C$21, $C$9, 100%, $E$9)</f>
        <v>24.862500000000001</v>
      </c>
      <c r="K527" s="53">
        <f>CHOOSE(CONTROL!$C$42, 24.951, 24.951) * CHOOSE(CONTROL!$C$21, $C$9, 100%, $E$9)</f>
        <v>24.951000000000001</v>
      </c>
      <c r="L527" s="17">
        <f>CHOOSE(CONTROL!$C$42, 25.5923, 25.5923) * CHOOSE(CONTROL!$C$21, $C$9, 100%, $E$9)</f>
        <v>25.592300000000002</v>
      </c>
      <c r="M527" s="17">
        <f>CHOOSE(CONTROL!$C$42, 24.6459, 24.6459) * CHOOSE(CONTROL!$C$21, $C$9, 100%, $E$9)</f>
        <v>24.645900000000001</v>
      </c>
      <c r="N527" s="17">
        <f>CHOOSE(CONTROL!$C$42, 24.6624, 24.6624) * CHOOSE(CONTROL!$C$21, $C$9, 100%, $E$9)</f>
        <v>24.662400000000002</v>
      </c>
      <c r="O527" s="17">
        <f>CHOOSE(CONTROL!$C$42, 24.7874, 24.7874) * CHOOSE(CONTROL!$C$21, $C$9, 100%, $E$9)</f>
        <v>24.787400000000002</v>
      </c>
      <c r="P527" s="17">
        <f>CHOOSE(CONTROL!$C$42, 24.7389, 24.7389) * CHOOSE(CONTROL!$C$21, $C$9, 100%, $E$9)</f>
        <v>24.738900000000001</v>
      </c>
      <c r="Q527" s="17">
        <f>CHOOSE(CONTROL!$C$42, 25.3821, 25.3821) * CHOOSE(CONTROL!$C$21, $C$9, 100%, $E$9)</f>
        <v>25.382100000000001</v>
      </c>
      <c r="R527" s="17">
        <f>CHOOSE(CONTROL!$C$42, 26.0325, 26.0325) * CHOOSE(CONTROL!$C$21, $C$9, 100%, $E$9)</f>
        <v>26.032499999999999</v>
      </c>
      <c r="S527" s="17">
        <f>CHOOSE(CONTROL!$C$42, 24.0923, 24.0923) * CHOOSE(CONTROL!$C$21, $C$9, 100%, $E$9)</f>
        <v>24.092300000000002</v>
      </c>
      <c r="T527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527" s="57">
        <f>(1000*CHOOSE(CONTROL!$C$42, 695, 695)*CHOOSE(CONTROL!$C$42, 0.5599, 0.5599)*CHOOSE(CONTROL!$C$42, 30, 30))/1000000</f>
        <v>11.673914999999997</v>
      </c>
      <c r="V527" s="57">
        <f>(1000*CHOOSE(CONTROL!$C$42, 500, 500)*CHOOSE(CONTROL!$C$42, 0.275, 0.275)*CHOOSE(CONTROL!$C$42, 30, 30))/1000000</f>
        <v>4.125</v>
      </c>
      <c r="W527" s="57">
        <f>(1000*CHOOSE(CONTROL!$C$42, 0.0916, 0.0916)*CHOOSE(CONTROL!$C$42, 121.5, 121.5)*CHOOSE(CONTROL!$C$42, 30, 30))/1000000</f>
        <v>0.33388200000000001</v>
      </c>
      <c r="X527" s="57">
        <f>(30*0.2374*100000/1000000)</f>
        <v>0.71220000000000006</v>
      </c>
      <c r="Y527" s="57"/>
      <c r="Z527" s="17"/>
      <c r="AA527" s="56"/>
      <c r="AB527" s="49">
        <f>(B527*122.58+C527*297.941+D527*89.177+E527*140.302+F527*40+G527*60+H527*0+I527*100+J527*300)/(122.58+297.941+89.177+140.302+0+40+60+100+300)</f>
        <v>24.898863630434782</v>
      </c>
      <c r="AC527" s="46">
        <f>(M527*'RAP TEMPLATE-GAS AVAILABILITY'!O526+N527*'RAP TEMPLATE-GAS AVAILABILITY'!P526+O527*'RAP TEMPLATE-GAS AVAILABILITY'!Q526+P527*'RAP TEMPLATE-GAS AVAILABILITY'!R526)/('RAP TEMPLATE-GAS AVAILABILITY'!O526+'RAP TEMPLATE-GAS AVAILABILITY'!P526+'RAP TEMPLATE-GAS AVAILABILITY'!Q526+'RAP TEMPLATE-GAS AVAILABILITY'!R526)</f>
        <v>24.724364028776979</v>
      </c>
    </row>
    <row r="528" spans="1:29" ht="15.75" x14ac:dyDescent="0.25">
      <c r="A528" s="13">
        <v>56979</v>
      </c>
      <c r="B528" s="17">
        <f>CHOOSE(CONTROL!$C$42, 26.5488, 26.5488) * CHOOSE(CONTROL!$C$21, $C$9, 100%, $E$9)</f>
        <v>26.5488</v>
      </c>
      <c r="C528" s="17">
        <f>CHOOSE(CONTROL!$C$42, 26.5539, 26.5539) * CHOOSE(CONTROL!$C$21, $C$9, 100%, $E$9)</f>
        <v>26.553899999999999</v>
      </c>
      <c r="D528" s="17">
        <f>CHOOSE(CONTROL!$C$42, 26.6765, 26.6765) * CHOOSE(CONTROL!$C$21, $C$9, 100%, $E$9)</f>
        <v>26.676500000000001</v>
      </c>
      <c r="E528" s="17">
        <f>CHOOSE(CONTROL!$C$42, 26.7103, 26.7103) * CHOOSE(CONTROL!$C$21, $C$9, 100%, $E$9)</f>
        <v>26.7103</v>
      </c>
      <c r="F528" s="17">
        <f>CHOOSE(CONTROL!$C$42, 26.5662, 26.5662)*CHOOSE(CONTROL!$C$21, $C$9, 100%, $E$9)</f>
        <v>26.566199999999998</v>
      </c>
      <c r="G528" s="17">
        <f>CHOOSE(CONTROL!$C$42, 26.5835, 26.5835)*CHOOSE(CONTROL!$C$21, $C$9, 100%, $E$9)</f>
        <v>26.583500000000001</v>
      </c>
      <c r="H528" s="17">
        <f>CHOOSE(CONTROL!$C$42, 26.6991, 26.6991) * CHOOSE(CONTROL!$C$21, $C$9, 100%, $E$9)</f>
        <v>26.699100000000001</v>
      </c>
      <c r="I528" s="17">
        <f>CHOOSE(CONTROL!$C$42, 26.6561, 26.6561)* CHOOSE(CONTROL!$C$21, $C$9, 100%, $E$9)</f>
        <v>26.656099999999999</v>
      </c>
      <c r="J528" s="17">
        <f>CHOOSE(CONTROL!$C$42, 26.5588, 26.5588)* CHOOSE(CONTROL!$C$21, $C$9, 100%, $E$9)</f>
        <v>26.558800000000002</v>
      </c>
      <c r="K528" s="53">
        <f>CHOOSE(CONTROL!$C$42, 26.6501, 26.6501) * CHOOSE(CONTROL!$C$21, $C$9, 100%, $E$9)</f>
        <v>26.650099999999998</v>
      </c>
      <c r="L528" s="17">
        <f>CHOOSE(CONTROL!$C$42, 27.2861, 27.2861) * CHOOSE(CONTROL!$C$21, $C$9, 100%, $E$9)</f>
        <v>27.286100000000001</v>
      </c>
      <c r="M528" s="17">
        <f>CHOOSE(CONTROL!$C$42, 26.327, 26.327) * CHOOSE(CONTROL!$C$21, $C$9, 100%, $E$9)</f>
        <v>26.327000000000002</v>
      </c>
      <c r="N528" s="17">
        <f>CHOOSE(CONTROL!$C$42, 26.3441, 26.3441) * CHOOSE(CONTROL!$C$21, $C$9, 100%, $E$9)</f>
        <v>26.344100000000001</v>
      </c>
      <c r="O528" s="17">
        <f>CHOOSE(CONTROL!$C$42, 26.466, 26.466) * CHOOSE(CONTROL!$C$21, $C$9, 100%, $E$9)</f>
        <v>26.466000000000001</v>
      </c>
      <c r="P528" s="17">
        <f>CHOOSE(CONTROL!$C$42, 26.4227, 26.4227) * CHOOSE(CONTROL!$C$21, $C$9, 100%, $E$9)</f>
        <v>26.422699999999999</v>
      </c>
      <c r="Q528" s="17">
        <f>CHOOSE(CONTROL!$C$42, 27.0607, 27.0607) * CHOOSE(CONTROL!$C$21, $C$9, 100%, $E$9)</f>
        <v>27.060700000000001</v>
      </c>
      <c r="R528" s="17">
        <f>CHOOSE(CONTROL!$C$42, 27.7154, 27.7154) * CHOOSE(CONTROL!$C$21, $C$9, 100%, $E$9)</f>
        <v>27.715399999999999</v>
      </c>
      <c r="S528" s="17">
        <f>CHOOSE(CONTROL!$C$42, 25.7349, 25.7349) * CHOOSE(CONTROL!$C$21, $C$9, 100%, $E$9)</f>
        <v>25.7349</v>
      </c>
      <c r="T528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528" s="57">
        <f>(1000*CHOOSE(CONTROL!$C$42, 695, 695)*CHOOSE(CONTROL!$C$42, 0.5599, 0.5599)*CHOOSE(CONTROL!$C$42, 31, 31))/1000000</f>
        <v>12.063045499999998</v>
      </c>
      <c r="V528" s="57">
        <f>(1000*CHOOSE(CONTROL!$C$42, 500, 500)*CHOOSE(CONTROL!$C$42, 0.275, 0.275)*CHOOSE(CONTROL!$C$42, 31, 31))/1000000</f>
        <v>4.2625000000000002</v>
      </c>
      <c r="W528" s="57">
        <f>(1000*CHOOSE(CONTROL!$C$42, 0.0916, 0.0916)*CHOOSE(CONTROL!$C$42, 121.5, 121.5)*CHOOSE(CONTROL!$C$42, 31, 31))/1000000</f>
        <v>0.34501139999999997</v>
      </c>
      <c r="X528" s="57">
        <f>(31*0.2374*100000/1000000)</f>
        <v>0.73594000000000004</v>
      </c>
      <c r="Y528" s="57"/>
      <c r="Z528" s="17"/>
      <c r="AA528" s="56"/>
      <c r="AB528" s="49">
        <f>(B528*122.58+C528*297.941+D528*89.177+E528*140.302+F528*40+G528*60+H528*0+I528*100+J528*300)/(122.58+297.941+89.177+140.302+0+40+60+100+300)</f>
        <v>26.594081891304345</v>
      </c>
      <c r="AC528" s="46">
        <f>(M528*'RAP TEMPLATE-GAS AVAILABILITY'!O527+N528*'RAP TEMPLATE-GAS AVAILABILITY'!P527+O528*'RAP TEMPLATE-GAS AVAILABILITY'!Q527+P528*'RAP TEMPLATE-GAS AVAILABILITY'!R527)/('RAP TEMPLATE-GAS AVAILABILITY'!O527+'RAP TEMPLATE-GAS AVAILABILITY'!P527+'RAP TEMPLATE-GAS AVAILABILITY'!Q527+'RAP TEMPLATE-GAS AVAILABILITY'!R527)</f>
        <v>26.404753956834533</v>
      </c>
    </row>
    <row r="529" spans="1:29" ht="15.75" x14ac:dyDescent="0.25">
      <c r="A529" s="13">
        <v>57010</v>
      </c>
      <c r="B529" s="17">
        <f>CHOOSE(CONTROL!$C$42, 28.7488, 28.7488) * CHOOSE(CONTROL!$C$21, $C$9, 100%, $E$9)</f>
        <v>28.748799999999999</v>
      </c>
      <c r="C529" s="17">
        <f>CHOOSE(CONTROL!$C$42, 28.7539, 28.7539) * CHOOSE(CONTROL!$C$21, $C$9, 100%, $E$9)</f>
        <v>28.753900000000002</v>
      </c>
      <c r="D529" s="17">
        <f>CHOOSE(CONTROL!$C$42, 28.8714, 28.8714) * CHOOSE(CONTROL!$C$21, $C$9, 100%, $E$9)</f>
        <v>28.871400000000001</v>
      </c>
      <c r="E529" s="17">
        <f>CHOOSE(CONTROL!$C$42, 28.9051, 28.9051) * CHOOSE(CONTROL!$C$21, $C$9, 100%, $E$9)</f>
        <v>28.905100000000001</v>
      </c>
      <c r="F529" s="17">
        <f>CHOOSE(CONTROL!$C$42, 28.7625, 28.7625)*CHOOSE(CONTROL!$C$21, $C$9, 100%, $E$9)</f>
        <v>28.762499999999999</v>
      </c>
      <c r="G529" s="17">
        <f>CHOOSE(CONTROL!$C$42, 28.7788, 28.7788)*CHOOSE(CONTROL!$C$21, $C$9, 100%, $E$9)</f>
        <v>28.7788</v>
      </c>
      <c r="H529" s="17">
        <f>CHOOSE(CONTROL!$C$42, 28.894, 28.894) * CHOOSE(CONTROL!$C$21, $C$9, 100%, $E$9)</f>
        <v>28.893999999999998</v>
      </c>
      <c r="I529" s="17">
        <f>CHOOSE(CONTROL!$C$42, 28.8615, 28.8615)* CHOOSE(CONTROL!$C$21, $C$9, 100%, $E$9)</f>
        <v>28.861499999999999</v>
      </c>
      <c r="J529" s="17">
        <f>CHOOSE(CONTROL!$C$42, 28.7551, 28.7551)* CHOOSE(CONTROL!$C$21, $C$9, 100%, $E$9)</f>
        <v>28.755099999999999</v>
      </c>
      <c r="K529" s="53">
        <f>CHOOSE(CONTROL!$C$42, 28.8554, 28.8554) * CHOOSE(CONTROL!$C$21, $C$9, 100%, $E$9)</f>
        <v>28.855399999999999</v>
      </c>
      <c r="L529" s="17">
        <f>CHOOSE(CONTROL!$C$42, 29.481, 29.481) * CHOOSE(CONTROL!$C$21, $C$9, 100%, $E$9)</f>
        <v>29.481000000000002</v>
      </c>
      <c r="M529" s="17">
        <f>CHOOSE(CONTROL!$C$42, 28.5035, 28.5035) * CHOOSE(CONTROL!$C$21, $C$9, 100%, $E$9)</f>
        <v>28.503499999999999</v>
      </c>
      <c r="N529" s="17">
        <f>CHOOSE(CONTROL!$C$42, 28.5196, 28.5196) * CHOOSE(CONTROL!$C$21, $C$9, 100%, $E$9)</f>
        <v>28.519600000000001</v>
      </c>
      <c r="O529" s="17">
        <f>CHOOSE(CONTROL!$C$42, 28.6412, 28.6412) * CHOOSE(CONTROL!$C$21, $C$9, 100%, $E$9)</f>
        <v>28.641200000000001</v>
      </c>
      <c r="P529" s="17">
        <f>CHOOSE(CONTROL!$C$42, 28.6081, 28.6081) * CHOOSE(CONTROL!$C$21, $C$9, 100%, $E$9)</f>
        <v>28.6081</v>
      </c>
      <c r="Q529" s="17">
        <f>CHOOSE(CONTROL!$C$42, 29.2359, 29.2359) * CHOOSE(CONTROL!$C$21, $C$9, 100%, $E$9)</f>
        <v>29.235900000000001</v>
      </c>
      <c r="R529" s="17">
        <f>CHOOSE(CONTROL!$C$42, 29.896, 29.896) * CHOOSE(CONTROL!$C$21, $C$9, 100%, $E$9)</f>
        <v>29.896000000000001</v>
      </c>
      <c r="S529" s="17">
        <f>CHOOSE(CONTROL!$C$42, 27.8682, 27.8682) * CHOOSE(CONTROL!$C$21, $C$9, 100%, $E$9)</f>
        <v>27.868200000000002</v>
      </c>
      <c r="T529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529" s="57">
        <f>(1000*CHOOSE(CONTROL!$C$42, 695, 695)*CHOOSE(CONTROL!$C$42, 0.5599, 0.5599)*CHOOSE(CONTROL!$C$42, 31, 31))/1000000</f>
        <v>12.063045499999998</v>
      </c>
      <c r="V529" s="57">
        <f>(1000*CHOOSE(CONTROL!$C$42, 500, 500)*CHOOSE(CONTROL!$C$42, 0.275, 0.275)*CHOOSE(CONTROL!$C$42, 31, 31))/1000000</f>
        <v>4.2625000000000002</v>
      </c>
      <c r="W529" s="57">
        <f>(1000*CHOOSE(CONTROL!$C$42, 0.0916, 0.0916)*CHOOSE(CONTROL!$C$42, 121.5, 121.5)*CHOOSE(CONTROL!$C$42, 31, 31))/1000000</f>
        <v>0.34501139999999997</v>
      </c>
      <c r="X529" s="57">
        <f>(31*0.2374*100000/1000000)</f>
        <v>0.73594000000000004</v>
      </c>
      <c r="Y529" s="57"/>
      <c r="Z529" s="17"/>
      <c r="AA529" s="56"/>
      <c r="AB529" s="49">
        <f>(B529*122.58+C529*297.941+D529*89.177+E529*140.302+F529*40+G529*60+H529*0+I529*100+J529*300)/(122.58+297.941+89.177+140.302+0+40+60+100+300)</f>
        <v>28.792182436434782</v>
      </c>
      <c r="AC529" s="46">
        <f>(M529*'RAP TEMPLATE-GAS AVAILABILITY'!O528+N529*'RAP TEMPLATE-GAS AVAILABILITY'!P528+O529*'RAP TEMPLATE-GAS AVAILABILITY'!Q528+P529*'RAP TEMPLATE-GAS AVAILABILITY'!R528)/('RAP TEMPLATE-GAS AVAILABILITY'!O528+'RAP TEMPLATE-GAS AVAILABILITY'!P528+'RAP TEMPLATE-GAS AVAILABILITY'!Q528+'RAP TEMPLATE-GAS AVAILABILITY'!R528)</f>
        <v>28.581887769784174</v>
      </c>
    </row>
    <row r="530" spans="1:29" ht="15.75" x14ac:dyDescent="0.25">
      <c r="A530" s="13">
        <v>57038</v>
      </c>
      <c r="B530" s="17">
        <f>CHOOSE(CONTROL!$C$42, 29.2604, 29.2604) * CHOOSE(CONTROL!$C$21, $C$9, 100%, $E$9)</f>
        <v>29.260400000000001</v>
      </c>
      <c r="C530" s="17">
        <f>CHOOSE(CONTROL!$C$42, 29.2655, 29.2655) * CHOOSE(CONTROL!$C$21, $C$9, 100%, $E$9)</f>
        <v>29.265499999999999</v>
      </c>
      <c r="D530" s="17">
        <f>CHOOSE(CONTROL!$C$42, 29.383, 29.383) * CHOOSE(CONTROL!$C$21, $C$9, 100%, $E$9)</f>
        <v>29.382999999999999</v>
      </c>
      <c r="E530" s="17">
        <f>CHOOSE(CONTROL!$C$42, 29.4167, 29.4167) * CHOOSE(CONTROL!$C$21, $C$9, 100%, $E$9)</f>
        <v>29.416699999999999</v>
      </c>
      <c r="F530" s="17">
        <f>CHOOSE(CONTROL!$C$42, 29.2741, 29.2741)*CHOOSE(CONTROL!$C$21, $C$9, 100%, $E$9)</f>
        <v>29.274100000000001</v>
      </c>
      <c r="G530" s="17">
        <f>CHOOSE(CONTROL!$C$42, 29.2904, 29.2904)*CHOOSE(CONTROL!$C$21, $C$9, 100%, $E$9)</f>
        <v>29.290400000000002</v>
      </c>
      <c r="H530" s="17">
        <f>CHOOSE(CONTROL!$C$42, 29.4056, 29.4056) * CHOOSE(CONTROL!$C$21, $C$9, 100%, $E$9)</f>
        <v>29.4056</v>
      </c>
      <c r="I530" s="17">
        <f>CHOOSE(CONTROL!$C$42, 29.3746, 29.3746)* CHOOSE(CONTROL!$C$21, $C$9, 100%, $E$9)</f>
        <v>29.374600000000001</v>
      </c>
      <c r="J530" s="17">
        <f>CHOOSE(CONTROL!$C$42, 29.2667, 29.2667)* CHOOSE(CONTROL!$C$21, $C$9, 100%, $E$9)</f>
        <v>29.2667</v>
      </c>
      <c r="K530" s="53">
        <f>CHOOSE(CONTROL!$C$42, 29.3686, 29.3686) * CHOOSE(CONTROL!$C$21, $C$9, 100%, $E$9)</f>
        <v>29.368600000000001</v>
      </c>
      <c r="L530" s="17">
        <f>CHOOSE(CONTROL!$C$42, 29.9926, 29.9926) * CHOOSE(CONTROL!$C$21, $C$9, 100%, $E$9)</f>
        <v>29.992599999999999</v>
      </c>
      <c r="M530" s="17">
        <f>CHOOSE(CONTROL!$C$42, 29.0105, 29.0105) * CHOOSE(CONTROL!$C$21, $C$9, 100%, $E$9)</f>
        <v>29.0105</v>
      </c>
      <c r="N530" s="17">
        <f>CHOOSE(CONTROL!$C$42, 29.0266, 29.0266) * CHOOSE(CONTROL!$C$21, $C$9, 100%, $E$9)</f>
        <v>29.026599999999998</v>
      </c>
      <c r="O530" s="17">
        <f>CHOOSE(CONTROL!$C$42, 29.1481, 29.1481) * CHOOSE(CONTROL!$C$21, $C$9, 100%, $E$9)</f>
        <v>29.148099999999999</v>
      </c>
      <c r="P530" s="17">
        <f>CHOOSE(CONTROL!$C$42, 29.1167, 29.1167) * CHOOSE(CONTROL!$C$21, $C$9, 100%, $E$9)</f>
        <v>29.116700000000002</v>
      </c>
      <c r="Q530" s="17">
        <f>CHOOSE(CONTROL!$C$42, 29.7428, 29.7428) * CHOOSE(CONTROL!$C$21, $C$9, 100%, $E$9)</f>
        <v>29.742799999999999</v>
      </c>
      <c r="R530" s="17">
        <f>CHOOSE(CONTROL!$C$42, 30.4042, 30.4042) * CHOOSE(CONTROL!$C$21, $C$9, 100%, $E$9)</f>
        <v>30.404199999999999</v>
      </c>
      <c r="S530" s="17">
        <f>CHOOSE(CONTROL!$C$42, 28.3643, 28.3643) * CHOOSE(CONTROL!$C$21, $C$9, 100%, $E$9)</f>
        <v>28.3643</v>
      </c>
      <c r="T530" s="57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530" s="57">
        <f>(1000*CHOOSE(CONTROL!$C$42, 695, 695)*CHOOSE(CONTROL!$C$42, 0.5599, 0.5599)*CHOOSE(CONTROL!$C$42, 29, 29))/1000000</f>
        <v>11.284784499999999</v>
      </c>
      <c r="V530" s="57">
        <f>(1000*CHOOSE(CONTROL!$C$42, 500, 500)*CHOOSE(CONTROL!$C$42, 0.275, 0.275)*CHOOSE(CONTROL!$C$42, 29, 29))/1000000</f>
        <v>3.9874999999999998</v>
      </c>
      <c r="W530" s="57">
        <f>(1000*CHOOSE(CONTROL!$C$42, 0.0916, 0.0916)*CHOOSE(CONTROL!$C$42, 121.5, 121.5)*CHOOSE(CONTROL!$C$42, 29, 29))/1000000</f>
        <v>0.3227526</v>
      </c>
      <c r="X530" s="57">
        <f>(29*0.2374*100000/1000000)</f>
        <v>0.68845999999999996</v>
      </c>
      <c r="Y530" s="57"/>
      <c r="Z530" s="17"/>
      <c r="AA530" s="56"/>
      <c r="AB530" s="49">
        <f>(B530*122.58+C530*297.941+D530*89.177+E530*140.302+F530*40+G530*60+H530*0+I530*100+J530*300)/(122.58+297.941+89.177+140.302+0+40+60+100+300)</f>
        <v>29.303912871217388</v>
      </c>
      <c r="AC530" s="46">
        <f>(M530*'RAP TEMPLATE-GAS AVAILABILITY'!O529+N530*'RAP TEMPLATE-GAS AVAILABILITY'!P529+O530*'RAP TEMPLATE-GAS AVAILABILITY'!Q529+P530*'RAP TEMPLATE-GAS AVAILABILITY'!R529)/('RAP TEMPLATE-GAS AVAILABILITY'!O529+'RAP TEMPLATE-GAS AVAILABILITY'!P529+'RAP TEMPLATE-GAS AVAILABILITY'!Q529+'RAP TEMPLATE-GAS AVAILABILITY'!R529)</f>
        <v>29.089072661870503</v>
      </c>
    </row>
    <row r="531" spans="1:29" ht="15.75" x14ac:dyDescent="0.25">
      <c r="A531" s="13">
        <v>57070</v>
      </c>
      <c r="B531" s="17">
        <f>CHOOSE(CONTROL!$C$42, 28.43, 28.43) * CHOOSE(CONTROL!$C$21, $C$9, 100%, $E$9)</f>
        <v>28.43</v>
      </c>
      <c r="C531" s="17">
        <f>CHOOSE(CONTROL!$C$42, 28.4351, 28.4351) * CHOOSE(CONTROL!$C$21, $C$9, 100%, $E$9)</f>
        <v>28.435099999999998</v>
      </c>
      <c r="D531" s="17">
        <f>CHOOSE(CONTROL!$C$42, 28.5525, 28.5525) * CHOOSE(CONTROL!$C$21, $C$9, 100%, $E$9)</f>
        <v>28.552499999999998</v>
      </c>
      <c r="E531" s="17">
        <f>CHOOSE(CONTROL!$C$42, 28.5863, 28.5863) * CHOOSE(CONTROL!$C$21, $C$9, 100%, $E$9)</f>
        <v>28.586300000000001</v>
      </c>
      <c r="F531" s="17">
        <f>CHOOSE(CONTROL!$C$42, 28.443, 28.443)*CHOOSE(CONTROL!$C$21, $C$9, 100%, $E$9)</f>
        <v>28.443000000000001</v>
      </c>
      <c r="G531" s="17">
        <f>CHOOSE(CONTROL!$C$42, 28.4591, 28.4591)*CHOOSE(CONTROL!$C$21, $C$9, 100%, $E$9)</f>
        <v>28.459099999999999</v>
      </c>
      <c r="H531" s="17">
        <f>CHOOSE(CONTROL!$C$42, 28.5752, 28.5752) * CHOOSE(CONTROL!$C$21, $C$9, 100%, $E$9)</f>
        <v>28.575199999999999</v>
      </c>
      <c r="I531" s="17">
        <f>CHOOSE(CONTROL!$C$42, 28.5416, 28.5416)* CHOOSE(CONTROL!$C$21, $C$9, 100%, $E$9)</f>
        <v>28.541599999999999</v>
      </c>
      <c r="J531" s="17">
        <f>CHOOSE(CONTROL!$C$42, 28.4356, 28.4356)* CHOOSE(CONTROL!$C$21, $C$9, 100%, $E$9)</f>
        <v>28.435600000000001</v>
      </c>
      <c r="K531" s="53">
        <f>CHOOSE(CONTROL!$C$42, 28.5356, 28.5356) * CHOOSE(CONTROL!$C$21, $C$9, 100%, $E$9)</f>
        <v>28.535599999999999</v>
      </c>
      <c r="L531" s="17">
        <f>CHOOSE(CONTROL!$C$42, 29.1622, 29.1622) * CHOOSE(CONTROL!$C$21, $C$9, 100%, $E$9)</f>
        <v>29.162199999999999</v>
      </c>
      <c r="M531" s="17">
        <f>CHOOSE(CONTROL!$C$42, 28.1869, 28.1869) * CHOOSE(CONTROL!$C$21, $C$9, 100%, $E$9)</f>
        <v>28.186900000000001</v>
      </c>
      <c r="N531" s="17">
        <f>CHOOSE(CONTROL!$C$42, 28.2029, 28.2029) * CHOOSE(CONTROL!$C$21, $C$9, 100%, $E$9)</f>
        <v>28.2029</v>
      </c>
      <c r="O531" s="17">
        <f>CHOOSE(CONTROL!$C$42, 28.3252, 28.3252) * CHOOSE(CONTROL!$C$21, $C$9, 100%, $E$9)</f>
        <v>28.325199999999999</v>
      </c>
      <c r="P531" s="17">
        <f>CHOOSE(CONTROL!$C$42, 28.2912, 28.2912) * CHOOSE(CONTROL!$C$21, $C$9, 100%, $E$9)</f>
        <v>28.2912</v>
      </c>
      <c r="Q531" s="17">
        <f>CHOOSE(CONTROL!$C$42, 28.9199, 28.9199) * CHOOSE(CONTROL!$C$21, $C$9, 100%, $E$9)</f>
        <v>28.919899999999998</v>
      </c>
      <c r="R531" s="17">
        <f>CHOOSE(CONTROL!$C$42, 29.5792, 29.5792) * CHOOSE(CONTROL!$C$21, $C$9, 100%, $E$9)</f>
        <v>29.5792</v>
      </c>
      <c r="S531" s="17">
        <f>CHOOSE(CONTROL!$C$42, 27.5591, 27.5591) * CHOOSE(CONTROL!$C$21, $C$9, 100%, $E$9)</f>
        <v>27.559100000000001</v>
      </c>
      <c r="T531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531" s="57">
        <f>(1000*CHOOSE(CONTROL!$C$42, 695, 695)*CHOOSE(CONTROL!$C$42, 0.5599, 0.5599)*CHOOSE(CONTROL!$C$42, 31, 31))/1000000</f>
        <v>12.063045499999998</v>
      </c>
      <c r="V531" s="57">
        <f>(1000*CHOOSE(CONTROL!$C$42, 500, 500)*CHOOSE(CONTROL!$C$42, 0.275, 0.275)*CHOOSE(CONTROL!$C$42, 31, 31))/1000000</f>
        <v>4.2625000000000002</v>
      </c>
      <c r="W531" s="57">
        <f>(1000*CHOOSE(CONTROL!$C$42, 0.0916, 0.0916)*CHOOSE(CONTROL!$C$42, 121.5, 121.5)*CHOOSE(CONTROL!$C$42, 31, 31))/1000000</f>
        <v>0.34501139999999997</v>
      </c>
      <c r="X531" s="57">
        <f>(31*0.2374*100000/1000000)</f>
        <v>0.73594000000000004</v>
      </c>
      <c r="Y531" s="57"/>
      <c r="Z531" s="17"/>
      <c r="AA531" s="56"/>
      <c r="AB531" s="49">
        <f>(B531*122.58+C531*297.941+D531*89.177+E531*140.302+F531*40+G531*60+H531*0+I531*100+J531*300)/(122.58+297.941+89.177+140.302+0+40+60+100+300)</f>
        <v>28.473025116695652</v>
      </c>
      <c r="AC531" s="46">
        <f>(M531*'RAP TEMPLATE-GAS AVAILABILITY'!O530+N531*'RAP TEMPLATE-GAS AVAILABILITY'!P530+O531*'RAP TEMPLATE-GAS AVAILABILITY'!Q530+P531*'RAP TEMPLATE-GAS AVAILABILITY'!R530)/('RAP TEMPLATE-GAS AVAILABILITY'!O530+'RAP TEMPLATE-GAS AVAILABILITY'!P530+'RAP TEMPLATE-GAS AVAILABILITY'!Q530+'RAP TEMPLATE-GAS AVAILABILITY'!R530)</f>
        <v>28.265510791366903</v>
      </c>
    </row>
    <row r="532" spans="1:29" ht="15.75" x14ac:dyDescent="0.25">
      <c r="A532" s="13">
        <v>57100</v>
      </c>
      <c r="B532" s="17">
        <f>CHOOSE(CONTROL!$C$42, 28.3459, 28.3459) * CHOOSE(CONTROL!$C$21, $C$9, 100%, $E$9)</f>
        <v>28.3459</v>
      </c>
      <c r="C532" s="17">
        <f>CHOOSE(CONTROL!$C$42, 28.3504, 28.3504) * CHOOSE(CONTROL!$C$21, $C$9, 100%, $E$9)</f>
        <v>28.3504</v>
      </c>
      <c r="D532" s="17">
        <f>CHOOSE(CONTROL!$C$42, 28.6031, 28.6031) * CHOOSE(CONTROL!$C$21, $C$9, 100%, $E$9)</f>
        <v>28.603100000000001</v>
      </c>
      <c r="E532" s="17">
        <f>CHOOSE(CONTROL!$C$42, 28.6349, 28.6349) * CHOOSE(CONTROL!$C$21, $C$9, 100%, $E$9)</f>
        <v>28.634899999999998</v>
      </c>
      <c r="F532" s="17">
        <f>CHOOSE(CONTROL!$C$42, 28.3519, 28.3519)*CHOOSE(CONTROL!$C$21, $C$9, 100%, $E$9)</f>
        <v>28.351900000000001</v>
      </c>
      <c r="G532" s="17">
        <f>CHOOSE(CONTROL!$C$42, 28.3677, 28.3677)*CHOOSE(CONTROL!$C$21, $C$9, 100%, $E$9)</f>
        <v>28.367699999999999</v>
      </c>
      <c r="H532" s="17">
        <f>CHOOSE(CONTROL!$C$42, 28.6244, 28.6244) * CHOOSE(CONTROL!$C$21, $C$9, 100%, $E$9)</f>
        <v>28.624400000000001</v>
      </c>
      <c r="I532" s="17">
        <f>CHOOSE(CONTROL!$C$42, 28.4555, 28.4555)* CHOOSE(CONTROL!$C$21, $C$9, 100%, $E$9)</f>
        <v>28.455500000000001</v>
      </c>
      <c r="J532" s="17">
        <f>CHOOSE(CONTROL!$C$42, 28.3445, 28.3445)* CHOOSE(CONTROL!$C$21, $C$9, 100%, $E$9)</f>
        <v>28.3445</v>
      </c>
      <c r="K532" s="53">
        <f>CHOOSE(CONTROL!$C$42, 28.4494, 28.4494) * CHOOSE(CONTROL!$C$21, $C$9, 100%, $E$9)</f>
        <v>28.449400000000001</v>
      </c>
      <c r="L532" s="17">
        <f>CHOOSE(CONTROL!$C$42, 29.2114, 29.2114) * CHOOSE(CONTROL!$C$21, $C$9, 100%, $E$9)</f>
        <v>29.211400000000001</v>
      </c>
      <c r="M532" s="17">
        <f>CHOOSE(CONTROL!$C$42, 28.0966, 28.0966) * CHOOSE(CONTROL!$C$21, $C$9, 100%, $E$9)</f>
        <v>28.096599999999999</v>
      </c>
      <c r="N532" s="17">
        <f>CHOOSE(CONTROL!$C$42, 28.1123, 28.1123) * CHOOSE(CONTROL!$C$21, $C$9, 100%, $E$9)</f>
        <v>28.112300000000001</v>
      </c>
      <c r="O532" s="17">
        <f>CHOOSE(CONTROL!$C$42, 28.3739, 28.3739) * CHOOSE(CONTROL!$C$21, $C$9, 100%, $E$9)</f>
        <v>28.373899999999999</v>
      </c>
      <c r="P532" s="17">
        <f>CHOOSE(CONTROL!$C$42, 28.2058, 28.2058) * CHOOSE(CONTROL!$C$21, $C$9, 100%, $E$9)</f>
        <v>28.2058</v>
      </c>
      <c r="Q532" s="17">
        <f>CHOOSE(CONTROL!$C$42, 28.9686, 28.9686) * CHOOSE(CONTROL!$C$21, $C$9, 100%, $E$9)</f>
        <v>28.968599999999999</v>
      </c>
      <c r="R532" s="17">
        <f>CHOOSE(CONTROL!$C$42, 29.6281, 29.6281) * CHOOSE(CONTROL!$C$21, $C$9, 100%, $E$9)</f>
        <v>29.6281</v>
      </c>
      <c r="S532" s="17">
        <f>CHOOSE(CONTROL!$C$42, 27.4768, 27.4768) * CHOOSE(CONTROL!$C$21, $C$9, 100%, $E$9)</f>
        <v>27.476800000000001</v>
      </c>
      <c r="T532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532" s="57">
        <f>(1000*CHOOSE(CONTROL!$C$42, 695, 695)*CHOOSE(CONTROL!$C$42, 0.5599, 0.5599)*CHOOSE(CONTROL!$C$42, 30, 30))/1000000</f>
        <v>11.673914999999997</v>
      </c>
      <c r="V532" s="57">
        <f>(1000*CHOOSE(CONTROL!$C$42, 500, 500)*CHOOSE(CONTROL!$C$42, 0.275, 0.275)*CHOOSE(CONTROL!$C$42, 30, 30))/1000000</f>
        <v>4.125</v>
      </c>
      <c r="W532" s="57">
        <f>(1000*CHOOSE(CONTROL!$C$42, 0.0916, 0.0916)*CHOOSE(CONTROL!$C$42, 121.5, 121.5)*CHOOSE(CONTROL!$C$42, 30, 30))/1000000</f>
        <v>0.33388200000000001</v>
      </c>
      <c r="X532" s="57">
        <f>(30*0.1790888*145000/1000000)+(30*0.2374*100000/1000000)</f>
        <v>1.4912362799999999</v>
      </c>
      <c r="Y532" s="57"/>
      <c r="Z532" s="17"/>
      <c r="AA532" s="56"/>
      <c r="AB532" s="49">
        <f>(B532*141.293+C532*267.993+D532*115.016+E532*189.698+F532*40+G532*85+H532*0+I532*100+J532*300)/(141.293+267.993+115.016+189.698+0+40+85+100+300)</f>
        <v>28.425192821388215</v>
      </c>
      <c r="AC532" s="46">
        <f>(M532*'RAP TEMPLATE-GAS AVAILABILITY'!O531+N532*'RAP TEMPLATE-GAS AVAILABILITY'!P531+O532*'RAP TEMPLATE-GAS AVAILABILITY'!Q531+P532*'RAP TEMPLATE-GAS AVAILABILITY'!R531)/('RAP TEMPLATE-GAS AVAILABILITY'!O531+'RAP TEMPLATE-GAS AVAILABILITY'!P531+'RAP TEMPLATE-GAS AVAILABILITY'!Q531+'RAP TEMPLATE-GAS AVAILABILITY'!R531)</f>
        <v>28.19373021582734</v>
      </c>
    </row>
    <row r="533" spans="1:29" ht="15.75" x14ac:dyDescent="0.25">
      <c r="A533" s="13">
        <v>57131</v>
      </c>
      <c r="B533" s="17">
        <f>CHOOSE(CONTROL!$C$42, 28.5973, 28.5973) * CHOOSE(CONTROL!$C$21, $C$9, 100%, $E$9)</f>
        <v>28.597300000000001</v>
      </c>
      <c r="C533" s="17">
        <f>CHOOSE(CONTROL!$C$42, 28.6053, 28.6053) * CHOOSE(CONTROL!$C$21, $C$9, 100%, $E$9)</f>
        <v>28.6053</v>
      </c>
      <c r="D533" s="17">
        <f>CHOOSE(CONTROL!$C$42, 28.855, 28.855) * CHOOSE(CONTROL!$C$21, $C$9, 100%, $E$9)</f>
        <v>28.855</v>
      </c>
      <c r="E533" s="17">
        <f>CHOOSE(CONTROL!$C$42, 28.8861, 28.8861) * CHOOSE(CONTROL!$C$21, $C$9, 100%, $E$9)</f>
        <v>28.886099999999999</v>
      </c>
      <c r="F533" s="17">
        <f>CHOOSE(CONTROL!$C$42, 28.6022, 28.6022)*CHOOSE(CONTROL!$C$21, $C$9, 100%, $E$9)</f>
        <v>28.6022</v>
      </c>
      <c r="G533" s="17">
        <f>CHOOSE(CONTROL!$C$42, 28.6183, 28.6183)*CHOOSE(CONTROL!$C$21, $C$9, 100%, $E$9)</f>
        <v>28.618300000000001</v>
      </c>
      <c r="H533" s="17">
        <f>CHOOSE(CONTROL!$C$42, 28.8745, 28.8745) * CHOOSE(CONTROL!$C$21, $C$9, 100%, $E$9)</f>
        <v>28.874500000000001</v>
      </c>
      <c r="I533" s="17">
        <f>CHOOSE(CONTROL!$C$42, 28.7063, 28.7063)* CHOOSE(CONTROL!$C$21, $C$9, 100%, $E$9)</f>
        <v>28.706299999999999</v>
      </c>
      <c r="J533" s="17">
        <f>CHOOSE(CONTROL!$C$42, 28.5948, 28.5948)* CHOOSE(CONTROL!$C$21, $C$9, 100%, $E$9)</f>
        <v>28.594799999999999</v>
      </c>
      <c r="K533" s="53">
        <f>CHOOSE(CONTROL!$C$42, 28.7003, 28.7003) * CHOOSE(CONTROL!$C$21, $C$9, 100%, $E$9)</f>
        <v>28.700299999999999</v>
      </c>
      <c r="L533" s="17">
        <f>CHOOSE(CONTROL!$C$42, 29.4615, 29.4615) * CHOOSE(CONTROL!$C$21, $C$9, 100%, $E$9)</f>
        <v>29.461500000000001</v>
      </c>
      <c r="M533" s="17">
        <f>CHOOSE(CONTROL!$C$42, 28.3446, 28.3446) * CHOOSE(CONTROL!$C$21, $C$9, 100%, $E$9)</f>
        <v>28.3446</v>
      </c>
      <c r="N533" s="17">
        <f>CHOOSE(CONTROL!$C$42, 28.3606, 28.3606) * CHOOSE(CONTROL!$C$21, $C$9, 100%, $E$9)</f>
        <v>28.360600000000002</v>
      </c>
      <c r="O533" s="17">
        <f>CHOOSE(CONTROL!$C$42, 28.6218, 28.6218) * CHOOSE(CONTROL!$C$21, $C$9, 100%, $E$9)</f>
        <v>28.6218</v>
      </c>
      <c r="P533" s="17">
        <f>CHOOSE(CONTROL!$C$42, 28.4544, 28.4544) * CHOOSE(CONTROL!$C$21, $C$9, 100%, $E$9)</f>
        <v>28.4544</v>
      </c>
      <c r="Q533" s="17">
        <f>CHOOSE(CONTROL!$C$42, 29.2165, 29.2165) * CHOOSE(CONTROL!$C$21, $C$9, 100%, $E$9)</f>
        <v>29.2165</v>
      </c>
      <c r="R533" s="17">
        <f>CHOOSE(CONTROL!$C$42, 29.8765, 29.8765) * CHOOSE(CONTROL!$C$21, $C$9, 100%, $E$9)</f>
        <v>29.8765</v>
      </c>
      <c r="S533" s="17">
        <f>CHOOSE(CONTROL!$C$42, 27.7193, 27.7193) * CHOOSE(CONTROL!$C$21, $C$9, 100%, $E$9)</f>
        <v>27.7193</v>
      </c>
      <c r="T533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533" s="57">
        <f>(1000*CHOOSE(CONTROL!$C$42, 695, 695)*CHOOSE(CONTROL!$C$42, 0.5599, 0.5599)*CHOOSE(CONTROL!$C$42, 31, 31))/1000000</f>
        <v>12.063045499999998</v>
      </c>
      <c r="V533" s="57">
        <f>(1000*CHOOSE(CONTROL!$C$42, 500, 500)*CHOOSE(CONTROL!$C$42, 0.275, 0.275)*CHOOSE(CONTROL!$C$42, 31, 31))/1000000</f>
        <v>4.2625000000000002</v>
      </c>
      <c r="W533" s="57">
        <f>(1000*CHOOSE(CONTROL!$C$42, 0.0916, 0.0916)*CHOOSE(CONTROL!$C$42, 121.5, 121.5)*CHOOSE(CONTROL!$C$42, 31, 31))/1000000</f>
        <v>0.34501139999999997</v>
      </c>
      <c r="X533" s="57">
        <f>(31*0.1790888*145000/1000000)+(31*0.2374*100000/1000000)</f>
        <v>1.5409441560000001</v>
      </c>
      <c r="Y533" s="57"/>
      <c r="Z533" s="17"/>
      <c r="AA533" s="56"/>
      <c r="AB533" s="49">
        <f>(B533*194.205+C533*267.466+D533*133.845+E533*153.484+F533*40+G533*85+H533*0+I533*100+J533*300)/(194.205+267.466+133.845+153.484+0+40+85+100+300)</f>
        <v>28.670368103375196</v>
      </c>
      <c r="AC533" s="46">
        <f>(M533*'RAP TEMPLATE-GAS AVAILABILITY'!O532+N533*'RAP TEMPLATE-GAS AVAILABILITY'!P532+O533*'RAP TEMPLATE-GAS AVAILABILITY'!Q532+P533*'RAP TEMPLATE-GAS AVAILABILITY'!R532)/('RAP TEMPLATE-GAS AVAILABILITY'!O532+'RAP TEMPLATE-GAS AVAILABILITY'!P532+'RAP TEMPLATE-GAS AVAILABILITY'!Q532+'RAP TEMPLATE-GAS AVAILABILITY'!R532)</f>
        <v>28.441857553956829</v>
      </c>
    </row>
    <row r="534" spans="1:29" ht="15.75" x14ac:dyDescent="0.25">
      <c r="A534" s="13">
        <v>57161</v>
      </c>
      <c r="B534" s="17">
        <f>CHOOSE(CONTROL!$C$42, 29.4082, 29.4082) * CHOOSE(CONTROL!$C$21, $C$9, 100%, $E$9)</f>
        <v>29.408200000000001</v>
      </c>
      <c r="C534" s="17">
        <f>CHOOSE(CONTROL!$C$42, 29.4162, 29.4162) * CHOOSE(CONTROL!$C$21, $C$9, 100%, $E$9)</f>
        <v>29.4162</v>
      </c>
      <c r="D534" s="17">
        <f>CHOOSE(CONTROL!$C$42, 29.6658, 29.6658) * CHOOSE(CONTROL!$C$21, $C$9, 100%, $E$9)</f>
        <v>29.665800000000001</v>
      </c>
      <c r="E534" s="17">
        <f>CHOOSE(CONTROL!$C$42, 29.697, 29.697) * CHOOSE(CONTROL!$C$21, $C$9, 100%, $E$9)</f>
        <v>29.696999999999999</v>
      </c>
      <c r="F534" s="17">
        <f>CHOOSE(CONTROL!$C$42, 29.4134, 29.4134)*CHOOSE(CONTROL!$C$21, $C$9, 100%, $E$9)</f>
        <v>29.413399999999999</v>
      </c>
      <c r="G534" s="17">
        <f>CHOOSE(CONTROL!$C$42, 29.4296, 29.4296)*CHOOSE(CONTROL!$C$21, $C$9, 100%, $E$9)</f>
        <v>29.429600000000001</v>
      </c>
      <c r="H534" s="17">
        <f>CHOOSE(CONTROL!$C$42, 29.6853, 29.6853) * CHOOSE(CONTROL!$C$21, $C$9, 100%, $E$9)</f>
        <v>29.685300000000002</v>
      </c>
      <c r="I534" s="17">
        <f>CHOOSE(CONTROL!$C$42, 29.5197, 29.5197)* CHOOSE(CONTROL!$C$21, $C$9, 100%, $E$9)</f>
        <v>29.5197</v>
      </c>
      <c r="J534" s="17">
        <f>CHOOSE(CONTROL!$C$42, 29.406, 29.406)* CHOOSE(CONTROL!$C$21, $C$9, 100%, $E$9)</f>
        <v>29.405999999999999</v>
      </c>
      <c r="K534" s="53">
        <f>CHOOSE(CONTROL!$C$42, 29.5136, 29.5136) * CHOOSE(CONTROL!$C$21, $C$9, 100%, $E$9)</f>
        <v>29.5136</v>
      </c>
      <c r="L534" s="17">
        <f>CHOOSE(CONTROL!$C$42, 30.2723, 30.2723) * CHOOSE(CONTROL!$C$21, $C$9, 100%, $E$9)</f>
        <v>30.272300000000001</v>
      </c>
      <c r="M534" s="17">
        <f>CHOOSE(CONTROL!$C$42, 29.1485, 29.1485) * CHOOSE(CONTROL!$C$21, $C$9, 100%, $E$9)</f>
        <v>29.148499999999999</v>
      </c>
      <c r="N534" s="17">
        <f>CHOOSE(CONTROL!$C$42, 29.1646, 29.1646) * CHOOSE(CONTROL!$C$21, $C$9, 100%, $E$9)</f>
        <v>29.1646</v>
      </c>
      <c r="O534" s="17">
        <f>CHOOSE(CONTROL!$C$42, 29.4253, 29.4253) * CHOOSE(CONTROL!$C$21, $C$9, 100%, $E$9)</f>
        <v>29.4253</v>
      </c>
      <c r="P534" s="17">
        <f>CHOOSE(CONTROL!$C$42, 29.2604, 29.2604) * CHOOSE(CONTROL!$C$21, $C$9, 100%, $E$9)</f>
        <v>29.260400000000001</v>
      </c>
      <c r="Q534" s="17">
        <f>CHOOSE(CONTROL!$C$42, 30.02, 30.02) * CHOOSE(CONTROL!$C$21, $C$9, 100%, $E$9)</f>
        <v>30.02</v>
      </c>
      <c r="R534" s="17">
        <f>CHOOSE(CONTROL!$C$42, 30.6821, 30.6821) * CHOOSE(CONTROL!$C$21, $C$9, 100%, $E$9)</f>
        <v>30.682099999999998</v>
      </c>
      <c r="S534" s="17">
        <f>CHOOSE(CONTROL!$C$42, 28.5055, 28.5055) * CHOOSE(CONTROL!$C$21, $C$9, 100%, $E$9)</f>
        <v>28.505500000000001</v>
      </c>
      <c r="T534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534" s="57">
        <f>(1000*CHOOSE(CONTROL!$C$42, 695, 695)*CHOOSE(CONTROL!$C$42, 0.5599, 0.5599)*CHOOSE(CONTROL!$C$42, 30, 30))/1000000</f>
        <v>11.673914999999997</v>
      </c>
      <c r="V534" s="57">
        <f>(1000*CHOOSE(CONTROL!$C$42, 500, 500)*CHOOSE(CONTROL!$C$42, 0.275, 0.275)*CHOOSE(CONTROL!$C$42, 30, 30))/1000000</f>
        <v>4.125</v>
      </c>
      <c r="W534" s="57">
        <f>(1000*CHOOSE(CONTROL!$C$42, 0.0916, 0.0916)*CHOOSE(CONTROL!$C$42, 121.5, 121.5)*CHOOSE(CONTROL!$C$42, 30, 30))/1000000</f>
        <v>0.33388200000000001</v>
      </c>
      <c r="X534" s="57">
        <f>(30*0.1790888*145000/1000000)+(30*0.2374*100000/1000000)</f>
        <v>1.4912362799999999</v>
      </c>
      <c r="Y534" s="57"/>
      <c r="Z534" s="17"/>
      <c r="AA534" s="56"/>
      <c r="AB534" s="49">
        <f>(B534*194.205+C534*267.466+D534*133.845+E534*153.484+F534*40+G534*85+H534*0+I534*100+J534*300)/(194.205+267.466+133.845+153.484+0+40+85+100+300)</f>
        <v>29.481560580219778</v>
      </c>
      <c r="AC534" s="46">
        <f>(M534*'RAP TEMPLATE-GAS AVAILABILITY'!O533+N534*'RAP TEMPLATE-GAS AVAILABILITY'!P533+O534*'RAP TEMPLATE-GAS AVAILABILITY'!Q533+P534*'RAP TEMPLATE-GAS AVAILABILITY'!R533)/('RAP TEMPLATE-GAS AVAILABILITY'!O533+'RAP TEMPLATE-GAS AVAILABILITY'!P533+'RAP TEMPLATE-GAS AVAILABILITY'!Q533+'RAP TEMPLATE-GAS AVAILABILITY'!R533)</f>
        <v>29.245970503597121</v>
      </c>
    </row>
    <row r="535" spans="1:29" ht="15.75" x14ac:dyDescent="0.25">
      <c r="A535" s="13">
        <v>57192</v>
      </c>
      <c r="B535" s="17">
        <f>CHOOSE(CONTROL!$C$42, 28.8442, 28.8442) * CHOOSE(CONTROL!$C$21, $C$9, 100%, $E$9)</f>
        <v>28.844200000000001</v>
      </c>
      <c r="C535" s="17">
        <f>CHOOSE(CONTROL!$C$42, 28.8522, 28.8522) * CHOOSE(CONTROL!$C$21, $C$9, 100%, $E$9)</f>
        <v>28.8522</v>
      </c>
      <c r="D535" s="17">
        <f>CHOOSE(CONTROL!$C$42, 29.1018, 29.1018) * CHOOSE(CONTROL!$C$21, $C$9, 100%, $E$9)</f>
        <v>29.101800000000001</v>
      </c>
      <c r="E535" s="17">
        <f>CHOOSE(CONTROL!$C$42, 29.133, 29.133) * CHOOSE(CONTROL!$C$21, $C$9, 100%, $E$9)</f>
        <v>29.132999999999999</v>
      </c>
      <c r="F535" s="17">
        <f>CHOOSE(CONTROL!$C$42, 28.8499, 28.8499)*CHOOSE(CONTROL!$C$21, $C$9, 100%, $E$9)</f>
        <v>28.849900000000002</v>
      </c>
      <c r="G535" s="17">
        <f>CHOOSE(CONTROL!$C$42, 28.8663, 28.8663)*CHOOSE(CONTROL!$C$21, $C$9, 100%, $E$9)</f>
        <v>28.866299999999999</v>
      </c>
      <c r="H535" s="17">
        <f>CHOOSE(CONTROL!$C$42, 29.1214, 29.1214) * CHOOSE(CONTROL!$C$21, $C$9, 100%, $E$9)</f>
        <v>29.121400000000001</v>
      </c>
      <c r="I535" s="17">
        <f>CHOOSE(CONTROL!$C$42, 28.954, 28.954)* CHOOSE(CONTROL!$C$21, $C$9, 100%, $E$9)</f>
        <v>28.954000000000001</v>
      </c>
      <c r="J535" s="17">
        <f>CHOOSE(CONTROL!$C$42, 28.8425, 28.8425)* CHOOSE(CONTROL!$C$21, $C$9, 100%, $E$9)</f>
        <v>28.842500000000001</v>
      </c>
      <c r="K535" s="53">
        <f>CHOOSE(CONTROL!$C$42, 28.9479, 28.9479) * CHOOSE(CONTROL!$C$21, $C$9, 100%, $E$9)</f>
        <v>28.947900000000001</v>
      </c>
      <c r="L535" s="17">
        <f>CHOOSE(CONTROL!$C$42, 29.7084, 29.7084) * CHOOSE(CONTROL!$C$21, $C$9, 100%, $E$9)</f>
        <v>29.708400000000001</v>
      </c>
      <c r="M535" s="17">
        <f>CHOOSE(CONTROL!$C$42, 28.5901, 28.5901) * CHOOSE(CONTROL!$C$21, $C$9, 100%, $E$9)</f>
        <v>28.5901</v>
      </c>
      <c r="N535" s="17">
        <f>CHOOSE(CONTROL!$C$42, 28.6064, 28.6064) * CHOOSE(CONTROL!$C$21, $C$9, 100%, $E$9)</f>
        <v>28.606400000000001</v>
      </c>
      <c r="O535" s="17">
        <f>CHOOSE(CONTROL!$C$42, 28.8665, 28.8665) * CHOOSE(CONTROL!$C$21, $C$9, 100%, $E$9)</f>
        <v>28.866499999999998</v>
      </c>
      <c r="P535" s="17">
        <f>CHOOSE(CONTROL!$C$42, 28.6998, 28.6998) * CHOOSE(CONTROL!$C$21, $C$9, 100%, $E$9)</f>
        <v>28.6998</v>
      </c>
      <c r="Q535" s="17">
        <f>CHOOSE(CONTROL!$C$42, 29.4612, 29.4612) * CHOOSE(CONTROL!$C$21, $C$9, 100%, $E$9)</f>
        <v>29.461200000000002</v>
      </c>
      <c r="R535" s="17">
        <f>CHOOSE(CONTROL!$C$42, 30.1218, 30.1218) * CHOOSE(CONTROL!$C$21, $C$9, 100%, $E$9)</f>
        <v>30.1218</v>
      </c>
      <c r="S535" s="17">
        <f>CHOOSE(CONTROL!$C$42, 27.9587, 27.9587) * CHOOSE(CONTROL!$C$21, $C$9, 100%, $E$9)</f>
        <v>27.9587</v>
      </c>
      <c r="T535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535" s="57">
        <f>(1000*CHOOSE(CONTROL!$C$42, 695, 695)*CHOOSE(CONTROL!$C$42, 0.5599, 0.5599)*CHOOSE(CONTROL!$C$42, 31, 31))/1000000</f>
        <v>12.063045499999998</v>
      </c>
      <c r="V535" s="57">
        <f>(1000*CHOOSE(CONTROL!$C$42, 500, 500)*CHOOSE(CONTROL!$C$42, 0.275, 0.275)*CHOOSE(CONTROL!$C$42, 31, 31))/1000000</f>
        <v>4.2625000000000002</v>
      </c>
      <c r="W535" s="57">
        <f>(1000*CHOOSE(CONTROL!$C$42, 0.0916, 0.0916)*CHOOSE(CONTROL!$C$42, 121.5, 121.5)*CHOOSE(CONTROL!$C$42, 31, 31))/1000000</f>
        <v>0.34501139999999997</v>
      </c>
      <c r="X535" s="57">
        <f>(31*0.1790888*145000/1000000)+(31*0.2374*100000/1000000)</f>
        <v>1.5409441560000001</v>
      </c>
      <c r="Y535" s="57"/>
      <c r="Z535" s="17"/>
      <c r="AA535" s="56"/>
      <c r="AB535" s="49">
        <f>(B535*194.205+C535*267.466+D535*133.845+E535*153.484+F535*40+G535*85+H535*0+I535*100+J535*300)/(194.205+267.466+133.845+153.484+0+40+85+100+300)</f>
        <v>28.917607283516485</v>
      </c>
      <c r="AC535" s="46">
        <f>(M535*'RAP TEMPLATE-GAS AVAILABILITY'!O534+N535*'RAP TEMPLATE-GAS AVAILABILITY'!P534+O535*'RAP TEMPLATE-GAS AVAILABILITY'!Q534+P535*'RAP TEMPLATE-GAS AVAILABILITY'!R534)/('RAP TEMPLATE-GAS AVAILABILITY'!O534+'RAP TEMPLATE-GAS AVAILABILITY'!P534+'RAP TEMPLATE-GAS AVAILABILITY'!Q534+'RAP TEMPLATE-GAS AVAILABILITY'!R534)</f>
        <v>28.68718776978417</v>
      </c>
    </row>
    <row r="536" spans="1:29" ht="15.75" x14ac:dyDescent="0.25">
      <c r="A536" s="13">
        <v>57223</v>
      </c>
      <c r="B536" s="17">
        <f>CHOOSE(CONTROL!$C$42, 27.4201, 27.4201) * CHOOSE(CONTROL!$C$21, $C$9, 100%, $E$9)</f>
        <v>27.420100000000001</v>
      </c>
      <c r="C536" s="17">
        <f>CHOOSE(CONTROL!$C$42, 27.4281, 27.4281) * CHOOSE(CONTROL!$C$21, $C$9, 100%, $E$9)</f>
        <v>27.428100000000001</v>
      </c>
      <c r="D536" s="17">
        <f>CHOOSE(CONTROL!$C$42, 27.6777, 27.6777) * CHOOSE(CONTROL!$C$21, $C$9, 100%, $E$9)</f>
        <v>27.677700000000002</v>
      </c>
      <c r="E536" s="17">
        <f>CHOOSE(CONTROL!$C$42, 27.7089, 27.7089) * CHOOSE(CONTROL!$C$21, $C$9, 100%, $E$9)</f>
        <v>27.7089</v>
      </c>
      <c r="F536" s="17">
        <f>CHOOSE(CONTROL!$C$42, 27.4261, 27.4261)*CHOOSE(CONTROL!$C$21, $C$9, 100%, $E$9)</f>
        <v>27.426100000000002</v>
      </c>
      <c r="G536" s="17">
        <f>CHOOSE(CONTROL!$C$42, 27.4425, 27.4425)*CHOOSE(CONTROL!$C$21, $C$9, 100%, $E$9)</f>
        <v>27.442499999999999</v>
      </c>
      <c r="H536" s="17">
        <f>CHOOSE(CONTROL!$C$42, 27.6972, 27.6972) * CHOOSE(CONTROL!$C$21, $C$9, 100%, $E$9)</f>
        <v>27.697199999999999</v>
      </c>
      <c r="I536" s="17">
        <f>CHOOSE(CONTROL!$C$42, 27.5254, 27.5254)* CHOOSE(CONTROL!$C$21, $C$9, 100%, $E$9)</f>
        <v>27.525400000000001</v>
      </c>
      <c r="J536" s="17">
        <f>CHOOSE(CONTROL!$C$42, 27.4187, 27.4187)* CHOOSE(CONTROL!$C$21, $C$9, 100%, $E$9)</f>
        <v>27.418700000000001</v>
      </c>
      <c r="K536" s="53">
        <f>CHOOSE(CONTROL!$C$42, 27.5194, 27.5194) * CHOOSE(CONTROL!$C$21, $C$9, 100%, $E$9)</f>
        <v>27.519400000000001</v>
      </c>
      <c r="L536" s="17">
        <f>CHOOSE(CONTROL!$C$42, 28.2842, 28.2842) * CHOOSE(CONTROL!$C$21, $C$9, 100%, $E$9)</f>
        <v>28.284199999999998</v>
      </c>
      <c r="M536" s="17">
        <f>CHOOSE(CONTROL!$C$42, 27.1791, 27.1791) * CHOOSE(CONTROL!$C$21, $C$9, 100%, $E$9)</f>
        <v>27.179099999999998</v>
      </c>
      <c r="N536" s="17">
        <f>CHOOSE(CONTROL!$C$42, 27.1954, 27.1954) * CHOOSE(CONTROL!$C$21, $C$9, 100%, $E$9)</f>
        <v>27.195399999999999</v>
      </c>
      <c r="O536" s="17">
        <f>CHOOSE(CONTROL!$C$42, 27.4551, 27.4551) * CHOOSE(CONTROL!$C$21, $C$9, 100%, $E$9)</f>
        <v>27.455100000000002</v>
      </c>
      <c r="P536" s="17">
        <f>CHOOSE(CONTROL!$C$42, 27.2842, 27.2842) * CHOOSE(CONTROL!$C$21, $C$9, 100%, $E$9)</f>
        <v>27.284199999999998</v>
      </c>
      <c r="Q536" s="17">
        <f>CHOOSE(CONTROL!$C$42, 28.0498, 28.0498) * CHOOSE(CONTROL!$C$21, $C$9, 100%, $E$9)</f>
        <v>28.049800000000001</v>
      </c>
      <c r="R536" s="17">
        <f>CHOOSE(CONTROL!$C$42, 28.707, 28.707) * CHOOSE(CONTROL!$C$21, $C$9, 100%, $E$9)</f>
        <v>28.707000000000001</v>
      </c>
      <c r="S536" s="17">
        <f>CHOOSE(CONTROL!$C$42, 26.5777, 26.5777) * CHOOSE(CONTROL!$C$21, $C$9, 100%, $E$9)</f>
        <v>26.5777</v>
      </c>
      <c r="T536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536" s="57">
        <f>(1000*CHOOSE(CONTROL!$C$42, 695, 695)*CHOOSE(CONTROL!$C$42, 0.5599, 0.5599)*CHOOSE(CONTROL!$C$42, 31, 31))/1000000</f>
        <v>12.063045499999998</v>
      </c>
      <c r="V536" s="57">
        <f>(1000*CHOOSE(CONTROL!$C$42, 500, 500)*CHOOSE(CONTROL!$C$42, 0.275, 0.275)*CHOOSE(CONTROL!$C$42, 31, 31))/1000000</f>
        <v>4.2625000000000002</v>
      </c>
      <c r="W536" s="57">
        <f>(1000*CHOOSE(CONTROL!$C$42, 0.0916, 0.0916)*CHOOSE(CONTROL!$C$42, 121.5, 121.5)*CHOOSE(CONTROL!$C$42, 31, 31))/1000000</f>
        <v>0.34501139999999997</v>
      </c>
      <c r="X536" s="57">
        <f>(31*0.1790888*145000/1000000)+(31*0.2374*100000/1000000)</f>
        <v>1.5409441560000001</v>
      </c>
      <c r="Y536" s="57"/>
      <c r="Z536" s="17"/>
      <c r="AA536" s="56"/>
      <c r="AB536" s="49">
        <f>(B536*194.205+C536*267.466+D536*133.845+E536*153.484+F536*40+G536*85+H536*0+I536*100+J536*300)/(194.205+267.466+133.845+153.484+0+40+85+100+300)</f>
        <v>27.493254143799067</v>
      </c>
      <c r="AC536" s="46">
        <f>(M536*'RAP TEMPLATE-GAS AVAILABILITY'!O535+N536*'RAP TEMPLATE-GAS AVAILABILITY'!P535+O536*'RAP TEMPLATE-GAS AVAILABILITY'!Q535+P536*'RAP TEMPLATE-GAS AVAILABILITY'!R535)/('RAP TEMPLATE-GAS AVAILABILITY'!O535+'RAP TEMPLATE-GAS AVAILABILITY'!P535+'RAP TEMPLATE-GAS AVAILABILITY'!Q535+'RAP TEMPLATE-GAS AVAILABILITY'!R535)</f>
        <v>27.275413669064747</v>
      </c>
    </row>
    <row r="537" spans="1:29" ht="15.75" x14ac:dyDescent="0.25">
      <c r="A537" s="13">
        <v>57253</v>
      </c>
      <c r="B537" s="17">
        <f>CHOOSE(CONTROL!$C$42, 25.6799, 25.6799) * CHOOSE(CONTROL!$C$21, $C$9, 100%, $E$9)</f>
        <v>25.6799</v>
      </c>
      <c r="C537" s="17">
        <f>CHOOSE(CONTROL!$C$42, 25.6878, 25.6878) * CHOOSE(CONTROL!$C$21, $C$9, 100%, $E$9)</f>
        <v>25.687799999999999</v>
      </c>
      <c r="D537" s="17">
        <f>CHOOSE(CONTROL!$C$42, 25.9375, 25.9375) * CHOOSE(CONTROL!$C$21, $C$9, 100%, $E$9)</f>
        <v>25.9375</v>
      </c>
      <c r="E537" s="17">
        <f>CHOOSE(CONTROL!$C$42, 25.9686, 25.9686) * CHOOSE(CONTROL!$C$21, $C$9, 100%, $E$9)</f>
        <v>25.968599999999999</v>
      </c>
      <c r="F537" s="17">
        <f>CHOOSE(CONTROL!$C$42, 25.6858, 25.6858)*CHOOSE(CONTROL!$C$21, $C$9, 100%, $E$9)</f>
        <v>25.6858</v>
      </c>
      <c r="G537" s="17">
        <f>CHOOSE(CONTROL!$C$42, 25.7023, 25.7023)*CHOOSE(CONTROL!$C$21, $C$9, 100%, $E$9)</f>
        <v>25.702300000000001</v>
      </c>
      <c r="H537" s="17">
        <f>CHOOSE(CONTROL!$C$42, 25.957, 25.957) * CHOOSE(CONTROL!$C$21, $C$9, 100%, $E$9)</f>
        <v>25.957000000000001</v>
      </c>
      <c r="I537" s="17">
        <f>CHOOSE(CONTROL!$C$42, 25.7798, 25.7798)* CHOOSE(CONTROL!$C$21, $C$9, 100%, $E$9)</f>
        <v>25.779800000000002</v>
      </c>
      <c r="J537" s="17">
        <f>CHOOSE(CONTROL!$C$42, 25.6784, 25.6784)* CHOOSE(CONTROL!$C$21, $C$9, 100%, $E$9)</f>
        <v>25.6784</v>
      </c>
      <c r="K537" s="53">
        <f>CHOOSE(CONTROL!$C$42, 25.7737, 25.7737) * CHOOSE(CONTROL!$C$21, $C$9, 100%, $E$9)</f>
        <v>25.773700000000002</v>
      </c>
      <c r="L537" s="17">
        <f>CHOOSE(CONTROL!$C$42, 26.544, 26.544) * CHOOSE(CONTROL!$C$21, $C$9, 100%, $E$9)</f>
        <v>26.544</v>
      </c>
      <c r="M537" s="17">
        <f>CHOOSE(CONTROL!$C$42, 25.4545, 25.4545) * CHOOSE(CONTROL!$C$21, $C$9, 100%, $E$9)</f>
        <v>25.454499999999999</v>
      </c>
      <c r="N537" s="17">
        <f>CHOOSE(CONTROL!$C$42, 25.4708, 25.4708) * CHOOSE(CONTROL!$C$21, $C$9, 100%, $E$9)</f>
        <v>25.470800000000001</v>
      </c>
      <c r="O537" s="17">
        <f>CHOOSE(CONTROL!$C$42, 25.7305, 25.7305) * CHOOSE(CONTROL!$C$21, $C$9, 100%, $E$9)</f>
        <v>25.730499999999999</v>
      </c>
      <c r="P537" s="17">
        <f>CHOOSE(CONTROL!$C$42, 25.5543, 25.5543) * CHOOSE(CONTROL!$C$21, $C$9, 100%, $E$9)</f>
        <v>25.554300000000001</v>
      </c>
      <c r="Q537" s="17">
        <f>CHOOSE(CONTROL!$C$42, 26.3252, 26.3252) * CHOOSE(CONTROL!$C$21, $C$9, 100%, $E$9)</f>
        <v>26.325199999999999</v>
      </c>
      <c r="R537" s="17">
        <f>CHOOSE(CONTROL!$C$42, 26.978, 26.978) * CHOOSE(CONTROL!$C$21, $C$9, 100%, $E$9)</f>
        <v>26.978000000000002</v>
      </c>
      <c r="S537" s="17">
        <f>CHOOSE(CONTROL!$C$42, 24.8902, 24.8902) * CHOOSE(CONTROL!$C$21, $C$9, 100%, $E$9)</f>
        <v>24.8902</v>
      </c>
      <c r="T537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537" s="57">
        <f>(1000*CHOOSE(CONTROL!$C$42, 695, 695)*CHOOSE(CONTROL!$C$42, 0.5599, 0.5599)*CHOOSE(CONTROL!$C$42, 30, 30))/1000000</f>
        <v>11.673914999999997</v>
      </c>
      <c r="V537" s="57">
        <f>(1000*CHOOSE(CONTROL!$C$42, 500, 500)*CHOOSE(CONTROL!$C$42, 0.275, 0.275)*CHOOSE(CONTROL!$C$42, 30, 30))/1000000</f>
        <v>4.125</v>
      </c>
      <c r="W537" s="57">
        <f>(1000*CHOOSE(CONTROL!$C$42, 0.0916, 0.0916)*CHOOSE(CONTROL!$C$42, 121.5, 121.5)*CHOOSE(CONTROL!$C$42, 30, 30))/1000000</f>
        <v>0.33388200000000001</v>
      </c>
      <c r="X537" s="57">
        <f>(30*0.1790888*145000/1000000)+(30*0.2374*100000/1000000)</f>
        <v>1.4912362799999999</v>
      </c>
      <c r="Y537" s="57"/>
      <c r="Z537" s="17"/>
      <c r="AA537" s="56"/>
      <c r="AB537" s="49">
        <f>(B537*194.205+C537*267.466+D537*133.845+E537*153.484+F537*40+G537*85+H537*0+I537*100+J537*300)/(194.205+267.466+133.845+153.484+0+40+85+100+300)</f>
        <v>25.752570552747251</v>
      </c>
      <c r="AC537" s="46">
        <f>(M537*'RAP TEMPLATE-GAS AVAILABILITY'!O536+N537*'RAP TEMPLATE-GAS AVAILABILITY'!P536+O537*'RAP TEMPLATE-GAS AVAILABILITY'!Q536+P537*'RAP TEMPLATE-GAS AVAILABILITY'!R536)/('RAP TEMPLATE-GAS AVAILABILITY'!O536+'RAP TEMPLATE-GAS AVAILABILITY'!P536+'RAP TEMPLATE-GAS AVAILABILITY'!Q536+'RAP TEMPLATE-GAS AVAILABILITY'!R536)</f>
        <v>25.550051079136686</v>
      </c>
    </row>
    <row r="538" spans="1:29" ht="15.75" x14ac:dyDescent="0.25">
      <c r="A538" s="13">
        <v>57284</v>
      </c>
      <c r="B538" s="17">
        <f>CHOOSE(CONTROL!$C$42, 25.157, 25.157) * CHOOSE(CONTROL!$C$21, $C$9, 100%, $E$9)</f>
        <v>25.157</v>
      </c>
      <c r="C538" s="17">
        <f>CHOOSE(CONTROL!$C$42, 25.1623, 25.1623) * CHOOSE(CONTROL!$C$21, $C$9, 100%, $E$9)</f>
        <v>25.162299999999998</v>
      </c>
      <c r="D538" s="17">
        <f>CHOOSE(CONTROL!$C$42, 25.4168, 25.4168) * CHOOSE(CONTROL!$C$21, $C$9, 100%, $E$9)</f>
        <v>25.416799999999999</v>
      </c>
      <c r="E538" s="17">
        <f>CHOOSE(CONTROL!$C$42, 25.4457, 25.4457) * CHOOSE(CONTROL!$C$21, $C$9, 100%, $E$9)</f>
        <v>25.445699999999999</v>
      </c>
      <c r="F538" s="17">
        <f>CHOOSE(CONTROL!$C$42, 25.1652, 25.1652)*CHOOSE(CONTROL!$C$21, $C$9, 100%, $E$9)</f>
        <v>25.165199999999999</v>
      </c>
      <c r="G538" s="17">
        <f>CHOOSE(CONTROL!$C$42, 25.1815, 25.1815)*CHOOSE(CONTROL!$C$21, $C$9, 100%, $E$9)</f>
        <v>25.1815</v>
      </c>
      <c r="H538" s="17">
        <f>CHOOSE(CONTROL!$C$42, 25.4358, 25.4358) * CHOOSE(CONTROL!$C$21, $C$9, 100%, $E$9)</f>
        <v>25.4358</v>
      </c>
      <c r="I538" s="17">
        <f>CHOOSE(CONTROL!$C$42, 25.257, 25.257)* CHOOSE(CONTROL!$C$21, $C$9, 100%, $E$9)</f>
        <v>25.257000000000001</v>
      </c>
      <c r="J538" s="17">
        <f>CHOOSE(CONTROL!$C$42, 25.1578, 25.1578)* CHOOSE(CONTROL!$C$21, $C$9, 100%, $E$9)</f>
        <v>25.157800000000002</v>
      </c>
      <c r="K538" s="53">
        <f>CHOOSE(CONTROL!$C$42, 25.251, 25.251) * CHOOSE(CONTROL!$C$21, $C$9, 100%, $E$9)</f>
        <v>25.251000000000001</v>
      </c>
      <c r="L538" s="17">
        <f>CHOOSE(CONTROL!$C$42, 26.0228, 26.0228) * CHOOSE(CONTROL!$C$21, $C$9, 100%, $E$9)</f>
        <v>26.0228</v>
      </c>
      <c r="M538" s="17">
        <f>CHOOSE(CONTROL!$C$42, 24.9385, 24.9385) * CHOOSE(CONTROL!$C$21, $C$9, 100%, $E$9)</f>
        <v>24.938500000000001</v>
      </c>
      <c r="N538" s="17">
        <f>CHOOSE(CONTROL!$C$42, 24.9547, 24.9547) * CHOOSE(CONTROL!$C$21, $C$9, 100%, $E$9)</f>
        <v>24.954699999999999</v>
      </c>
      <c r="O538" s="17">
        <f>CHOOSE(CONTROL!$C$42, 25.2141, 25.2141) * CHOOSE(CONTROL!$C$21, $C$9, 100%, $E$9)</f>
        <v>25.214099999999998</v>
      </c>
      <c r="P538" s="17">
        <f>CHOOSE(CONTROL!$C$42, 25.0362, 25.0362) * CHOOSE(CONTROL!$C$21, $C$9, 100%, $E$9)</f>
        <v>25.036200000000001</v>
      </c>
      <c r="Q538" s="17">
        <f>CHOOSE(CONTROL!$C$42, 25.8088, 25.8088) * CHOOSE(CONTROL!$C$21, $C$9, 100%, $E$9)</f>
        <v>25.808800000000002</v>
      </c>
      <c r="R538" s="17">
        <f>CHOOSE(CONTROL!$C$42, 26.4603, 26.4603) * CHOOSE(CONTROL!$C$21, $C$9, 100%, $E$9)</f>
        <v>26.4603</v>
      </c>
      <c r="S538" s="17">
        <f>CHOOSE(CONTROL!$C$42, 24.3848, 24.3848) * CHOOSE(CONTROL!$C$21, $C$9, 100%, $E$9)</f>
        <v>24.384799999999998</v>
      </c>
      <c r="T538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538" s="57">
        <f>(1000*CHOOSE(CONTROL!$C$42, 695, 695)*CHOOSE(CONTROL!$C$42, 0.5599, 0.5599)*CHOOSE(CONTROL!$C$42, 31, 31))/1000000</f>
        <v>12.063045499999998</v>
      </c>
      <c r="V538" s="57">
        <f>(1000*CHOOSE(CONTROL!$C$42, 500, 500)*CHOOSE(CONTROL!$C$42, 0.275, 0.275)*CHOOSE(CONTROL!$C$42, 31, 31))/1000000</f>
        <v>4.2625000000000002</v>
      </c>
      <c r="W538" s="57">
        <f>(1000*CHOOSE(CONTROL!$C$42, 0.0916, 0.0916)*CHOOSE(CONTROL!$C$42, 121.5, 121.5)*CHOOSE(CONTROL!$C$42, 31, 31))/1000000</f>
        <v>0.34501139999999997</v>
      </c>
      <c r="X538" s="57">
        <f>(31*0.1790888*145000/1000000)+(31*0.2374*100000/1000000)</f>
        <v>1.5409441560000001</v>
      </c>
      <c r="Y538" s="57"/>
      <c r="Z538" s="17"/>
      <c r="AA538" s="56"/>
      <c r="AB538" s="49">
        <f>(B538*131.881+C538*277.167+D538*79.08+E538*225.872+F538*40+G538*85+H538*0+I538*100+J538*300)/(131.881+277.167+79.08+225.872+0+40+85+100+300)</f>
        <v>25.23760832566586</v>
      </c>
      <c r="AC538" s="46">
        <f>(M538*'RAP TEMPLATE-GAS AVAILABILITY'!O537+N538*'RAP TEMPLATE-GAS AVAILABILITY'!P537+O538*'RAP TEMPLATE-GAS AVAILABILITY'!Q537+P538*'RAP TEMPLATE-GAS AVAILABILITY'!R537)/('RAP TEMPLATE-GAS AVAILABILITY'!O537+'RAP TEMPLATE-GAS AVAILABILITY'!P537+'RAP TEMPLATE-GAS AVAILABILITY'!Q537+'RAP TEMPLATE-GAS AVAILABILITY'!R537)</f>
        <v>25.033613669064746</v>
      </c>
    </row>
    <row r="539" spans="1:29" ht="15.75" x14ac:dyDescent="0.25">
      <c r="A539" s="13">
        <v>57314</v>
      </c>
      <c r="B539" s="17">
        <f>CHOOSE(CONTROL!$C$42, 25.819, 25.819) * CHOOSE(CONTROL!$C$21, $C$9, 100%, $E$9)</f>
        <v>25.818999999999999</v>
      </c>
      <c r="C539" s="17">
        <f>CHOOSE(CONTROL!$C$42, 25.8241, 25.8241) * CHOOSE(CONTROL!$C$21, $C$9, 100%, $E$9)</f>
        <v>25.824100000000001</v>
      </c>
      <c r="D539" s="17">
        <f>CHOOSE(CONTROL!$C$42, 25.9467, 25.9467) * CHOOSE(CONTROL!$C$21, $C$9, 100%, $E$9)</f>
        <v>25.9467</v>
      </c>
      <c r="E539" s="17">
        <f>CHOOSE(CONTROL!$C$42, 25.9805, 25.9805) * CHOOSE(CONTROL!$C$21, $C$9, 100%, $E$9)</f>
        <v>25.980499999999999</v>
      </c>
      <c r="F539" s="17">
        <f>CHOOSE(CONTROL!$C$42, 25.834, 25.834)*CHOOSE(CONTROL!$C$21, $C$9, 100%, $E$9)</f>
        <v>25.834</v>
      </c>
      <c r="G539" s="17">
        <f>CHOOSE(CONTROL!$C$42, 25.8507, 25.8507)*CHOOSE(CONTROL!$C$21, $C$9, 100%, $E$9)</f>
        <v>25.8507</v>
      </c>
      <c r="H539" s="17">
        <f>CHOOSE(CONTROL!$C$42, 25.9694, 25.9694) * CHOOSE(CONTROL!$C$21, $C$9, 100%, $E$9)</f>
        <v>25.9694</v>
      </c>
      <c r="I539" s="17">
        <f>CHOOSE(CONTROL!$C$42, 25.9241, 25.9241)* CHOOSE(CONTROL!$C$21, $C$9, 100%, $E$9)</f>
        <v>25.924099999999999</v>
      </c>
      <c r="J539" s="17">
        <f>CHOOSE(CONTROL!$C$42, 25.8266, 25.8266)* CHOOSE(CONTROL!$C$21, $C$9, 100%, $E$9)</f>
        <v>25.826599999999999</v>
      </c>
      <c r="K539" s="53">
        <f>CHOOSE(CONTROL!$C$42, 25.9181, 25.9181) * CHOOSE(CONTROL!$C$21, $C$9, 100%, $E$9)</f>
        <v>25.918099999999999</v>
      </c>
      <c r="L539" s="17">
        <f>CHOOSE(CONTROL!$C$42, 26.5564, 26.5564) * CHOOSE(CONTROL!$C$21, $C$9, 100%, $E$9)</f>
        <v>26.5564</v>
      </c>
      <c r="M539" s="17">
        <f>CHOOSE(CONTROL!$C$42, 25.6014, 25.6014) * CHOOSE(CONTROL!$C$21, $C$9, 100%, $E$9)</f>
        <v>25.601400000000002</v>
      </c>
      <c r="N539" s="17">
        <f>CHOOSE(CONTROL!$C$42, 25.6179, 25.6179) * CHOOSE(CONTROL!$C$21, $C$9, 100%, $E$9)</f>
        <v>25.617899999999999</v>
      </c>
      <c r="O539" s="17">
        <f>CHOOSE(CONTROL!$C$42, 25.7428, 25.7428) * CHOOSE(CONTROL!$C$21, $C$9, 100%, $E$9)</f>
        <v>25.742799999999999</v>
      </c>
      <c r="P539" s="17">
        <f>CHOOSE(CONTROL!$C$42, 25.6973, 25.6973) * CHOOSE(CONTROL!$C$21, $C$9, 100%, $E$9)</f>
        <v>25.697299999999998</v>
      </c>
      <c r="Q539" s="17">
        <f>CHOOSE(CONTROL!$C$42, 26.3375, 26.3375) * CHOOSE(CONTROL!$C$21, $C$9, 100%, $E$9)</f>
        <v>26.337499999999999</v>
      </c>
      <c r="R539" s="17">
        <f>CHOOSE(CONTROL!$C$42, 26.9904, 26.9904) * CHOOSE(CONTROL!$C$21, $C$9, 100%, $E$9)</f>
        <v>26.990400000000001</v>
      </c>
      <c r="S539" s="17">
        <f>CHOOSE(CONTROL!$C$42, 25.0272, 25.0272) * CHOOSE(CONTROL!$C$21, $C$9, 100%, $E$9)</f>
        <v>25.027200000000001</v>
      </c>
      <c r="T539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539" s="57">
        <f>(1000*CHOOSE(CONTROL!$C$42, 695, 695)*CHOOSE(CONTROL!$C$42, 0.5599, 0.5599)*CHOOSE(CONTROL!$C$42, 30, 30))/1000000</f>
        <v>11.673914999999997</v>
      </c>
      <c r="V539" s="57">
        <f>(1000*CHOOSE(CONTROL!$C$42, 500, 500)*CHOOSE(CONTROL!$C$42, 0.275, 0.275)*CHOOSE(CONTROL!$C$42, 30, 30))/1000000</f>
        <v>4.125</v>
      </c>
      <c r="W539" s="57">
        <f>(1000*CHOOSE(CONTROL!$C$42, 0.0916, 0.0916)*CHOOSE(CONTROL!$C$42, 121.5, 121.5)*CHOOSE(CONTROL!$C$42, 30, 30))/1000000</f>
        <v>0.33388200000000001</v>
      </c>
      <c r="X539" s="57">
        <f>(30*0.2374*100000/1000000)</f>
        <v>0.71220000000000006</v>
      </c>
      <c r="Y539" s="57"/>
      <c r="Z539" s="17"/>
      <c r="AA539" s="56"/>
      <c r="AB539" s="49">
        <f>(B539*122.58+C539*297.941+D539*89.177+E539*140.302+F539*40+G539*60+H539*0+I539*100+J539*300)/(122.58+297.941+89.177+140.302+0+40+60+100+300)</f>
        <v>25.863224500000001</v>
      </c>
      <c r="AC539" s="46">
        <f>(M539*'RAP TEMPLATE-GAS AVAILABILITY'!O538+N539*'RAP TEMPLATE-GAS AVAILABILITY'!P538+O539*'RAP TEMPLATE-GAS AVAILABILITY'!Q538+P539*'RAP TEMPLATE-GAS AVAILABILITY'!R538)/('RAP TEMPLATE-GAS AVAILABILITY'!O538+'RAP TEMPLATE-GAS AVAILABILITY'!P538+'RAP TEMPLATE-GAS AVAILABILITY'!Q538+'RAP TEMPLATE-GAS AVAILABILITY'!R538)</f>
        <v>25.68023597122302</v>
      </c>
    </row>
    <row r="540" spans="1:29" ht="15.75" x14ac:dyDescent="0.25">
      <c r="A540" s="13">
        <v>57345</v>
      </c>
      <c r="B540" s="17">
        <f>CHOOSE(CONTROL!$C$42, 27.5787, 27.5787) * CHOOSE(CONTROL!$C$21, $C$9, 100%, $E$9)</f>
        <v>27.578700000000001</v>
      </c>
      <c r="C540" s="17">
        <f>CHOOSE(CONTROL!$C$42, 27.5837, 27.5837) * CHOOSE(CONTROL!$C$21, $C$9, 100%, $E$9)</f>
        <v>27.5837</v>
      </c>
      <c r="D540" s="17">
        <f>CHOOSE(CONTROL!$C$42, 27.7064, 27.7064) * CHOOSE(CONTROL!$C$21, $C$9, 100%, $E$9)</f>
        <v>27.706399999999999</v>
      </c>
      <c r="E540" s="17">
        <f>CHOOSE(CONTROL!$C$42, 27.7401, 27.7401) * CHOOSE(CONTROL!$C$21, $C$9, 100%, $E$9)</f>
        <v>27.740100000000002</v>
      </c>
      <c r="F540" s="17">
        <f>CHOOSE(CONTROL!$C$42, 27.5961, 27.5961)*CHOOSE(CONTROL!$C$21, $C$9, 100%, $E$9)</f>
        <v>27.5961</v>
      </c>
      <c r="G540" s="17">
        <f>CHOOSE(CONTROL!$C$42, 27.6134, 27.6134)*CHOOSE(CONTROL!$C$21, $C$9, 100%, $E$9)</f>
        <v>27.613399999999999</v>
      </c>
      <c r="H540" s="17">
        <f>CHOOSE(CONTROL!$C$42, 27.729, 27.729) * CHOOSE(CONTROL!$C$21, $C$9, 100%, $E$9)</f>
        <v>27.728999999999999</v>
      </c>
      <c r="I540" s="17">
        <f>CHOOSE(CONTROL!$C$42, 27.6892, 27.6892)* CHOOSE(CONTROL!$C$21, $C$9, 100%, $E$9)</f>
        <v>27.6892</v>
      </c>
      <c r="J540" s="17">
        <f>CHOOSE(CONTROL!$C$42, 27.5887, 27.5887)* CHOOSE(CONTROL!$C$21, $C$9, 100%, $E$9)</f>
        <v>27.588699999999999</v>
      </c>
      <c r="K540" s="53">
        <f>CHOOSE(CONTROL!$C$42, 27.6831, 27.6831) * CHOOSE(CONTROL!$C$21, $C$9, 100%, $E$9)</f>
        <v>27.6831</v>
      </c>
      <c r="L540" s="17">
        <f>CHOOSE(CONTROL!$C$42, 28.316, 28.316) * CHOOSE(CONTROL!$C$21, $C$9, 100%, $E$9)</f>
        <v>28.315999999999999</v>
      </c>
      <c r="M540" s="17">
        <f>CHOOSE(CONTROL!$C$42, 27.3476, 27.3476) * CHOOSE(CONTROL!$C$21, $C$9, 100%, $E$9)</f>
        <v>27.3476</v>
      </c>
      <c r="N540" s="17">
        <f>CHOOSE(CONTROL!$C$42, 27.3647, 27.3647) * CHOOSE(CONTROL!$C$21, $C$9, 100%, $E$9)</f>
        <v>27.364699999999999</v>
      </c>
      <c r="O540" s="17">
        <f>CHOOSE(CONTROL!$C$42, 27.4866, 27.4866) * CHOOSE(CONTROL!$C$21, $C$9, 100%, $E$9)</f>
        <v>27.486599999999999</v>
      </c>
      <c r="P540" s="17">
        <f>CHOOSE(CONTROL!$C$42, 27.4465, 27.4465) * CHOOSE(CONTROL!$C$21, $C$9, 100%, $E$9)</f>
        <v>27.4465</v>
      </c>
      <c r="Q540" s="17">
        <f>CHOOSE(CONTROL!$C$42, 28.0813, 28.0813) * CHOOSE(CONTROL!$C$21, $C$9, 100%, $E$9)</f>
        <v>28.081299999999999</v>
      </c>
      <c r="R540" s="17">
        <f>CHOOSE(CONTROL!$C$42, 28.7385, 28.7385) * CHOOSE(CONTROL!$C$21, $C$9, 100%, $E$9)</f>
        <v>28.738499999999998</v>
      </c>
      <c r="S540" s="17">
        <f>CHOOSE(CONTROL!$C$42, 26.7335, 26.7335) * CHOOSE(CONTROL!$C$21, $C$9, 100%, $E$9)</f>
        <v>26.733499999999999</v>
      </c>
      <c r="T540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540" s="57">
        <f>(1000*CHOOSE(CONTROL!$C$42, 695, 695)*CHOOSE(CONTROL!$C$42, 0.5599, 0.5599)*CHOOSE(CONTROL!$C$42, 31, 31))/1000000</f>
        <v>12.063045499999998</v>
      </c>
      <c r="V540" s="57">
        <f>(1000*CHOOSE(CONTROL!$C$42, 500, 500)*CHOOSE(CONTROL!$C$42, 0.275, 0.275)*CHOOSE(CONTROL!$C$42, 31, 31))/1000000</f>
        <v>4.2625000000000002</v>
      </c>
      <c r="W540" s="57">
        <f>(1000*CHOOSE(CONTROL!$C$42, 0.0916, 0.0916)*CHOOSE(CONTROL!$C$42, 121.5, 121.5)*CHOOSE(CONTROL!$C$42, 31, 31))/1000000</f>
        <v>0.34501139999999997</v>
      </c>
      <c r="X540" s="57">
        <f>(31*0.2374*100000/1000000)</f>
        <v>0.73594000000000004</v>
      </c>
      <c r="Y540" s="57"/>
      <c r="Z540" s="17"/>
      <c r="AA540" s="56"/>
      <c r="AB540" s="49">
        <f>(B540*122.58+C540*297.941+D540*89.177+E540*140.302+F540*40+G540*60+H540*0+I540*100+J540*300)/(122.58+297.941+89.177+140.302+0+40+60+100+300)</f>
        <v>27.624222044086959</v>
      </c>
      <c r="AC540" s="46">
        <f>(M540*'RAP TEMPLATE-GAS AVAILABILITY'!O539+N540*'RAP TEMPLATE-GAS AVAILABILITY'!P539+O540*'RAP TEMPLATE-GAS AVAILABILITY'!Q539+P540*'RAP TEMPLATE-GAS AVAILABILITY'!R539)/('RAP TEMPLATE-GAS AVAILABILITY'!O539+'RAP TEMPLATE-GAS AVAILABILITY'!P539+'RAP TEMPLATE-GAS AVAILABILITY'!Q539+'RAP TEMPLATE-GAS AVAILABILITY'!R539)</f>
        <v>27.425814388489211</v>
      </c>
    </row>
    <row r="541" spans="1:29" ht="15.75" x14ac:dyDescent="0.25">
      <c r="A541" s="13">
        <v>57376</v>
      </c>
      <c r="B541" s="17">
        <f>CHOOSE(CONTROL!$C$42, 29.8641, 29.8641) * CHOOSE(CONTROL!$C$21, $C$9, 100%, $E$9)</f>
        <v>29.864100000000001</v>
      </c>
      <c r="C541" s="17">
        <f>CHOOSE(CONTROL!$C$42, 29.8692, 29.8692) * CHOOSE(CONTROL!$C$21, $C$9, 100%, $E$9)</f>
        <v>29.869199999999999</v>
      </c>
      <c r="D541" s="17">
        <f>CHOOSE(CONTROL!$C$42, 29.9866, 29.9866) * CHOOSE(CONTROL!$C$21, $C$9, 100%, $E$9)</f>
        <v>29.986599999999999</v>
      </c>
      <c r="E541" s="17">
        <f>CHOOSE(CONTROL!$C$42, 30.0204, 30.0204) * CHOOSE(CONTROL!$C$21, $C$9, 100%, $E$9)</f>
        <v>30.020399999999999</v>
      </c>
      <c r="F541" s="17">
        <f>CHOOSE(CONTROL!$C$42, 29.8777, 29.8777)*CHOOSE(CONTROL!$C$21, $C$9, 100%, $E$9)</f>
        <v>29.877700000000001</v>
      </c>
      <c r="G541" s="17">
        <f>CHOOSE(CONTROL!$C$42, 29.894, 29.894)*CHOOSE(CONTROL!$C$21, $C$9, 100%, $E$9)</f>
        <v>29.893999999999998</v>
      </c>
      <c r="H541" s="17">
        <f>CHOOSE(CONTROL!$C$42, 30.0092, 30.0092) * CHOOSE(CONTROL!$C$21, $C$9, 100%, $E$9)</f>
        <v>30.0092</v>
      </c>
      <c r="I541" s="17">
        <f>CHOOSE(CONTROL!$C$42, 29.9801, 29.9801)* CHOOSE(CONTROL!$C$21, $C$9, 100%, $E$9)</f>
        <v>29.9801</v>
      </c>
      <c r="J541" s="17">
        <f>CHOOSE(CONTROL!$C$42, 29.8703, 29.8703)* CHOOSE(CONTROL!$C$21, $C$9, 100%, $E$9)</f>
        <v>29.8703</v>
      </c>
      <c r="K541" s="53">
        <f>CHOOSE(CONTROL!$C$42, 29.9741, 29.9741) * CHOOSE(CONTROL!$C$21, $C$9, 100%, $E$9)</f>
        <v>29.9741</v>
      </c>
      <c r="L541" s="17">
        <f>CHOOSE(CONTROL!$C$42, 30.5962, 30.5962) * CHOOSE(CONTROL!$C$21, $C$9, 100%, $E$9)</f>
        <v>30.5962</v>
      </c>
      <c r="M541" s="17">
        <f>CHOOSE(CONTROL!$C$42, 29.6087, 29.6087) * CHOOSE(CONTROL!$C$21, $C$9, 100%, $E$9)</f>
        <v>29.608699999999999</v>
      </c>
      <c r="N541" s="17">
        <f>CHOOSE(CONTROL!$C$42, 29.6248, 29.6248) * CHOOSE(CONTROL!$C$21, $C$9, 100%, $E$9)</f>
        <v>29.6248</v>
      </c>
      <c r="O541" s="17">
        <f>CHOOSE(CONTROL!$C$42, 29.7464, 29.7464) * CHOOSE(CONTROL!$C$21, $C$9, 100%, $E$9)</f>
        <v>29.746400000000001</v>
      </c>
      <c r="P541" s="17">
        <f>CHOOSE(CONTROL!$C$42, 29.7168, 29.7168) * CHOOSE(CONTROL!$C$21, $C$9, 100%, $E$9)</f>
        <v>29.716799999999999</v>
      </c>
      <c r="Q541" s="17">
        <f>CHOOSE(CONTROL!$C$42, 30.3411, 30.3411) * CHOOSE(CONTROL!$C$21, $C$9, 100%, $E$9)</f>
        <v>30.341100000000001</v>
      </c>
      <c r="R541" s="17">
        <f>CHOOSE(CONTROL!$C$42, 31.0039, 31.0039) * CHOOSE(CONTROL!$C$21, $C$9, 100%, $E$9)</f>
        <v>31.003900000000002</v>
      </c>
      <c r="S541" s="17">
        <f>CHOOSE(CONTROL!$C$42, 28.9497, 28.9497) * CHOOSE(CONTROL!$C$21, $C$9, 100%, $E$9)</f>
        <v>28.9497</v>
      </c>
      <c r="T541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541" s="57">
        <f>(1000*CHOOSE(CONTROL!$C$42, 695, 695)*CHOOSE(CONTROL!$C$42, 0.5599, 0.5599)*CHOOSE(CONTROL!$C$42, 31, 31))/1000000</f>
        <v>12.063045499999998</v>
      </c>
      <c r="V541" s="57">
        <f>(1000*CHOOSE(CONTROL!$C$42, 500, 500)*CHOOSE(CONTROL!$C$42, 0.275, 0.275)*CHOOSE(CONTROL!$C$42, 31, 31))/1000000</f>
        <v>4.2625000000000002</v>
      </c>
      <c r="W541" s="57">
        <f>(1000*CHOOSE(CONTROL!$C$42, 0.0916, 0.0916)*CHOOSE(CONTROL!$C$42, 121.5, 121.5)*CHOOSE(CONTROL!$C$42, 31, 31))/1000000</f>
        <v>0.34501139999999997</v>
      </c>
      <c r="X541" s="57">
        <f>(31*0.2374*100000/1000000)</f>
        <v>0.73594000000000004</v>
      </c>
      <c r="Y541" s="57"/>
      <c r="Z541" s="17"/>
      <c r="AA541" s="56"/>
      <c r="AB541" s="49">
        <f>(B541*122.58+C541*297.941+D541*89.177+E541*140.302+F541*40+G541*60+H541*0+I541*100+J541*300)/(122.58+297.941+89.177+140.302+0+40+60+100+300)</f>
        <v>29.907726855826091</v>
      </c>
      <c r="AC541" s="46">
        <f>(M541*'RAP TEMPLATE-GAS AVAILABILITY'!O540+N541*'RAP TEMPLATE-GAS AVAILABILITY'!P540+O541*'RAP TEMPLATE-GAS AVAILABILITY'!Q540+P541*'RAP TEMPLATE-GAS AVAILABILITY'!R540)/('RAP TEMPLATE-GAS AVAILABILITY'!O540+'RAP TEMPLATE-GAS AVAILABILITY'!P540+'RAP TEMPLATE-GAS AVAILABILITY'!Q540+'RAP TEMPLATE-GAS AVAILABILITY'!R540)</f>
        <v>29.687591366906474</v>
      </c>
    </row>
    <row r="542" spans="1:29" ht="15.75" x14ac:dyDescent="0.25">
      <c r="A542" s="13">
        <v>57404</v>
      </c>
      <c r="B542" s="17">
        <f>CHOOSE(CONTROL!$C$42, 30.3955, 30.3955) * CHOOSE(CONTROL!$C$21, $C$9, 100%, $E$9)</f>
        <v>30.395499999999998</v>
      </c>
      <c r="C542" s="17">
        <f>CHOOSE(CONTROL!$C$42, 30.4006, 30.4006) * CHOOSE(CONTROL!$C$21, $C$9, 100%, $E$9)</f>
        <v>30.400600000000001</v>
      </c>
      <c r="D542" s="17">
        <f>CHOOSE(CONTROL!$C$42, 30.518, 30.518) * CHOOSE(CONTROL!$C$21, $C$9, 100%, $E$9)</f>
        <v>30.518000000000001</v>
      </c>
      <c r="E542" s="17">
        <f>CHOOSE(CONTROL!$C$42, 30.5518, 30.5518) * CHOOSE(CONTROL!$C$21, $C$9, 100%, $E$9)</f>
        <v>30.5518</v>
      </c>
      <c r="F542" s="17">
        <f>CHOOSE(CONTROL!$C$42, 30.4091, 30.4091)*CHOOSE(CONTROL!$C$21, $C$9, 100%, $E$9)</f>
        <v>30.409099999999999</v>
      </c>
      <c r="G542" s="17">
        <f>CHOOSE(CONTROL!$C$42, 30.4255, 30.4255)*CHOOSE(CONTROL!$C$21, $C$9, 100%, $E$9)</f>
        <v>30.4255</v>
      </c>
      <c r="H542" s="17">
        <f>CHOOSE(CONTROL!$C$42, 30.5407, 30.5407) * CHOOSE(CONTROL!$C$21, $C$9, 100%, $E$9)</f>
        <v>30.540700000000001</v>
      </c>
      <c r="I542" s="17">
        <f>CHOOSE(CONTROL!$C$42, 30.5132, 30.5132)* CHOOSE(CONTROL!$C$21, $C$9, 100%, $E$9)</f>
        <v>30.513200000000001</v>
      </c>
      <c r="J542" s="17">
        <f>CHOOSE(CONTROL!$C$42, 30.4017, 30.4017)* CHOOSE(CONTROL!$C$21, $C$9, 100%, $E$9)</f>
        <v>30.401700000000002</v>
      </c>
      <c r="K542" s="53">
        <f>CHOOSE(CONTROL!$C$42, 30.5072, 30.5072) * CHOOSE(CONTROL!$C$21, $C$9, 100%, $E$9)</f>
        <v>30.507200000000001</v>
      </c>
      <c r="L542" s="17">
        <f>CHOOSE(CONTROL!$C$42, 31.1277, 31.1277) * CHOOSE(CONTROL!$C$21, $C$9, 100%, $E$9)</f>
        <v>31.127700000000001</v>
      </c>
      <c r="M542" s="17">
        <f>CHOOSE(CONTROL!$C$42, 30.1353, 30.1353) * CHOOSE(CONTROL!$C$21, $C$9, 100%, $E$9)</f>
        <v>30.135300000000001</v>
      </c>
      <c r="N542" s="17">
        <f>CHOOSE(CONTROL!$C$42, 30.1515, 30.1515) * CHOOSE(CONTROL!$C$21, $C$9, 100%, $E$9)</f>
        <v>30.151499999999999</v>
      </c>
      <c r="O542" s="17">
        <f>CHOOSE(CONTROL!$C$42, 30.273, 30.273) * CHOOSE(CONTROL!$C$21, $C$9, 100%, $E$9)</f>
        <v>30.273</v>
      </c>
      <c r="P542" s="17">
        <f>CHOOSE(CONTROL!$C$42, 30.245, 30.245) * CHOOSE(CONTROL!$C$21, $C$9, 100%, $E$9)</f>
        <v>30.245000000000001</v>
      </c>
      <c r="Q542" s="17">
        <f>CHOOSE(CONTROL!$C$42, 30.8677, 30.8677) * CHOOSE(CONTROL!$C$21, $C$9, 100%, $E$9)</f>
        <v>30.867699999999999</v>
      </c>
      <c r="R542" s="17">
        <f>CHOOSE(CONTROL!$C$42, 31.5319, 31.5319) * CHOOSE(CONTROL!$C$21, $C$9, 100%, $E$9)</f>
        <v>31.5319</v>
      </c>
      <c r="S542" s="17">
        <f>CHOOSE(CONTROL!$C$42, 29.465, 29.465) * CHOOSE(CONTROL!$C$21, $C$9, 100%, $E$9)</f>
        <v>29.465</v>
      </c>
      <c r="T542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542" s="57">
        <f>(1000*CHOOSE(CONTROL!$C$42, 695, 695)*CHOOSE(CONTROL!$C$42, 0.5599, 0.5599)*CHOOSE(CONTROL!$C$42, 28, 28))/1000000</f>
        <v>10.895653999999999</v>
      </c>
      <c r="V542" s="57">
        <f>(1000*CHOOSE(CONTROL!$C$42, 500, 500)*CHOOSE(CONTROL!$C$42, 0.275, 0.275)*CHOOSE(CONTROL!$C$42, 28, 28))/1000000</f>
        <v>3.85</v>
      </c>
      <c r="W542" s="57">
        <f>(1000*CHOOSE(CONTROL!$C$42, 0.0916, 0.0916)*CHOOSE(CONTROL!$C$42, 121.5, 121.5)*CHOOSE(CONTROL!$C$42, 28, 28))/1000000</f>
        <v>0.31162319999999999</v>
      </c>
      <c r="X542" s="57">
        <f>(28*0.2374*100000/1000000)</f>
        <v>0.66471999999999998</v>
      </c>
      <c r="Y542" s="57"/>
      <c r="Z542" s="17"/>
      <c r="AA542" s="56"/>
      <c r="AB542" s="49">
        <f>(B542*122.58+C542*297.941+D542*89.177+E542*140.302+F542*40+G542*60+H542*0+I542*100+J542*300)/(122.58+297.941+89.177+140.302+0+40+60+100+300)</f>
        <v>30.439279899304346</v>
      </c>
      <c r="AC542" s="46">
        <f>(M542*'RAP TEMPLATE-GAS AVAILABILITY'!O541+N542*'RAP TEMPLATE-GAS AVAILABILITY'!P541+O542*'RAP TEMPLATE-GAS AVAILABILITY'!Q541+P542*'RAP TEMPLATE-GAS AVAILABILITY'!R541)/('RAP TEMPLATE-GAS AVAILABILITY'!O541+'RAP TEMPLATE-GAS AVAILABILITY'!P541+'RAP TEMPLATE-GAS AVAILABILITY'!Q541+'RAP TEMPLATE-GAS AVAILABILITY'!R541)</f>
        <v>30.2144273381295</v>
      </c>
    </row>
    <row r="543" spans="1:29" ht="15.75" x14ac:dyDescent="0.25">
      <c r="A543" s="13">
        <v>57435</v>
      </c>
      <c r="B543" s="17">
        <f>CHOOSE(CONTROL!$C$42, 29.5329, 29.5329) * CHOOSE(CONTROL!$C$21, $C$9, 100%, $E$9)</f>
        <v>29.532900000000001</v>
      </c>
      <c r="C543" s="17">
        <f>CHOOSE(CONTROL!$C$42, 29.5379, 29.5379) * CHOOSE(CONTROL!$C$21, $C$9, 100%, $E$9)</f>
        <v>29.5379</v>
      </c>
      <c r="D543" s="17">
        <f>CHOOSE(CONTROL!$C$42, 29.6554, 29.6554) * CHOOSE(CONTROL!$C$21, $C$9, 100%, $E$9)</f>
        <v>29.6554</v>
      </c>
      <c r="E543" s="17">
        <f>CHOOSE(CONTROL!$C$42, 29.6892, 29.6892) * CHOOSE(CONTROL!$C$21, $C$9, 100%, $E$9)</f>
        <v>29.6892</v>
      </c>
      <c r="F543" s="17">
        <f>CHOOSE(CONTROL!$C$42, 29.5459, 29.5459)*CHOOSE(CONTROL!$C$21, $C$9, 100%, $E$9)</f>
        <v>29.5459</v>
      </c>
      <c r="G543" s="17">
        <f>CHOOSE(CONTROL!$C$42, 29.562, 29.562)*CHOOSE(CONTROL!$C$21, $C$9, 100%, $E$9)</f>
        <v>29.562000000000001</v>
      </c>
      <c r="H543" s="17">
        <f>CHOOSE(CONTROL!$C$42, 29.678, 29.678) * CHOOSE(CONTROL!$C$21, $C$9, 100%, $E$9)</f>
        <v>29.678000000000001</v>
      </c>
      <c r="I543" s="17">
        <f>CHOOSE(CONTROL!$C$42, 29.6479, 29.6479)* CHOOSE(CONTROL!$C$21, $C$9, 100%, $E$9)</f>
        <v>29.6479</v>
      </c>
      <c r="J543" s="17">
        <f>CHOOSE(CONTROL!$C$42, 29.5385, 29.5385)* CHOOSE(CONTROL!$C$21, $C$9, 100%, $E$9)</f>
        <v>29.538499999999999</v>
      </c>
      <c r="K543" s="53">
        <f>CHOOSE(CONTROL!$C$42, 29.6419, 29.6419) * CHOOSE(CONTROL!$C$21, $C$9, 100%, $E$9)</f>
        <v>29.6419</v>
      </c>
      <c r="L543" s="17">
        <f>CHOOSE(CONTROL!$C$42, 30.265, 30.265) * CHOOSE(CONTROL!$C$21, $C$9, 100%, $E$9)</f>
        <v>30.265000000000001</v>
      </c>
      <c r="M543" s="17">
        <f>CHOOSE(CONTROL!$C$42, 29.2798, 29.2798) * CHOOSE(CONTROL!$C$21, $C$9, 100%, $E$9)</f>
        <v>29.279800000000002</v>
      </c>
      <c r="N543" s="17">
        <f>CHOOSE(CONTROL!$C$42, 29.2958, 29.2958) * CHOOSE(CONTROL!$C$21, $C$9, 100%, $E$9)</f>
        <v>29.2958</v>
      </c>
      <c r="O543" s="17">
        <f>CHOOSE(CONTROL!$C$42, 29.4181, 29.4181) * CHOOSE(CONTROL!$C$21, $C$9, 100%, $E$9)</f>
        <v>29.418099999999999</v>
      </c>
      <c r="P543" s="17">
        <f>CHOOSE(CONTROL!$C$42, 29.3875, 29.3875) * CHOOSE(CONTROL!$C$21, $C$9, 100%, $E$9)</f>
        <v>29.387499999999999</v>
      </c>
      <c r="Q543" s="17">
        <f>CHOOSE(CONTROL!$C$42, 30.0128, 30.0128) * CHOOSE(CONTROL!$C$21, $C$9, 100%, $E$9)</f>
        <v>30.012799999999999</v>
      </c>
      <c r="R543" s="17">
        <f>CHOOSE(CONTROL!$C$42, 30.6749, 30.6749) * CHOOSE(CONTROL!$C$21, $C$9, 100%, $E$9)</f>
        <v>30.674900000000001</v>
      </c>
      <c r="S543" s="17">
        <f>CHOOSE(CONTROL!$C$42, 28.6285, 28.6285) * CHOOSE(CONTROL!$C$21, $C$9, 100%, $E$9)</f>
        <v>28.628499999999999</v>
      </c>
      <c r="T543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543" s="57">
        <f>(1000*CHOOSE(CONTROL!$C$42, 695, 695)*CHOOSE(CONTROL!$C$42, 0.5599, 0.5599)*CHOOSE(CONTROL!$C$42, 31, 31))/1000000</f>
        <v>12.063045499999998</v>
      </c>
      <c r="V543" s="57">
        <f>(1000*CHOOSE(CONTROL!$C$42, 500, 500)*CHOOSE(CONTROL!$C$42, 0.275, 0.275)*CHOOSE(CONTROL!$C$42, 31, 31))/1000000</f>
        <v>4.2625000000000002</v>
      </c>
      <c r="W543" s="57">
        <f>(1000*CHOOSE(CONTROL!$C$42, 0.0916, 0.0916)*CHOOSE(CONTROL!$C$42, 121.5, 121.5)*CHOOSE(CONTROL!$C$42, 31, 31))/1000000</f>
        <v>0.34501139999999997</v>
      </c>
      <c r="X543" s="57">
        <f>(31*0.2374*100000/1000000)</f>
        <v>0.73594000000000004</v>
      </c>
      <c r="Y543" s="57"/>
      <c r="Z543" s="17"/>
      <c r="AA543" s="56"/>
      <c r="AB543" s="49">
        <f>(B543*122.58+C543*297.941+D543*89.177+E543*140.302+F543*40+G543*60+H543*0+I543*100+J543*300)/(122.58+297.941+89.177+140.302+0+40+60+100+300)</f>
        <v>29.57619486095652</v>
      </c>
      <c r="AC543" s="46">
        <f>(M543*'RAP TEMPLATE-GAS AVAILABILITY'!O542+N543*'RAP TEMPLATE-GAS AVAILABILITY'!P542+O543*'RAP TEMPLATE-GAS AVAILABILITY'!Q542+P543*'RAP TEMPLATE-GAS AVAILABILITY'!R542)/('RAP TEMPLATE-GAS AVAILABILITY'!O542+'RAP TEMPLATE-GAS AVAILABILITY'!P542+'RAP TEMPLATE-GAS AVAILABILITY'!Q542+'RAP TEMPLATE-GAS AVAILABILITY'!R542)</f>
        <v>29.358899999999998</v>
      </c>
    </row>
    <row r="544" spans="1:29" ht="15.75" x14ac:dyDescent="0.25">
      <c r="A544" s="13">
        <v>57465</v>
      </c>
      <c r="B544" s="17">
        <f>CHOOSE(CONTROL!$C$42, 29.4455, 29.4455) * CHOOSE(CONTROL!$C$21, $C$9, 100%, $E$9)</f>
        <v>29.445499999999999</v>
      </c>
      <c r="C544" s="17">
        <f>CHOOSE(CONTROL!$C$42, 29.45, 29.45) * CHOOSE(CONTROL!$C$21, $C$9, 100%, $E$9)</f>
        <v>29.45</v>
      </c>
      <c r="D544" s="17">
        <f>CHOOSE(CONTROL!$C$42, 29.7027, 29.7027) * CHOOSE(CONTROL!$C$21, $C$9, 100%, $E$9)</f>
        <v>29.7027</v>
      </c>
      <c r="E544" s="17">
        <f>CHOOSE(CONTROL!$C$42, 29.7345, 29.7345) * CHOOSE(CONTROL!$C$21, $C$9, 100%, $E$9)</f>
        <v>29.734500000000001</v>
      </c>
      <c r="F544" s="17">
        <f>CHOOSE(CONTROL!$C$42, 29.4514, 29.4514)*CHOOSE(CONTROL!$C$21, $C$9, 100%, $E$9)</f>
        <v>29.4514</v>
      </c>
      <c r="G544" s="17">
        <f>CHOOSE(CONTROL!$C$42, 29.4673, 29.4673)*CHOOSE(CONTROL!$C$21, $C$9, 100%, $E$9)</f>
        <v>29.467300000000002</v>
      </c>
      <c r="H544" s="17">
        <f>CHOOSE(CONTROL!$C$42, 29.7239, 29.7239) * CHOOSE(CONTROL!$C$21, $C$9, 100%, $E$9)</f>
        <v>29.7239</v>
      </c>
      <c r="I544" s="17">
        <f>CHOOSE(CONTROL!$C$42, 29.5584, 29.5584)* CHOOSE(CONTROL!$C$21, $C$9, 100%, $E$9)</f>
        <v>29.558399999999999</v>
      </c>
      <c r="J544" s="17">
        <f>CHOOSE(CONTROL!$C$42, 29.444, 29.444)* CHOOSE(CONTROL!$C$21, $C$9, 100%, $E$9)</f>
        <v>29.443999999999999</v>
      </c>
      <c r="K544" s="53">
        <f>CHOOSE(CONTROL!$C$42, 29.5524, 29.5524) * CHOOSE(CONTROL!$C$21, $C$9, 100%, $E$9)</f>
        <v>29.552399999999999</v>
      </c>
      <c r="L544" s="17">
        <f>CHOOSE(CONTROL!$C$42, 30.3109, 30.3109) * CHOOSE(CONTROL!$C$21, $C$9, 100%, $E$9)</f>
        <v>30.3109</v>
      </c>
      <c r="M544" s="17">
        <f>CHOOSE(CONTROL!$C$42, 29.1862, 29.1862) * CHOOSE(CONTROL!$C$21, $C$9, 100%, $E$9)</f>
        <v>29.186199999999999</v>
      </c>
      <c r="N544" s="17">
        <f>CHOOSE(CONTROL!$C$42, 29.2019, 29.2019) * CHOOSE(CONTROL!$C$21, $C$9, 100%, $E$9)</f>
        <v>29.201899999999998</v>
      </c>
      <c r="O544" s="17">
        <f>CHOOSE(CONTROL!$C$42, 29.4636, 29.4636) * CHOOSE(CONTROL!$C$21, $C$9, 100%, $E$9)</f>
        <v>29.4636</v>
      </c>
      <c r="P544" s="17">
        <f>CHOOSE(CONTROL!$C$42, 29.2988, 29.2988) * CHOOSE(CONTROL!$C$21, $C$9, 100%, $E$9)</f>
        <v>29.2988</v>
      </c>
      <c r="Q544" s="17">
        <f>CHOOSE(CONTROL!$C$42, 30.0583, 30.0583) * CHOOSE(CONTROL!$C$21, $C$9, 100%, $E$9)</f>
        <v>30.058299999999999</v>
      </c>
      <c r="R544" s="17">
        <f>CHOOSE(CONTROL!$C$42, 30.7205, 30.7205) * CHOOSE(CONTROL!$C$21, $C$9, 100%, $E$9)</f>
        <v>30.720500000000001</v>
      </c>
      <c r="S544" s="17">
        <f>CHOOSE(CONTROL!$C$42, 28.543, 28.543) * CHOOSE(CONTROL!$C$21, $C$9, 100%, $E$9)</f>
        <v>28.542999999999999</v>
      </c>
      <c r="T544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544" s="57">
        <f>(1000*CHOOSE(CONTROL!$C$42, 695, 695)*CHOOSE(CONTROL!$C$42, 0.5599, 0.5599)*CHOOSE(CONTROL!$C$42, 30, 30))/1000000</f>
        <v>11.673914999999997</v>
      </c>
      <c r="V544" s="57">
        <f>(1000*CHOOSE(CONTROL!$C$42, 500, 500)*CHOOSE(CONTROL!$C$42, 0.275, 0.275)*CHOOSE(CONTROL!$C$42, 30, 30))/1000000</f>
        <v>4.125</v>
      </c>
      <c r="W544" s="57">
        <f>(1000*CHOOSE(CONTROL!$C$42, 0.0916, 0.0916)*CHOOSE(CONTROL!$C$42, 121.5, 121.5)*CHOOSE(CONTROL!$C$42, 30, 30))/1000000</f>
        <v>0.33388200000000001</v>
      </c>
      <c r="X544" s="57">
        <f>(30*0.1790888*145000/1000000)+(30*0.2374*100000/1000000)</f>
        <v>1.4912362799999999</v>
      </c>
      <c r="Y544" s="57"/>
      <c r="Z544" s="17"/>
      <c r="AA544" s="56"/>
      <c r="AB544" s="49">
        <f>(B544*141.293+C544*267.993+D544*115.016+E544*189.698+F544*40+G544*85+H544*0+I544*100+J544*300)/(141.293+267.993+115.016+189.698+0+40+85+100+300)</f>
        <v>29.525031723728816</v>
      </c>
      <c r="AC544" s="46">
        <f>(M544*'RAP TEMPLATE-GAS AVAILABILITY'!O543+N544*'RAP TEMPLATE-GAS AVAILABILITY'!P543+O544*'RAP TEMPLATE-GAS AVAILABILITY'!Q543+P544*'RAP TEMPLATE-GAS AVAILABILITY'!R543)/('RAP TEMPLATE-GAS AVAILABILITY'!O543+'RAP TEMPLATE-GAS AVAILABILITY'!P543+'RAP TEMPLATE-GAS AVAILABILITY'!Q543+'RAP TEMPLATE-GAS AVAILABILITY'!R543)</f>
        <v>29.283847482014391</v>
      </c>
    </row>
    <row r="545" spans="1:29" ht="15.75" x14ac:dyDescent="0.25">
      <c r="A545" s="13">
        <v>57496</v>
      </c>
      <c r="B545" s="17">
        <f>CHOOSE(CONTROL!$C$42, 29.7066, 29.7066) * CHOOSE(CONTROL!$C$21, $C$9, 100%, $E$9)</f>
        <v>29.706600000000002</v>
      </c>
      <c r="C545" s="17">
        <f>CHOOSE(CONTROL!$C$42, 29.7146, 29.7146) * CHOOSE(CONTROL!$C$21, $C$9, 100%, $E$9)</f>
        <v>29.714600000000001</v>
      </c>
      <c r="D545" s="17">
        <f>CHOOSE(CONTROL!$C$42, 29.9642, 29.9642) * CHOOSE(CONTROL!$C$21, $C$9, 100%, $E$9)</f>
        <v>29.964200000000002</v>
      </c>
      <c r="E545" s="17">
        <f>CHOOSE(CONTROL!$C$42, 29.9954, 29.9954) * CHOOSE(CONTROL!$C$21, $C$9, 100%, $E$9)</f>
        <v>29.9954</v>
      </c>
      <c r="F545" s="17">
        <f>CHOOSE(CONTROL!$C$42, 29.7114, 29.7114)*CHOOSE(CONTROL!$C$21, $C$9, 100%, $E$9)</f>
        <v>29.711400000000001</v>
      </c>
      <c r="G545" s="17">
        <f>CHOOSE(CONTROL!$C$42, 29.7276, 29.7276)*CHOOSE(CONTROL!$C$21, $C$9, 100%, $E$9)</f>
        <v>29.727599999999999</v>
      </c>
      <c r="H545" s="17">
        <f>CHOOSE(CONTROL!$C$42, 29.9837, 29.9837) * CHOOSE(CONTROL!$C$21, $C$9, 100%, $E$9)</f>
        <v>29.983699999999999</v>
      </c>
      <c r="I545" s="17">
        <f>CHOOSE(CONTROL!$C$42, 29.819, 29.819)* CHOOSE(CONTROL!$C$21, $C$9, 100%, $E$9)</f>
        <v>29.818999999999999</v>
      </c>
      <c r="J545" s="17">
        <f>CHOOSE(CONTROL!$C$42, 29.704, 29.704)* CHOOSE(CONTROL!$C$21, $C$9, 100%, $E$9)</f>
        <v>29.704000000000001</v>
      </c>
      <c r="K545" s="53">
        <f>CHOOSE(CONTROL!$C$42, 29.813, 29.813) * CHOOSE(CONTROL!$C$21, $C$9, 100%, $E$9)</f>
        <v>29.812999999999999</v>
      </c>
      <c r="L545" s="17">
        <f>CHOOSE(CONTROL!$C$42, 30.5707, 30.5707) * CHOOSE(CONTROL!$C$21, $C$9, 100%, $E$9)</f>
        <v>30.570699999999999</v>
      </c>
      <c r="M545" s="17">
        <f>CHOOSE(CONTROL!$C$42, 29.4439, 29.4439) * CHOOSE(CONTROL!$C$21, $C$9, 100%, $E$9)</f>
        <v>29.443899999999999</v>
      </c>
      <c r="N545" s="17">
        <f>CHOOSE(CONTROL!$C$42, 29.4599, 29.4599) * CHOOSE(CONTROL!$C$21, $C$9, 100%, $E$9)</f>
        <v>29.459900000000001</v>
      </c>
      <c r="O545" s="17">
        <f>CHOOSE(CONTROL!$C$42, 29.7211, 29.7211) * CHOOSE(CONTROL!$C$21, $C$9, 100%, $E$9)</f>
        <v>29.7211</v>
      </c>
      <c r="P545" s="17">
        <f>CHOOSE(CONTROL!$C$42, 29.5571, 29.5571) * CHOOSE(CONTROL!$C$21, $C$9, 100%, $E$9)</f>
        <v>29.557099999999998</v>
      </c>
      <c r="Q545" s="17">
        <f>CHOOSE(CONTROL!$C$42, 30.3158, 30.3158) * CHOOSE(CONTROL!$C$21, $C$9, 100%, $E$9)</f>
        <v>30.315799999999999</v>
      </c>
      <c r="R545" s="17">
        <f>CHOOSE(CONTROL!$C$42, 30.9786, 30.9786) * CHOOSE(CONTROL!$C$21, $C$9, 100%, $E$9)</f>
        <v>30.9786</v>
      </c>
      <c r="S545" s="17">
        <f>CHOOSE(CONTROL!$C$42, 28.7949, 28.7949) * CHOOSE(CONTROL!$C$21, $C$9, 100%, $E$9)</f>
        <v>28.794899999999998</v>
      </c>
      <c r="T545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545" s="57">
        <f>(1000*CHOOSE(CONTROL!$C$42, 695, 695)*CHOOSE(CONTROL!$C$42, 0.5599, 0.5599)*CHOOSE(CONTROL!$C$42, 31, 31))/1000000</f>
        <v>12.063045499999998</v>
      </c>
      <c r="V545" s="57">
        <f>(1000*CHOOSE(CONTROL!$C$42, 500, 500)*CHOOSE(CONTROL!$C$42, 0.275, 0.275)*CHOOSE(CONTROL!$C$42, 31, 31))/1000000</f>
        <v>4.2625000000000002</v>
      </c>
      <c r="W545" s="57">
        <f>(1000*CHOOSE(CONTROL!$C$42, 0.0916, 0.0916)*CHOOSE(CONTROL!$C$42, 121.5, 121.5)*CHOOSE(CONTROL!$C$42, 31, 31))/1000000</f>
        <v>0.34501139999999997</v>
      </c>
      <c r="X545" s="57">
        <f>(31*0.1790888*145000/1000000)+(31*0.2374*100000/1000000)</f>
        <v>1.5409441560000001</v>
      </c>
      <c r="Y545" s="57"/>
      <c r="Z545" s="17"/>
      <c r="AA545" s="56"/>
      <c r="AB545" s="49">
        <f>(B545*194.205+C545*267.466+D545*133.845+E545*153.484+F545*40+G545*85+H545*0+I545*100+J545*300)/(194.205+267.466+133.845+153.484+0+40+85+100+300)</f>
        <v>29.779897785871274</v>
      </c>
      <c r="AC545" s="46">
        <f>(M545*'RAP TEMPLATE-GAS AVAILABILITY'!O544+N545*'RAP TEMPLATE-GAS AVAILABILITY'!P544+O545*'RAP TEMPLATE-GAS AVAILABILITY'!Q544+P545*'RAP TEMPLATE-GAS AVAILABILITY'!R544)/('RAP TEMPLATE-GAS AVAILABILITY'!O544+'RAP TEMPLATE-GAS AVAILABILITY'!P544+'RAP TEMPLATE-GAS AVAILABILITY'!Q544+'RAP TEMPLATE-GAS AVAILABILITY'!R544)</f>
        <v>29.541646762589924</v>
      </c>
    </row>
    <row r="546" spans="1:29" ht="15.75" x14ac:dyDescent="0.25">
      <c r="A546" s="13">
        <v>57526</v>
      </c>
      <c r="B546" s="17">
        <f>CHOOSE(CONTROL!$C$42, 30.5489, 30.5489) * CHOOSE(CONTROL!$C$21, $C$9, 100%, $E$9)</f>
        <v>30.5489</v>
      </c>
      <c r="C546" s="17">
        <f>CHOOSE(CONTROL!$C$42, 30.5569, 30.5569) * CHOOSE(CONTROL!$C$21, $C$9, 100%, $E$9)</f>
        <v>30.556899999999999</v>
      </c>
      <c r="D546" s="17">
        <f>CHOOSE(CONTROL!$C$42, 30.8065, 30.8065) * CHOOSE(CONTROL!$C$21, $C$9, 100%, $E$9)</f>
        <v>30.8065</v>
      </c>
      <c r="E546" s="17">
        <f>CHOOSE(CONTROL!$C$42, 30.8377, 30.8377) * CHOOSE(CONTROL!$C$21, $C$9, 100%, $E$9)</f>
        <v>30.837700000000002</v>
      </c>
      <c r="F546" s="17">
        <f>CHOOSE(CONTROL!$C$42, 30.5541, 30.5541)*CHOOSE(CONTROL!$C$21, $C$9, 100%, $E$9)</f>
        <v>30.554099999999998</v>
      </c>
      <c r="G546" s="17">
        <f>CHOOSE(CONTROL!$C$42, 30.5703, 30.5703)*CHOOSE(CONTROL!$C$21, $C$9, 100%, $E$9)</f>
        <v>30.5703</v>
      </c>
      <c r="H546" s="17">
        <f>CHOOSE(CONTROL!$C$42, 30.826, 30.826) * CHOOSE(CONTROL!$C$21, $C$9, 100%, $E$9)</f>
        <v>30.826000000000001</v>
      </c>
      <c r="I546" s="17">
        <f>CHOOSE(CONTROL!$C$42, 30.6639, 30.6639)* CHOOSE(CONTROL!$C$21, $C$9, 100%, $E$9)</f>
        <v>30.663900000000002</v>
      </c>
      <c r="J546" s="17">
        <f>CHOOSE(CONTROL!$C$42, 30.5467, 30.5467)* CHOOSE(CONTROL!$C$21, $C$9, 100%, $E$9)</f>
        <v>30.546700000000001</v>
      </c>
      <c r="K546" s="53">
        <f>CHOOSE(CONTROL!$C$42, 30.6579, 30.6579) * CHOOSE(CONTROL!$C$21, $C$9, 100%, $E$9)</f>
        <v>30.657900000000001</v>
      </c>
      <c r="L546" s="17">
        <f>CHOOSE(CONTROL!$C$42, 31.413, 31.413) * CHOOSE(CONTROL!$C$21, $C$9, 100%, $E$9)</f>
        <v>31.413</v>
      </c>
      <c r="M546" s="17">
        <f>CHOOSE(CONTROL!$C$42, 30.279, 30.279) * CHOOSE(CONTROL!$C$21, $C$9, 100%, $E$9)</f>
        <v>30.279</v>
      </c>
      <c r="N546" s="17">
        <f>CHOOSE(CONTROL!$C$42, 30.2951, 30.2951) * CHOOSE(CONTROL!$C$21, $C$9, 100%, $E$9)</f>
        <v>30.295100000000001</v>
      </c>
      <c r="O546" s="17">
        <f>CHOOSE(CONTROL!$C$42, 30.5558, 30.5558) * CHOOSE(CONTROL!$C$21, $C$9, 100%, $E$9)</f>
        <v>30.555800000000001</v>
      </c>
      <c r="P546" s="17">
        <f>CHOOSE(CONTROL!$C$42, 30.3944, 30.3944) * CHOOSE(CONTROL!$C$21, $C$9, 100%, $E$9)</f>
        <v>30.394400000000001</v>
      </c>
      <c r="Q546" s="17">
        <f>CHOOSE(CONTROL!$C$42, 31.1505, 31.1505) * CHOOSE(CONTROL!$C$21, $C$9, 100%, $E$9)</f>
        <v>31.150500000000001</v>
      </c>
      <c r="R546" s="17">
        <f>CHOOSE(CONTROL!$C$42, 31.8154, 31.8154) * CHOOSE(CONTROL!$C$21, $C$9, 100%, $E$9)</f>
        <v>31.8154</v>
      </c>
      <c r="S546" s="17">
        <f>CHOOSE(CONTROL!$C$42, 29.6117, 29.6117) * CHOOSE(CONTROL!$C$21, $C$9, 100%, $E$9)</f>
        <v>29.611699999999999</v>
      </c>
      <c r="T546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546" s="57">
        <f>(1000*CHOOSE(CONTROL!$C$42, 695, 695)*CHOOSE(CONTROL!$C$42, 0.5599, 0.5599)*CHOOSE(CONTROL!$C$42, 30, 30))/1000000</f>
        <v>11.673914999999997</v>
      </c>
      <c r="V546" s="57">
        <f>(1000*CHOOSE(CONTROL!$C$42, 500, 500)*CHOOSE(CONTROL!$C$42, 0.275, 0.275)*CHOOSE(CONTROL!$C$42, 30, 30))/1000000</f>
        <v>4.125</v>
      </c>
      <c r="W546" s="57">
        <f>(1000*CHOOSE(CONTROL!$C$42, 0.0916, 0.0916)*CHOOSE(CONTROL!$C$42, 121.5, 121.5)*CHOOSE(CONTROL!$C$42, 30, 30))/1000000</f>
        <v>0.33388200000000001</v>
      </c>
      <c r="X546" s="57">
        <f>(30*0.1790888*145000/1000000)+(30*0.2374*100000/1000000)</f>
        <v>1.4912362799999999</v>
      </c>
      <c r="Y546" s="57"/>
      <c r="Z546" s="17"/>
      <c r="AA546" s="56"/>
      <c r="AB546" s="49">
        <f>(B546*194.205+C546*267.466+D546*133.845+E546*153.484+F546*40+G546*85+H546*0+I546*100+J546*300)/(194.205+267.466+133.845+153.484+0+40+85+100+300)</f>
        <v>30.622535305494509</v>
      </c>
      <c r="AC546" s="46">
        <f>(M546*'RAP TEMPLATE-GAS AVAILABILITY'!O545+N546*'RAP TEMPLATE-GAS AVAILABILITY'!P545+O546*'RAP TEMPLATE-GAS AVAILABILITY'!Q545+P546*'RAP TEMPLATE-GAS AVAILABILITY'!R545)/('RAP TEMPLATE-GAS AVAILABILITY'!O545+'RAP TEMPLATE-GAS AVAILABILITY'!P545+'RAP TEMPLATE-GAS AVAILABILITY'!Q545+'RAP TEMPLATE-GAS AVAILABILITY'!R545)</f>
        <v>30.376974100719423</v>
      </c>
    </row>
    <row r="547" spans="1:29" ht="15.75" x14ac:dyDescent="0.25">
      <c r="A547" s="13">
        <v>57557</v>
      </c>
      <c r="B547" s="17">
        <f>CHOOSE(CONTROL!$C$42, 29.9631, 29.9631) * CHOOSE(CONTROL!$C$21, $C$9, 100%, $E$9)</f>
        <v>29.963100000000001</v>
      </c>
      <c r="C547" s="17">
        <f>CHOOSE(CONTROL!$C$42, 29.9711, 29.9711) * CHOOSE(CONTROL!$C$21, $C$9, 100%, $E$9)</f>
        <v>29.9711</v>
      </c>
      <c r="D547" s="17">
        <f>CHOOSE(CONTROL!$C$42, 30.2207, 30.2207) * CHOOSE(CONTROL!$C$21, $C$9, 100%, $E$9)</f>
        <v>30.220700000000001</v>
      </c>
      <c r="E547" s="17">
        <f>CHOOSE(CONTROL!$C$42, 30.2519, 30.2519) * CHOOSE(CONTROL!$C$21, $C$9, 100%, $E$9)</f>
        <v>30.251899999999999</v>
      </c>
      <c r="F547" s="17">
        <f>CHOOSE(CONTROL!$C$42, 29.9688, 29.9688)*CHOOSE(CONTROL!$C$21, $C$9, 100%, $E$9)</f>
        <v>29.968800000000002</v>
      </c>
      <c r="G547" s="17">
        <f>CHOOSE(CONTROL!$C$42, 29.9851, 29.9851)*CHOOSE(CONTROL!$C$21, $C$9, 100%, $E$9)</f>
        <v>29.985099999999999</v>
      </c>
      <c r="H547" s="17">
        <f>CHOOSE(CONTROL!$C$42, 30.2402, 30.2402) * CHOOSE(CONTROL!$C$21, $C$9, 100%, $E$9)</f>
        <v>30.240200000000002</v>
      </c>
      <c r="I547" s="17">
        <f>CHOOSE(CONTROL!$C$42, 30.0763, 30.0763)* CHOOSE(CONTROL!$C$21, $C$9, 100%, $E$9)</f>
        <v>30.0763</v>
      </c>
      <c r="J547" s="17">
        <f>CHOOSE(CONTROL!$C$42, 29.9614, 29.9614)* CHOOSE(CONTROL!$C$21, $C$9, 100%, $E$9)</f>
        <v>29.961400000000001</v>
      </c>
      <c r="K547" s="53">
        <f>CHOOSE(CONTROL!$C$42, 30.0703, 30.0703) * CHOOSE(CONTROL!$C$21, $C$9, 100%, $E$9)</f>
        <v>30.0703</v>
      </c>
      <c r="L547" s="17">
        <f>CHOOSE(CONTROL!$C$42, 30.8272, 30.8272) * CHOOSE(CONTROL!$C$21, $C$9, 100%, $E$9)</f>
        <v>30.827200000000001</v>
      </c>
      <c r="M547" s="17">
        <f>CHOOSE(CONTROL!$C$42, 29.6989, 29.6989) * CHOOSE(CONTROL!$C$21, $C$9, 100%, $E$9)</f>
        <v>29.698899999999998</v>
      </c>
      <c r="N547" s="17">
        <f>CHOOSE(CONTROL!$C$42, 29.7151, 29.7151) * CHOOSE(CONTROL!$C$21, $C$9, 100%, $E$9)</f>
        <v>29.7151</v>
      </c>
      <c r="O547" s="17">
        <f>CHOOSE(CONTROL!$C$42, 29.9752, 29.9752) * CHOOSE(CONTROL!$C$21, $C$9, 100%, $E$9)</f>
        <v>29.975200000000001</v>
      </c>
      <c r="P547" s="17">
        <f>CHOOSE(CONTROL!$C$42, 29.812, 29.812) * CHOOSE(CONTROL!$C$21, $C$9, 100%, $E$9)</f>
        <v>29.812000000000001</v>
      </c>
      <c r="Q547" s="17">
        <f>CHOOSE(CONTROL!$C$42, 30.5699, 30.5699) * CHOOSE(CONTROL!$C$21, $C$9, 100%, $E$9)</f>
        <v>30.569900000000001</v>
      </c>
      <c r="R547" s="17">
        <f>CHOOSE(CONTROL!$C$42, 31.2334, 31.2334) * CHOOSE(CONTROL!$C$21, $C$9, 100%, $E$9)</f>
        <v>31.2334</v>
      </c>
      <c r="S547" s="17">
        <f>CHOOSE(CONTROL!$C$42, 29.0436, 29.0436) * CHOOSE(CONTROL!$C$21, $C$9, 100%, $E$9)</f>
        <v>29.043600000000001</v>
      </c>
      <c r="T547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547" s="57">
        <f>(1000*CHOOSE(CONTROL!$C$42, 695, 695)*CHOOSE(CONTROL!$C$42, 0.5599, 0.5599)*CHOOSE(CONTROL!$C$42, 31, 31))/1000000</f>
        <v>12.063045499999998</v>
      </c>
      <c r="V547" s="57">
        <f>(1000*CHOOSE(CONTROL!$C$42, 500, 500)*CHOOSE(CONTROL!$C$42, 0.275, 0.275)*CHOOSE(CONTROL!$C$42, 31, 31))/1000000</f>
        <v>4.2625000000000002</v>
      </c>
      <c r="W547" s="57">
        <f>(1000*CHOOSE(CONTROL!$C$42, 0.0916, 0.0916)*CHOOSE(CONTROL!$C$42, 121.5, 121.5)*CHOOSE(CONTROL!$C$42, 31, 31))/1000000</f>
        <v>0.34501139999999997</v>
      </c>
      <c r="X547" s="57">
        <f>(31*0.1790888*145000/1000000)+(31*0.2374*100000/1000000)</f>
        <v>1.5409441560000001</v>
      </c>
      <c r="Y547" s="57"/>
      <c r="Z547" s="17"/>
      <c r="AA547" s="56"/>
      <c r="AB547" s="49">
        <f>(B547*194.205+C547*267.466+D547*133.845+E547*153.484+F547*40+G547*85+H547*0+I547*100+J547*300)/(194.205+267.466+133.845+153.484+0+40+85+100+300)</f>
        <v>30.036767487598119</v>
      </c>
      <c r="AC547" s="46">
        <f>(M547*'RAP TEMPLATE-GAS AVAILABILITY'!O546+N547*'RAP TEMPLATE-GAS AVAILABILITY'!P546+O547*'RAP TEMPLATE-GAS AVAILABILITY'!Q546+P547*'RAP TEMPLATE-GAS AVAILABILITY'!R546)/('RAP TEMPLATE-GAS AVAILABILITY'!O546+'RAP TEMPLATE-GAS AVAILABILITY'!P546+'RAP TEMPLATE-GAS AVAILABILITY'!Q546+'RAP TEMPLATE-GAS AVAILABILITY'!R546)</f>
        <v>29.796425899280575</v>
      </c>
    </row>
    <row r="548" spans="1:29" ht="15.75" x14ac:dyDescent="0.25">
      <c r="A548" s="13">
        <v>57588</v>
      </c>
      <c r="B548" s="17">
        <f>CHOOSE(CONTROL!$C$42, 28.4837, 28.4837) * CHOOSE(CONTROL!$C$21, $C$9, 100%, $E$9)</f>
        <v>28.483699999999999</v>
      </c>
      <c r="C548" s="17">
        <f>CHOOSE(CONTROL!$C$42, 28.4917, 28.4917) * CHOOSE(CONTROL!$C$21, $C$9, 100%, $E$9)</f>
        <v>28.491700000000002</v>
      </c>
      <c r="D548" s="17">
        <f>CHOOSE(CONTROL!$C$42, 28.7413, 28.7413) * CHOOSE(CONTROL!$C$21, $C$9, 100%, $E$9)</f>
        <v>28.741299999999999</v>
      </c>
      <c r="E548" s="17">
        <f>CHOOSE(CONTROL!$C$42, 28.7725, 28.7725) * CHOOSE(CONTROL!$C$21, $C$9, 100%, $E$9)</f>
        <v>28.772500000000001</v>
      </c>
      <c r="F548" s="17">
        <f>CHOOSE(CONTROL!$C$42, 28.4896, 28.4896)*CHOOSE(CONTROL!$C$21, $C$9, 100%, $E$9)</f>
        <v>28.489599999999999</v>
      </c>
      <c r="G548" s="17">
        <f>CHOOSE(CONTROL!$C$42, 28.5061, 28.5061)*CHOOSE(CONTROL!$C$21, $C$9, 100%, $E$9)</f>
        <v>28.5061</v>
      </c>
      <c r="H548" s="17">
        <f>CHOOSE(CONTROL!$C$42, 28.7608, 28.7608) * CHOOSE(CONTROL!$C$21, $C$9, 100%, $E$9)</f>
        <v>28.7608</v>
      </c>
      <c r="I548" s="17">
        <f>CHOOSE(CONTROL!$C$42, 28.5923, 28.5923)* CHOOSE(CONTROL!$C$21, $C$9, 100%, $E$9)</f>
        <v>28.592300000000002</v>
      </c>
      <c r="J548" s="17">
        <f>CHOOSE(CONTROL!$C$42, 28.4822, 28.4822)* CHOOSE(CONTROL!$C$21, $C$9, 100%, $E$9)</f>
        <v>28.482199999999999</v>
      </c>
      <c r="K548" s="53">
        <f>CHOOSE(CONTROL!$C$42, 28.5863, 28.5863) * CHOOSE(CONTROL!$C$21, $C$9, 100%, $E$9)</f>
        <v>28.586300000000001</v>
      </c>
      <c r="L548" s="17">
        <f>CHOOSE(CONTROL!$C$42, 29.3478, 29.3478) * CHOOSE(CONTROL!$C$21, $C$9, 100%, $E$9)</f>
        <v>29.347799999999999</v>
      </c>
      <c r="M548" s="17">
        <f>CHOOSE(CONTROL!$C$42, 28.2331, 28.2331) * CHOOSE(CONTROL!$C$21, $C$9, 100%, $E$9)</f>
        <v>28.2331</v>
      </c>
      <c r="N548" s="17">
        <f>CHOOSE(CONTROL!$C$42, 28.2494, 28.2494) * CHOOSE(CONTROL!$C$21, $C$9, 100%, $E$9)</f>
        <v>28.249400000000001</v>
      </c>
      <c r="O548" s="17">
        <f>CHOOSE(CONTROL!$C$42, 28.5091, 28.5091) * CHOOSE(CONTROL!$C$21, $C$9, 100%, $E$9)</f>
        <v>28.5091</v>
      </c>
      <c r="P548" s="17">
        <f>CHOOSE(CONTROL!$C$42, 28.3414, 28.3414) * CHOOSE(CONTROL!$C$21, $C$9, 100%, $E$9)</f>
        <v>28.3414</v>
      </c>
      <c r="Q548" s="17">
        <f>CHOOSE(CONTROL!$C$42, 29.1038, 29.1038) * CHOOSE(CONTROL!$C$21, $C$9, 100%, $E$9)</f>
        <v>29.1038</v>
      </c>
      <c r="R548" s="17">
        <f>CHOOSE(CONTROL!$C$42, 29.7636, 29.7636) * CHOOSE(CONTROL!$C$21, $C$9, 100%, $E$9)</f>
        <v>29.7636</v>
      </c>
      <c r="S548" s="17">
        <f>CHOOSE(CONTROL!$C$42, 27.6091, 27.6091) * CHOOSE(CONTROL!$C$21, $C$9, 100%, $E$9)</f>
        <v>27.609100000000002</v>
      </c>
      <c r="T548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548" s="57">
        <f>(1000*CHOOSE(CONTROL!$C$42, 695, 695)*CHOOSE(CONTROL!$C$42, 0.5599, 0.5599)*CHOOSE(CONTROL!$C$42, 31, 31))/1000000</f>
        <v>12.063045499999998</v>
      </c>
      <c r="V548" s="57">
        <f>(1000*CHOOSE(CONTROL!$C$42, 500, 500)*CHOOSE(CONTROL!$C$42, 0.275, 0.275)*CHOOSE(CONTROL!$C$42, 31, 31))/1000000</f>
        <v>4.2625000000000002</v>
      </c>
      <c r="W548" s="57">
        <f>(1000*CHOOSE(CONTROL!$C$42, 0.0916, 0.0916)*CHOOSE(CONTROL!$C$42, 121.5, 121.5)*CHOOSE(CONTROL!$C$42, 31, 31))/1000000</f>
        <v>0.34501139999999997</v>
      </c>
      <c r="X548" s="57">
        <f>(31*0.1790888*145000/1000000)+(31*0.2374*100000/1000000)</f>
        <v>1.5409441560000001</v>
      </c>
      <c r="Y548" s="57"/>
      <c r="Z548" s="17"/>
      <c r="AA548" s="56"/>
      <c r="AB548" s="49">
        <f>(B548*194.205+C548*267.466+D548*133.845+E548*153.484+F548*40+G548*85+H548*0+I548*100+J548*300)/(194.205+267.466+133.845+153.484+0+40+85+100+300)</f>
        <v>28.55708648288854</v>
      </c>
      <c r="AC548" s="46">
        <f>(M548*'RAP TEMPLATE-GAS AVAILABILITY'!O547+N548*'RAP TEMPLATE-GAS AVAILABILITY'!P547+O548*'RAP TEMPLATE-GAS AVAILABILITY'!Q547+P548*'RAP TEMPLATE-GAS AVAILABILITY'!R547)/('RAP TEMPLATE-GAS AVAILABILITY'!O547+'RAP TEMPLATE-GAS AVAILABILITY'!P547+'RAP TEMPLATE-GAS AVAILABILITY'!Q547+'RAP TEMPLATE-GAS AVAILABILITY'!R547)</f>
        <v>28.329874100719426</v>
      </c>
    </row>
    <row r="549" spans="1:29" ht="15.75" x14ac:dyDescent="0.25">
      <c r="A549" s="13">
        <v>57618</v>
      </c>
      <c r="B549" s="17">
        <f>CHOOSE(CONTROL!$C$42, 26.6759, 26.6759) * CHOOSE(CONTROL!$C$21, $C$9, 100%, $E$9)</f>
        <v>26.675899999999999</v>
      </c>
      <c r="C549" s="17">
        <f>CHOOSE(CONTROL!$C$42, 26.6839, 26.6839) * CHOOSE(CONTROL!$C$21, $C$9, 100%, $E$9)</f>
        <v>26.683900000000001</v>
      </c>
      <c r="D549" s="17">
        <f>CHOOSE(CONTROL!$C$42, 26.9335, 26.9335) * CHOOSE(CONTROL!$C$21, $C$9, 100%, $E$9)</f>
        <v>26.933499999999999</v>
      </c>
      <c r="E549" s="17">
        <f>CHOOSE(CONTROL!$C$42, 26.9647, 26.9647) * CHOOSE(CONTROL!$C$21, $C$9, 100%, $E$9)</f>
        <v>26.964700000000001</v>
      </c>
      <c r="F549" s="17">
        <f>CHOOSE(CONTROL!$C$42, 26.6819, 26.6819)*CHOOSE(CONTROL!$C$21, $C$9, 100%, $E$9)</f>
        <v>26.681899999999999</v>
      </c>
      <c r="G549" s="17">
        <f>CHOOSE(CONTROL!$C$42, 26.6983, 26.6983)*CHOOSE(CONTROL!$C$21, $C$9, 100%, $E$9)</f>
        <v>26.6983</v>
      </c>
      <c r="H549" s="17">
        <f>CHOOSE(CONTROL!$C$42, 26.953, 26.953) * CHOOSE(CONTROL!$C$21, $C$9, 100%, $E$9)</f>
        <v>26.952999999999999</v>
      </c>
      <c r="I549" s="17">
        <f>CHOOSE(CONTROL!$C$42, 26.7789, 26.7789)* CHOOSE(CONTROL!$C$21, $C$9, 100%, $E$9)</f>
        <v>26.7789</v>
      </c>
      <c r="J549" s="17">
        <f>CHOOSE(CONTROL!$C$42, 26.6745, 26.6745)* CHOOSE(CONTROL!$C$21, $C$9, 100%, $E$9)</f>
        <v>26.674499999999998</v>
      </c>
      <c r="K549" s="53">
        <f>CHOOSE(CONTROL!$C$42, 26.7729, 26.7729) * CHOOSE(CONTROL!$C$21, $C$9, 100%, $E$9)</f>
        <v>26.7729</v>
      </c>
      <c r="L549" s="17">
        <f>CHOOSE(CONTROL!$C$42, 27.54, 27.54) * CHOOSE(CONTROL!$C$21, $C$9, 100%, $E$9)</f>
        <v>27.54</v>
      </c>
      <c r="M549" s="17">
        <f>CHOOSE(CONTROL!$C$42, 26.4416, 26.4416) * CHOOSE(CONTROL!$C$21, $C$9, 100%, $E$9)</f>
        <v>26.441600000000001</v>
      </c>
      <c r="N549" s="17">
        <f>CHOOSE(CONTROL!$C$42, 26.4579, 26.4579) * CHOOSE(CONTROL!$C$21, $C$9, 100%, $E$9)</f>
        <v>26.457899999999999</v>
      </c>
      <c r="O549" s="17">
        <f>CHOOSE(CONTROL!$C$42, 26.7176, 26.7176) * CHOOSE(CONTROL!$C$21, $C$9, 100%, $E$9)</f>
        <v>26.717600000000001</v>
      </c>
      <c r="P549" s="17">
        <f>CHOOSE(CONTROL!$C$42, 26.5444, 26.5444) * CHOOSE(CONTROL!$C$21, $C$9, 100%, $E$9)</f>
        <v>26.5444</v>
      </c>
      <c r="Q549" s="17">
        <f>CHOOSE(CONTROL!$C$42, 27.3123, 27.3123) * CHOOSE(CONTROL!$C$21, $C$9, 100%, $E$9)</f>
        <v>27.3123</v>
      </c>
      <c r="R549" s="17">
        <f>CHOOSE(CONTROL!$C$42, 27.9676, 27.9676) * CHOOSE(CONTROL!$C$21, $C$9, 100%, $E$9)</f>
        <v>27.967600000000001</v>
      </c>
      <c r="S549" s="17">
        <f>CHOOSE(CONTROL!$C$42, 25.856, 25.856) * CHOOSE(CONTROL!$C$21, $C$9, 100%, $E$9)</f>
        <v>25.856000000000002</v>
      </c>
      <c r="T549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549" s="57">
        <f>(1000*CHOOSE(CONTROL!$C$42, 695, 695)*CHOOSE(CONTROL!$C$42, 0.5599, 0.5599)*CHOOSE(CONTROL!$C$42, 30, 30))/1000000</f>
        <v>11.673914999999997</v>
      </c>
      <c r="V549" s="57">
        <f>(1000*CHOOSE(CONTROL!$C$42, 500, 500)*CHOOSE(CONTROL!$C$42, 0.275, 0.275)*CHOOSE(CONTROL!$C$42, 30, 30))/1000000</f>
        <v>4.125</v>
      </c>
      <c r="W549" s="57">
        <f>(1000*CHOOSE(CONTROL!$C$42, 0.0916, 0.0916)*CHOOSE(CONTROL!$C$42, 121.5, 121.5)*CHOOSE(CONTROL!$C$42, 30, 30))/1000000</f>
        <v>0.33388200000000001</v>
      </c>
      <c r="X549" s="57">
        <f>(30*0.1790888*145000/1000000)+(30*0.2374*100000/1000000)</f>
        <v>1.4912362799999999</v>
      </c>
      <c r="Y549" s="57"/>
      <c r="Z549" s="17"/>
      <c r="AA549" s="56"/>
      <c r="AB549" s="49">
        <f>(B549*194.205+C549*267.466+D549*133.845+E549*153.484+F549*40+G549*85+H549*0+I549*100+J549*300)/(194.205+267.466+133.845+153.484+0+40+85+100+300)</f>
        <v>26.748873610047099</v>
      </c>
      <c r="AC549" s="46">
        <f>(M549*'RAP TEMPLATE-GAS AVAILABILITY'!O548+N549*'RAP TEMPLATE-GAS AVAILABILITY'!P548+O549*'RAP TEMPLATE-GAS AVAILABILITY'!Q548+P549*'RAP TEMPLATE-GAS AVAILABILITY'!R548)/('RAP TEMPLATE-GAS AVAILABILITY'!O548+'RAP TEMPLATE-GAS AVAILABILITY'!P548+'RAP TEMPLATE-GAS AVAILABILITY'!Q548+'RAP TEMPLATE-GAS AVAILABILITY'!R548)</f>
        <v>26.537582733812947</v>
      </c>
    </row>
    <row r="550" spans="1:29" ht="15.75" x14ac:dyDescent="0.25">
      <c r="A550" s="13">
        <v>57649</v>
      </c>
      <c r="B550" s="17">
        <f>CHOOSE(CONTROL!$C$42, 26.1328, 26.1328) * CHOOSE(CONTROL!$C$21, $C$9, 100%, $E$9)</f>
        <v>26.1328</v>
      </c>
      <c r="C550" s="17">
        <f>CHOOSE(CONTROL!$C$42, 26.1381, 26.1381) * CHOOSE(CONTROL!$C$21, $C$9, 100%, $E$9)</f>
        <v>26.138100000000001</v>
      </c>
      <c r="D550" s="17">
        <f>CHOOSE(CONTROL!$C$42, 26.3926, 26.3926) * CHOOSE(CONTROL!$C$21, $C$9, 100%, $E$9)</f>
        <v>26.392600000000002</v>
      </c>
      <c r="E550" s="17">
        <f>CHOOSE(CONTROL!$C$42, 26.4215, 26.4215) * CHOOSE(CONTROL!$C$21, $C$9, 100%, $E$9)</f>
        <v>26.421500000000002</v>
      </c>
      <c r="F550" s="17">
        <f>CHOOSE(CONTROL!$C$42, 26.141, 26.141)*CHOOSE(CONTROL!$C$21, $C$9, 100%, $E$9)</f>
        <v>26.140999999999998</v>
      </c>
      <c r="G550" s="17">
        <f>CHOOSE(CONTROL!$C$42, 26.1573, 26.1573)*CHOOSE(CONTROL!$C$21, $C$9, 100%, $E$9)</f>
        <v>26.157299999999999</v>
      </c>
      <c r="H550" s="17">
        <f>CHOOSE(CONTROL!$C$42, 26.4116, 26.4116) * CHOOSE(CONTROL!$C$21, $C$9, 100%, $E$9)</f>
        <v>26.4116</v>
      </c>
      <c r="I550" s="17">
        <f>CHOOSE(CONTROL!$C$42, 26.2359, 26.2359)* CHOOSE(CONTROL!$C$21, $C$9, 100%, $E$9)</f>
        <v>26.235900000000001</v>
      </c>
      <c r="J550" s="17">
        <f>CHOOSE(CONTROL!$C$42, 26.1336, 26.1336)* CHOOSE(CONTROL!$C$21, $C$9, 100%, $E$9)</f>
        <v>26.133600000000001</v>
      </c>
      <c r="K550" s="53">
        <f>CHOOSE(CONTROL!$C$42, 26.2298, 26.2298) * CHOOSE(CONTROL!$C$21, $C$9, 100%, $E$9)</f>
        <v>26.229800000000001</v>
      </c>
      <c r="L550" s="17">
        <f>CHOOSE(CONTROL!$C$42, 26.9986, 26.9986) * CHOOSE(CONTROL!$C$21, $C$9, 100%, $E$9)</f>
        <v>26.9986</v>
      </c>
      <c r="M550" s="17">
        <f>CHOOSE(CONTROL!$C$42, 25.9056, 25.9056) * CHOOSE(CONTROL!$C$21, $C$9, 100%, $E$9)</f>
        <v>25.9056</v>
      </c>
      <c r="N550" s="17">
        <f>CHOOSE(CONTROL!$C$42, 25.9218, 25.9218) * CHOOSE(CONTROL!$C$21, $C$9, 100%, $E$9)</f>
        <v>25.921800000000001</v>
      </c>
      <c r="O550" s="17">
        <f>CHOOSE(CONTROL!$C$42, 26.1811, 26.1811) * CHOOSE(CONTROL!$C$21, $C$9, 100%, $E$9)</f>
        <v>26.181100000000001</v>
      </c>
      <c r="P550" s="17">
        <f>CHOOSE(CONTROL!$C$42, 26.0062, 26.0062) * CHOOSE(CONTROL!$C$21, $C$9, 100%, $E$9)</f>
        <v>26.0062</v>
      </c>
      <c r="Q550" s="17">
        <f>CHOOSE(CONTROL!$C$42, 26.7758, 26.7758) * CHOOSE(CONTROL!$C$21, $C$9, 100%, $E$9)</f>
        <v>26.7758</v>
      </c>
      <c r="R550" s="17">
        <f>CHOOSE(CONTROL!$C$42, 27.4298, 27.4298) * CHOOSE(CONTROL!$C$21, $C$9, 100%, $E$9)</f>
        <v>27.4298</v>
      </c>
      <c r="S550" s="17">
        <f>CHOOSE(CONTROL!$C$42, 25.3311, 25.3311) * CHOOSE(CONTROL!$C$21, $C$9, 100%, $E$9)</f>
        <v>25.331099999999999</v>
      </c>
      <c r="T550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550" s="57">
        <f>(1000*CHOOSE(CONTROL!$C$42, 695, 695)*CHOOSE(CONTROL!$C$42, 0.5599, 0.5599)*CHOOSE(CONTROL!$C$42, 31, 31))/1000000</f>
        <v>12.063045499999998</v>
      </c>
      <c r="V550" s="57">
        <f>(1000*CHOOSE(CONTROL!$C$42, 500, 500)*CHOOSE(CONTROL!$C$42, 0.275, 0.275)*CHOOSE(CONTROL!$C$42, 31, 31))/1000000</f>
        <v>4.2625000000000002</v>
      </c>
      <c r="W550" s="57">
        <f>(1000*CHOOSE(CONTROL!$C$42, 0.0916, 0.0916)*CHOOSE(CONTROL!$C$42, 121.5, 121.5)*CHOOSE(CONTROL!$C$42, 31, 31))/1000000</f>
        <v>0.34501139999999997</v>
      </c>
      <c r="X550" s="57">
        <f>(31*0.1790888*145000/1000000)+(31*0.2374*100000/1000000)</f>
        <v>1.5409441560000001</v>
      </c>
      <c r="Y550" s="57"/>
      <c r="Z550" s="17"/>
      <c r="AA550" s="56"/>
      <c r="AB550" s="49">
        <f>(B550*131.881+C550*277.167+D550*79.08+E550*225.872+F550*40+G550*85+H550*0+I550*100+J550*300)/(131.881+277.167+79.08+225.872+0+40+85+100+300)</f>
        <v>26.213658527441488</v>
      </c>
      <c r="AC550" s="46">
        <f>(M550*'RAP TEMPLATE-GAS AVAILABILITY'!O549+N550*'RAP TEMPLATE-GAS AVAILABILITY'!P549+O550*'RAP TEMPLATE-GAS AVAILABILITY'!Q549+P550*'RAP TEMPLATE-GAS AVAILABILITY'!R549)/('RAP TEMPLATE-GAS AVAILABILITY'!O549+'RAP TEMPLATE-GAS AVAILABILITY'!P549+'RAP TEMPLATE-GAS AVAILABILITY'!Q549+'RAP TEMPLATE-GAS AVAILABILITY'!R549)</f>
        <v>26.001102877697843</v>
      </c>
    </row>
    <row r="551" spans="1:29" ht="15.75" x14ac:dyDescent="0.25">
      <c r="A551" s="13">
        <v>57679</v>
      </c>
      <c r="B551" s="17">
        <f>CHOOSE(CONTROL!$C$42, 26.8206, 26.8206) * CHOOSE(CONTROL!$C$21, $C$9, 100%, $E$9)</f>
        <v>26.820599999999999</v>
      </c>
      <c r="C551" s="17">
        <f>CHOOSE(CONTROL!$C$42, 26.8257, 26.8257) * CHOOSE(CONTROL!$C$21, $C$9, 100%, $E$9)</f>
        <v>26.825700000000001</v>
      </c>
      <c r="D551" s="17">
        <f>CHOOSE(CONTROL!$C$42, 26.9483, 26.9483) * CHOOSE(CONTROL!$C$21, $C$9, 100%, $E$9)</f>
        <v>26.9483</v>
      </c>
      <c r="E551" s="17">
        <f>CHOOSE(CONTROL!$C$42, 26.982, 26.982) * CHOOSE(CONTROL!$C$21, $C$9, 100%, $E$9)</f>
        <v>26.981999999999999</v>
      </c>
      <c r="F551" s="17">
        <f>CHOOSE(CONTROL!$C$42, 26.8356, 26.8356)*CHOOSE(CONTROL!$C$21, $C$9, 100%, $E$9)</f>
        <v>26.835599999999999</v>
      </c>
      <c r="G551" s="17">
        <f>CHOOSE(CONTROL!$C$42, 26.8523, 26.8523)*CHOOSE(CONTROL!$C$21, $C$9, 100%, $E$9)</f>
        <v>26.8523</v>
      </c>
      <c r="H551" s="17">
        <f>CHOOSE(CONTROL!$C$42, 26.9709, 26.9709) * CHOOSE(CONTROL!$C$21, $C$9, 100%, $E$9)</f>
        <v>26.9709</v>
      </c>
      <c r="I551" s="17">
        <f>CHOOSE(CONTROL!$C$42, 26.9288, 26.9288)* CHOOSE(CONTROL!$C$21, $C$9, 100%, $E$9)</f>
        <v>26.928799999999999</v>
      </c>
      <c r="J551" s="17">
        <f>CHOOSE(CONTROL!$C$42, 26.8282, 26.8282)* CHOOSE(CONTROL!$C$21, $C$9, 100%, $E$9)</f>
        <v>26.828199999999999</v>
      </c>
      <c r="K551" s="53">
        <f>CHOOSE(CONTROL!$C$42, 26.9227, 26.9227) * CHOOSE(CONTROL!$C$21, $C$9, 100%, $E$9)</f>
        <v>26.922699999999999</v>
      </c>
      <c r="L551" s="17">
        <f>CHOOSE(CONTROL!$C$42, 27.5579, 27.5579) * CHOOSE(CONTROL!$C$21, $C$9, 100%, $E$9)</f>
        <v>27.5579</v>
      </c>
      <c r="M551" s="17">
        <f>CHOOSE(CONTROL!$C$42, 26.5939, 26.5939) * CHOOSE(CONTROL!$C$21, $C$9, 100%, $E$9)</f>
        <v>26.593900000000001</v>
      </c>
      <c r="N551" s="17">
        <f>CHOOSE(CONTROL!$C$42, 26.6104, 26.6104) * CHOOSE(CONTROL!$C$21, $C$9, 100%, $E$9)</f>
        <v>26.610399999999998</v>
      </c>
      <c r="O551" s="17">
        <f>CHOOSE(CONTROL!$C$42, 26.7354, 26.7354) * CHOOSE(CONTROL!$C$21, $C$9, 100%, $E$9)</f>
        <v>26.735399999999998</v>
      </c>
      <c r="P551" s="17">
        <f>CHOOSE(CONTROL!$C$42, 26.6929, 26.6929) * CHOOSE(CONTROL!$C$21, $C$9, 100%, $E$9)</f>
        <v>26.692900000000002</v>
      </c>
      <c r="Q551" s="17">
        <f>CHOOSE(CONTROL!$C$42, 27.3301, 27.3301) * CHOOSE(CONTROL!$C$21, $C$9, 100%, $E$9)</f>
        <v>27.330100000000002</v>
      </c>
      <c r="R551" s="17">
        <f>CHOOSE(CONTROL!$C$42, 27.9854, 27.9854) * CHOOSE(CONTROL!$C$21, $C$9, 100%, $E$9)</f>
        <v>27.985399999999998</v>
      </c>
      <c r="S551" s="17">
        <f>CHOOSE(CONTROL!$C$42, 25.9984, 25.9984) * CHOOSE(CONTROL!$C$21, $C$9, 100%, $E$9)</f>
        <v>25.9984</v>
      </c>
      <c r="T551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551" s="57">
        <f>(1000*CHOOSE(CONTROL!$C$42, 695, 695)*CHOOSE(CONTROL!$C$42, 0.5599, 0.5599)*CHOOSE(CONTROL!$C$42, 30, 30))/1000000</f>
        <v>11.673914999999997</v>
      </c>
      <c r="V551" s="57">
        <f>(1000*CHOOSE(CONTROL!$C$42, 500, 500)*CHOOSE(CONTROL!$C$42, 0.275, 0.275)*CHOOSE(CONTROL!$C$42, 30, 30))/1000000</f>
        <v>4.125</v>
      </c>
      <c r="W551" s="57">
        <f>(1000*CHOOSE(CONTROL!$C$42, 0.0916, 0.0916)*CHOOSE(CONTROL!$C$42, 121.5, 121.5)*CHOOSE(CONTROL!$C$42, 30, 30))/1000000</f>
        <v>0.33388200000000001</v>
      </c>
      <c r="X551" s="57">
        <f>(30*0.2374*100000/1000000)</f>
        <v>0.71220000000000006</v>
      </c>
      <c r="Y551" s="57"/>
      <c r="Z551" s="17"/>
      <c r="AA551" s="56"/>
      <c r="AB551" s="49">
        <f>(B551*122.58+C551*297.941+D551*89.177+E551*140.302+F551*40+G551*60+H551*0+I551*100+J551*300)/(122.58+297.941+89.177+140.302+0+40+60+100+300)</f>
        <v>26.865081865043475</v>
      </c>
      <c r="AC551" s="46">
        <f>(M551*'RAP TEMPLATE-GAS AVAILABILITY'!O550+N551*'RAP TEMPLATE-GAS AVAILABILITY'!P550+O551*'RAP TEMPLATE-GAS AVAILABILITY'!Q550+P551*'RAP TEMPLATE-GAS AVAILABILITY'!R550)/('RAP TEMPLATE-GAS AVAILABILITY'!O550+'RAP TEMPLATE-GAS AVAILABILITY'!P550+'RAP TEMPLATE-GAS AVAILABILITY'!Q550+'RAP TEMPLATE-GAS AVAILABILITY'!R550)</f>
        <v>26.673227338129497</v>
      </c>
    </row>
    <row r="552" spans="1:29" ht="15.75" x14ac:dyDescent="0.25">
      <c r="A552" s="13">
        <v>57710</v>
      </c>
      <c r="B552" s="17">
        <f>CHOOSE(CONTROL!$C$42, 28.6485, 28.6485) * CHOOSE(CONTROL!$C$21, $C$9, 100%, $E$9)</f>
        <v>28.648499999999999</v>
      </c>
      <c r="C552" s="17">
        <f>CHOOSE(CONTROL!$C$42, 28.6536, 28.6536) * CHOOSE(CONTROL!$C$21, $C$9, 100%, $E$9)</f>
        <v>28.653600000000001</v>
      </c>
      <c r="D552" s="17">
        <f>CHOOSE(CONTROL!$C$42, 28.7762, 28.7762) * CHOOSE(CONTROL!$C$21, $C$9, 100%, $E$9)</f>
        <v>28.776199999999999</v>
      </c>
      <c r="E552" s="17">
        <f>CHOOSE(CONTROL!$C$42, 28.8099, 28.8099) * CHOOSE(CONTROL!$C$21, $C$9, 100%, $E$9)</f>
        <v>28.809899999999999</v>
      </c>
      <c r="F552" s="17">
        <f>CHOOSE(CONTROL!$C$42, 28.6659, 28.6659)*CHOOSE(CONTROL!$C$21, $C$9, 100%, $E$9)</f>
        <v>28.665900000000001</v>
      </c>
      <c r="G552" s="17">
        <f>CHOOSE(CONTROL!$C$42, 28.6832, 28.6832)*CHOOSE(CONTROL!$C$21, $C$9, 100%, $E$9)</f>
        <v>28.683199999999999</v>
      </c>
      <c r="H552" s="17">
        <f>CHOOSE(CONTROL!$C$42, 28.7988, 28.7988) * CHOOSE(CONTROL!$C$21, $C$9, 100%, $E$9)</f>
        <v>28.7988</v>
      </c>
      <c r="I552" s="17">
        <f>CHOOSE(CONTROL!$C$42, 28.7623, 28.7623)* CHOOSE(CONTROL!$C$21, $C$9, 100%, $E$9)</f>
        <v>28.7623</v>
      </c>
      <c r="J552" s="17">
        <f>CHOOSE(CONTROL!$C$42, 28.6585, 28.6585)* CHOOSE(CONTROL!$C$21, $C$9, 100%, $E$9)</f>
        <v>28.6585</v>
      </c>
      <c r="K552" s="53">
        <f>CHOOSE(CONTROL!$C$42, 28.7563, 28.7563) * CHOOSE(CONTROL!$C$21, $C$9, 100%, $E$9)</f>
        <v>28.7563</v>
      </c>
      <c r="L552" s="17">
        <f>CHOOSE(CONTROL!$C$42, 29.3858, 29.3858) * CHOOSE(CONTROL!$C$21, $C$9, 100%, $E$9)</f>
        <v>29.3858</v>
      </c>
      <c r="M552" s="17">
        <f>CHOOSE(CONTROL!$C$42, 28.4078, 28.4078) * CHOOSE(CONTROL!$C$21, $C$9, 100%, $E$9)</f>
        <v>28.407800000000002</v>
      </c>
      <c r="N552" s="17">
        <f>CHOOSE(CONTROL!$C$42, 28.4249, 28.4249) * CHOOSE(CONTROL!$C$21, $C$9, 100%, $E$9)</f>
        <v>28.424900000000001</v>
      </c>
      <c r="O552" s="17">
        <f>CHOOSE(CONTROL!$C$42, 28.5468, 28.5468) * CHOOSE(CONTROL!$C$21, $C$9, 100%, $E$9)</f>
        <v>28.546800000000001</v>
      </c>
      <c r="P552" s="17">
        <f>CHOOSE(CONTROL!$C$42, 28.5099, 28.5099) * CHOOSE(CONTROL!$C$21, $C$9, 100%, $E$9)</f>
        <v>28.509899999999998</v>
      </c>
      <c r="Q552" s="17">
        <f>CHOOSE(CONTROL!$C$42, 29.1415, 29.1415) * CHOOSE(CONTROL!$C$21, $C$9, 100%, $E$9)</f>
        <v>29.141500000000001</v>
      </c>
      <c r="R552" s="17">
        <f>CHOOSE(CONTROL!$C$42, 29.8014, 29.8014) * CHOOSE(CONTROL!$C$21, $C$9, 100%, $E$9)</f>
        <v>29.801400000000001</v>
      </c>
      <c r="S552" s="17">
        <f>CHOOSE(CONTROL!$C$42, 27.7709, 27.7709) * CHOOSE(CONTROL!$C$21, $C$9, 100%, $E$9)</f>
        <v>27.770900000000001</v>
      </c>
      <c r="T552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552" s="57">
        <f>(1000*CHOOSE(CONTROL!$C$42, 695, 695)*CHOOSE(CONTROL!$C$42, 0.5599, 0.5599)*CHOOSE(CONTROL!$C$42, 31, 31))/1000000</f>
        <v>12.063045499999998</v>
      </c>
      <c r="V552" s="57">
        <f>(1000*CHOOSE(CONTROL!$C$42, 500, 500)*CHOOSE(CONTROL!$C$42, 0.275, 0.275)*CHOOSE(CONTROL!$C$42, 31, 31))/1000000</f>
        <v>4.2625000000000002</v>
      </c>
      <c r="W552" s="57">
        <f>(1000*CHOOSE(CONTROL!$C$42, 0.0916, 0.0916)*CHOOSE(CONTROL!$C$42, 121.5, 121.5)*CHOOSE(CONTROL!$C$42, 31, 31))/1000000</f>
        <v>0.34501139999999997</v>
      </c>
      <c r="X552" s="57">
        <f>(31*0.2374*100000/1000000)</f>
        <v>0.73594000000000004</v>
      </c>
      <c r="Y552" s="57"/>
      <c r="Z552" s="17"/>
      <c r="AA552" s="56"/>
      <c r="AB552" s="49">
        <f>(B552*122.58+C552*297.941+D552*89.177+E552*140.302+F552*40+G552*60+H552*0+I552*100+J552*300)/(122.58+297.941+89.177+140.302+0+40+60+100+300)</f>
        <v>28.694334908521736</v>
      </c>
      <c r="AC552" s="46">
        <f>(M552*'RAP TEMPLATE-GAS AVAILABILITY'!O551+N552*'RAP TEMPLATE-GAS AVAILABILITY'!P551+O552*'RAP TEMPLATE-GAS AVAILABILITY'!Q551+P552*'RAP TEMPLATE-GAS AVAILABILITY'!R551)/('RAP TEMPLATE-GAS AVAILABILITY'!O551+'RAP TEMPLATE-GAS AVAILABILITY'!P551+'RAP TEMPLATE-GAS AVAILABILITY'!Q551+'RAP TEMPLATE-GAS AVAILABILITY'!R551)</f>
        <v>28.486474820143883</v>
      </c>
    </row>
    <row r="553" spans="1:29" ht="15.75" x14ac:dyDescent="0.25">
      <c r="A553" s="13">
        <v>57741</v>
      </c>
      <c r="B553" s="17">
        <f>CHOOSE(CONTROL!$C$42, 31.0226, 31.0226) * CHOOSE(CONTROL!$C$21, $C$9, 100%, $E$9)</f>
        <v>31.022600000000001</v>
      </c>
      <c r="C553" s="17">
        <f>CHOOSE(CONTROL!$C$42, 31.0277, 31.0277) * CHOOSE(CONTROL!$C$21, $C$9, 100%, $E$9)</f>
        <v>31.027699999999999</v>
      </c>
      <c r="D553" s="17">
        <f>CHOOSE(CONTROL!$C$42, 31.1451, 31.1451) * CHOOSE(CONTROL!$C$21, $C$9, 100%, $E$9)</f>
        <v>31.145099999999999</v>
      </c>
      <c r="E553" s="17">
        <f>CHOOSE(CONTROL!$C$42, 31.1789, 31.1789) * CHOOSE(CONTROL!$C$21, $C$9, 100%, $E$9)</f>
        <v>31.178899999999999</v>
      </c>
      <c r="F553" s="17">
        <f>CHOOSE(CONTROL!$C$42, 31.0362, 31.0362)*CHOOSE(CONTROL!$C$21, $C$9, 100%, $E$9)</f>
        <v>31.036200000000001</v>
      </c>
      <c r="G553" s="17">
        <f>CHOOSE(CONTROL!$C$42, 31.0525, 31.0525)*CHOOSE(CONTROL!$C$21, $C$9, 100%, $E$9)</f>
        <v>31.052499999999998</v>
      </c>
      <c r="H553" s="17">
        <f>CHOOSE(CONTROL!$C$42, 31.1678, 31.1678) * CHOOSE(CONTROL!$C$21, $C$9, 100%, $E$9)</f>
        <v>31.1678</v>
      </c>
      <c r="I553" s="17">
        <f>CHOOSE(CONTROL!$C$42, 31.1422, 31.1422)* CHOOSE(CONTROL!$C$21, $C$9, 100%, $E$9)</f>
        <v>31.142199999999999</v>
      </c>
      <c r="J553" s="17">
        <f>CHOOSE(CONTROL!$C$42, 31.0288, 31.0288)* CHOOSE(CONTROL!$C$21, $C$9, 100%, $E$9)</f>
        <v>31.0288</v>
      </c>
      <c r="K553" s="53">
        <f>CHOOSE(CONTROL!$C$42, 31.1362, 31.1362) * CHOOSE(CONTROL!$C$21, $C$9, 100%, $E$9)</f>
        <v>31.136199999999999</v>
      </c>
      <c r="L553" s="17">
        <f>CHOOSE(CONTROL!$C$42, 31.7548, 31.7548) * CHOOSE(CONTROL!$C$21, $C$9, 100%, $E$9)</f>
        <v>31.754799999999999</v>
      </c>
      <c r="M553" s="17">
        <f>CHOOSE(CONTROL!$C$42, 30.7568, 30.7568) * CHOOSE(CONTROL!$C$21, $C$9, 100%, $E$9)</f>
        <v>30.756799999999998</v>
      </c>
      <c r="N553" s="17">
        <f>CHOOSE(CONTROL!$C$42, 30.7729, 30.7729) * CHOOSE(CONTROL!$C$21, $C$9, 100%, $E$9)</f>
        <v>30.7729</v>
      </c>
      <c r="O553" s="17">
        <f>CHOOSE(CONTROL!$C$42, 30.8945, 30.8945) * CHOOSE(CONTROL!$C$21, $C$9, 100%, $E$9)</f>
        <v>30.894500000000001</v>
      </c>
      <c r="P553" s="17">
        <f>CHOOSE(CONTROL!$C$42, 30.8684, 30.8684) * CHOOSE(CONTROL!$C$21, $C$9, 100%, $E$9)</f>
        <v>30.868400000000001</v>
      </c>
      <c r="Q553" s="17">
        <f>CHOOSE(CONTROL!$C$42, 31.4892, 31.4892) * CHOOSE(CONTROL!$C$21, $C$9, 100%, $E$9)</f>
        <v>31.4892</v>
      </c>
      <c r="R553" s="17">
        <f>CHOOSE(CONTROL!$C$42, 32.1549, 32.1549) * CHOOSE(CONTROL!$C$21, $C$9, 100%, $E$9)</f>
        <v>32.154899999999998</v>
      </c>
      <c r="S553" s="17">
        <f>CHOOSE(CONTROL!$C$42, 30.0731, 30.0731) * CHOOSE(CONTROL!$C$21, $C$9, 100%, $E$9)</f>
        <v>30.0731</v>
      </c>
      <c r="T553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553" s="57">
        <f>(1000*CHOOSE(CONTROL!$C$42, 695, 695)*CHOOSE(CONTROL!$C$42, 0.5599, 0.5599)*CHOOSE(CONTROL!$C$42, 31, 31))/1000000</f>
        <v>12.063045499999998</v>
      </c>
      <c r="V553" s="57">
        <f>(1000*CHOOSE(CONTROL!$C$42, 500, 500)*CHOOSE(CONTROL!$C$42, 0.275, 0.275)*CHOOSE(CONTROL!$C$42, 31, 31))/1000000</f>
        <v>4.2625000000000002</v>
      </c>
      <c r="W553" s="57">
        <f>(1000*CHOOSE(CONTROL!$C$42, 0.0916, 0.0916)*CHOOSE(CONTROL!$C$42, 121.5, 121.5)*CHOOSE(CONTROL!$C$42, 31, 31))/1000000</f>
        <v>0.34501139999999997</v>
      </c>
      <c r="X553" s="57">
        <f>(31*0.2374*100000/1000000)</f>
        <v>0.73594000000000004</v>
      </c>
      <c r="Y553" s="57"/>
      <c r="Z553" s="17"/>
      <c r="AA553" s="56"/>
      <c r="AB553" s="49">
        <f>(B553*122.58+C553*297.941+D553*89.177+E553*140.302+F553*40+G553*60+H553*0+I553*100+J553*300)/(122.58+297.941+89.177+140.302+0+40+60+100+300)</f>
        <v>31.066539899304349</v>
      </c>
      <c r="AC553" s="46">
        <f>(M553*'RAP TEMPLATE-GAS AVAILABILITY'!O552+N553*'RAP TEMPLATE-GAS AVAILABILITY'!P552+O553*'RAP TEMPLATE-GAS AVAILABILITY'!Q552+P553*'RAP TEMPLATE-GAS AVAILABILITY'!R552)/('RAP TEMPLATE-GAS AVAILABILITY'!O552+'RAP TEMPLATE-GAS AVAILABILITY'!P552+'RAP TEMPLATE-GAS AVAILABILITY'!Q552+'RAP TEMPLATE-GAS AVAILABILITY'!R552)</f>
        <v>30.836194964028774</v>
      </c>
    </row>
    <row r="554" spans="1:29" ht="15.75" x14ac:dyDescent="0.25">
      <c r="A554" s="13">
        <v>57769</v>
      </c>
      <c r="B554" s="17">
        <f>CHOOSE(CONTROL!$C$42, 31.5746, 31.5746) * CHOOSE(CONTROL!$C$21, $C$9, 100%, $E$9)</f>
        <v>31.5746</v>
      </c>
      <c r="C554" s="17">
        <f>CHOOSE(CONTROL!$C$42, 31.5797, 31.5797) * CHOOSE(CONTROL!$C$21, $C$9, 100%, $E$9)</f>
        <v>31.579699999999999</v>
      </c>
      <c r="D554" s="17">
        <f>CHOOSE(CONTROL!$C$42, 31.6972, 31.6972) * CHOOSE(CONTROL!$C$21, $C$9, 100%, $E$9)</f>
        <v>31.697199999999999</v>
      </c>
      <c r="E554" s="17">
        <f>CHOOSE(CONTROL!$C$42, 31.7309, 31.7309) * CHOOSE(CONTROL!$C$21, $C$9, 100%, $E$9)</f>
        <v>31.730899999999998</v>
      </c>
      <c r="F554" s="17">
        <f>CHOOSE(CONTROL!$C$42, 31.5883, 31.5883)*CHOOSE(CONTROL!$C$21, $C$9, 100%, $E$9)</f>
        <v>31.5883</v>
      </c>
      <c r="G554" s="17">
        <f>CHOOSE(CONTROL!$C$42, 31.6046, 31.6046)*CHOOSE(CONTROL!$C$21, $C$9, 100%, $E$9)</f>
        <v>31.604600000000001</v>
      </c>
      <c r="H554" s="17">
        <f>CHOOSE(CONTROL!$C$42, 31.7198, 31.7198) * CHOOSE(CONTROL!$C$21, $C$9, 100%, $E$9)</f>
        <v>31.719799999999999</v>
      </c>
      <c r="I554" s="17">
        <f>CHOOSE(CONTROL!$C$42, 31.696, 31.696)* CHOOSE(CONTROL!$C$21, $C$9, 100%, $E$9)</f>
        <v>31.696000000000002</v>
      </c>
      <c r="J554" s="17">
        <f>CHOOSE(CONTROL!$C$42, 31.5809, 31.5809)* CHOOSE(CONTROL!$C$21, $C$9, 100%, $E$9)</f>
        <v>31.5809</v>
      </c>
      <c r="K554" s="53">
        <f>CHOOSE(CONTROL!$C$42, 31.69, 31.69) * CHOOSE(CONTROL!$C$21, $C$9, 100%, $E$9)</f>
        <v>31.69</v>
      </c>
      <c r="L554" s="17">
        <f>CHOOSE(CONTROL!$C$42, 32.3068, 32.3068) * CHOOSE(CONTROL!$C$21, $C$9, 100%, $E$9)</f>
        <v>32.306800000000003</v>
      </c>
      <c r="M554" s="17">
        <f>CHOOSE(CONTROL!$C$42, 31.3039, 31.3039) * CHOOSE(CONTROL!$C$21, $C$9, 100%, $E$9)</f>
        <v>31.303899999999999</v>
      </c>
      <c r="N554" s="17">
        <f>CHOOSE(CONTROL!$C$42, 31.32, 31.32) * CHOOSE(CONTROL!$C$21, $C$9, 100%, $E$9)</f>
        <v>31.32</v>
      </c>
      <c r="O554" s="17">
        <f>CHOOSE(CONTROL!$C$42, 31.4416, 31.4416) * CHOOSE(CONTROL!$C$21, $C$9, 100%, $E$9)</f>
        <v>31.441600000000001</v>
      </c>
      <c r="P554" s="17">
        <f>CHOOSE(CONTROL!$C$42, 31.4171, 31.4171) * CHOOSE(CONTROL!$C$21, $C$9, 100%, $E$9)</f>
        <v>31.417100000000001</v>
      </c>
      <c r="Q554" s="17">
        <f>CHOOSE(CONTROL!$C$42, 32.0363, 32.0363) * CHOOSE(CONTROL!$C$21, $C$9, 100%, $E$9)</f>
        <v>32.036299999999997</v>
      </c>
      <c r="R554" s="17">
        <f>CHOOSE(CONTROL!$C$42, 32.7033, 32.7033) * CHOOSE(CONTROL!$C$21, $C$9, 100%, $E$9)</f>
        <v>32.703299999999999</v>
      </c>
      <c r="S554" s="17">
        <f>CHOOSE(CONTROL!$C$42, 30.6084, 30.6084) * CHOOSE(CONTROL!$C$21, $C$9, 100%, $E$9)</f>
        <v>30.6084</v>
      </c>
      <c r="T554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554" s="57">
        <f>(1000*CHOOSE(CONTROL!$C$42, 695, 695)*CHOOSE(CONTROL!$C$42, 0.5599, 0.5599)*CHOOSE(CONTROL!$C$42, 28, 28))/1000000</f>
        <v>10.895653999999999</v>
      </c>
      <c r="V554" s="57">
        <f>(1000*CHOOSE(CONTROL!$C$42, 500, 500)*CHOOSE(CONTROL!$C$42, 0.275, 0.275)*CHOOSE(CONTROL!$C$42, 28, 28))/1000000</f>
        <v>3.85</v>
      </c>
      <c r="W554" s="57">
        <f>(1000*CHOOSE(CONTROL!$C$42, 0.0916, 0.0916)*CHOOSE(CONTROL!$C$42, 121.5, 121.5)*CHOOSE(CONTROL!$C$42, 28, 28))/1000000</f>
        <v>0.31162319999999999</v>
      </c>
      <c r="X554" s="57">
        <f>(28*0.2374*100000/1000000)</f>
        <v>0.66471999999999998</v>
      </c>
      <c r="Y554" s="57"/>
      <c r="Z554" s="17"/>
      <c r="AA554" s="56"/>
      <c r="AB554" s="49">
        <f>(B554*122.58+C554*297.941+D554*89.177+E554*140.302+F554*40+G554*60+H554*0+I554*100+J554*300)/(122.58+297.941+89.177+140.302+0+40+60+100+300)</f>
        <v>31.618738958173907</v>
      </c>
      <c r="AC554" s="46">
        <f>(M554*'RAP TEMPLATE-GAS AVAILABILITY'!O553+N554*'RAP TEMPLATE-GAS AVAILABILITY'!P553+O554*'RAP TEMPLATE-GAS AVAILABILITY'!Q553+P554*'RAP TEMPLATE-GAS AVAILABILITY'!R553)/('RAP TEMPLATE-GAS AVAILABILITY'!O553+'RAP TEMPLATE-GAS AVAILABILITY'!P553+'RAP TEMPLATE-GAS AVAILABILITY'!Q553+'RAP TEMPLATE-GAS AVAILABILITY'!R553)</f>
        <v>31.383525179856115</v>
      </c>
    </row>
    <row r="555" spans="1:29" ht="15.75" x14ac:dyDescent="0.25">
      <c r="A555" s="13">
        <v>57800</v>
      </c>
      <c r="B555" s="17">
        <f>CHOOSE(CONTROL!$C$42, 30.6785, 30.6785) * CHOOSE(CONTROL!$C$21, $C$9, 100%, $E$9)</f>
        <v>30.6785</v>
      </c>
      <c r="C555" s="17">
        <f>CHOOSE(CONTROL!$C$42, 30.6836, 30.6836) * CHOOSE(CONTROL!$C$21, $C$9, 100%, $E$9)</f>
        <v>30.683599999999998</v>
      </c>
      <c r="D555" s="17">
        <f>CHOOSE(CONTROL!$C$42, 30.8011, 30.8011) * CHOOSE(CONTROL!$C$21, $C$9, 100%, $E$9)</f>
        <v>30.801100000000002</v>
      </c>
      <c r="E555" s="17">
        <f>CHOOSE(CONTROL!$C$42, 30.8348, 30.8348) * CHOOSE(CONTROL!$C$21, $C$9, 100%, $E$9)</f>
        <v>30.834800000000001</v>
      </c>
      <c r="F555" s="17">
        <f>CHOOSE(CONTROL!$C$42, 30.6915, 30.6915)*CHOOSE(CONTROL!$C$21, $C$9, 100%, $E$9)</f>
        <v>30.691500000000001</v>
      </c>
      <c r="G555" s="17">
        <f>CHOOSE(CONTROL!$C$42, 30.7077, 30.7077)*CHOOSE(CONTROL!$C$21, $C$9, 100%, $E$9)</f>
        <v>30.707699999999999</v>
      </c>
      <c r="H555" s="17">
        <f>CHOOSE(CONTROL!$C$42, 30.8237, 30.8237) * CHOOSE(CONTROL!$C$21, $C$9, 100%, $E$9)</f>
        <v>30.823699999999999</v>
      </c>
      <c r="I555" s="17">
        <f>CHOOSE(CONTROL!$C$42, 30.7971, 30.7971)* CHOOSE(CONTROL!$C$21, $C$9, 100%, $E$9)</f>
        <v>30.7971</v>
      </c>
      <c r="J555" s="17">
        <f>CHOOSE(CONTROL!$C$42, 30.6841, 30.6841)* CHOOSE(CONTROL!$C$21, $C$9, 100%, $E$9)</f>
        <v>30.684100000000001</v>
      </c>
      <c r="K555" s="53">
        <f>CHOOSE(CONTROL!$C$42, 30.7911, 30.7911) * CHOOSE(CONTROL!$C$21, $C$9, 100%, $E$9)</f>
        <v>30.7911</v>
      </c>
      <c r="L555" s="17">
        <f>CHOOSE(CONTROL!$C$42, 31.4107, 31.4107) * CHOOSE(CONTROL!$C$21, $C$9, 100%, $E$9)</f>
        <v>31.410699999999999</v>
      </c>
      <c r="M555" s="17">
        <f>CHOOSE(CONTROL!$C$42, 30.4152, 30.4152) * CHOOSE(CONTROL!$C$21, $C$9, 100%, $E$9)</f>
        <v>30.415199999999999</v>
      </c>
      <c r="N555" s="17">
        <f>CHOOSE(CONTROL!$C$42, 30.4312, 30.4312) * CHOOSE(CONTROL!$C$21, $C$9, 100%, $E$9)</f>
        <v>30.4312</v>
      </c>
      <c r="O555" s="17">
        <f>CHOOSE(CONTROL!$C$42, 30.5535, 30.5535) * CHOOSE(CONTROL!$C$21, $C$9, 100%, $E$9)</f>
        <v>30.5535</v>
      </c>
      <c r="P555" s="17">
        <f>CHOOSE(CONTROL!$C$42, 30.5264, 30.5264) * CHOOSE(CONTROL!$C$21, $C$9, 100%, $E$9)</f>
        <v>30.526399999999999</v>
      </c>
      <c r="Q555" s="17">
        <f>CHOOSE(CONTROL!$C$42, 31.1482, 31.1482) * CHOOSE(CONTROL!$C$21, $C$9, 100%, $E$9)</f>
        <v>31.148199999999999</v>
      </c>
      <c r="R555" s="17">
        <f>CHOOSE(CONTROL!$C$42, 31.8131, 31.8131) * CHOOSE(CONTROL!$C$21, $C$9, 100%, $E$9)</f>
        <v>31.813099999999999</v>
      </c>
      <c r="S555" s="17">
        <f>CHOOSE(CONTROL!$C$42, 29.7394, 29.7394) * CHOOSE(CONTROL!$C$21, $C$9, 100%, $E$9)</f>
        <v>29.7394</v>
      </c>
      <c r="T555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555" s="57">
        <f>(1000*CHOOSE(CONTROL!$C$42, 695, 695)*CHOOSE(CONTROL!$C$42, 0.5599, 0.5599)*CHOOSE(CONTROL!$C$42, 31, 31))/1000000</f>
        <v>12.063045499999998</v>
      </c>
      <c r="V555" s="57">
        <f>(1000*CHOOSE(CONTROL!$C$42, 500, 500)*CHOOSE(CONTROL!$C$42, 0.275, 0.275)*CHOOSE(CONTROL!$C$42, 31, 31))/1000000</f>
        <v>4.2625000000000002</v>
      </c>
      <c r="W555" s="57">
        <f>(1000*CHOOSE(CONTROL!$C$42, 0.0916, 0.0916)*CHOOSE(CONTROL!$C$42, 121.5, 121.5)*CHOOSE(CONTROL!$C$42, 31, 31))/1000000</f>
        <v>0.34501139999999997</v>
      </c>
      <c r="X555" s="57">
        <f>(31*0.2374*100000/1000000)</f>
        <v>0.73594000000000004</v>
      </c>
      <c r="Y555" s="57"/>
      <c r="Z555" s="17"/>
      <c r="AA555" s="56"/>
      <c r="AB555" s="49">
        <f>(B555*122.58+C555*297.941+D555*89.177+E555*140.302+F555*40+G555*60+H555*0+I555*100+J555*300)/(122.58+297.941+89.177+140.302+0+40+60+100+300)</f>
        <v>30.722146784260865</v>
      </c>
      <c r="AC555" s="46">
        <f>(M555*'RAP TEMPLATE-GAS AVAILABILITY'!O554+N555*'RAP TEMPLATE-GAS AVAILABILITY'!P554+O555*'RAP TEMPLATE-GAS AVAILABILITY'!Q554+P555*'RAP TEMPLATE-GAS AVAILABILITY'!R554)/('RAP TEMPLATE-GAS AVAILABILITY'!O554+'RAP TEMPLATE-GAS AVAILABILITY'!P554+'RAP TEMPLATE-GAS AVAILABILITY'!Q554+'RAP TEMPLATE-GAS AVAILABILITY'!R554)</f>
        <v>30.494803597122299</v>
      </c>
    </row>
    <row r="556" spans="1:29" ht="15.75" x14ac:dyDescent="0.25">
      <c r="A556" s="13">
        <v>57830</v>
      </c>
      <c r="B556" s="17">
        <f>CHOOSE(CONTROL!$C$42, 30.5877, 30.5877) * CHOOSE(CONTROL!$C$21, $C$9, 100%, $E$9)</f>
        <v>30.587700000000002</v>
      </c>
      <c r="C556" s="17">
        <f>CHOOSE(CONTROL!$C$42, 30.5922, 30.5922) * CHOOSE(CONTROL!$C$21, $C$9, 100%, $E$9)</f>
        <v>30.592199999999998</v>
      </c>
      <c r="D556" s="17">
        <f>CHOOSE(CONTROL!$C$42, 30.8449, 30.8449) * CHOOSE(CONTROL!$C$21, $C$9, 100%, $E$9)</f>
        <v>30.844899999999999</v>
      </c>
      <c r="E556" s="17">
        <f>CHOOSE(CONTROL!$C$42, 30.8767, 30.8767) * CHOOSE(CONTROL!$C$21, $C$9, 100%, $E$9)</f>
        <v>30.8767</v>
      </c>
      <c r="F556" s="17">
        <f>CHOOSE(CONTROL!$C$42, 30.5936, 30.5936)*CHOOSE(CONTROL!$C$21, $C$9, 100%, $E$9)</f>
        <v>30.593599999999999</v>
      </c>
      <c r="G556" s="17">
        <f>CHOOSE(CONTROL!$C$42, 30.6095, 30.6095)*CHOOSE(CONTROL!$C$21, $C$9, 100%, $E$9)</f>
        <v>30.609500000000001</v>
      </c>
      <c r="H556" s="17">
        <f>CHOOSE(CONTROL!$C$42, 30.8662, 30.8662) * CHOOSE(CONTROL!$C$21, $C$9, 100%, $E$9)</f>
        <v>30.866199999999999</v>
      </c>
      <c r="I556" s="17">
        <f>CHOOSE(CONTROL!$C$42, 30.7042, 30.7042)* CHOOSE(CONTROL!$C$21, $C$9, 100%, $E$9)</f>
        <v>30.7042</v>
      </c>
      <c r="J556" s="17">
        <f>CHOOSE(CONTROL!$C$42, 30.5862, 30.5862)* CHOOSE(CONTROL!$C$21, $C$9, 100%, $E$9)</f>
        <v>30.586200000000002</v>
      </c>
      <c r="K556" s="53">
        <f>CHOOSE(CONTROL!$C$42, 30.6982, 30.6982) * CHOOSE(CONTROL!$C$21, $C$9, 100%, $E$9)</f>
        <v>30.6982</v>
      </c>
      <c r="L556" s="17">
        <f>CHOOSE(CONTROL!$C$42, 31.4532, 31.4532) * CHOOSE(CONTROL!$C$21, $C$9, 100%, $E$9)</f>
        <v>31.453199999999999</v>
      </c>
      <c r="M556" s="17">
        <f>CHOOSE(CONTROL!$C$42, 30.3182, 30.3182) * CHOOSE(CONTROL!$C$21, $C$9, 100%, $E$9)</f>
        <v>30.318200000000001</v>
      </c>
      <c r="N556" s="17">
        <f>CHOOSE(CONTROL!$C$42, 30.3339, 30.3339) * CHOOSE(CONTROL!$C$21, $C$9, 100%, $E$9)</f>
        <v>30.3339</v>
      </c>
      <c r="O556" s="17">
        <f>CHOOSE(CONTROL!$C$42, 30.5956, 30.5956) * CHOOSE(CONTROL!$C$21, $C$9, 100%, $E$9)</f>
        <v>30.595600000000001</v>
      </c>
      <c r="P556" s="17">
        <f>CHOOSE(CONTROL!$C$42, 30.4343, 30.4343) * CHOOSE(CONTROL!$C$21, $C$9, 100%, $E$9)</f>
        <v>30.4343</v>
      </c>
      <c r="Q556" s="17">
        <f>CHOOSE(CONTROL!$C$42, 31.1903, 31.1903) * CHOOSE(CONTROL!$C$21, $C$9, 100%, $E$9)</f>
        <v>31.190300000000001</v>
      </c>
      <c r="R556" s="17">
        <f>CHOOSE(CONTROL!$C$42, 31.8552, 31.8552) * CHOOSE(CONTROL!$C$21, $C$9, 100%, $E$9)</f>
        <v>31.8552</v>
      </c>
      <c r="S556" s="17">
        <f>CHOOSE(CONTROL!$C$42, 29.6506, 29.6506) * CHOOSE(CONTROL!$C$21, $C$9, 100%, $E$9)</f>
        <v>29.650600000000001</v>
      </c>
      <c r="T556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556" s="57">
        <f>(1000*CHOOSE(CONTROL!$C$42, 695, 695)*CHOOSE(CONTROL!$C$42, 0.5599, 0.5599)*CHOOSE(CONTROL!$C$42, 30, 30))/1000000</f>
        <v>11.673914999999997</v>
      </c>
      <c r="V556" s="57">
        <f>(1000*CHOOSE(CONTROL!$C$42, 500, 500)*CHOOSE(CONTROL!$C$42, 0.275, 0.275)*CHOOSE(CONTROL!$C$42, 30, 30))/1000000</f>
        <v>4.125</v>
      </c>
      <c r="W556" s="57">
        <f>(1000*CHOOSE(CONTROL!$C$42, 0.0916, 0.0916)*CHOOSE(CONTROL!$C$42, 121.5, 121.5)*CHOOSE(CONTROL!$C$42, 30, 30))/1000000</f>
        <v>0.33388200000000001</v>
      </c>
      <c r="X556" s="57">
        <f>(30*0.1790888*145000/1000000)+(30*0.2374*100000/1000000)</f>
        <v>1.4912362799999999</v>
      </c>
      <c r="Y556" s="57"/>
      <c r="Z556" s="17"/>
      <c r="AA556" s="56"/>
      <c r="AB556" s="49">
        <f>(B556*141.293+C556*267.993+D556*115.016+E556*189.698+F556*40+G556*85+H556*0+I556*100+J556*300)/(141.293+267.993+115.016+189.698+0+40+85+100+300)</f>
        <v>30.667522280629541</v>
      </c>
      <c r="AC556" s="46">
        <f>(M556*'RAP TEMPLATE-GAS AVAILABILITY'!O555+N556*'RAP TEMPLATE-GAS AVAILABILITY'!P555+O556*'RAP TEMPLATE-GAS AVAILABILITY'!Q555+P556*'RAP TEMPLATE-GAS AVAILABILITY'!R555)/('RAP TEMPLATE-GAS AVAILABILITY'!O555+'RAP TEMPLATE-GAS AVAILABILITY'!P555+'RAP TEMPLATE-GAS AVAILABILITY'!Q555+'RAP TEMPLATE-GAS AVAILABILITY'!R555)</f>
        <v>30.416351079136692</v>
      </c>
    </row>
    <row r="557" spans="1:29" ht="15.75" x14ac:dyDescent="0.25">
      <c r="A557" s="13">
        <v>57861</v>
      </c>
      <c r="B557" s="17">
        <f>CHOOSE(CONTROL!$C$42, 30.8589, 30.8589) * CHOOSE(CONTROL!$C$21, $C$9, 100%, $E$9)</f>
        <v>30.858899999999998</v>
      </c>
      <c r="C557" s="17">
        <f>CHOOSE(CONTROL!$C$42, 30.8669, 30.8669) * CHOOSE(CONTROL!$C$21, $C$9, 100%, $E$9)</f>
        <v>30.866900000000001</v>
      </c>
      <c r="D557" s="17">
        <f>CHOOSE(CONTROL!$C$42, 31.1165, 31.1165) * CHOOSE(CONTROL!$C$21, $C$9, 100%, $E$9)</f>
        <v>31.116499999999998</v>
      </c>
      <c r="E557" s="17">
        <f>CHOOSE(CONTROL!$C$42, 31.1477, 31.1477) * CHOOSE(CONTROL!$C$21, $C$9, 100%, $E$9)</f>
        <v>31.1477</v>
      </c>
      <c r="F557" s="17">
        <f>CHOOSE(CONTROL!$C$42, 30.8638, 30.8638)*CHOOSE(CONTROL!$C$21, $C$9, 100%, $E$9)</f>
        <v>30.863800000000001</v>
      </c>
      <c r="G557" s="17">
        <f>CHOOSE(CONTROL!$C$42, 30.8799, 30.8799)*CHOOSE(CONTROL!$C$21, $C$9, 100%, $E$9)</f>
        <v>30.879899999999999</v>
      </c>
      <c r="H557" s="17">
        <f>CHOOSE(CONTROL!$C$42, 31.136, 31.136) * CHOOSE(CONTROL!$C$21, $C$9, 100%, $E$9)</f>
        <v>31.135999999999999</v>
      </c>
      <c r="I557" s="17">
        <f>CHOOSE(CONTROL!$C$42, 30.9749, 30.9749)* CHOOSE(CONTROL!$C$21, $C$9, 100%, $E$9)</f>
        <v>30.974900000000002</v>
      </c>
      <c r="J557" s="17">
        <f>CHOOSE(CONTROL!$C$42, 30.8564, 30.8564)* CHOOSE(CONTROL!$C$21, $C$9, 100%, $E$9)</f>
        <v>30.856400000000001</v>
      </c>
      <c r="K557" s="53">
        <f>CHOOSE(CONTROL!$C$42, 30.9689, 30.9689) * CHOOSE(CONTROL!$C$21, $C$9, 100%, $E$9)</f>
        <v>30.968900000000001</v>
      </c>
      <c r="L557" s="17">
        <f>CHOOSE(CONTROL!$C$42, 31.723, 31.723) * CHOOSE(CONTROL!$C$21, $C$9, 100%, $E$9)</f>
        <v>31.722999999999999</v>
      </c>
      <c r="M557" s="17">
        <f>CHOOSE(CONTROL!$C$42, 30.5859, 30.5859) * CHOOSE(CONTROL!$C$21, $C$9, 100%, $E$9)</f>
        <v>30.585899999999999</v>
      </c>
      <c r="N557" s="17">
        <f>CHOOSE(CONTROL!$C$42, 30.6018, 30.6018) * CHOOSE(CONTROL!$C$21, $C$9, 100%, $E$9)</f>
        <v>30.601800000000001</v>
      </c>
      <c r="O557" s="17">
        <f>CHOOSE(CONTROL!$C$42, 30.863, 30.863) * CHOOSE(CONTROL!$C$21, $C$9, 100%, $E$9)</f>
        <v>30.863</v>
      </c>
      <c r="P557" s="17">
        <f>CHOOSE(CONTROL!$C$42, 30.7025, 30.7025) * CHOOSE(CONTROL!$C$21, $C$9, 100%, $E$9)</f>
        <v>30.702500000000001</v>
      </c>
      <c r="Q557" s="17">
        <f>CHOOSE(CONTROL!$C$42, 31.4577, 31.4577) * CHOOSE(CONTROL!$C$21, $C$9, 100%, $E$9)</f>
        <v>31.457699999999999</v>
      </c>
      <c r="R557" s="17">
        <f>CHOOSE(CONTROL!$C$42, 32.1234, 32.1234) * CHOOSE(CONTROL!$C$21, $C$9, 100%, $E$9)</f>
        <v>32.123399999999997</v>
      </c>
      <c r="S557" s="17">
        <f>CHOOSE(CONTROL!$C$42, 29.9123, 29.9123) * CHOOSE(CONTROL!$C$21, $C$9, 100%, $E$9)</f>
        <v>29.912299999999998</v>
      </c>
      <c r="T557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557" s="57">
        <f>(1000*CHOOSE(CONTROL!$C$42, 695, 695)*CHOOSE(CONTROL!$C$42, 0.5599, 0.5599)*CHOOSE(CONTROL!$C$42, 31, 31))/1000000</f>
        <v>12.063045499999998</v>
      </c>
      <c r="V557" s="57">
        <f>(1000*CHOOSE(CONTROL!$C$42, 500, 500)*CHOOSE(CONTROL!$C$42, 0.275, 0.275)*CHOOSE(CONTROL!$C$42, 31, 31))/1000000</f>
        <v>4.2625000000000002</v>
      </c>
      <c r="W557" s="57">
        <f>(1000*CHOOSE(CONTROL!$C$42, 0.0916, 0.0916)*CHOOSE(CONTROL!$C$42, 121.5, 121.5)*CHOOSE(CONTROL!$C$42, 31, 31))/1000000</f>
        <v>0.34501139999999997</v>
      </c>
      <c r="X557" s="57">
        <f>(31*0.1790888*145000/1000000)+(31*0.2374*100000/1000000)</f>
        <v>1.5409441560000001</v>
      </c>
      <c r="Y557" s="57"/>
      <c r="Z557" s="17"/>
      <c r="AA557" s="56"/>
      <c r="AB557" s="49">
        <f>(B557*194.205+C557*267.466+D557*133.845+E557*153.484+F557*40+G557*85+H557*0+I557*100+J557*300)/(194.205+267.466+133.845+153.484+0+40+85+100+300)</f>
        <v>30.932507048037682</v>
      </c>
      <c r="AC557" s="46">
        <f>(M557*'RAP TEMPLATE-GAS AVAILABILITY'!O556+N557*'RAP TEMPLATE-GAS AVAILABILITY'!P556+O557*'RAP TEMPLATE-GAS AVAILABILITY'!Q556+P557*'RAP TEMPLATE-GAS AVAILABILITY'!R556)/('RAP TEMPLATE-GAS AVAILABILITY'!O556+'RAP TEMPLATE-GAS AVAILABILITY'!P556+'RAP TEMPLATE-GAS AVAILABILITY'!Q556+'RAP TEMPLATE-GAS AVAILABILITY'!R556)</f>
        <v>30.684084892086329</v>
      </c>
    </row>
    <row r="558" spans="1:29" ht="15.75" x14ac:dyDescent="0.25">
      <c r="A558" s="13">
        <v>57891</v>
      </c>
      <c r="B558" s="17">
        <f>CHOOSE(CONTROL!$C$42, 31.7339, 31.7339) * CHOOSE(CONTROL!$C$21, $C$9, 100%, $E$9)</f>
        <v>31.733899999999998</v>
      </c>
      <c r="C558" s="17">
        <f>CHOOSE(CONTROL!$C$42, 31.7419, 31.7419) * CHOOSE(CONTROL!$C$21, $C$9, 100%, $E$9)</f>
        <v>31.741900000000001</v>
      </c>
      <c r="D558" s="17">
        <f>CHOOSE(CONTROL!$C$42, 31.9915, 31.9915) * CHOOSE(CONTROL!$C$21, $C$9, 100%, $E$9)</f>
        <v>31.991499999999998</v>
      </c>
      <c r="E558" s="17">
        <f>CHOOSE(CONTROL!$C$42, 32.0227, 32.0227) * CHOOSE(CONTROL!$C$21, $C$9, 100%, $E$9)</f>
        <v>32.0227</v>
      </c>
      <c r="F558" s="17">
        <f>CHOOSE(CONTROL!$C$42, 31.7391, 31.7391)*CHOOSE(CONTROL!$C$21, $C$9, 100%, $E$9)</f>
        <v>31.739100000000001</v>
      </c>
      <c r="G558" s="17">
        <f>CHOOSE(CONTROL!$C$42, 31.7553, 31.7553)*CHOOSE(CONTROL!$C$21, $C$9, 100%, $E$9)</f>
        <v>31.755299999999998</v>
      </c>
      <c r="H558" s="17">
        <f>CHOOSE(CONTROL!$C$42, 32.011, 32.011) * CHOOSE(CONTROL!$C$21, $C$9, 100%, $E$9)</f>
        <v>32.011000000000003</v>
      </c>
      <c r="I558" s="17">
        <f>CHOOSE(CONTROL!$C$42, 31.8526, 31.8526)* CHOOSE(CONTROL!$C$21, $C$9, 100%, $E$9)</f>
        <v>31.852599999999999</v>
      </c>
      <c r="J558" s="17">
        <f>CHOOSE(CONTROL!$C$42, 31.7317, 31.7317)* CHOOSE(CONTROL!$C$21, $C$9, 100%, $E$9)</f>
        <v>31.7317</v>
      </c>
      <c r="K558" s="53">
        <f>CHOOSE(CONTROL!$C$42, 31.8466, 31.8466) * CHOOSE(CONTROL!$C$21, $C$9, 100%, $E$9)</f>
        <v>31.846599999999999</v>
      </c>
      <c r="L558" s="17">
        <f>CHOOSE(CONTROL!$C$42, 32.598, 32.598) * CHOOSE(CONTROL!$C$21, $C$9, 100%, $E$9)</f>
        <v>32.597999999999999</v>
      </c>
      <c r="M558" s="17">
        <f>CHOOSE(CONTROL!$C$42, 31.4533, 31.4533) * CHOOSE(CONTROL!$C$21, $C$9, 100%, $E$9)</f>
        <v>31.453299999999999</v>
      </c>
      <c r="N558" s="17">
        <f>CHOOSE(CONTROL!$C$42, 31.4694, 31.4694) * CHOOSE(CONTROL!$C$21, $C$9, 100%, $E$9)</f>
        <v>31.4694</v>
      </c>
      <c r="O558" s="17">
        <f>CHOOSE(CONTROL!$C$42, 31.7301, 31.7301) * CHOOSE(CONTROL!$C$21, $C$9, 100%, $E$9)</f>
        <v>31.7301</v>
      </c>
      <c r="P558" s="17">
        <f>CHOOSE(CONTROL!$C$42, 31.5723, 31.5723) * CHOOSE(CONTROL!$C$21, $C$9, 100%, $E$9)</f>
        <v>31.572299999999998</v>
      </c>
      <c r="Q558" s="17">
        <f>CHOOSE(CONTROL!$C$42, 32.3248, 32.3248) * CHOOSE(CONTROL!$C$21, $C$9, 100%, $E$9)</f>
        <v>32.324800000000003</v>
      </c>
      <c r="R558" s="17">
        <f>CHOOSE(CONTROL!$C$42, 32.9926, 32.9926) * CHOOSE(CONTROL!$C$21, $C$9, 100%, $E$9)</f>
        <v>32.992600000000003</v>
      </c>
      <c r="S558" s="17">
        <f>CHOOSE(CONTROL!$C$42, 30.7608, 30.7608) * CHOOSE(CONTROL!$C$21, $C$9, 100%, $E$9)</f>
        <v>30.7608</v>
      </c>
      <c r="T558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558" s="57">
        <f>(1000*CHOOSE(CONTROL!$C$42, 695, 695)*CHOOSE(CONTROL!$C$42, 0.5599, 0.5599)*CHOOSE(CONTROL!$C$42, 30, 30))/1000000</f>
        <v>11.673914999999997</v>
      </c>
      <c r="V558" s="57">
        <f>(1000*CHOOSE(CONTROL!$C$42, 500, 500)*CHOOSE(CONTROL!$C$42, 0.275, 0.275)*CHOOSE(CONTROL!$C$42, 30, 30))/1000000</f>
        <v>4.125</v>
      </c>
      <c r="W558" s="57">
        <f>(1000*CHOOSE(CONTROL!$C$42, 0.0916, 0.0916)*CHOOSE(CONTROL!$C$42, 121.5, 121.5)*CHOOSE(CONTROL!$C$42, 30, 30))/1000000</f>
        <v>0.33388200000000001</v>
      </c>
      <c r="X558" s="57">
        <f>(30*0.1790888*145000/1000000)+(30*0.2374*100000/1000000)</f>
        <v>1.4912362799999999</v>
      </c>
      <c r="Y558" s="57"/>
      <c r="Z558" s="17"/>
      <c r="AA558" s="56"/>
      <c r="AB558" s="49">
        <f>(B558*194.205+C558*267.466+D558*133.845+E558*153.484+F558*40+G558*85+H558*0+I558*100+J558*300)/(194.205+267.466+133.845+153.484+0+40+85+100+300)</f>
        <v>31.80782572935636</v>
      </c>
      <c r="AC558" s="46">
        <f>(M558*'RAP TEMPLATE-GAS AVAILABILITY'!O557+N558*'RAP TEMPLATE-GAS AVAILABILITY'!P557+O558*'RAP TEMPLATE-GAS AVAILABILITY'!Q557+P558*'RAP TEMPLATE-GAS AVAILABILITY'!R557)/('RAP TEMPLATE-GAS AVAILABILITY'!O557+'RAP TEMPLATE-GAS AVAILABILITY'!P557+'RAP TEMPLATE-GAS AVAILABILITY'!Q557+'RAP TEMPLATE-GAS AVAILABILITY'!R557)</f>
        <v>31.551792086330938</v>
      </c>
    </row>
    <row r="559" spans="1:29" ht="15.75" x14ac:dyDescent="0.25">
      <c r="A559" s="13">
        <v>57922</v>
      </c>
      <c r="B559" s="17">
        <f>CHOOSE(CONTROL!$C$42, 31.1253, 31.1253) * CHOOSE(CONTROL!$C$21, $C$9, 100%, $E$9)</f>
        <v>31.125299999999999</v>
      </c>
      <c r="C559" s="17">
        <f>CHOOSE(CONTROL!$C$42, 31.1333, 31.1333) * CHOOSE(CONTROL!$C$21, $C$9, 100%, $E$9)</f>
        <v>31.133299999999998</v>
      </c>
      <c r="D559" s="17">
        <f>CHOOSE(CONTROL!$C$42, 31.383, 31.383) * CHOOSE(CONTROL!$C$21, $C$9, 100%, $E$9)</f>
        <v>31.382999999999999</v>
      </c>
      <c r="E559" s="17">
        <f>CHOOSE(CONTROL!$C$42, 31.4141, 31.4141) * CHOOSE(CONTROL!$C$21, $C$9, 100%, $E$9)</f>
        <v>31.414100000000001</v>
      </c>
      <c r="F559" s="17">
        <f>CHOOSE(CONTROL!$C$42, 31.131, 31.131)*CHOOSE(CONTROL!$C$21, $C$9, 100%, $E$9)</f>
        <v>31.131</v>
      </c>
      <c r="G559" s="17">
        <f>CHOOSE(CONTROL!$C$42, 31.1474, 31.1474)*CHOOSE(CONTROL!$C$21, $C$9, 100%, $E$9)</f>
        <v>31.147400000000001</v>
      </c>
      <c r="H559" s="17">
        <f>CHOOSE(CONTROL!$C$42, 31.4025, 31.4025) * CHOOSE(CONTROL!$C$21, $C$9, 100%, $E$9)</f>
        <v>31.4025</v>
      </c>
      <c r="I559" s="17">
        <f>CHOOSE(CONTROL!$C$42, 31.2422, 31.2422)* CHOOSE(CONTROL!$C$21, $C$9, 100%, $E$9)</f>
        <v>31.2422</v>
      </c>
      <c r="J559" s="17">
        <f>CHOOSE(CONTROL!$C$42, 31.1236, 31.1236)* CHOOSE(CONTROL!$C$21, $C$9, 100%, $E$9)</f>
        <v>31.1236</v>
      </c>
      <c r="K559" s="53">
        <f>CHOOSE(CONTROL!$C$42, 31.2361, 31.2361) * CHOOSE(CONTROL!$C$21, $C$9, 100%, $E$9)</f>
        <v>31.2361</v>
      </c>
      <c r="L559" s="17">
        <f>CHOOSE(CONTROL!$C$42, 31.9895, 31.9895) * CHOOSE(CONTROL!$C$21, $C$9, 100%, $E$9)</f>
        <v>31.9895</v>
      </c>
      <c r="M559" s="17">
        <f>CHOOSE(CONTROL!$C$42, 30.8507, 30.8507) * CHOOSE(CONTROL!$C$21, $C$9, 100%, $E$9)</f>
        <v>30.8507</v>
      </c>
      <c r="N559" s="17">
        <f>CHOOSE(CONTROL!$C$42, 30.8669, 30.8669) * CHOOSE(CONTROL!$C$21, $C$9, 100%, $E$9)</f>
        <v>30.866900000000001</v>
      </c>
      <c r="O559" s="17">
        <f>CHOOSE(CONTROL!$C$42, 31.127, 31.127) * CHOOSE(CONTROL!$C$21, $C$9, 100%, $E$9)</f>
        <v>31.126999999999999</v>
      </c>
      <c r="P559" s="17">
        <f>CHOOSE(CONTROL!$C$42, 30.9674, 30.9674) * CHOOSE(CONTROL!$C$21, $C$9, 100%, $E$9)</f>
        <v>30.967400000000001</v>
      </c>
      <c r="Q559" s="17">
        <f>CHOOSE(CONTROL!$C$42, 31.7217, 31.7217) * CHOOSE(CONTROL!$C$21, $C$9, 100%, $E$9)</f>
        <v>31.721699999999998</v>
      </c>
      <c r="R559" s="17">
        <f>CHOOSE(CONTROL!$C$42, 32.388, 32.388) * CHOOSE(CONTROL!$C$21, $C$9, 100%, $E$9)</f>
        <v>32.387999999999998</v>
      </c>
      <c r="S559" s="17">
        <f>CHOOSE(CONTROL!$C$42, 30.1707, 30.1707) * CHOOSE(CONTROL!$C$21, $C$9, 100%, $E$9)</f>
        <v>30.1707</v>
      </c>
      <c r="T559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559" s="57">
        <f>(1000*CHOOSE(CONTROL!$C$42, 695, 695)*CHOOSE(CONTROL!$C$42, 0.5599, 0.5599)*CHOOSE(CONTROL!$C$42, 31, 31))/1000000</f>
        <v>12.063045499999998</v>
      </c>
      <c r="V559" s="57">
        <f>(1000*CHOOSE(CONTROL!$C$42, 500, 500)*CHOOSE(CONTROL!$C$42, 0.275, 0.275)*CHOOSE(CONTROL!$C$42, 31, 31))/1000000</f>
        <v>4.2625000000000002</v>
      </c>
      <c r="W559" s="57">
        <f>(1000*CHOOSE(CONTROL!$C$42, 0.0916, 0.0916)*CHOOSE(CONTROL!$C$42, 121.5, 121.5)*CHOOSE(CONTROL!$C$42, 31, 31))/1000000</f>
        <v>0.34501139999999997</v>
      </c>
      <c r="X559" s="57">
        <f>(31*0.1790888*145000/1000000)+(31*0.2374*100000/1000000)</f>
        <v>1.5409441560000001</v>
      </c>
      <c r="Y559" s="57"/>
      <c r="Z559" s="17"/>
      <c r="AA559" s="56"/>
      <c r="AB559" s="49">
        <f>(B559*194.205+C559*267.466+D559*133.845+E559*153.484+F559*40+G559*85+H559*0+I559*100+J559*300)/(194.205+267.466+133.845+153.484+0+40+85+100+300)</f>
        <v>31.199275089246473</v>
      </c>
      <c r="AC559" s="46">
        <f>(M559*'RAP TEMPLATE-GAS AVAILABILITY'!O558+N559*'RAP TEMPLATE-GAS AVAILABILITY'!P558+O559*'RAP TEMPLATE-GAS AVAILABILITY'!Q558+P559*'RAP TEMPLATE-GAS AVAILABILITY'!R558)/('RAP TEMPLATE-GAS AVAILABILITY'!O558+'RAP TEMPLATE-GAS AVAILABILITY'!P558+'RAP TEMPLATE-GAS AVAILABILITY'!Q558+'RAP TEMPLATE-GAS AVAILABILITY'!R558)</f>
        <v>30.948743884892085</v>
      </c>
    </row>
    <row r="560" spans="1:29" ht="15.75" x14ac:dyDescent="0.25">
      <c r="A560" s="13">
        <v>57953</v>
      </c>
      <c r="B560" s="17">
        <f>CHOOSE(CONTROL!$C$42, 29.5885, 29.5885) * CHOOSE(CONTROL!$C$21, $C$9, 100%, $E$9)</f>
        <v>29.5885</v>
      </c>
      <c r="C560" s="17">
        <f>CHOOSE(CONTROL!$C$42, 29.5965, 29.5965) * CHOOSE(CONTROL!$C$21, $C$9, 100%, $E$9)</f>
        <v>29.596499999999999</v>
      </c>
      <c r="D560" s="17">
        <f>CHOOSE(CONTROL!$C$42, 29.8461, 29.8461) * CHOOSE(CONTROL!$C$21, $C$9, 100%, $E$9)</f>
        <v>29.8461</v>
      </c>
      <c r="E560" s="17">
        <f>CHOOSE(CONTROL!$C$42, 29.8773, 29.8773) * CHOOSE(CONTROL!$C$21, $C$9, 100%, $E$9)</f>
        <v>29.877300000000002</v>
      </c>
      <c r="F560" s="17">
        <f>CHOOSE(CONTROL!$C$42, 29.5945, 29.5945)*CHOOSE(CONTROL!$C$21, $C$9, 100%, $E$9)</f>
        <v>29.5945</v>
      </c>
      <c r="G560" s="17">
        <f>CHOOSE(CONTROL!$C$42, 29.6109, 29.6109)*CHOOSE(CONTROL!$C$21, $C$9, 100%, $E$9)</f>
        <v>29.610900000000001</v>
      </c>
      <c r="H560" s="17">
        <f>CHOOSE(CONTROL!$C$42, 29.8656, 29.8656) * CHOOSE(CONTROL!$C$21, $C$9, 100%, $E$9)</f>
        <v>29.865600000000001</v>
      </c>
      <c r="I560" s="17">
        <f>CHOOSE(CONTROL!$C$42, 29.7006, 29.7006)* CHOOSE(CONTROL!$C$21, $C$9, 100%, $E$9)</f>
        <v>29.700600000000001</v>
      </c>
      <c r="J560" s="17">
        <f>CHOOSE(CONTROL!$C$42, 29.5871, 29.5871)* CHOOSE(CONTROL!$C$21, $C$9, 100%, $E$9)</f>
        <v>29.5871</v>
      </c>
      <c r="K560" s="53">
        <f>CHOOSE(CONTROL!$C$42, 29.6945, 29.6945) * CHOOSE(CONTROL!$C$21, $C$9, 100%, $E$9)</f>
        <v>29.694500000000001</v>
      </c>
      <c r="L560" s="17">
        <f>CHOOSE(CONTROL!$C$42, 30.4526, 30.4526) * CHOOSE(CONTROL!$C$21, $C$9, 100%, $E$9)</f>
        <v>30.4526</v>
      </c>
      <c r="M560" s="17">
        <f>CHOOSE(CONTROL!$C$42, 29.328, 29.328) * CHOOSE(CONTROL!$C$21, $C$9, 100%, $E$9)</f>
        <v>29.327999999999999</v>
      </c>
      <c r="N560" s="17">
        <f>CHOOSE(CONTROL!$C$42, 29.3443, 29.3443) * CHOOSE(CONTROL!$C$21, $C$9, 100%, $E$9)</f>
        <v>29.3443</v>
      </c>
      <c r="O560" s="17">
        <f>CHOOSE(CONTROL!$C$42, 29.6041, 29.6041) * CHOOSE(CONTROL!$C$21, $C$9, 100%, $E$9)</f>
        <v>29.604099999999999</v>
      </c>
      <c r="P560" s="17">
        <f>CHOOSE(CONTROL!$C$42, 29.4397, 29.4397) * CHOOSE(CONTROL!$C$21, $C$9, 100%, $E$9)</f>
        <v>29.439699999999998</v>
      </c>
      <c r="Q560" s="17">
        <f>CHOOSE(CONTROL!$C$42, 30.1988, 30.1988) * CHOOSE(CONTROL!$C$21, $C$9, 100%, $E$9)</f>
        <v>30.198799999999999</v>
      </c>
      <c r="R560" s="17">
        <f>CHOOSE(CONTROL!$C$42, 30.8613, 30.8613) * CHOOSE(CONTROL!$C$21, $C$9, 100%, $E$9)</f>
        <v>30.8613</v>
      </c>
      <c r="S560" s="17">
        <f>CHOOSE(CONTROL!$C$42, 28.6804, 28.6804) * CHOOSE(CONTROL!$C$21, $C$9, 100%, $E$9)</f>
        <v>28.680399999999999</v>
      </c>
      <c r="T560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560" s="57">
        <f>(1000*CHOOSE(CONTROL!$C$42, 695, 695)*CHOOSE(CONTROL!$C$42, 0.5599, 0.5599)*CHOOSE(CONTROL!$C$42, 31, 31))/1000000</f>
        <v>12.063045499999998</v>
      </c>
      <c r="V560" s="57">
        <f>(1000*CHOOSE(CONTROL!$C$42, 500, 500)*CHOOSE(CONTROL!$C$42, 0.275, 0.275)*CHOOSE(CONTROL!$C$42, 31, 31))/1000000</f>
        <v>4.2625000000000002</v>
      </c>
      <c r="W560" s="57">
        <f>(1000*CHOOSE(CONTROL!$C$42, 0.0916, 0.0916)*CHOOSE(CONTROL!$C$42, 121.5, 121.5)*CHOOSE(CONTROL!$C$42, 31, 31))/1000000</f>
        <v>0.34501139999999997</v>
      </c>
      <c r="X560" s="57">
        <f>(31*0.1790888*145000/1000000)+(31*0.2374*100000/1000000)</f>
        <v>1.5409441560000001</v>
      </c>
      <c r="Y560" s="57"/>
      <c r="Z560" s="17"/>
      <c r="AA560" s="56"/>
      <c r="AB560" s="49">
        <f>(B560*194.205+C560*267.466+D560*133.845+E560*153.484+F560*40+G560*85+H560*0+I560*100+J560*300)/(194.205+267.466+133.845+153.484+0+40+85+100+300)</f>
        <v>29.662187895761388</v>
      </c>
      <c r="AC560" s="46">
        <f>(M560*'RAP TEMPLATE-GAS AVAILABILITY'!O559+N560*'RAP TEMPLATE-GAS AVAILABILITY'!P559+O560*'RAP TEMPLATE-GAS AVAILABILITY'!Q559+P560*'RAP TEMPLATE-GAS AVAILABILITY'!R559)/('RAP TEMPLATE-GAS AVAILABILITY'!O559+'RAP TEMPLATE-GAS AVAILABILITY'!P559+'RAP TEMPLATE-GAS AVAILABILITY'!Q559+'RAP TEMPLATE-GAS AVAILABILITY'!R559)</f>
        <v>29.425291366906478</v>
      </c>
    </row>
    <row r="561" spans="1:29" ht="15.75" x14ac:dyDescent="0.25">
      <c r="A561" s="13">
        <v>57983</v>
      </c>
      <c r="B561" s="17">
        <f>CHOOSE(CONTROL!$C$42, 27.7106, 27.7106) * CHOOSE(CONTROL!$C$21, $C$9, 100%, $E$9)</f>
        <v>27.710599999999999</v>
      </c>
      <c r="C561" s="17">
        <f>CHOOSE(CONTROL!$C$42, 27.7186, 27.7186) * CHOOSE(CONTROL!$C$21, $C$9, 100%, $E$9)</f>
        <v>27.718599999999999</v>
      </c>
      <c r="D561" s="17">
        <f>CHOOSE(CONTROL!$C$42, 27.9682, 27.9682) * CHOOSE(CONTROL!$C$21, $C$9, 100%, $E$9)</f>
        <v>27.9682</v>
      </c>
      <c r="E561" s="17">
        <f>CHOOSE(CONTROL!$C$42, 27.9994, 27.9994) * CHOOSE(CONTROL!$C$21, $C$9, 100%, $E$9)</f>
        <v>27.999400000000001</v>
      </c>
      <c r="F561" s="17">
        <f>CHOOSE(CONTROL!$C$42, 27.7166, 27.7166)*CHOOSE(CONTROL!$C$21, $C$9, 100%, $E$9)</f>
        <v>27.7166</v>
      </c>
      <c r="G561" s="17">
        <f>CHOOSE(CONTROL!$C$42, 27.733, 27.733)*CHOOSE(CONTROL!$C$21, $C$9, 100%, $E$9)</f>
        <v>27.733000000000001</v>
      </c>
      <c r="H561" s="17">
        <f>CHOOSE(CONTROL!$C$42, 27.9877, 27.9877) * CHOOSE(CONTROL!$C$21, $C$9, 100%, $E$9)</f>
        <v>27.9877</v>
      </c>
      <c r="I561" s="17">
        <f>CHOOSE(CONTROL!$C$42, 27.8168, 27.8168)* CHOOSE(CONTROL!$C$21, $C$9, 100%, $E$9)</f>
        <v>27.816800000000001</v>
      </c>
      <c r="J561" s="17">
        <f>CHOOSE(CONTROL!$C$42, 27.7092, 27.7092)* CHOOSE(CONTROL!$C$21, $C$9, 100%, $E$9)</f>
        <v>27.709199999999999</v>
      </c>
      <c r="K561" s="53">
        <f>CHOOSE(CONTROL!$C$42, 27.8108, 27.8108) * CHOOSE(CONTROL!$C$21, $C$9, 100%, $E$9)</f>
        <v>27.8108</v>
      </c>
      <c r="L561" s="17">
        <f>CHOOSE(CONTROL!$C$42, 28.5747, 28.5747) * CHOOSE(CONTROL!$C$21, $C$9, 100%, $E$9)</f>
        <v>28.5747</v>
      </c>
      <c r="M561" s="17">
        <f>CHOOSE(CONTROL!$C$42, 27.467, 27.467) * CHOOSE(CONTROL!$C$21, $C$9, 100%, $E$9)</f>
        <v>27.466999999999999</v>
      </c>
      <c r="N561" s="17">
        <f>CHOOSE(CONTROL!$C$42, 27.4833, 27.4833) * CHOOSE(CONTROL!$C$21, $C$9, 100%, $E$9)</f>
        <v>27.4833</v>
      </c>
      <c r="O561" s="17">
        <f>CHOOSE(CONTROL!$C$42, 27.743, 27.743) * CHOOSE(CONTROL!$C$21, $C$9, 100%, $E$9)</f>
        <v>27.742999999999999</v>
      </c>
      <c r="P561" s="17">
        <f>CHOOSE(CONTROL!$C$42, 27.573, 27.573) * CHOOSE(CONTROL!$C$21, $C$9, 100%, $E$9)</f>
        <v>27.573</v>
      </c>
      <c r="Q561" s="17">
        <f>CHOOSE(CONTROL!$C$42, 28.3377, 28.3377) * CHOOSE(CONTROL!$C$21, $C$9, 100%, $E$9)</f>
        <v>28.337700000000002</v>
      </c>
      <c r="R561" s="17">
        <f>CHOOSE(CONTROL!$C$42, 28.9956, 28.9956) * CHOOSE(CONTROL!$C$21, $C$9, 100%, $E$9)</f>
        <v>28.9956</v>
      </c>
      <c r="S561" s="17">
        <f>CHOOSE(CONTROL!$C$42, 26.8594, 26.8594) * CHOOSE(CONTROL!$C$21, $C$9, 100%, $E$9)</f>
        <v>26.859400000000001</v>
      </c>
      <c r="T561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561" s="57">
        <f>(1000*CHOOSE(CONTROL!$C$42, 695, 695)*CHOOSE(CONTROL!$C$42, 0.5599, 0.5599)*CHOOSE(CONTROL!$C$42, 30, 30))/1000000</f>
        <v>11.673914999999997</v>
      </c>
      <c r="V561" s="57">
        <f>(1000*CHOOSE(CONTROL!$C$42, 500, 500)*CHOOSE(CONTROL!$C$42, 0.275, 0.275)*CHOOSE(CONTROL!$C$42, 30, 30))/1000000</f>
        <v>4.125</v>
      </c>
      <c r="W561" s="57">
        <f>(1000*CHOOSE(CONTROL!$C$42, 0.0916, 0.0916)*CHOOSE(CONTROL!$C$42, 121.5, 121.5)*CHOOSE(CONTROL!$C$42, 30, 30))/1000000</f>
        <v>0.33388200000000001</v>
      </c>
      <c r="X561" s="57">
        <f>(30*0.1790888*145000/1000000)+(30*0.2374*100000/1000000)</f>
        <v>1.4912362799999999</v>
      </c>
      <c r="Y561" s="57"/>
      <c r="Z561" s="17"/>
      <c r="AA561" s="56"/>
      <c r="AB561" s="49">
        <f>(B561*194.205+C561*267.466+D561*133.845+E561*153.484+F561*40+G561*85+H561*0+I561*100+J561*300)/(194.205+267.466+133.845+153.484+0+40+85+100+300)</f>
        <v>27.78382478744113</v>
      </c>
      <c r="AC561" s="46">
        <f>(M561*'RAP TEMPLATE-GAS AVAILABILITY'!O560+N561*'RAP TEMPLATE-GAS AVAILABILITY'!P560+O561*'RAP TEMPLATE-GAS AVAILABILITY'!Q560+P561*'RAP TEMPLATE-GAS AVAILABILITY'!R560)/('RAP TEMPLATE-GAS AVAILABILITY'!O560+'RAP TEMPLATE-GAS AVAILABILITY'!P560+'RAP TEMPLATE-GAS AVAILABILITY'!Q560+'RAP TEMPLATE-GAS AVAILABILITY'!R560)</f>
        <v>27.563443165467621</v>
      </c>
    </row>
    <row r="562" spans="1:29" ht="15.75" x14ac:dyDescent="0.25">
      <c r="A562" s="13">
        <v>58014</v>
      </c>
      <c r="B562" s="17">
        <f>CHOOSE(CONTROL!$C$42, 27.1465, 27.1465) * CHOOSE(CONTROL!$C$21, $C$9, 100%, $E$9)</f>
        <v>27.1465</v>
      </c>
      <c r="C562" s="17">
        <f>CHOOSE(CONTROL!$C$42, 27.1518, 27.1518) * CHOOSE(CONTROL!$C$21, $C$9, 100%, $E$9)</f>
        <v>27.151800000000001</v>
      </c>
      <c r="D562" s="17">
        <f>CHOOSE(CONTROL!$C$42, 27.4063, 27.4063) * CHOOSE(CONTROL!$C$21, $C$9, 100%, $E$9)</f>
        <v>27.406300000000002</v>
      </c>
      <c r="E562" s="17">
        <f>CHOOSE(CONTROL!$C$42, 27.4352, 27.4352) * CHOOSE(CONTROL!$C$21, $C$9, 100%, $E$9)</f>
        <v>27.435199999999998</v>
      </c>
      <c r="F562" s="17">
        <f>CHOOSE(CONTROL!$C$42, 27.1547, 27.1547)*CHOOSE(CONTROL!$C$21, $C$9, 100%, $E$9)</f>
        <v>27.154699999999998</v>
      </c>
      <c r="G562" s="17">
        <f>CHOOSE(CONTROL!$C$42, 27.171, 27.171)*CHOOSE(CONTROL!$C$21, $C$9, 100%, $E$9)</f>
        <v>27.170999999999999</v>
      </c>
      <c r="H562" s="17">
        <f>CHOOSE(CONTROL!$C$42, 27.4253, 27.4253) * CHOOSE(CONTROL!$C$21, $C$9, 100%, $E$9)</f>
        <v>27.4253</v>
      </c>
      <c r="I562" s="17">
        <f>CHOOSE(CONTROL!$C$42, 27.2527, 27.2527)* CHOOSE(CONTROL!$C$21, $C$9, 100%, $E$9)</f>
        <v>27.252700000000001</v>
      </c>
      <c r="J562" s="17">
        <f>CHOOSE(CONTROL!$C$42, 27.1473, 27.1473)* CHOOSE(CONTROL!$C$21, $C$9, 100%, $E$9)</f>
        <v>27.147300000000001</v>
      </c>
      <c r="K562" s="53">
        <f>CHOOSE(CONTROL!$C$42, 27.2467, 27.2467) * CHOOSE(CONTROL!$C$21, $C$9, 100%, $E$9)</f>
        <v>27.246700000000001</v>
      </c>
      <c r="L562" s="17">
        <f>CHOOSE(CONTROL!$C$42, 28.0123, 28.0123) * CHOOSE(CONTROL!$C$21, $C$9, 100%, $E$9)</f>
        <v>28.0123</v>
      </c>
      <c r="M562" s="17">
        <f>CHOOSE(CONTROL!$C$42, 26.9102, 26.9102) * CHOOSE(CONTROL!$C$21, $C$9, 100%, $E$9)</f>
        <v>26.9102</v>
      </c>
      <c r="N562" s="17">
        <f>CHOOSE(CONTROL!$C$42, 26.9264, 26.9264) * CHOOSE(CONTROL!$C$21, $C$9, 100%, $E$9)</f>
        <v>26.926400000000001</v>
      </c>
      <c r="O562" s="17">
        <f>CHOOSE(CONTROL!$C$42, 27.1857, 27.1857) * CHOOSE(CONTROL!$C$21, $C$9, 100%, $E$9)</f>
        <v>27.185700000000001</v>
      </c>
      <c r="P562" s="17">
        <f>CHOOSE(CONTROL!$C$42, 27.0139, 27.0139) * CHOOSE(CONTROL!$C$21, $C$9, 100%, $E$9)</f>
        <v>27.0139</v>
      </c>
      <c r="Q562" s="17">
        <f>CHOOSE(CONTROL!$C$42, 27.7804, 27.7804) * CHOOSE(CONTROL!$C$21, $C$9, 100%, $E$9)</f>
        <v>27.7804</v>
      </c>
      <c r="R562" s="17">
        <f>CHOOSE(CONTROL!$C$42, 28.4368, 28.4368) * CHOOSE(CONTROL!$C$21, $C$9, 100%, $E$9)</f>
        <v>28.436800000000002</v>
      </c>
      <c r="S562" s="17">
        <f>CHOOSE(CONTROL!$C$42, 26.3141, 26.3141) * CHOOSE(CONTROL!$C$21, $C$9, 100%, $E$9)</f>
        <v>26.3141</v>
      </c>
      <c r="T562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562" s="57">
        <f>(1000*CHOOSE(CONTROL!$C$42, 695, 695)*CHOOSE(CONTROL!$C$42, 0.5599, 0.5599)*CHOOSE(CONTROL!$C$42, 31, 31))/1000000</f>
        <v>12.063045499999998</v>
      </c>
      <c r="V562" s="57">
        <f>(1000*CHOOSE(CONTROL!$C$42, 500, 500)*CHOOSE(CONTROL!$C$42, 0.275, 0.275)*CHOOSE(CONTROL!$C$42, 31, 31))/1000000</f>
        <v>4.2625000000000002</v>
      </c>
      <c r="W562" s="57">
        <f>(1000*CHOOSE(CONTROL!$C$42, 0.0916, 0.0916)*CHOOSE(CONTROL!$C$42, 121.5, 121.5)*CHOOSE(CONTROL!$C$42, 31, 31))/1000000</f>
        <v>0.34501139999999997</v>
      </c>
      <c r="X562" s="57">
        <f>(31*0.1790888*145000/1000000)+(31*0.2374*100000/1000000)</f>
        <v>1.5409441560000001</v>
      </c>
      <c r="Y562" s="57"/>
      <c r="Z562" s="17"/>
      <c r="AA562" s="56"/>
      <c r="AB562" s="49">
        <f>(B562*131.881+C562*277.167+D562*79.08+E562*225.872+F562*40+G562*85+H562*0+I562*100+J562*300)/(131.881+277.167+79.08+225.872+0+40+85+100+300)</f>
        <v>27.227608729217113</v>
      </c>
      <c r="AC562" s="46">
        <f>(M562*'RAP TEMPLATE-GAS AVAILABILITY'!O561+N562*'RAP TEMPLATE-GAS AVAILABILITY'!P561+O562*'RAP TEMPLATE-GAS AVAILABILITY'!Q561+P562*'RAP TEMPLATE-GAS AVAILABILITY'!R561)/('RAP TEMPLATE-GAS AVAILABILITY'!O561+'RAP TEMPLATE-GAS AVAILABILITY'!P561+'RAP TEMPLATE-GAS AVAILABILITY'!Q561+'RAP TEMPLATE-GAS AVAILABILITY'!R561)</f>
        <v>27.006148920863307</v>
      </c>
    </row>
    <row r="563" spans="1:29" ht="15.75" x14ac:dyDescent="0.25">
      <c r="A563" s="13">
        <v>58044</v>
      </c>
      <c r="B563" s="17">
        <f>CHOOSE(CONTROL!$C$42, 27.861, 27.861) * CHOOSE(CONTROL!$C$21, $C$9, 100%, $E$9)</f>
        <v>27.861000000000001</v>
      </c>
      <c r="C563" s="17">
        <f>CHOOSE(CONTROL!$C$42, 27.8661, 27.8661) * CHOOSE(CONTROL!$C$21, $C$9, 100%, $E$9)</f>
        <v>27.866099999999999</v>
      </c>
      <c r="D563" s="17">
        <f>CHOOSE(CONTROL!$C$42, 27.9887, 27.9887) * CHOOSE(CONTROL!$C$21, $C$9, 100%, $E$9)</f>
        <v>27.988700000000001</v>
      </c>
      <c r="E563" s="17">
        <f>CHOOSE(CONTROL!$C$42, 28.0224, 28.0224) * CHOOSE(CONTROL!$C$21, $C$9, 100%, $E$9)</f>
        <v>28.022400000000001</v>
      </c>
      <c r="F563" s="17">
        <f>CHOOSE(CONTROL!$C$42, 27.876, 27.876)*CHOOSE(CONTROL!$C$21, $C$9, 100%, $E$9)</f>
        <v>27.876000000000001</v>
      </c>
      <c r="G563" s="17">
        <f>CHOOSE(CONTROL!$C$42, 27.8927, 27.8927)*CHOOSE(CONTROL!$C$21, $C$9, 100%, $E$9)</f>
        <v>27.892700000000001</v>
      </c>
      <c r="H563" s="17">
        <f>CHOOSE(CONTROL!$C$42, 28.0113, 28.0113) * CHOOSE(CONTROL!$C$21, $C$9, 100%, $E$9)</f>
        <v>28.011299999999999</v>
      </c>
      <c r="I563" s="17">
        <f>CHOOSE(CONTROL!$C$42, 27.9724, 27.9724)* CHOOSE(CONTROL!$C$21, $C$9, 100%, $E$9)</f>
        <v>27.9724</v>
      </c>
      <c r="J563" s="17">
        <f>CHOOSE(CONTROL!$C$42, 27.8686, 27.8686)* CHOOSE(CONTROL!$C$21, $C$9, 100%, $E$9)</f>
        <v>27.868600000000001</v>
      </c>
      <c r="K563" s="53">
        <f>CHOOSE(CONTROL!$C$42, 27.9664, 27.9664) * CHOOSE(CONTROL!$C$21, $C$9, 100%, $E$9)</f>
        <v>27.9664</v>
      </c>
      <c r="L563" s="17">
        <f>CHOOSE(CONTROL!$C$42, 28.5983, 28.5983) * CHOOSE(CONTROL!$C$21, $C$9, 100%, $E$9)</f>
        <v>28.598299999999998</v>
      </c>
      <c r="M563" s="17">
        <f>CHOOSE(CONTROL!$C$42, 27.625, 27.625) * CHOOSE(CONTROL!$C$21, $C$9, 100%, $E$9)</f>
        <v>27.625</v>
      </c>
      <c r="N563" s="17">
        <f>CHOOSE(CONTROL!$C$42, 27.6415, 27.6415) * CHOOSE(CONTROL!$C$21, $C$9, 100%, $E$9)</f>
        <v>27.641500000000001</v>
      </c>
      <c r="O563" s="17">
        <f>CHOOSE(CONTROL!$C$42, 27.7664, 27.7664) * CHOOSE(CONTROL!$C$21, $C$9, 100%, $E$9)</f>
        <v>27.766400000000001</v>
      </c>
      <c r="P563" s="17">
        <f>CHOOSE(CONTROL!$C$42, 27.7271, 27.7271) * CHOOSE(CONTROL!$C$21, $C$9, 100%, $E$9)</f>
        <v>27.7271</v>
      </c>
      <c r="Q563" s="17">
        <f>CHOOSE(CONTROL!$C$42, 28.3611, 28.3611) * CHOOSE(CONTROL!$C$21, $C$9, 100%, $E$9)</f>
        <v>28.3611</v>
      </c>
      <c r="R563" s="17">
        <f>CHOOSE(CONTROL!$C$42, 29.019, 29.019) * CHOOSE(CONTROL!$C$21, $C$9, 100%, $E$9)</f>
        <v>29.018999999999998</v>
      </c>
      <c r="S563" s="17">
        <f>CHOOSE(CONTROL!$C$42, 27.0073, 27.0073) * CHOOSE(CONTROL!$C$21, $C$9, 100%, $E$9)</f>
        <v>27.007300000000001</v>
      </c>
      <c r="T563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563" s="57">
        <f>(1000*CHOOSE(CONTROL!$C$42, 695, 695)*CHOOSE(CONTROL!$C$42, 0.5599, 0.5599)*CHOOSE(CONTROL!$C$42, 30, 30))/1000000</f>
        <v>11.673914999999997</v>
      </c>
      <c r="V563" s="57">
        <f>(1000*CHOOSE(CONTROL!$C$42, 500, 500)*CHOOSE(CONTROL!$C$42, 0.275, 0.275)*CHOOSE(CONTROL!$C$42, 30, 30))/1000000</f>
        <v>4.125</v>
      </c>
      <c r="W563" s="57">
        <f>(1000*CHOOSE(CONTROL!$C$42, 0.0916, 0.0916)*CHOOSE(CONTROL!$C$42, 121.5, 121.5)*CHOOSE(CONTROL!$C$42, 30, 30))/1000000</f>
        <v>0.33388200000000001</v>
      </c>
      <c r="X563" s="57">
        <f>(30*0.2374*100000/1000000)</f>
        <v>0.71220000000000006</v>
      </c>
      <c r="Y563" s="57"/>
      <c r="Z563" s="17"/>
      <c r="AA563" s="56"/>
      <c r="AB563" s="49">
        <f>(B563*122.58+C563*297.941+D563*89.177+E563*140.302+F563*40+G563*60+H563*0+I563*100+J563*300)/(122.58+297.941+89.177+140.302+0+40+60+100+300)</f>
        <v>27.905760125913051</v>
      </c>
      <c r="AC563" s="46">
        <f>(M563*'RAP TEMPLATE-GAS AVAILABILITY'!O562+N563*'RAP TEMPLATE-GAS AVAILABILITY'!P562+O563*'RAP TEMPLATE-GAS AVAILABILITY'!Q562+P563*'RAP TEMPLATE-GAS AVAILABILITY'!R562)/('RAP TEMPLATE-GAS AVAILABILITY'!O562+'RAP TEMPLATE-GAS AVAILABILITY'!P562+'RAP TEMPLATE-GAS AVAILABILITY'!Q562+'RAP TEMPLATE-GAS AVAILABILITY'!R562)</f>
        <v>27.704728057553957</v>
      </c>
    </row>
    <row r="564" spans="1:29" ht="15.75" x14ac:dyDescent="0.25">
      <c r="A564" s="13">
        <v>58075</v>
      </c>
      <c r="B564" s="17">
        <f>CHOOSE(CONTROL!$C$42, 29.7598, 29.7598) * CHOOSE(CONTROL!$C$21, $C$9, 100%, $E$9)</f>
        <v>29.759799999999998</v>
      </c>
      <c r="C564" s="17">
        <f>CHOOSE(CONTROL!$C$42, 29.7649, 29.7649) * CHOOSE(CONTROL!$C$21, $C$9, 100%, $E$9)</f>
        <v>29.764900000000001</v>
      </c>
      <c r="D564" s="17">
        <f>CHOOSE(CONTROL!$C$42, 29.8875, 29.8875) * CHOOSE(CONTROL!$C$21, $C$9, 100%, $E$9)</f>
        <v>29.887499999999999</v>
      </c>
      <c r="E564" s="17">
        <f>CHOOSE(CONTROL!$C$42, 29.9213, 29.9213) * CHOOSE(CONTROL!$C$21, $C$9, 100%, $E$9)</f>
        <v>29.921299999999999</v>
      </c>
      <c r="F564" s="17">
        <f>CHOOSE(CONTROL!$C$42, 29.7772, 29.7772)*CHOOSE(CONTROL!$C$21, $C$9, 100%, $E$9)</f>
        <v>29.777200000000001</v>
      </c>
      <c r="G564" s="17">
        <f>CHOOSE(CONTROL!$C$42, 29.7946, 29.7946)*CHOOSE(CONTROL!$C$21, $C$9, 100%, $E$9)</f>
        <v>29.794599999999999</v>
      </c>
      <c r="H564" s="17">
        <f>CHOOSE(CONTROL!$C$42, 29.9101, 29.9101) * CHOOSE(CONTROL!$C$21, $C$9, 100%, $E$9)</f>
        <v>29.9101</v>
      </c>
      <c r="I564" s="17">
        <f>CHOOSE(CONTROL!$C$42, 29.8771, 29.8771)* CHOOSE(CONTROL!$C$21, $C$9, 100%, $E$9)</f>
        <v>29.877099999999999</v>
      </c>
      <c r="J564" s="17">
        <f>CHOOSE(CONTROL!$C$42, 29.7698, 29.7698)* CHOOSE(CONTROL!$C$21, $C$9, 100%, $E$9)</f>
        <v>29.7698</v>
      </c>
      <c r="K564" s="53">
        <f>CHOOSE(CONTROL!$C$42, 29.8711, 29.8711) * CHOOSE(CONTROL!$C$21, $C$9, 100%, $E$9)</f>
        <v>29.871099999999998</v>
      </c>
      <c r="L564" s="17">
        <f>CHOOSE(CONTROL!$C$42, 30.4971, 30.4971) * CHOOSE(CONTROL!$C$21, $C$9, 100%, $E$9)</f>
        <v>30.4971</v>
      </c>
      <c r="M564" s="17">
        <f>CHOOSE(CONTROL!$C$42, 29.5091, 29.5091) * CHOOSE(CONTROL!$C$21, $C$9, 100%, $E$9)</f>
        <v>29.5091</v>
      </c>
      <c r="N564" s="17">
        <f>CHOOSE(CONTROL!$C$42, 29.5263, 29.5263) * CHOOSE(CONTROL!$C$21, $C$9, 100%, $E$9)</f>
        <v>29.526299999999999</v>
      </c>
      <c r="O564" s="17">
        <f>CHOOSE(CONTROL!$C$42, 29.6482, 29.6482) * CHOOSE(CONTROL!$C$21, $C$9, 100%, $E$9)</f>
        <v>29.648199999999999</v>
      </c>
      <c r="P564" s="17">
        <f>CHOOSE(CONTROL!$C$42, 29.6146, 29.6146) * CHOOSE(CONTROL!$C$21, $C$9, 100%, $E$9)</f>
        <v>29.614599999999999</v>
      </c>
      <c r="Q564" s="17">
        <f>CHOOSE(CONTROL!$C$42, 30.2429, 30.2429) * CHOOSE(CONTROL!$C$21, $C$9, 100%, $E$9)</f>
        <v>30.242899999999999</v>
      </c>
      <c r="R564" s="17">
        <f>CHOOSE(CONTROL!$C$42, 30.9055, 30.9055) * CHOOSE(CONTROL!$C$21, $C$9, 100%, $E$9)</f>
        <v>30.9055</v>
      </c>
      <c r="S564" s="17">
        <f>CHOOSE(CONTROL!$C$42, 28.8486, 28.8486) * CHOOSE(CONTROL!$C$21, $C$9, 100%, $E$9)</f>
        <v>28.848600000000001</v>
      </c>
      <c r="T564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564" s="57">
        <f>(1000*CHOOSE(CONTROL!$C$42, 695, 695)*CHOOSE(CONTROL!$C$42, 0.5599, 0.5599)*CHOOSE(CONTROL!$C$42, 31, 31))/1000000</f>
        <v>12.063045499999998</v>
      </c>
      <c r="V564" s="57">
        <f>(1000*CHOOSE(CONTROL!$C$42, 500, 500)*CHOOSE(CONTROL!$C$42, 0.275, 0.275)*CHOOSE(CONTROL!$C$42, 31, 31))/1000000</f>
        <v>4.2625000000000002</v>
      </c>
      <c r="W564" s="57">
        <f>(1000*CHOOSE(CONTROL!$C$42, 0.0916, 0.0916)*CHOOSE(CONTROL!$C$42, 121.5, 121.5)*CHOOSE(CONTROL!$C$42, 31, 31))/1000000</f>
        <v>0.34501139999999997</v>
      </c>
      <c r="X564" s="57">
        <f>(31*0.2374*100000/1000000)</f>
        <v>0.73594000000000004</v>
      </c>
      <c r="Y564" s="57"/>
      <c r="Z564" s="17"/>
      <c r="AA564" s="56"/>
      <c r="AB564" s="49">
        <f>(B564*122.58+C564*297.941+D564*89.177+E564*140.302+F564*40+G564*60+H564*0+I564*100+J564*300)/(122.58+297.941+89.177+140.302+0+40+60+100+300)</f>
        <v>29.805956673913045</v>
      </c>
      <c r="AC564" s="46">
        <f>(M564*'RAP TEMPLATE-GAS AVAILABILITY'!O563+N564*'RAP TEMPLATE-GAS AVAILABILITY'!P563+O564*'RAP TEMPLATE-GAS AVAILABILITY'!Q563+P564*'RAP TEMPLATE-GAS AVAILABILITY'!R563)/('RAP TEMPLATE-GAS AVAILABILITY'!O563+'RAP TEMPLATE-GAS AVAILABILITY'!P563+'RAP TEMPLATE-GAS AVAILABILITY'!Q563+'RAP TEMPLATE-GAS AVAILABILITY'!R563)</f>
        <v>29.588315107913669</v>
      </c>
    </row>
    <row r="565" spans="1:29" ht="15.75" x14ac:dyDescent="0.25">
      <c r="A565" s="13">
        <v>58106</v>
      </c>
      <c r="B565" s="17">
        <f>CHOOSE(CONTROL!$C$42, 32.226, 32.226) * CHOOSE(CONTROL!$C$21, $C$9, 100%, $E$9)</f>
        <v>32.225999999999999</v>
      </c>
      <c r="C565" s="17">
        <f>CHOOSE(CONTROL!$C$42, 32.2311, 32.2311) * CHOOSE(CONTROL!$C$21, $C$9, 100%, $E$9)</f>
        <v>32.231099999999998</v>
      </c>
      <c r="D565" s="17">
        <f>CHOOSE(CONTROL!$C$42, 32.3486, 32.3486) * CHOOSE(CONTROL!$C$21, $C$9, 100%, $E$9)</f>
        <v>32.348599999999998</v>
      </c>
      <c r="E565" s="17">
        <f>CHOOSE(CONTROL!$C$42, 32.3823, 32.3823) * CHOOSE(CONTROL!$C$21, $C$9, 100%, $E$9)</f>
        <v>32.382300000000001</v>
      </c>
      <c r="F565" s="17">
        <f>CHOOSE(CONTROL!$C$42, 32.2397, 32.2397)*CHOOSE(CONTROL!$C$21, $C$9, 100%, $E$9)</f>
        <v>32.239699999999999</v>
      </c>
      <c r="G565" s="17">
        <f>CHOOSE(CONTROL!$C$42, 32.256, 32.256)*CHOOSE(CONTROL!$C$21, $C$9, 100%, $E$9)</f>
        <v>32.256</v>
      </c>
      <c r="H565" s="17">
        <f>CHOOSE(CONTROL!$C$42, 32.3712, 32.3712) * CHOOSE(CONTROL!$C$21, $C$9, 100%, $E$9)</f>
        <v>32.371200000000002</v>
      </c>
      <c r="I565" s="17">
        <f>CHOOSE(CONTROL!$C$42, 32.3495, 32.3495)* CHOOSE(CONTROL!$C$21, $C$9, 100%, $E$9)</f>
        <v>32.349499999999999</v>
      </c>
      <c r="J565" s="17">
        <f>CHOOSE(CONTROL!$C$42, 32.2323, 32.2323)* CHOOSE(CONTROL!$C$21, $C$9, 100%, $E$9)</f>
        <v>32.232300000000002</v>
      </c>
      <c r="K565" s="53">
        <f>CHOOSE(CONTROL!$C$42, 32.3434, 32.3434) * CHOOSE(CONTROL!$C$21, $C$9, 100%, $E$9)</f>
        <v>32.343400000000003</v>
      </c>
      <c r="L565" s="17">
        <f>CHOOSE(CONTROL!$C$42, 32.9582, 32.9582) * CHOOSE(CONTROL!$C$21, $C$9, 100%, $E$9)</f>
        <v>32.958199999999998</v>
      </c>
      <c r="M565" s="17">
        <f>CHOOSE(CONTROL!$C$42, 31.9494, 31.9494) * CHOOSE(CONTROL!$C$21, $C$9, 100%, $E$9)</f>
        <v>31.949400000000001</v>
      </c>
      <c r="N565" s="17">
        <f>CHOOSE(CONTROL!$C$42, 31.9656, 31.9656) * CHOOSE(CONTROL!$C$21, $C$9, 100%, $E$9)</f>
        <v>31.965599999999998</v>
      </c>
      <c r="O565" s="17">
        <f>CHOOSE(CONTROL!$C$42, 32.0871, 32.0871) * CHOOSE(CONTROL!$C$21, $C$9, 100%, $E$9)</f>
        <v>32.0871</v>
      </c>
      <c r="P565" s="17">
        <f>CHOOSE(CONTROL!$C$42, 32.0647, 32.0647) * CHOOSE(CONTROL!$C$21, $C$9, 100%, $E$9)</f>
        <v>32.064700000000002</v>
      </c>
      <c r="Q565" s="17">
        <f>CHOOSE(CONTROL!$C$42, 32.6818, 32.6818) * CHOOSE(CONTROL!$C$21, $C$9, 100%, $E$9)</f>
        <v>32.681800000000003</v>
      </c>
      <c r="R565" s="17">
        <f>CHOOSE(CONTROL!$C$42, 33.3505, 33.3505) * CHOOSE(CONTROL!$C$21, $C$9, 100%, $E$9)</f>
        <v>33.350499999999997</v>
      </c>
      <c r="S565" s="17">
        <f>CHOOSE(CONTROL!$C$42, 31.2401, 31.2401) * CHOOSE(CONTROL!$C$21, $C$9, 100%, $E$9)</f>
        <v>31.240100000000002</v>
      </c>
      <c r="T565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565" s="57">
        <f>(1000*CHOOSE(CONTROL!$C$42, 695, 695)*CHOOSE(CONTROL!$C$42, 0.5599, 0.5599)*CHOOSE(CONTROL!$C$42, 31, 31))/1000000</f>
        <v>12.063045499999998</v>
      </c>
      <c r="V565" s="57">
        <f>(1000*CHOOSE(CONTROL!$C$42, 500, 500)*CHOOSE(CONTROL!$C$42, 0.275, 0.275)*CHOOSE(CONTROL!$C$42, 31, 31))/1000000</f>
        <v>4.2625000000000002</v>
      </c>
      <c r="W565" s="57">
        <f>(1000*CHOOSE(CONTROL!$C$42, 0.0916, 0.0916)*CHOOSE(CONTROL!$C$42, 121.5, 121.5)*CHOOSE(CONTROL!$C$42, 31, 31))/1000000</f>
        <v>0.34501139999999997</v>
      </c>
      <c r="X565" s="57">
        <f>(31*0.2374*100000/1000000)</f>
        <v>0.73594000000000004</v>
      </c>
      <c r="Y565" s="57"/>
      <c r="Z565" s="17"/>
      <c r="AA565" s="56"/>
      <c r="AB565" s="49">
        <f>(B565*122.58+C565*297.941+D565*89.177+E565*140.302+F565*40+G565*60+H565*0+I565*100+J565*300)/(122.58+297.941+89.177+140.302+0+40+60+100+300)</f>
        <v>32.270321566869562</v>
      </c>
      <c r="AC565" s="46">
        <f>(M565*'RAP TEMPLATE-GAS AVAILABILITY'!O564+N565*'RAP TEMPLATE-GAS AVAILABILITY'!P564+O565*'RAP TEMPLATE-GAS AVAILABILITY'!Q564+P565*'RAP TEMPLATE-GAS AVAILABILITY'!R564)/('RAP TEMPLATE-GAS AVAILABILITY'!O564+'RAP TEMPLATE-GAS AVAILABILITY'!P564+'RAP TEMPLATE-GAS AVAILABILITY'!Q564+'RAP TEMPLATE-GAS AVAILABILITY'!R564)</f>
        <v>32.029333093525182</v>
      </c>
    </row>
    <row r="566" spans="1:29" ht="15.75" x14ac:dyDescent="0.25">
      <c r="A566" s="13">
        <v>58134</v>
      </c>
      <c r="B566" s="17">
        <f>CHOOSE(CONTROL!$C$42, 32.7995, 32.7995) * CHOOSE(CONTROL!$C$21, $C$9, 100%, $E$9)</f>
        <v>32.799500000000002</v>
      </c>
      <c r="C566" s="17">
        <f>CHOOSE(CONTROL!$C$42, 32.8046, 32.8046) * CHOOSE(CONTROL!$C$21, $C$9, 100%, $E$9)</f>
        <v>32.804600000000001</v>
      </c>
      <c r="D566" s="17">
        <f>CHOOSE(CONTROL!$C$42, 32.9221, 32.9221) * CHOOSE(CONTROL!$C$21, $C$9, 100%, $E$9)</f>
        <v>32.9221</v>
      </c>
      <c r="E566" s="17">
        <f>CHOOSE(CONTROL!$C$42, 32.9558, 32.9558) * CHOOSE(CONTROL!$C$21, $C$9, 100%, $E$9)</f>
        <v>32.955800000000004</v>
      </c>
      <c r="F566" s="17">
        <f>CHOOSE(CONTROL!$C$42, 32.8132, 32.8132)*CHOOSE(CONTROL!$C$21, $C$9, 100%, $E$9)</f>
        <v>32.813200000000002</v>
      </c>
      <c r="G566" s="17">
        <f>CHOOSE(CONTROL!$C$42, 32.8295, 32.8295)*CHOOSE(CONTROL!$C$21, $C$9, 100%, $E$9)</f>
        <v>32.829500000000003</v>
      </c>
      <c r="H566" s="17">
        <f>CHOOSE(CONTROL!$C$42, 32.9447, 32.9447) * CHOOSE(CONTROL!$C$21, $C$9, 100%, $E$9)</f>
        <v>32.944699999999997</v>
      </c>
      <c r="I566" s="17">
        <f>CHOOSE(CONTROL!$C$42, 32.9247, 32.9247)* CHOOSE(CONTROL!$C$21, $C$9, 100%, $E$9)</f>
        <v>32.924700000000001</v>
      </c>
      <c r="J566" s="17">
        <f>CHOOSE(CONTROL!$C$42, 32.8058, 32.8058)* CHOOSE(CONTROL!$C$21, $C$9, 100%, $E$9)</f>
        <v>32.805799999999998</v>
      </c>
      <c r="K566" s="53">
        <f>CHOOSE(CONTROL!$C$42, 32.9187, 32.9187) * CHOOSE(CONTROL!$C$21, $C$9, 100%, $E$9)</f>
        <v>32.918700000000001</v>
      </c>
      <c r="L566" s="17">
        <f>CHOOSE(CONTROL!$C$42, 33.5317, 33.5317) * CHOOSE(CONTROL!$C$21, $C$9, 100%, $E$9)</f>
        <v>33.531700000000001</v>
      </c>
      <c r="M566" s="17">
        <f>CHOOSE(CONTROL!$C$42, 32.5177, 32.5177) * CHOOSE(CONTROL!$C$21, $C$9, 100%, $E$9)</f>
        <v>32.517699999999998</v>
      </c>
      <c r="N566" s="17">
        <f>CHOOSE(CONTROL!$C$42, 32.5339, 32.5339) * CHOOSE(CONTROL!$C$21, $C$9, 100%, $E$9)</f>
        <v>32.533900000000003</v>
      </c>
      <c r="O566" s="17">
        <f>CHOOSE(CONTROL!$C$42, 32.6554, 32.6554) * CHOOSE(CONTROL!$C$21, $C$9, 100%, $E$9)</f>
        <v>32.6554</v>
      </c>
      <c r="P566" s="17">
        <f>CHOOSE(CONTROL!$C$42, 32.6348, 32.6348) * CHOOSE(CONTROL!$C$21, $C$9, 100%, $E$9)</f>
        <v>32.634799999999998</v>
      </c>
      <c r="Q566" s="17">
        <f>CHOOSE(CONTROL!$C$42, 33.2501, 33.2501) * CHOOSE(CONTROL!$C$21, $C$9, 100%, $E$9)</f>
        <v>33.250100000000003</v>
      </c>
      <c r="R566" s="17">
        <f>CHOOSE(CONTROL!$C$42, 33.9203, 33.9203) * CHOOSE(CONTROL!$C$21, $C$9, 100%, $E$9)</f>
        <v>33.920299999999997</v>
      </c>
      <c r="S566" s="17">
        <f>CHOOSE(CONTROL!$C$42, 31.7962, 31.7962) * CHOOSE(CONTROL!$C$21, $C$9, 100%, $E$9)</f>
        <v>31.796199999999999</v>
      </c>
      <c r="T566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566" s="57">
        <f>(1000*CHOOSE(CONTROL!$C$42, 695, 695)*CHOOSE(CONTROL!$C$42, 0.5599, 0.5599)*CHOOSE(CONTROL!$C$42, 28, 28))/1000000</f>
        <v>10.895653999999999</v>
      </c>
      <c r="V566" s="57">
        <f>(1000*CHOOSE(CONTROL!$C$42, 500, 500)*CHOOSE(CONTROL!$C$42, 0.275, 0.275)*CHOOSE(CONTROL!$C$42, 28, 28))/1000000</f>
        <v>3.85</v>
      </c>
      <c r="W566" s="57">
        <f>(1000*CHOOSE(CONTROL!$C$42, 0.0916, 0.0916)*CHOOSE(CONTROL!$C$42, 121.5, 121.5)*CHOOSE(CONTROL!$C$42, 28, 28))/1000000</f>
        <v>0.31162319999999999</v>
      </c>
      <c r="X566" s="57">
        <f>(28*0.2374*100000/1000000)</f>
        <v>0.66471999999999998</v>
      </c>
      <c r="Y566" s="57"/>
      <c r="Z566" s="17"/>
      <c r="AA566" s="56"/>
      <c r="AB566" s="49">
        <f>(B566*122.58+C566*297.941+D566*89.177+E566*140.302+F566*40+G566*60+H566*0+I566*100+J566*300)/(122.58+297.941+89.177+140.302+0+40+60+100+300)</f>
        <v>32.843969392956524</v>
      </c>
      <c r="AC566" s="46">
        <f>(M566*'RAP TEMPLATE-GAS AVAILABILITY'!O565+N566*'RAP TEMPLATE-GAS AVAILABILITY'!P565+O566*'RAP TEMPLATE-GAS AVAILABILITY'!Q565+P566*'RAP TEMPLATE-GAS AVAILABILITY'!R565)/('RAP TEMPLATE-GAS AVAILABILITY'!O565+'RAP TEMPLATE-GAS AVAILABILITY'!P565+'RAP TEMPLATE-GAS AVAILABILITY'!Q565+'RAP TEMPLATE-GAS AVAILABILITY'!R565)</f>
        <v>32.597892086330937</v>
      </c>
    </row>
    <row r="567" spans="1:29" ht="15.75" x14ac:dyDescent="0.25">
      <c r="A567" s="13">
        <v>58165</v>
      </c>
      <c r="B567" s="17">
        <f>CHOOSE(CONTROL!$C$42, 31.8686, 31.8686) * CHOOSE(CONTROL!$C$21, $C$9, 100%, $E$9)</f>
        <v>31.868600000000001</v>
      </c>
      <c r="C567" s="17">
        <f>CHOOSE(CONTROL!$C$42, 31.8737, 31.8737) * CHOOSE(CONTROL!$C$21, $C$9, 100%, $E$9)</f>
        <v>31.873699999999999</v>
      </c>
      <c r="D567" s="17">
        <f>CHOOSE(CONTROL!$C$42, 31.9912, 31.9912) * CHOOSE(CONTROL!$C$21, $C$9, 100%, $E$9)</f>
        <v>31.991199999999999</v>
      </c>
      <c r="E567" s="17">
        <f>CHOOSE(CONTROL!$C$42, 32.0249, 32.0249) * CHOOSE(CONTROL!$C$21, $C$9, 100%, $E$9)</f>
        <v>32.024900000000002</v>
      </c>
      <c r="F567" s="17">
        <f>CHOOSE(CONTROL!$C$42, 31.8816, 31.8816)*CHOOSE(CONTROL!$C$21, $C$9, 100%, $E$9)</f>
        <v>31.881599999999999</v>
      </c>
      <c r="G567" s="17">
        <f>CHOOSE(CONTROL!$C$42, 31.8978, 31.8978)*CHOOSE(CONTROL!$C$21, $C$9, 100%, $E$9)</f>
        <v>31.8978</v>
      </c>
      <c r="H567" s="17">
        <f>CHOOSE(CONTROL!$C$42, 32.0138, 32.0138) * CHOOSE(CONTROL!$C$21, $C$9, 100%, $E$9)</f>
        <v>32.013800000000003</v>
      </c>
      <c r="I567" s="17">
        <f>CHOOSE(CONTROL!$C$42, 31.9909, 31.9909)* CHOOSE(CONTROL!$C$21, $C$9, 100%, $E$9)</f>
        <v>31.9909</v>
      </c>
      <c r="J567" s="17">
        <f>CHOOSE(CONTROL!$C$42, 31.8742, 31.8742)* CHOOSE(CONTROL!$C$21, $C$9, 100%, $E$9)</f>
        <v>31.874199999999998</v>
      </c>
      <c r="K567" s="53">
        <f>CHOOSE(CONTROL!$C$42, 31.9849, 31.9849) * CHOOSE(CONTROL!$C$21, $C$9, 100%, $E$9)</f>
        <v>31.9849</v>
      </c>
      <c r="L567" s="17">
        <f>CHOOSE(CONTROL!$C$42, 32.6008, 32.6008) * CHOOSE(CONTROL!$C$21, $C$9, 100%, $E$9)</f>
        <v>32.6008</v>
      </c>
      <c r="M567" s="17">
        <f>CHOOSE(CONTROL!$C$42, 31.5946, 31.5946) * CHOOSE(CONTROL!$C$21, $C$9, 100%, $E$9)</f>
        <v>31.5946</v>
      </c>
      <c r="N567" s="17">
        <f>CHOOSE(CONTROL!$C$42, 31.6106, 31.6106) * CHOOSE(CONTROL!$C$21, $C$9, 100%, $E$9)</f>
        <v>31.610600000000002</v>
      </c>
      <c r="O567" s="17">
        <f>CHOOSE(CONTROL!$C$42, 31.7329, 31.7329) * CHOOSE(CONTROL!$C$21, $C$9, 100%, $E$9)</f>
        <v>31.732900000000001</v>
      </c>
      <c r="P567" s="17">
        <f>CHOOSE(CONTROL!$C$42, 31.7094, 31.7094) * CHOOSE(CONTROL!$C$21, $C$9, 100%, $E$9)</f>
        <v>31.709399999999999</v>
      </c>
      <c r="Q567" s="17">
        <f>CHOOSE(CONTROL!$C$42, 32.3276, 32.3276) * CHOOSE(CONTROL!$C$21, $C$9, 100%, $E$9)</f>
        <v>32.327599999999997</v>
      </c>
      <c r="R567" s="17">
        <f>CHOOSE(CONTROL!$C$42, 32.9954, 32.9954) * CHOOSE(CONTROL!$C$21, $C$9, 100%, $E$9)</f>
        <v>32.995399999999997</v>
      </c>
      <c r="S567" s="17">
        <f>CHOOSE(CONTROL!$C$42, 30.8935, 30.8935) * CHOOSE(CONTROL!$C$21, $C$9, 100%, $E$9)</f>
        <v>30.8935</v>
      </c>
      <c r="T567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567" s="57">
        <f>(1000*CHOOSE(CONTROL!$C$42, 695, 695)*CHOOSE(CONTROL!$C$42, 0.5599, 0.5599)*CHOOSE(CONTROL!$C$42, 31, 31))/1000000</f>
        <v>12.063045499999998</v>
      </c>
      <c r="V567" s="57">
        <f>(1000*CHOOSE(CONTROL!$C$42, 500, 500)*CHOOSE(CONTROL!$C$42, 0.275, 0.275)*CHOOSE(CONTROL!$C$42, 31, 31))/1000000</f>
        <v>4.2625000000000002</v>
      </c>
      <c r="W567" s="57">
        <f>(1000*CHOOSE(CONTROL!$C$42, 0.0916, 0.0916)*CHOOSE(CONTROL!$C$42, 121.5, 121.5)*CHOOSE(CONTROL!$C$42, 31, 31))/1000000</f>
        <v>0.34501139999999997</v>
      </c>
      <c r="X567" s="57">
        <f>(31*0.2374*100000/1000000)</f>
        <v>0.73594000000000004</v>
      </c>
      <c r="Y567" s="57"/>
      <c r="Z567" s="17"/>
      <c r="AA567" s="56"/>
      <c r="AB567" s="49">
        <f>(B567*122.58+C567*297.941+D567*89.177+E567*140.302+F567*40+G567*60+H567*0+I567*100+J567*300)/(122.58+297.941+89.177+140.302+0+40+60+100+300)</f>
        <v>31.9125685233913</v>
      </c>
      <c r="AC567" s="46">
        <f>(M567*'RAP TEMPLATE-GAS AVAILABILITY'!O566+N567*'RAP TEMPLATE-GAS AVAILABILITY'!P566+O567*'RAP TEMPLATE-GAS AVAILABILITY'!Q566+P567*'RAP TEMPLATE-GAS AVAILABILITY'!R566)/('RAP TEMPLATE-GAS AVAILABILITY'!O566+'RAP TEMPLATE-GAS AVAILABILITY'!P566+'RAP TEMPLATE-GAS AVAILABILITY'!Q566+'RAP TEMPLATE-GAS AVAILABILITY'!R566)</f>
        <v>31.67472158273381</v>
      </c>
    </row>
    <row r="568" spans="1:29" ht="15.75" x14ac:dyDescent="0.25">
      <c r="A568" s="13">
        <v>58195</v>
      </c>
      <c r="B568" s="17">
        <f>CHOOSE(CONTROL!$C$42, 31.7742, 31.7742) * CHOOSE(CONTROL!$C$21, $C$9, 100%, $E$9)</f>
        <v>31.7742</v>
      </c>
      <c r="C568" s="17">
        <f>CHOOSE(CONTROL!$C$42, 31.7787, 31.7787) * CHOOSE(CONTROL!$C$21, $C$9, 100%, $E$9)</f>
        <v>31.778700000000001</v>
      </c>
      <c r="D568" s="17">
        <f>CHOOSE(CONTROL!$C$42, 32.0314, 32.0314) * CHOOSE(CONTROL!$C$21, $C$9, 100%, $E$9)</f>
        <v>32.031399999999998</v>
      </c>
      <c r="E568" s="17">
        <f>CHOOSE(CONTROL!$C$42, 32.0632, 32.0632) * CHOOSE(CONTROL!$C$21, $C$9, 100%, $E$9)</f>
        <v>32.063200000000002</v>
      </c>
      <c r="F568" s="17">
        <f>CHOOSE(CONTROL!$C$42, 31.7802, 31.7802)*CHOOSE(CONTROL!$C$21, $C$9, 100%, $E$9)</f>
        <v>31.780200000000001</v>
      </c>
      <c r="G568" s="17">
        <f>CHOOSE(CONTROL!$C$42, 31.796, 31.796)*CHOOSE(CONTROL!$C$21, $C$9, 100%, $E$9)</f>
        <v>31.795999999999999</v>
      </c>
      <c r="H568" s="17">
        <f>CHOOSE(CONTROL!$C$42, 32.0527, 32.0527) * CHOOSE(CONTROL!$C$21, $C$9, 100%, $E$9)</f>
        <v>32.052700000000002</v>
      </c>
      <c r="I568" s="17">
        <f>CHOOSE(CONTROL!$C$42, 31.8944, 31.8944)* CHOOSE(CONTROL!$C$21, $C$9, 100%, $E$9)</f>
        <v>31.894400000000001</v>
      </c>
      <c r="J568" s="17">
        <f>CHOOSE(CONTROL!$C$42, 31.7728, 31.7728)* CHOOSE(CONTROL!$C$21, $C$9, 100%, $E$9)</f>
        <v>31.7728</v>
      </c>
      <c r="K568" s="53">
        <f>CHOOSE(CONTROL!$C$42, 31.8884, 31.8884) * CHOOSE(CONTROL!$C$21, $C$9, 100%, $E$9)</f>
        <v>31.888400000000001</v>
      </c>
      <c r="L568" s="17">
        <f>CHOOSE(CONTROL!$C$42, 32.6397, 32.6397) * CHOOSE(CONTROL!$C$21, $C$9, 100%, $E$9)</f>
        <v>32.639699999999998</v>
      </c>
      <c r="M568" s="17">
        <f>CHOOSE(CONTROL!$C$42, 31.4941, 31.4941) * CHOOSE(CONTROL!$C$21, $C$9, 100%, $E$9)</f>
        <v>31.4941</v>
      </c>
      <c r="N568" s="17">
        <f>CHOOSE(CONTROL!$C$42, 31.5098, 31.5098) * CHOOSE(CONTROL!$C$21, $C$9, 100%, $E$9)</f>
        <v>31.509799999999998</v>
      </c>
      <c r="O568" s="17">
        <f>CHOOSE(CONTROL!$C$42, 31.7714, 31.7714) * CHOOSE(CONTROL!$C$21, $C$9, 100%, $E$9)</f>
        <v>31.7714</v>
      </c>
      <c r="P568" s="17">
        <f>CHOOSE(CONTROL!$C$42, 31.6138, 31.6138) * CHOOSE(CONTROL!$C$21, $C$9, 100%, $E$9)</f>
        <v>31.613800000000001</v>
      </c>
      <c r="Q568" s="17">
        <f>CHOOSE(CONTROL!$C$42, 32.3661, 32.3661) * CHOOSE(CONTROL!$C$21, $C$9, 100%, $E$9)</f>
        <v>32.366100000000003</v>
      </c>
      <c r="R568" s="17">
        <f>CHOOSE(CONTROL!$C$42, 33.0341, 33.0341) * CHOOSE(CONTROL!$C$21, $C$9, 100%, $E$9)</f>
        <v>33.034100000000002</v>
      </c>
      <c r="S568" s="17">
        <f>CHOOSE(CONTROL!$C$42, 30.8012, 30.8012) * CHOOSE(CONTROL!$C$21, $C$9, 100%, $E$9)</f>
        <v>30.801200000000001</v>
      </c>
      <c r="T568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568" s="57">
        <f>(1000*CHOOSE(CONTROL!$C$42, 695, 695)*CHOOSE(CONTROL!$C$42, 0.5599, 0.5599)*CHOOSE(CONTROL!$C$42, 30, 30))/1000000</f>
        <v>11.673914999999997</v>
      </c>
      <c r="V568" s="57">
        <f>(1000*CHOOSE(CONTROL!$C$42, 500, 500)*CHOOSE(CONTROL!$C$42, 0.275, 0.275)*CHOOSE(CONTROL!$C$42, 30, 30))/1000000</f>
        <v>4.125</v>
      </c>
      <c r="W568" s="57">
        <f>(1000*CHOOSE(CONTROL!$C$42, 0.0916, 0.0916)*CHOOSE(CONTROL!$C$42, 121.5, 121.5)*CHOOSE(CONTROL!$C$42, 30, 30))/1000000</f>
        <v>0.33388200000000001</v>
      </c>
      <c r="X568" s="57">
        <f>(30*0.1790888*145000/1000000)+(30*0.2374*100000/1000000)</f>
        <v>1.4912362799999999</v>
      </c>
      <c r="Y568" s="57"/>
      <c r="Z568" s="17"/>
      <c r="AA568" s="56"/>
      <c r="AB568" s="49">
        <f>(B568*141.293+C568*267.993+D568*115.016+E568*189.698+F568*40+G568*85+H568*0+I568*100+J568*300)/(141.293+267.993+115.016+189.698+0+40+85+100+300)</f>
        <v>31.85434835004035</v>
      </c>
      <c r="AC568" s="46">
        <f>(M568*'RAP TEMPLATE-GAS AVAILABILITY'!O567+N568*'RAP TEMPLATE-GAS AVAILABILITY'!P567+O568*'RAP TEMPLATE-GAS AVAILABILITY'!Q567+P568*'RAP TEMPLATE-GAS AVAILABILITY'!R567)/('RAP TEMPLATE-GAS AVAILABILITY'!O567+'RAP TEMPLATE-GAS AVAILABILITY'!P567+'RAP TEMPLATE-GAS AVAILABILITY'!Q567+'RAP TEMPLATE-GAS AVAILABILITY'!R567)</f>
        <v>31.592741007194242</v>
      </c>
    </row>
    <row r="569" spans="1:29" ht="15.75" x14ac:dyDescent="0.25">
      <c r="A569" s="13">
        <v>58226</v>
      </c>
      <c r="B569" s="17">
        <f>CHOOSE(CONTROL!$C$42, 32.0559, 32.0559) * CHOOSE(CONTROL!$C$21, $C$9, 100%, $E$9)</f>
        <v>32.055900000000001</v>
      </c>
      <c r="C569" s="17">
        <f>CHOOSE(CONTROL!$C$42, 32.0639, 32.0639) * CHOOSE(CONTROL!$C$21, $C$9, 100%, $E$9)</f>
        <v>32.063899999999997</v>
      </c>
      <c r="D569" s="17">
        <f>CHOOSE(CONTROL!$C$42, 32.3135, 32.3135) * CHOOSE(CONTROL!$C$21, $C$9, 100%, $E$9)</f>
        <v>32.313499999999998</v>
      </c>
      <c r="E569" s="17">
        <f>CHOOSE(CONTROL!$C$42, 32.3447, 32.3447) * CHOOSE(CONTROL!$C$21, $C$9, 100%, $E$9)</f>
        <v>32.344700000000003</v>
      </c>
      <c r="F569" s="17">
        <f>CHOOSE(CONTROL!$C$42, 32.0608, 32.0608)*CHOOSE(CONTROL!$C$21, $C$9, 100%, $E$9)</f>
        <v>32.0608</v>
      </c>
      <c r="G569" s="17">
        <f>CHOOSE(CONTROL!$C$42, 32.0769, 32.0769)*CHOOSE(CONTROL!$C$21, $C$9, 100%, $E$9)</f>
        <v>32.076900000000002</v>
      </c>
      <c r="H569" s="17">
        <f>CHOOSE(CONTROL!$C$42, 32.333, 32.333) * CHOOSE(CONTROL!$C$21, $C$9, 100%, $E$9)</f>
        <v>32.332999999999998</v>
      </c>
      <c r="I569" s="17">
        <f>CHOOSE(CONTROL!$C$42, 32.1756, 32.1756)* CHOOSE(CONTROL!$C$21, $C$9, 100%, $E$9)</f>
        <v>32.175600000000003</v>
      </c>
      <c r="J569" s="17">
        <f>CHOOSE(CONTROL!$C$42, 32.0534, 32.0534)* CHOOSE(CONTROL!$C$21, $C$9, 100%, $E$9)</f>
        <v>32.053400000000003</v>
      </c>
      <c r="K569" s="53">
        <f>CHOOSE(CONTROL!$C$42, 32.1696, 32.1696) * CHOOSE(CONTROL!$C$21, $C$9, 100%, $E$9)</f>
        <v>32.169600000000003</v>
      </c>
      <c r="L569" s="17">
        <f>CHOOSE(CONTROL!$C$42, 32.92, 32.92) * CHOOSE(CONTROL!$C$21, $C$9, 100%, $E$9)</f>
        <v>32.92</v>
      </c>
      <c r="M569" s="17">
        <f>CHOOSE(CONTROL!$C$42, 31.7721, 31.7721) * CHOOSE(CONTROL!$C$21, $C$9, 100%, $E$9)</f>
        <v>31.772099999999998</v>
      </c>
      <c r="N569" s="17">
        <f>CHOOSE(CONTROL!$C$42, 31.7881, 31.7881) * CHOOSE(CONTROL!$C$21, $C$9, 100%, $E$9)</f>
        <v>31.7881</v>
      </c>
      <c r="O569" s="17">
        <f>CHOOSE(CONTROL!$C$42, 32.0493, 32.0493) * CHOOSE(CONTROL!$C$21, $C$9, 100%, $E$9)</f>
        <v>32.049300000000002</v>
      </c>
      <c r="P569" s="17">
        <f>CHOOSE(CONTROL!$C$42, 31.8924, 31.8924) * CHOOSE(CONTROL!$C$21, $C$9, 100%, $E$9)</f>
        <v>31.892399999999999</v>
      </c>
      <c r="Q569" s="17">
        <f>CHOOSE(CONTROL!$C$42, 32.644, 32.644) * CHOOSE(CONTROL!$C$21, $C$9, 100%, $E$9)</f>
        <v>32.643999999999998</v>
      </c>
      <c r="R569" s="17">
        <f>CHOOSE(CONTROL!$C$42, 33.3126, 33.3126) * CHOOSE(CONTROL!$C$21, $C$9, 100%, $E$9)</f>
        <v>33.312600000000003</v>
      </c>
      <c r="S569" s="17">
        <f>CHOOSE(CONTROL!$C$42, 31.0731, 31.0731) * CHOOSE(CONTROL!$C$21, $C$9, 100%, $E$9)</f>
        <v>31.0731</v>
      </c>
      <c r="T569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569" s="57">
        <f>(1000*CHOOSE(CONTROL!$C$42, 695, 695)*CHOOSE(CONTROL!$C$42, 0.5599, 0.5599)*CHOOSE(CONTROL!$C$42, 31, 31))/1000000</f>
        <v>12.063045499999998</v>
      </c>
      <c r="V569" s="57">
        <f>(1000*CHOOSE(CONTROL!$C$42, 500, 500)*CHOOSE(CONTROL!$C$42, 0.275, 0.275)*CHOOSE(CONTROL!$C$42, 31, 31))/1000000</f>
        <v>4.2625000000000002</v>
      </c>
      <c r="W569" s="57">
        <f>(1000*CHOOSE(CONTROL!$C$42, 0.0916, 0.0916)*CHOOSE(CONTROL!$C$42, 121.5, 121.5)*CHOOSE(CONTROL!$C$42, 31, 31))/1000000</f>
        <v>0.34501139999999997</v>
      </c>
      <c r="X569" s="57">
        <f>(31*0.1790888*145000/1000000)+(31*0.2374*100000/1000000)</f>
        <v>1.5409441560000001</v>
      </c>
      <c r="Y569" s="57"/>
      <c r="Z569" s="17"/>
      <c r="AA569" s="56"/>
      <c r="AB569" s="49">
        <f>(B569*194.205+C569*267.466+D569*133.845+E569*153.484+F569*40+G569*85+H569*0+I569*100+J569*300)/(194.205+267.466+133.845+153.484+0+40+85+100+300)</f>
        <v>32.129797471899529</v>
      </c>
      <c r="AC569" s="46">
        <f>(M569*'RAP TEMPLATE-GAS AVAILABILITY'!O568+N569*'RAP TEMPLATE-GAS AVAILABILITY'!P568+O569*'RAP TEMPLATE-GAS AVAILABILITY'!Q568+P569*'RAP TEMPLATE-GAS AVAILABILITY'!R568)/('RAP TEMPLATE-GAS AVAILABILITY'!O568+'RAP TEMPLATE-GAS AVAILABILITY'!P568+'RAP TEMPLATE-GAS AVAILABILITY'!Q568+'RAP TEMPLATE-GAS AVAILABILITY'!R568)</f>
        <v>31.870868345323739</v>
      </c>
    </row>
    <row r="570" spans="1:29" ht="15.75" x14ac:dyDescent="0.25">
      <c r="A570" s="13">
        <v>58256</v>
      </c>
      <c r="B570" s="17">
        <f>CHOOSE(CONTROL!$C$42, 32.9649, 32.9649) * CHOOSE(CONTROL!$C$21, $C$9, 100%, $E$9)</f>
        <v>32.9649</v>
      </c>
      <c r="C570" s="17">
        <f>CHOOSE(CONTROL!$C$42, 32.9729, 32.9729) * CHOOSE(CONTROL!$C$21, $C$9, 100%, $E$9)</f>
        <v>32.972900000000003</v>
      </c>
      <c r="D570" s="17">
        <f>CHOOSE(CONTROL!$C$42, 33.2225, 33.2225) * CHOOSE(CONTROL!$C$21, $C$9, 100%, $E$9)</f>
        <v>33.222499999999997</v>
      </c>
      <c r="E570" s="17">
        <f>CHOOSE(CONTROL!$C$42, 33.2537, 33.2537) * CHOOSE(CONTROL!$C$21, $C$9, 100%, $E$9)</f>
        <v>33.253700000000002</v>
      </c>
      <c r="F570" s="17">
        <f>CHOOSE(CONTROL!$C$42, 32.9701, 32.9701)*CHOOSE(CONTROL!$C$21, $C$9, 100%, $E$9)</f>
        <v>32.970100000000002</v>
      </c>
      <c r="G570" s="17">
        <f>CHOOSE(CONTROL!$C$42, 32.9863, 32.9863)*CHOOSE(CONTROL!$C$21, $C$9, 100%, $E$9)</f>
        <v>32.9863</v>
      </c>
      <c r="H570" s="17">
        <f>CHOOSE(CONTROL!$C$42, 33.242, 33.242) * CHOOSE(CONTROL!$C$21, $C$9, 100%, $E$9)</f>
        <v>33.241999999999997</v>
      </c>
      <c r="I570" s="17">
        <f>CHOOSE(CONTROL!$C$42, 33.0874, 33.0874)* CHOOSE(CONTROL!$C$21, $C$9, 100%, $E$9)</f>
        <v>33.087400000000002</v>
      </c>
      <c r="J570" s="17">
        <f>CHOOSE(CONTROL!$C$42, 32.9627, 32.9627)* CHOOSE(CONTROL!$C$21, $C$9, 100%, $E$9)</f>
        <v>32.962699999999998</v>
      </c>
      <c r="K570" s="53">
        <f>CHOOSE(CONTROL!$C$42, 33.0814, 33.0814) * CHOOSE(CONTROL!$C$21, $C$9, 100%, $E$9)</f>
        <v>33.081400000000002</v>
      </c>
      <c r="L570" s="17">
        <f>CHOOSE(CONTROL!$C$42, 33.829, 33.829) * CHOOSE(CONTROL!$C$21, $C$9, 100%, $E$9)</f>
        <v>33.829000000000001</v>
      </c>
      <c r="M570" s="17">
        <f>CHOOSE(CONTROL!$C$42, 32.6732, 32.6732) * CHOOSE(CONTROL!$C$21, $C$9, 100%, $E$9)</f>
        <v>32.673200000000001</v>
      </c>
      <c r="N570" s="17">
        <f>CHOOSE(CONTROL!$C$42, 32.6893, 32.6893) * CHOOSE(CONTROL!$C$21, $C$9, 100%, $E$9)</f>
        <v>32.689300000000003</v>
      </c>
      <c r="O570" s="17">
        <f>CHOOSE(CONTROL!$C$42, 32.95, 32.95) * CHOOSE(CONTROL!$C$21, $C$9, 100%, $E$9)</f>
        <v>32.950000000000003</v>
      </c>
      <c r="P570" s="17">
        <f>CHOOSE(CONTROL!$C$42, 32.796, 32.796) * CHOOSE(CONTROL!$C$21, $C$9, 100%, $E$9)</f>
        <v>32.795999999999999</v>
      </c>
      <c r="Q570" s="17">
        <f>CHOOSE(CONTROL!$C$42, 33.5447, 33.5447) * CHOOSE(CONTROL!$C$21, $C$9, 100%, $E$9)</f>
        <v>33.544699999999999</v>
      </c>
      <c r="R570" s="17">
        <f>CHOOSE(CONTROL!$C$42, 34.2156, 34.2156) * CHOOSE(CONTROL!$C$21, $C$9, 100%, $E$9)</f>
        <v>34.215600000000002</v>
      </c>
      <c r="S570" s="17">
        <f>CHOOSE(CONTROL!$C$42, 31.9545, 31.9545) * CHOOSE(CONTROL!$C$21, $C$9, 100%, $E$9)</f>
        <v>31.954499999999999</v>
      </c>
      <c r="T570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570" s="57">
        <f>(1000*CHOOSE(CONTROL!$C$42, 695, 695)*CHOOSE(CONTROL!$C$42, 0.5599, 0.5599)*CHOOSE(CONTROL!$C$42, 30, 30))/1000000</f>
        <v>11.673914999999997</v>
      </c>
      <c r="V570" s="57">
        <f>(1000*CHOOSE(CONTROL!$C$42, 500, 500)*CHOOSE(CONTROL!$C$42, 0.275, 0.275)*CHOOSE(CONTROL!$C$42, 30, 30))/1000000</f>
        <v>4.125</v>
      </c>
      <c r="W570" s="57">
        <f>(1000*CHOOSE(CONTROL!$C$42, 0.0916, 0.0916)*CHOOSE(CONTROL!$C$42, 121.5, 121.5)*CHOOSE(CONTROL!$C$42, 30, 30))/1000000</f>
        <v>0.33388200000000001</v>
      </c>
      <c r="X570" s="57">
        <f>(30*0.1790888*145000/1000000)+(30*0.2374*100000/1000000)</f>
        <v>1.4912362799999999</v>
      </c>
      <c r="Y570" s="57"/>
      <c r="Z570" s="17"/>
      <c r="AA570" s="56"/>
      <c r="AB570" s="49">
        <f>(B570*194.205+C570*267.466+D570*133.845+E570*153.484+F570*40+G570*85+H570*0+I570*100+J570*300)/(194.205+267.466+133.845+153.484+0+40+85+100+300)</f>
        <v>33.039124002511777</v>
      </c>
      <c r="AC570" s="46">
        <f>(M570*'RAP TEMPLATE-GAS AVAILABILITY'!O569+N570*'RAP TEMPLATE-GAS AVAILABILITY'!P569+O570*'RAP TEMPLATE-GAS AVAILABILITY'!Q569+P570*'RAP TEMPLATE-GAS AVAILABILITY'!R569)/('RAP TEMPLATE-GAS AVAILABILITY'!O569+'RAP TEMPLATE-GAS AVAILABILITY'!P569+'RAP TEMPLATE-GAS AVAILABILITY'!Q569+'RAP TEMPLATE-GAS AVAILABILITY'!R569)</f>
        <v>32.772238848920864</v>
      </c>
    </row>
    <row r="571" spans="1:29" ht="15.75" x14ac:dyDescent="0.25">
      <c r="A571" s="13">
        <v>58287</v>
      </c>
      <c r="B571" s="17">
        <f>CHOOSE(CONTROL!$C$42, 32.3327, 32.3327) * CHOOSE(CONTROL!$C$21, $C$9, 100%, $E$9)</f>
        <v>32.332700000000003</v>
      </c>
      <c r="C571" s="17">
        <f>CHOOSE(CONTROL!$C$42, 32.3407, 32.3407) * CHOOSE(CONTROL!$C$21, $C$9, 100%, $E$9)</f>
        <v>32.340699999999998</v>
      </c>
      <c r="D571" s="17">
        <f>CHOOSE(CONTROL!$C$42, 32.5903, 32.5903) * CHOOSE(CONTROL!$C$21, $C$9, 100%, $E$9)</f>
        <v>32.590299999999999</v>
      </c>
      <c r="E571" s="17">
        <f>CHOOSE(CONTROL!$C$42, 32.6215, 32.6215) * CHOOSE(CONTROL!$C$21, $C$9, 100%, $E$9)</f>
        <v>32.621499999999997</v>
      </c>
      <c r="F571" s="17">
        <f>CHOOSE(CONTROL!$C$42, 32.3384, 32.3384)*CHOOSE(CONTROL!$C$21, $C$9, 100%, $E$9)</f>
        <v>32.3384</v>
      </c>
      <c r="G571" s="17">
        <f>CHOOSE(CONTROL!$C$42, 32.3548, 32.3548)*CHOOSE(CONTROL!$C$21, $C$9, 100%, $E$9)</f>
        <v>32.354799999999997</v>
      </c>
      <c r="H571" s="17">
        <f>CHOOSE(CONTROL!$C$42, 32.6098, 32.6098) * CHOOSE(CONTROL!$C$21, $C$9, 100%, $E$9)</f>
        <v>32.6098</v>
      </c>
      <c r="I571" s="17">
        <f>CHOOSE(CONTROL!$C$42, 32.4533, 32.4533)* CHOOSE(CONTROL!$C$21, $C$9, 100%, $E$9)</f>
        <v>32.453299999999999</v>
      </c>
      <c r="J571" s="17">
        <f>CHOOSE(CONTROL!$C$42, 32.331, 32.331)* CHOOSE(CONTROL!$C$21, $C$9, 100%, $E$9)</f>
        <v>32.331000000000003</v>
      </c>
      <c r="K571" s="53">
        <f>CHOOSE(CONTROL!$C$42, 32.4472, 32.4472) * CHOOSE(CONTROL!$C$21, $C$9, 100%, $E$9)</f>
        <v>32.447200000000002</v>
      </c>
      <c r="L571" s="17">
        <f>CHOOSE(CONTROL!$C$42, 33.1968, 33.1968) * CHOOSE(CONTROL!$C$21, $C$9, 100%, $E$9)</f>
        <v>33.196800000000003</v>
      </c>
      <c r="M571" s="17">
        <f>CHOOSE(CONTROL!$C$42, 32.0472, 32.0472) * CHOOSE(CONTROL!$C$21, $C$9, 100%, $E$9)</f>
        <v>32.047199999999997</v>
      </c>
      <c r="N571" s="17">
        <f>CHOOSE(CONTROL!$C$42, 32.0634, 32.0634) * CHOOSE(CONTROL!$C$21, $C$9, 100%, $E$9)</f>
        <v>32.063400000000001</v>
      </c>
      <c r="O571" s="17">
        <f>CHOOSE(CONTROL!$C$42, 32.3235, 32.3235) * CHOOSE(CONTROL!$C$21, $C$9, 100%, $E$9)</f>
        <v>32.323500000000003</v>
      </c>
      <c r="P571" s="17">
        <f>CHOOSE(CONTROL!$C$42, 32.1676, 32.1676) * CHOOSE(CONTROL!$C$21, $C$9, 100%, $E$9)</f>
        <v>32.1676</v>
      </c>
      <c r="Q571" s="17">
        <f>CHOOSE(CONTROL!$C$42, 32.9182, 32.9182) * CHOOSE(CONTROL!$C$21, $C$9, 100%, $E$9)</f>
        <v>32.918199999999999</v>
      </c>
      <c r="R571" s="17">
        <f>CHOOSE(CONTROL!$C$42, 33.5875, 33.5875) * CHOOSE(CONTROL!$C$21, $C$9, 100%, $E$9)</f>
        <v>33.587499999999999</v>
      </c>
      <c r="S571" s="17">
        <f>CHOOSE(CONTROL!$C$42, 31.3414, 31.3414) * CHOOSE(CONTROL!$C$21, $C$9, 100%, $E$9)</f>
        <v>31.3414</v>
      </c>
      <c r="T571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571" s="57">
        <f>(1000*CHOOSE(CONTROL!$C$42, 695, 695)*CHOOSE(CONTROL!$C$42, 0.5599, 0.5599)*CHOOSE(CONTROL!$C$42, 31, 31))/1000000</f>
        <v>12.063045499999998</v>
      </c>
      <c r="V571" s="57">
        <f>(1000*CHOOSE(CONTROL!$C$42, 500, 500)*CHOOSE(CONTROL!$C$42, 0.275, 0.275)*CHOOSE(CONTROL!$C$42, 31, 31))/1000000</f>
        <v>4.2625000000000002</v>
      </c>
      <c r="W571" s="57">
        <f>(1000*CHOOSE(CONTROL!$C$42, 0.0916, 0.0916)*CHOOSE(CONTROL!$C$42, 121.5, 121.5)*CHOOSE(CONTROL!$C$42, 31, 31))/1000000</f>
        <v>0.34501139999999997</v>
      </c>
      <c r="X571" s="57">
        <f>(31*0.1790888*145000/1000000)+(31*0.2374*100000/1000000)</f>
        <v>1.5409441560000001</v>
      </c>
      <c r="Y571" s="57"/>
      <c r="Z571" s="17"/>
      <c r="AA571" s="56"/>
      <c r="AB571" s="49">
        <f>(B571*194.205+C571*267.466+D571*133.845+E571*153.484+F571*40+G571*85+H571*0+I571*100+J571*300)/(194.205+267.466+133.845+153.484+0+40+85+100+300)</f>
        <v>32.406955007221356</v>
      </c>
      <c r="AC571" s="46">
        <f>(M571*'RAP TEMPLATE-GAS AVAILABILITY'!O570+N571*'RAP TEMPLATE-GAS AVAILABILITY'!P570+O571*'RAP TEMPLATE-GAS AVAILABILITY'!Q570+P571*'RAP TEMPLATE-GAS AVAILABILITY'!R570)/('RAP TEMPLATE-GAS AVAILABILITY'!O570+'RAP TEMPLATE-GAS AVAILABILITY'!P570+'RAP TEMPLATE-GAS AVAILABILITY'!Q570+'RAP TEMPLATE-GAS AVAILABILITY'!R570)</f>
        <v>32.145776258992804</v>
      </c>
    </row>
    <row r="572" spans="1:29" ht="15.75" x14ac:dyDescent="0.25">
      <c r="A572" s="13">
        <v>58318</v>
      </c>
      <c r="B572" s="17">
        <f>CHOOSE(CONTROL!$C$42, 30.7363, 30.7363) * CHOOSE(CONTROL!$C$21, $C$9, 100%, $E$9)</f>
        <v>30.7363</v>
      </c>
      <c r="C572" s="17">
        <f>CHOOSE(CONTROL!$C$42, 30.7442, 30.7442) * CHOOSE(CONTROL!$C$21, $C$9, 100%, $E$9)</f>
        <v>30.744199999999999</v>
      </c>
      <c r="D572" s="17">
        <f>CHOOSE(CONTROL!$C$42, 30.9939, 30.9939) * CHOOSE(CONTROL!$C$21, $C$9, 100%, $E$9)</f>
        <v>30.9939</v>
      </c>
      <c r="E572" s="17">
        <f>CHOOSE(CONTROL!$C$42, 31.025, 31.025) * CHOOSE(CONTROL!$C$21, $C$9, 100%, $E$9)</f>
        <v>31.024999999999999</v>
      </c>
      <c r="F572" s="17">
        <f>CHOOSE(CONTROL!$C$42, 30.7422, 30.7422)*CHOOSE(CONTROL!$C$21, $C$9, 100%, $E$9)</f>
        <v>30.7422</v>
      </c>
      <c r="G572" s="17">
        <f>CHOOSE(CONTROL!$C$42, 30.7586, 30.7586)*CHOOSE(CONTROL!$C$21, $C$9, 100%, $E$9)</f>
        <v>30.758600000000001</v>
      </c>
      <c r="H572" s="17">
        <f>CHOOSE(CONTROL!$C$42, 31.0134, 31.0134) * CHOOSE(CONTROL!$C$21, $C$9, 100%, $E$9)</f>
        <v>31.013400000000001</v>
      </c>
      <c r="I572" s="17">
        <f>CHOOSE(CONTROL!$C$42, 30.8519, 30.8519)* CHOOSE(CONTROL!$C$21, $C$9, 100%, $E$9)</f>
        <v>30.851900000000001</v>
      </c>
      <c r="J572" s="17">
        <f>CHOOSE(CONTROL!$C$42, 30.7348, 30.7348)* CHOOSE(CONTROL!$C$21, $C$9, 100%, $E$9)</f>
        <v>30.7348</v>
      </c>
      <c r="K572" s="53">
        <f>CHOOSE(CONTROL!$C$42, 30.8458, 30.8458) * CHOOSE(CONTROL!$C$21, $C$9, 100%, $E$9)</f>
        <v>30.845800000000001</v>
      </c>
      <c r="L572" s="17">
        <f>CHOOSE(CONTROL!$C$42, 31.6004, 31.6004) * CHOOSE(CONTROL!$C$21, $C$9, 100%, $E$9)</f>
        <v>31.6004</v>
      </c>
      <c r="M572" s="17">
        <f>CHOOSE(CONTROL!$C$42, 30.4654, 30.4654) * CHOOSE(CONTROL!$C$21, $C$9, 100%, $E$9)</f>
        <v>30.465399999999999</v>
      </c>
      <c r="N572" s="17">
        <f>CHOOSE(CONTROL!$C$42, 30.4817, 30.4817) * CHOOSE(CONTROL!$C$21, $C$9, 100%, $E$9)</f>
        <v>30.4817</v>
      </c>
      <c r="O572" s="17">
        <f>CHOOSE(CONTROL!$C$42, 30.7415, 30.7415) * CHOOSE(CONTROL!$C$21, $C$9, 100%, $E$9)</f>
        <v>30.741499999999998</v>
      </c>
      <c r="P572" s="17">
        <f>CHOOSE(CONTROL!$C$42, 30.5806, 30.5806) * CHOOSE(CONTROL!$C$21, $C$9, 100%, $E$9)</f>
        <v>30.5806</v>
      </c>
      <c r="Q572" s="17">
        <f>CHOOSE(CONTROL!$C$42, 31.3362, 31.3362) * CHOOSE(CONTROL!$C$21, $C$9, 100%, $E$9)</f>
        <v>31.336200000000002</v>
      </c>
      <c r="R572" s="17">
        <f>CHOOSE(CONTROL!$C$42, 32.0015, 32.0015) * CHOOSE(CONTROL!$C$21, $C$9, 100%, $E$9)</f>
        <v>32.0015</v>
      </c>
      <c r="S572" s="17">
        <f>CHOOSE(CONTROL!$C$42, 29.7934, 29.7934) * CHOOSE(CONTROL!$C$21, $C$9, 100%, $E$9)</f>
        <v>29.793399999999998</v>
      </c>
      <c r="T572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572" s="57">
        <f>(1000*CHOOSE(CONTROL!$C$42, 695, 695)*CHOOSE(CONTROL!$C$42, 0.5599, 0.5599)*CHOOSE(CONTROL!$C$42, 31, 31))/1000000</f>
        <v>12.063045499999998</v>
      </c>
      <c r="V572" s="57">
        <f>(1000*CHOOSE(CONTROL!$C$42, 500, 500)*CHOOSE(CONTROL!$C$42, 0.275, 0.275)*CHOOSE(CONTROL!$C$42, 31, 31))/1000000</f>
        <v>4.2625000000000002</v>
      </c>
      <c r="W572" s="57">
        <f>(1000*CHOOSE(CONTROL!$C$42, 0.0916, 0.0916)*CHOOSE(CONTROL!$C$42, 121.5, 121.5)*CHOOSE(CONTROL!$C$42, 31, 31))/1000000</f>
        <v>0.34501139999999997</v>
      </c>
      <c r="X572" s="57">
        <f>(31*0.1790888*145000/1000000)+(31*0.2374*100000/1000000)</f>
        <v>1.5409441560000001</v>
      </c>
      <c r="Y572" s="57"/>
      <c r="Z572" s="17"/>
      <c r="AA572" s="56"/>
      <c r="AB572" s="49">
        <f>(B572*194.205+C572*267.466+D572*133.845+E572*153.484+F572*40+G572*85+H572*0+I572*100+J572*300)/(194.205+267.466+133.845+153.484+0+40+85+100+300)</f>
        <v>30.810196219937204</v>
      </c>
      <c r="AC572" s="46">
        <f>(M572*'RAP TEMPLATE-GAS AVAILABILITY'!O571+N572*'RAP TEMPLATE-GAS AVAILABILITY'!P571+O572*'RAP TEMPLATE-GAS AVAILABILITY'!Q571+P572*'RAP TEMPLATE-GAS AVAILABILITY'!R571)/('RAP TEMPLATE-GAS AVAILABILITY'!O571+'RAP TEMPLATE-GAS AVAILABILITY'!P571+'RAP TEMPLATE-GAS AVAILABILITY'!Q571+'RAP TEMPLATE-GAS AVAILABILITY'!R571)</f>
        <v>30.563194964028778</v>
      </c>
    </row>
    <row r="573" spans="1:29" ht="15.75" x14ac:dyDescent="0.25">
      <c r="A573" s="13">
        <v>58348</v>
      </c>
      <c r="B573" s="17">
        <f>CHOOSE(CONTROL!$C$42, 28.7855, 28.7855) * CHOOSE(CONTROL!$C$21, $C$9, 100%, $E$9)</f>
        <v>28.785499999999999</v>
      </c>
      <c r="C573" s="17">
        <f>CHOOSE(CONTROL!$C$42, 28.7935, 28.7935) * CHOOSE(CONTROL!$C$21, $C$9, 100%, $E$9)</f>
        <v>28.793500000000002</v>
      </c>
      <c r="D573" s="17">
        <f>CHOOSE(CONTROL!$C$42, 29.0431, 29.0431) * CHOOSE(CONTROL!$C$21, $C$9, 100%, $E$9)</f>
        <v>29.043099999999999</v>
      </c>
      <c r="E573" s="17">
        <f>CHOOSE(CONTROL!$C$42, 29.0743, 29.0743) * CHOOSE(CONTROL!$C$21, $C$9, 100%, $E$9)</f>
        <v>29.074300000000001</v>
      </c>
      <c r="F573" s="17">
        <f>CHOOSE(CONTROL!$C$42, 28.7915, 28.7915)*CHOOSE(CONTROL!$C$21, $C$9, 100%, $E$9)</f>
        <v>28.791499999999999</v>
      </c>
      <c r="G573" s="17">
        <f>CHOOSE(CONTROL!$C$42, 28.8079, 28.8079)*CHOOSE(CONTROL!$C$21, $C$9, 100%, $E$9)</f>
        <v>28.8079</v>
      </c>
      <c r="H573" s="17">
        <f>CHOOSE(CONTROL!$C$42, 29.0626, 29.0626) * CHOOSE(CONTROL!$C$21, $C$9, 100%, $E$9)</f>
        <v>29.0626</v>
      </c>
      <c r="I573" s="17">
        <f>CHOOSE(CONTROL!$C$42, 28.895, 28.895)* CHOOSE(CONTROL!$C$21, $C$9, 100%, $E$9)</f>
        <v>28.895</v>
      </c>
      <c r="J573" s="17">
        <f>CHOOSE(CONTROL!$C$42, 28.7841, 28.7841)* CHOOSE(CONTROL!$C$21, $C$9, 100%, $E$9)</f>
        <v>28.784099999999999</v>
      </c>
      <c r="K573" s="53">
        <f>CHOOSE(CONTROL!$C$42, 28.889, 28.889) * CHOOSE(CONTROL!$C$21, $C$9, 100%, $E$9)</f>
        <v>28.888999999999999</v>
      </c>
      <c r="L573" s="17">
        <f>CHOOSE(CONTROL!$C$42, 29.6496, 29.6496) * CHOOSE(CONTROL!$C$21, $C$9, 100%, $E$9)</f>
        <v>29.6496</v>
      </c>
      <c r="M573" s="17">
        <f>CHOOSE(CONTROL!$C$42, 28.5322, 28.5322) * CHOOSE(CONTROL!$C$21, $C$9, 100%, $E$9)</f>
        <v>28.5322</v>
      </c>
      <c r="N573" s="17">
        <f>CHOOSE(CONTROL!$C$42, 28.5485, 28.5485) * CHOOSE(CONTROL!$C$21, $C$9, 100%, $E$9)</f>
        <v>28.548500000000001</v>
      </c>
      <c r="O573" s="17">
        <f>CHOOSE(CONTROL!$C$42, 28.8082, 28.8082) * CHOOSE(CONTROL!$C$21, $C$9, 100%, $E$9)</f>
        <v>28.808199999999999</v>
      </c>
      <c r="P573" s="17">
        <f>CHOOSE(CONTROL!$C$42, 28.6414, 28.6414) * CHOOSE(CONTROL!$C$21, $C$9, 100%, $E$9)</f>
        <v>28.641400000000001</v>
      </c>
      <c r="Q573" s="17">
        <f>CHOOSE(CONTROL!$C$42, 29.4029, 29.4029) * CHOOSE(CONTROL!$C$21, $C$9, 100%, $E$9)</f>
        <v>29.402899999999999</v>
      </c>
      <c r="R573" s="17">
        <f>CHOOSE(CONTROL!$C$42, 30.0634, 30.0634) * CHOOSE(CONTROL!$C$21, $C$9, 100%, $E$9)</f>
        <v>30.063400000000001</v>
      </c>
      <c r="S573" s="17">
        <f>CHOOSE(CONTROL!$C$42, 27.9017, 27.9017) * CHOOSE(CONTROL!$C$21, $C$9, 100%, $E$9)</f>
        <v>27.901700000000002</v>
      </c>
      <c r="T573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573" s="57">
        <f>(1000*CHOOSE(CONTROL!$C$42, 695, 695)*CHOOSE(CONTROL!$C$42, 0.5599, 0.5599)*CHOOSE(CONTROL!$C$42, 30, 30))/1000000</f>
        <v>11.673914999999997</v>
      </c>
      <c r="V573" s="57">
        <f>(1000*CHOOSE(CONTROL!$C$42, 500, 500)*CHOOSE(CONTROL!$C$42, 0.275, 0.275)*CHOOSE(CONTROL!$C$42, 30, 30))/1000000</f>
        <v>4.125</v>
      </c>
      <c r="W573" s="57">
        <f>(1000*CHOOSE(CONTROL!$C$42, 0.0916, 0.0916)*CHOOSE(CONTROL!$C$42, 121.5, 121.5)*CHOOSE(CONTROL!$C$42, 30, 30))/1000000</f>
        <v>0.33388200000000001</v>
      </c>
      <c r="X573" s="57">
        <f>(30*0.1790888*145000/1000000)+(30*0.2374*100000/1000000)</f>
        <v>1.4912362799999999</v>
      </c>
      <c r="Y573" s="57"/>
      <c r="Z573" s="17"/>
      <c r="AA573" s="56"/>
      <c r="AB573" s="49">
        <f>(B573*194.205+C573*267.466+D573*133.845+E573*153.484+F573*40+G573*85+H573*0+I573*100+J573*300)/(194.205+267.466+133.845+153.484+0+40+85+100+300)</f>
        <v>28.858983814128727</v>
      </c>
      <c r="AC573" s="46">
        <f>(M573*'RAP TEMPLATE-GAS AVAILABILITY'!O572+N573*'RAP TEMPLATE-GAS AVAILABILITY'!P572+O573*'RAP TEMPLATE-GAS AVAILABILITY'!Q572+P573*'RAP TEMPLATE-GAS AVAILABILITY'!R572)/('RAP TEMPLATE-GAS AVAILABILITY'!O572+'RAP TEMPLATE-GAS AVAILABILITY'!P572+'RAP TEMPLATE-GAS AVAILABILITY'!Q572+'RAP TEMPLATE-GAS AVAILABILITY'!R572)</f>
        <v>28.629103597122299</v>
      </c>
    </row>
    <row r="574" spans="1:29" ht="15.75" x14ac:dyDescent="0.25">
      <c r="A574" s="13">
        <v>58379</v>
      </c>
      <c r="B574" s="17">
        <f>CHOOSE(CONTROL!$C$42, 28.1995, 28.1995) * CHOOSE(CONTROL!$C$21, $C$9, 100%, $E$9)</f>
        <v>28.1995</v>
      </c>
      <c r="C574" s="17">
        <f>CHOOSE(CONTROL!$C$42, 28.2049, 28.2049) * CHOOSE(CONTROL!$C$21, $C$9, 100%, $E$9)</f>
        <v>28.204899999999999</v>
      </c>
      <c r="D574" s="17">
        <f>CHOOSE(CONTROL!$C$42, 28.4594, 28.4594) * CHOOSE(CONTROL!$C$21, $C$9, 100%, $E$9)</f>
        <v>28.459399999999999</v>
      </c>
      <c r="E574" s="17">
        <f>CHOOSE(CONTROL!$C$42, 28.4883, 28.4883) * CHOOSE(CONTROL!$C$21, $C$9, 100%, $E$9)</f>
        <v>28.488299999999999</v>
      </c>
      <c r="F574" s="17">
        <f>CHOOSE(CONTROL!$C$42, 28.2077, 28.2077)*CHOOSE(CONTROL!$C$21, $C$9, 100%, $E$9)</f>
        <v>28.207699999999999</v>
      </c>
      <c r="G574" s="17">
        <f>CHOOSE(CONTROL!$C$42, 28.2241, 28.2241)*CHOOSE(CONTROL!$C$21, $C$9, 100%, $E$9)</f>
        <v>28.2241</v>
      </c>
      <c r="H574" s="17">
        <f>CHOOSE(CONTROL!$C$42, 28.4784, 28.4784) * CHOOSE(CONTROL!$C$21, $C$9, 100%, $E$9)</f>
        <v>28.478400000000001</v>
      </c>
      <c r="I574" s="17">
        <f>CHOOSE(CONTROL!$C$42, 28.309, 28.309)* CHOOSE(CONTROL!$C$21, $C$9, 100%, $E$9)</f>
        <v>28.309000000000001</v>
      </c>
      <c r="J574" s="17">
        <f>CHOOSE(CONTROL!$C$42, 28.2003, 28.2003)* CHOOSE(CONTROL!$C$21, $C$9, 100%, $E$9)</f>
        <v>28.200299999999999</v>
      </c>
      <c r="K574" s="53">
        <f>CHOOSE(CONTROL!$C$42, 28.303, 28.303) * CHOOSE(CONTROL!$C$21, $C$9, 100%, $E$9)</f>
        <v>28.303000000000001</v>
      </c>
      <c r="L574" s="17">
        <f>CHOOSE(CONTROL!$C$42, 29.0654, 29.0654) * CHOOSE(CONTROL!$C$21, $C$9, 100%, $E$9)</f>
        <v>29.0654</v>
      </c>
      <c r="M574" s="17">
        <f>CHOOSE(CONTROL!$C$42, 27.9537, 27.9537) * CHOOSE(CONTROL!$C$21, $C$9, 100%, $E$9)</f>
        <v>27.953700000000001</v>
      </c>
      <c r="N574" s="17">
        <f>CHOOSE(CONTROL!$C$42, 27.9699, 27.9699) * CHOOSE(CONTROL!$C$21, $C$9, 100%, $E$9)</f>
        <v>27.969899999999999</v>
      </c>
      <c r="O574" s="17">
        <f>CHOOSE(CONTROL!$C$42, 28.2293, 28.2293) * CHOOSE(CONTROL!$C$21, $C$9, 100%, $E$9)</f>
        <v>28.229299999999999</v>
      </c>
      <c r="P574" s="17">
        <f>CHOOSE(CONTROL!$C$42, 28.0607, 28.0607) * CHOOSE(CONTROL!$C$21, $C$9, 100%, $E$9)</f>
        <v>28.060700000000001</v>
      </c>
      <c r="Q574" s="17">
        <f>CHOOSE(CONTROL!$C$42, 28.824, 28.824) * CHOOSE(CONTROL!$C$21, $C$9, 100%, $E$9)</f>
        <v>28.824000000000002</v>
      </c>
      <c r="R574" s="17">
        <f>CHOOSE(CONTROL!$C$42, 29.483, 29.483) * CHOOSE(CONTROL!$C$21, $C$9, 100%, $E$9)</f>
        <v>29.483000000000001</v>
      </c>
      <c r="S574" s="17">
        <f>CHOOSE(CONTROL!$C$42, 27.3352, 27.3352) * CHOOSE(CONTROL!$C$21, $C$9, 100%, $E$9)</f>
        <v>27.3352</v>
      </c>
      <c r="T574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574" s="57">
        <f>(1000*CHOOSE(CONTROL!$C$42, 695, 695)*CHOOSE(CONTROL!$C$42, 0.5599, 0.5599)*CHOOSE(CONTROL!$C$42, 31, 31))/1000000</f>
        <v>12.063045499999998</v>
      </c>
      <c r="V574" s="57">
        <f>(1000*CHOOSE(CONTROL!$C$42, 500, 500)*CHOOSE(CONTROL!$C$42, 0.275, 0.275)*CHOOSE(CONTROL!$C$42, 31, 31))/1000000</f>
        <v>4.2625000000000002</v>
      </c>
      <c r="W574" s="57">
        <f>(1000*CHOOSE(CONTROL!$C$42, 0.0916, 0.0916)*CHOOSE(CONTROL!$C$42, 121.5, 121.5)*CHOOSE(CONTROL!$C$42, 31, 31))/1000000</f>
        <v>0.34501139999999997</v>
      </c>
      <c r="X574" s="57">
        <f>(31*0.1790888*145000/1000000)+(31*0.2374*100000/1000000)</f>
        <v>1.5409441560000001</v>
      </c>
      <c r="Y574" s="57"/>
      <c r="Z574" s="17"/>
      <c r="AA574" s="56"/>
      <c r="AB574" s="49">
        <f>(B574*131.881+C574*277.167+D574*79.08+E574*225.872+F574*40+G574*85+H574*0+I574*100+J574*300)/(131.881+277.167+79.08+225.872+0+40+85+100+300)</f>
        <v>28.280928916384184</v>
      </c>
      <c r="AC574" s="46">
        <f>(M574*'RAP TEMPLATE-GAS AVAILABILITY'!O573+N574*'RAP TEMPLATE-GAS AVAILABILITY'!P573+O574*'RAP TEMPLATE-GAS AVAILABILITY'!Q573+P574*'RAP TEMPLATE-GAS AVAILABILITY'!R573)/('RAP TEMPLATE-GAS AVAILABILITY'!O573+'RAP TEMPLATE-GAS AVAILABILITY'!P573+'RAP TEMPLATE-GAS AVAILABILITY'!Q573+'RAP TEMPLATE-GAS AVAILABILITY'!R573)</f>
        <v>28.050151798561149</v>
      </c>
    </row>
    <row r="575" spans="1:29" ht="15.75" x14ac:dyDescent="0.25">
      <c r="A575" s="13">
        <v>58409</v>
      </c>
      <c r="B575" s="17">
        <f>CHOOSE(CONTROL!$C$42, 28.9418, 28.9418) * CHOOSE(CONTROL!$C$21, $C$9, 100%, $E$9)</f>
        <v>28.941800000000001</v>
      </c>
      <c r="C575" s="17">
        <f>CHOOSE(CONTROL!$C$42, 28.9468, 28.9468) * CHOOSE(CONTROL!$C$21, $C$9, 100%, $E$9)</f>
        <v>28.9468</v>
      </c>
      <c r="D575" s="17">
        <f>CHOOSE(CONTROL!$C$42, 29.0695, 29.0695) * CHOOSE(CONTROL!$C$21, $C$9, 100%, $E$9)</f>
        <v>29.069500000000001</v>
      </c>
      <c r="E575" s="17">
        <f>CHOOSE(CONTROL!$C$42, 29.1032, 29.1032) * CHOOSE(CONTROL!$C$21, $C$9, 100%, $E$9)</f>
        <v>29.103200000000001</v>
      </c>
      <c r="F575" s="17">
        <f>CHOOSE(CONTROL!$C$42, 28.9568, 28.9568)*CHOOSE(CONTROL!$C$21, $C$9, 100%, $E$9)</f>
        <v>28.956800000000001</v>
      </c>
      <c r="G575" s="17">
        <f>CHOOSE(CONTROL!$C$42, 28.9734, 28.9734)*CHOOSE(CONTROL!$C$21, $C$9, 100%, $E$9)</f>
        <v>28.973400000000002</v>
      </c>
      <c r="H575" s="17">
        <f>CHOOSE(CONTROL!$C$42, 29.0921, 29.0921) * CHOOSE(CONTROL!$C$21, $C$9, 100%, $E$9)</f>
        <v>29.092099999999999</v>
      </c>
      <c r="I575" s="17">
        <f>CHOOSE(CONTROL!$C$42, 29.0565, 29.0565)* CHOOSE(CONTROL!$C$21, $C$9, 100%, $E$9)</f>
        <v>29.0565</v>
      </c>
      <c r="J575" s="17">
        <f>CHOOSE(CONTROL!$C$42, 28.9494, 28.9494)* CHOOSE(CONTROL!$C$21, $C$9, 100%, $E$9)</f>
        <v>28.949400000000001</v>
      </c>
      <c r="K575" s="53">
        <f>CHOOSE(CONTROL!$C$42, 29.0505, 29.0505) * CHOOSE(CONTROL!$C$21, $C$9, 100%, $E$9)</f>
        <v>29.0505</v>
      </c>
      <c r="L575" s="17">
        <f>CHOOSE(CONTROL!$C$42, 29.6791, 29.6791) * CHOOSE(CONTROL!$C$21, $C$9, 100%, $E$9)</f>
        <v>29.679099999999998</v>
      </c>
      <c r="M575" s="17">
        <f>CHOOSE(CONTROL!$C$42, 28.696, 28.696) * CHOOSE(CONTROL!$C$21, $C$9, 100%, $E$9)</f>
        <v>28.696000000000002</v>
      </c>
      <c r="N575" s="17">
        <f>CHOOSE(CONTROL!$C$42, 28.7125, 28.7125) * CHOOSE(CONTROL!$C$21, $C$9, 100%, $E$9)</f>
        <v>28.712499999999999</v>
      </c>
      <c r="O575" s="17">
        <f>CHOOSE(CONTROL!$C$42, 28.8375, 28.8375) * CHOOSE(CONTROL!$C$21, $C$9, 100%, $E$9)</f>
        <v>28.837499999999999</v>
      </c>
      <c r="P575" s="17">
        <f>CHOOSE(CONTROL!$C$42, 28.8015, 28.8015) * CHOOSE(CONTROL!$C$21, $C$9, 100%, $E$9)</f>
        <v>28.801500000000001</v>
      </c>
      <c r="Q575" s="17">
        <f>CHOOSE(CONTROL!$C$42, 29.4322, 29.4322) * CHOOSE(CONTROL!$C$21, $C$9, 100%, $E$9)</f>
        <v>29.432200000000002</v>
      </c>
      <c r="R575" s="17">
        <f>CHOOSE(CONTROL!$C$42, 30.0927, 30.0927) * CHOOSE(CONTROL!$C$21, $C$9, 100%, $E$9)</f>
        <v>30.092700000000001</v>
      </c>
      <c r="S575" s="17">
        <f>CHOOSE(CONTROL!$C$42, 28.0553, 28.0553) * CHOOSE(CONTROL!$C$21, $C$9, 100%, $E$9)</f>
        <v>28.055299999999999</v>
      </c>
      <c r="T575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575" s="57">
        <f>(1000*CHOOSE(CONTROL!$C$42, 695, 695)*CHOOSE(CONTROL!$C$42, 0.5599, 0.5599)*CHOOSE(CONTROL!$C$42, 30, 30))/1000000</f>
        <v>11.673914999999997</v>
      </c>
      <c r="V575" s="57">
        <f>(1000*CHOOSE(CONTROL!$C$42, 500, 500)*CHOOSE(CONTROL!$C$42, 0.275, 0.275)*CHOOSE(CONTROL!$C$42, 30, 30))/1000000</f>
        <v>4.125</v>
      </c>
      <c r="W575" s="57">
        <f>(1000*CHOOSE(CONTROL!$C$42, 0.0916, 0.0916)*CHOOSE(CONTROL!$C$42, 121.5, 121.5)*CHOOSE(CONTROL!$C$42, 30, 30))/1000000</f>
        <v>0.33388200000000001</v>
      </c>
      <c r="X575" s="57">
        <f>(30*0.2374*100000/1000000)</f>
        <v>0.71220000000000006</v>
      </c>
      <c r="Y575" s="57"/>
      <c r="Z575" s="17"/>
      <c r="AA575" s="56"/>
      <c r="AB575" s="49">
        <f>(B575*122.58+C575*297.941+D575*89.177+E575*140.302+F575*40+G575*60+H575*0+I575*100+J575*300)/(122.58+297.941+89.177+140.302+0+40+60+100+300)</f>
        <v>28.986815957130432</v>
      </c>
      <c r="AC575" s="46">
        <f>(M575*'RAP TEMPLATE-GAS AVAILABILITY'!O574+N575*'RAP TEMPLATE-GAS AVAILABILITY'!P574+O575*'RAP TEMPLATE-GAS AVAILABILITY'!Q574+P575*'RAP TEMPLATE-GAS AVAILABILITY'!R574)/('RAP TEMPLATE-GAS AVAILABILITY'!O574+'RAP TEMPLATE-GAS AVAILABILITY'!P574+'RAP TEMPLATE-GAS AVAILABILITY'!Q574+'RAP TEMPLATE-GAS AVAILABILITY'!R574)</f>
        <v>28.776262589928059</v>
      </c>
    </row>
    <row r="576" spans="1:29" ht="15.75" x14ac:dyDescent="0.25">
      <c r="A576" s="13">
        <v>58440</v>
      </c>
      <c r="B576" s="17">
        <f>CHOOSE(CONTROL!$C$42, 30.9143, 30.9143) * CHOOSE(CONTROL!$C$21, $C$9, 100%, $E$9)</f>
        <v>30.914300000000001</v>
      </c>
      <c r="C576" s="17">
        <f>CHOOSE(CONTROL!$C$42, 30.9194, 30.9194) * CHOOSE(CONTROL!$C$21, $C$9, 100%, $E$9)</f>
        <v>30.9194</v>
      </c>
      <c r="D576" s="17">
        <f>CHOOSE(CONTROL!$C$42, 31.042, 31.042) * CHOOSE(CONTROL!$C$21, $C$9, 100%, $E$9)</f>
        <v>31.042000000000002</v>
      </c>
      <c r="E576" s="17">
        <f>CHOOSE(CONTROL!$C$42, 31.0757, 31.0757) * CHOOSE(CONTROL!$C$21, $C$9, 100%, $E$9)</f>
        <v>31.075700000000001</v>
      </c>
      <c r="F576" s="17">
        <f>CHOOSE(CONTROL!$C$42, 30.9317, 30.9317)*CHOOSE(CONTROL!$C$21, $C$9, 100%, $E$9)</f>
        <v>30.931699999999999</v>
      </c>
      <c r="G576" s="17">
        <f>CHOOSE(CONTROL!$C$42, 30.949, 30.949)*CHOOSE(CONTROL!$C$21, $C$9, 100%, $E$9)</f>
        <v>30.949000000000002</v>
      </c>
      <c r="H576" s="17">
        <f>CHOOSE(CONTROL!$C$42, 31.0646, 31.0646) * CHOOSE(CONTROL!$C$21, $C$9, 100%, $E$9)</f>
        <v>31.064599999999999</v>
      </c>
      <c r="I576" s="17">
        <f>CHOOSE(CONTROL!$C$42, 31.0352, 31.0352)* CHOOSE(CONTROL!$C$21, $C$9, 100%, $E$9)</f>
        <v>31.0352</v>
      </c>
      <c r="J576" s="17">
        <f>CHOOSE(CONTROL!$C$42, 30.9243, 30.9243)* CHOOSE(CONTROL!$C$21, $C$9, 100%, $E$9)</f>
        <v>30.924299999999999</v>
      </c>
      <c r="K576" s="53">
        <f>CHOOSE(CONTROL!$C$42, 31.0291, 31.0291) * CHOOSE(CONTROL!$C$21, $C$9, 100%, $E$9)</f>
        <v>31.0291</v>
      </c>
      <c r="L576" s="17">
        <f>CHOOSE(CONTROL!$C$42, 31.6516, 31.6516) * CHOOSE(CONTROL!$C$21, $C$9, 100%, $E$9)</f>
        <v>31.651599999999998</v>
      </c>
      <c r="M576" s="17">
        <f>CHOOSE(CONTROL!$C$42, 30.6532, 30.6532) * CHOOSE(CONTROL!$C$21, $C$9, 100%, $E$9)</f>
        <v>30.653199999999998</v>
      </c>
      <c r="N576" s="17">
        <f>CHOOSE(CONTROL!$C$42, 30.6703, 30.6703) * CHOOSE(CONTROL!$C$21, $C$9, 100%, $E$9)</f>
        <v>30.670300000000001</v>
      </c>
      <c r="O576" s="17">
        <f>CHOOSE(CONTROL!$C$42, 30.7922, 30.7922) * CHOOSE(CONTROL!$C$21, $C$9, 100%, $E$9)</f>
        <v>30.792200000000001</v>
      </c>
      <c r="P576" s="17">
        <f>CHOOSE(CONTROL!$C$42, 30.7622, 30.7622) * CHOOSE(CONTROL!$C$21, $C$9, 100%, $E$9)</f>
        <v>30.7622</v>
      </c>
      <c r="Q576" s="17">
        <f>CHOOSE(CONTROL!$C$42, 31.3869, 31.3869) * CHOOSE(CONTROL!$C$21, $C$9, 100%, $E$9)</f>
        <v>31.386900000000001</v>
      </c>
      <c r="R576" s="17">
        <f>CHOOSE(CONTROL!$C$42, 32.0524, 32.0524) * CHOOSE(CONTROL!$C$21, $C$9, 100%, $E$9)</f>
        <v>32.052399999999999</v>
      </c>
      <c r="S576" s="17">
        <f>CHOOSE(CONTROL!$C$42, 29.9681, 29.9681) * CHOOSE(CONTROL!$C$21, $C$9, 100%, $E$9)</f>
        <v>29.9681</v>
      </c>
      <c r="T576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576" s="57">
        <f>(1000*CHOOSE(CONTROL!$C$42, 695, 695)*CHOOSE(CONTROL!$C$42, 0.5599, 0.5599)*CHOOSE(CONTROL!$C$42, 31, 31))/1000000</f>
        <v>12.063045499999998</v>
      </c>
      <c r="V576" s="57">
        <f>(1000*CHOOSE(CONTROL!$C$42, 500, 500)*CHOOSE(CONTROL!$C$42, 0.275, 0.275)*CHOOSE(CONTROL!$C$42, 31, 31))/1000000</f>
        <v>4.2625000000000002</v>
      </c>
      <c r="W576" s="57">
        <f>(1000*CHOOSE(CONTROL!$C$42, 0.0916, 0.0916)*CHOOSE(CONTROL!$C$42, 121.5, 121.5)*CHOOSE(CONTROL!$C$42, 31, 31))/1000000</f>
        <v>0.34501139999999997</v>
      </c>
      <c r="X576" s="57">
        <f>(31*0.2374*100000/1000000)</f>
        <v>0.73594000000000004</v>
      </c>
      <c r="Y576" s="57"/>
      <c r="Z576" s="17"/>
      <c r="AA576" s="56"/>
      <c r="AB576" s="49">
        <f>(B576*122.58+C576*297.941+D576*89.177+E576*140.302+F576*40+G576*60+H576*0+I576*100+J576*300)/(122.58+297.941+89.177+140.302+0+40+60+100+300)</f>
        <v>30.960752299826087</v>
      </c>
      <c r="AC576" s="46">
        <f>(M576*'RAP TEMPLATE-GAS AVAILABILITY'!O575+N576*'RAP TEMPLATE-GAS AVAILABILITY'!P575+O576*'RAP TEMPLATE-GAS AVAILABILITY'!Q575+P576*'RAP TEMPLATE-GAS AVAILABILITY'!R575)/('RAP TEMPLATE-GAS AVAILABILITY'!O575+'RAP TEMPLATE-GAS AVAILABILITY'!P575+'RAP TEMPLATE-GAS AVAILABILITY'!Q575+'RAP TEMPLATE-GAS AVAILABILITY'!R575)</f>
        <v>30.732867625899281</v>
      </c>
    </row>
    <row r="577" spans="1:29" ht="15.75" x14ac:dyDescent="0.25">
      <c r="A577" s="13">
        <v>58471</v>
      </c>
      <c r="B577" s="17">
        <f>CHOOSE(CONTROL!$C$42, 33.4762, 33.4762) * CHOOSE(CONTROL!$C$21, $C$9, 100%, $E$9)</f>
        <v>33.476199999999999</v>
      </c>
      <c r="C577" s="17">
        <f>CHOOSE(CONTROL!$C$42, 33.4813, 33.4813) * CHOOSE(CONTROL!$C$21, $C$9, 100%, $E$9)</f>
        <v>33.481299999999997</v>
      </c>
      <c r="D577" s="17">
        <f>CHOOSE(CONTROL!$C$42, 33.5988, 33.5988) * CHOOSE(CONTROL!$C$21, $C$9, 100%, $E$9)</f>
        <v>33.598799999999997</v>
      </c>
      <c r="E577" s="17">
        <f>CHOOSE(CONTROL!$C$42, 33.6325, 33.6325) * CHOOSE(CONTROL!$C$21, $C$9, 100%, $E$9)</f>
        <v>33.6325</v>
      </c>
      <c r="F577" s="17">
        <f>CHOOSE(CONTROL!$C$42, 33.4898, 33.4898)*CHOOSE(CONTROL!$C$21, $C$9, 100%, $E$9)</f>
        <v>33.489800000000002</v>
      </c>
      <c r="G577" s="17">
        <f>CHOOSE(CONTROL!$C$42, 33.5061, 33.5061)*CHOOSE(CONTROL!$C$21, $C$9, 100%, $E$9)</f>
        <v>33.506100000000004</v>
      </c>
      <c r="H577" s="17">
        <f>CHOOSE(CONTROL!$C$42, 33.6214, 33.6214) * CHOOSE(CONTROL!$C$21, $C$9, 100%, $E$9)</f>
        <v>33.621400000000001</v>
      </c>
      <c r="I577" s="17">
        <f>CHOOSE(CONTROL!$C$42, 33.6035, 33.6035)* CHOOSE(CONTROL!$C$21, $C$9, 100%, $E$9)</f>
        <v>33.603499999999997</v>
      </c>
      <c r="J577" s="17">
        <f>CHOOSE(CONTROL!$C$42, 33.4824, 33.4824)* CHOOSE(CONTROL!$C$21, $C$9, 100%, $E$9)</f>
        <v>33.482399999999998</v>
      </c>
      <c r="K577" s="53">
        <f>CHOOSE(CONTROL!$C$42, 33.5975, 33.5975) * CHOOSE(CONTROL!$C$21, $C$9, 100%, $E$9)</f>
        <v>33.597499999999997</v>
      </c>
      <c r="L577" s="17">
        <f>CHOOSE(CONTROL!$C$42, 34.2084, 34.2084) * CHOOSE(CONTROL!$C$21, $C$9, 100%, $E$9)</f>
        <v>34.208399999999997</v>
      </c>
      <c r="M577" s="17">
        <f>CHOOSE(CONTROL!$C$42, 33.1883, 33.1883) * CHOOSE(CONTROL!$C$21, $C$9, 100%, $E$9)</f>
        <v>33.188299999999998</v>
      </c>
      <c r="N577" s="17">
        <f>CHOOSE(CONTROL!$C$42, 33.2045, 33.2045) * CHOOSE(CONTROL!$C$21, $C$9, 100%, $E$9)</f>
        <v>33.204500000000003</v>
      </c>
      <c r="O577" s="17">
        <f>CHOOSE(CONTROL!$C$42, 33.326, 33.326) * CHOOSE(CONTROL!$C$21, $C$9, 100%, $E$9)</f>
        <v>33.326000000000001</v>
      </c>
      <c r="P577" s="17">
        <f>CHOOSE(CONTROL!$C$42, 33.3074, 33.3074) * CHOOSE(CONTROL!$C$21, $C$9, 100%, $E$9)</f>
        <v>33.307400000000001</v>
      </c>
      <c r="Q577" s="17">
        <f>CHOOSE(CONTROL!$C$42, 33.9207, 33.9207) * CHOOSE(CONTROL!$C$21, $C$9, 100%, $E$9)</f>
        <v>33.920699999999997</v>
      </c>
      <c r="R577" s="17">
        <f>CHOOSE(CONTROL!$C$42, 34.5925, 34.5925) * CHOOSE(CONTROL!$C$21, $C$9, 100%, $E$9)</f>
        <v>34.592500000000001</v>
      </c>
      <c r="S577" s="17">
        <f>CHOOSE(CONTROL!$C$42, 32.4524, 32.4524) * CHOOSE(CONTROL!$C$21, $C$9, 100%, $E$9)</f>
        <v>32.452399999999997</v>
      </c>
      <c r="T577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577" s="57">
        <f>(1000*CHOOSE(CONTROL!$C$42, 695, 695)*CHOOSE(CONTROL!$C$42, 0.5599, 0.5599)*CHOOSE(CONTROL!$C$42, 31, 31))/1000000</f>
        <v>12.063045499999998</v>
      </c>
      <c r="V577" s="57">
        <f>(1000*CHOOSE(CONTROL!$C$42, 500, 500)*CHOOSE(CONTROL!$C$42, 0.275, 0.275)*CHOOSE(CONTROL!$C$42, 31, 31))/1000000</f>
        <v>4.2625000000000002</v>
      </c>
      <c r="W577" s="57">
        <f>(1000*CHOOSE(CONTROL!$C$42, 0.0916, 0.0916)*CHOOSE(CONTROL!$C$42, 121.5, 121.5)*CHOOSE(CONTROL!$C$42, 31, 31))/1000000</f>
        <v>0.34501139999999997</v>
      </c>
      <c r="X577" s="57">
        <f>(31*0.2374*100000/1000000)</f>
        <v>0.73594000000000004</v>
      </c>
      <c r="Y577" s="57"/>
      <c r="Z577" s="17"/>
      <c r="AA577" s="56"/>
      <c r="AB577" s="49">
        <f>(B577*122.58+C577*297.941+D577*89.177+E577*140.302+F577*40+G577*60+H577*0+I577*100+J577*300)/(122.58+297.941+89.177+140.302+0+40+60+100+300)</f>
        <v>33.520817219043479</v>
      </c>
      <c r="AC577" s="46">
        <f>(M577*'RAP TEMPLATE-GAS AVAILABILITY'!O576+N577*'RAP TEMPLATE-GAS AVAILABILITY'!P576+O577*'RAP TEMPLATE-GAS AVAILABILITY'!Q576+P577*'RAP TEMPLATE-GAS AVAILABILITY'!R576)/('RAP TEMPLATE-GAS AVAILABILITY'!O576+'RAP TEMPLATE-GAS AVAILABILITY'!P576+'RAP TEMPLATE-GAS AVAILABILITY'!Q576+'RAP TEMPLATE-GAS AVAILABILITY'!R576)</f>
        <v>33.26877985611511</v>
      </c>
    </row>
    <row r="578" spans="1:29" ht="15.75" x14ac:dyDescent="0.25">
      <c r="A578" s="13">
        <v>58499</v>
      </c>
      <c r="B578" s="17">
        <f>CHOOSE(CONTROL!$C$42, 34.072, 34.072) * CHOOSE(CONTROL!$C$21, $C$9, 100%, $E$9)</f>
        <v>34.072000000000003</v>
      </c>
      <c r="C578" s="17">
        <f>CHOOSE(CONTROL!$C$42, 34.077, 34.077) * CHOOSE(CONTROL!$C$21, $C$9, 100%, $E$9)</f>
        <v>34.076999999999998</v>
      </c>
      <c r="D578" s="17">
        <f>CHOOSE(CONTROL!$C$42, 34.1945, 34.1945) * CHOOSE(CONTROL!$C$21, $C$9, 100%, $E$9)</f>
        <v>34.194499999999998</v>
      </c>
      <c r="E578" s="17">
        <f>CHOOSE(CONTROL!$C$42, 34.2283, 34.2283) * CHOOSE(CONTROL!$C$21, $C$9, 100%, $E$9)</f>
        <v>34.228299999999997</v>
      </c>
      <c r="F578" s="17">
        <f>CHOOSE(CONTROL!$C$42, 34.0856, 34.0856)*CHOOSE(CONTROL!$C$21, $C$9, 100%, $E$9)</f>
        <v>34.085599999999999</v>
      </c>
      <c r="G578" s="17">
        <f>CHOOSE(CONTROL!$C$42, 34.1019, 34.1019)*CHOOSE(CONTROL!$C$21, $C$9, 100%, $E$9)</f>
        <v>34.101900000000001</v>
      </c>
      <c r="H578" s="17">
        <f>CHOOSE(CONTROL!$C$42, 34.2171, 34.2171) * CHOOSE(CONTROL!$C$21, $C$9, 100%, $E$9)</f>
        <v>34.217100000000002</v>
      </c>
      <c r="I578" s="17">
        <f>CHOOSE(CONTROL!$C$42, 34.2011, 34.2011)* CHOOSE(CONTROL!$C$21, $C$9, 100%, $E$9)</f>
        <v>34.201099999999997</v>
      </c>
      <c r="J578" s="17">
        <f>CHOOSE(CONTROL!$C$42, 34.0782, 34.0782)* CHOOSE(CONTROL!$C$21, $C$9, 100%, $E$9)</f>
        <v>34.078200000000002</v>
      </c>
      <c r="K578" s="53">
        <f>CHOOSE(CONTROL!$C$42, 34.195, 34.195) * CHOOSE(CONTROL!$C$21, $C$9, 100%, $E$9)</f>
        <v>34.195</v>
      </c>
      <c r="L578" s="17">
        <f>CHOOSE(CONTROL!$C$42, 34.8041, 34.8041) * CHOOSE(CONTROL!$C$21, $C$9, 100%, $E$9)</f>
        <v>34.804099999999998</v>
      </c>
      <c r="M578" s="17">
        <f>CHOOSE(CONTROL!$C$42, 33.7787, 33.7787) * CHOOSE(CONTROL!$C$21, $C$9, 100%, $E$9)</f>
        <v>33.778700000000001</v>
      </c>
      <c r="N578" s="17">
        <f>CHOOSE(CONTROL!$C$42, 33.7949, 33.7949) * CHOOSE(CONTROL!$C$21, $C$9, 100%, $E$9)</f>
        <v>33.794899999999998</v>
      </c>
      <c r="O578" s="17">
        <f>CHOOSE(CONTROL!$C$42, 33.9164, 33.9164) * CHOOSE(CONTROL!$C$21, $C$9, 100%, $E$9)</f>
        <v>33.916400000000003</v>
      </c>
      <c r="P578" s="17">
        <f>CHOOSE(CONTROL!$C$42, 33.8996, 33.8996) * CHOOSE(CONTROL!$C$21, $C$9, 100%, $E$9)</f>
        <v>33.8996</v>
      </c>
      <c r="Q578" s="17">
        <f>CHOOSE(CONTROL!$C$42, 34.5111, 34.5111) * CHOOSE(CONTROL!$C$21, $C$9, 100%, $E$9)</f>
        <v>34.511099999999999</v>
      </c>
      <c r="R578" s="17">
        <f>CHOOSE(CONTROL!$C$42, 35.1844, 35.1844) * CHOOSE(CONTROL!$C$21, $C$9, 100%, $E$9)</f>
        <v>35.184399999999997</v>
      </c>
      <c r="S578" s="17">
        <f>CHOOSE(CONTROL!$C$42, 33.0301, 33.0301) * CHOOSE(CONTROL!$C$21, $C$9, 100%, $E$9)</f>
        <v>33.030099999999997</v>
      </c>
      <c r="T578" s="57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578" s="57">
        <f>(1000*CHOOSE(CONTROL!$C$42, 695, 695)*CHOOSE(CONTROL!$C$42, 0.5599, 0.5599)*CHOOSE(CONTROL!$C$42, 29, 29))/1000000</f>
        <v>11.284784499999999</v>
      </c>
      <c r="V578" s="57">
        <f>(1000*CHOOSE(CONTROL!$C$42, 500, 500)*CHOOSE(CONTROL!$C$42, 0.275, 0.275)*CHOOSE(CONTROL!$C$42, 29, 29))/1000000</f>
        <v>3.9874999999999998</v>
      </c>
      <c r="W578" s="57">
        <f>(1000*CHOOSE(CONTROL!$C$42, 0.0916, 0.0916)*CHOOSE(CONTROL!$C$42, 121.5, 121.5)*CHOOSE(CONTROL!$C$42, 29, 29))/1000000</f>
        <v>0.3227526</v>
      </c>
      <c r="X578" s="57">
        <f>(29*0.2374*100000/1000000)</f>
        <v>0.68845999999999996</v>
      </c>
      <c r="Y578" s="57"/>
      <c r="Z578" s="17"/>
      <c r="AA578" s="56"/>
      <c r="AB578" s="49">
        <f>(B578*122.58+C578*297.941+D578*89.177+E578*140.302+F578*40+G578*60+H578*0+I578*100+J578*300)/(122.58+297.941+89.177+140.302+0+40+60+100+300)</f>
        <v>34.116740078347824</v>
      </c>
      <c r="AC578" s="46">
        <f>(M578*'RAP TEMPLATE-GAS AVAILABILITY'!O577+N578*'RAP TEMPLATE-GAS AVAILABILITY'!P577+O578*'RAP TEMPLATE-GAS AVAILABILITY'!Q577+P578*'RAP TEMPLATE-GAS AVAILABILITY'!R577)/('RAP TEMPLATE-GAS AVAILABILITY'!O577+'RAP TEMPLATE-GAS AVAILABILITY'!P577+'RAP TEMPLATE-GAS AVAILABILITY'!Q577+'RAP TEMPLATE-GAS AVAILABILITY'!R577)</f>
        <v>33.85943884892086</v>
      </c>
    </row>
    <row r="579" spans="1:29" ht="15.75" x14ac:dyDescent="0.25">
      <c r="A579" s="13">
        <v>58531</v>
      </c>
      <c r="B579" s="17">
        <f>CHOOSE(CONTROL!$C$42, 33.1049, 33.1049) * CHOOSE(CONTROL!$C$21, $C$9, 100%, $E$9)</f>
        <v>33.104900000000001</v>
      </c>
      <c r="C579" s="17">
        <f>CHOOSE(CONTROL!$C$42, 33.11, 33.11) * CHOOSE(CONTROL!$C$21, $C$9, 100%, $E$9)</f>
        <v>33.11</v>
      </c>
      <c r="D579" s="17">
        <f>CHOOSE(CONTROL!$C$42, 33.2275, 33.2275) * CHOOSE(CONTROL!$C$21, $C$9, 100%, $E$9)</f>
        <v>33.227499999999999</v>
      </c>
      <c r="E579" s="17">
        <f>CHOOSE(CONTROL!$C$42, 33.2612, 33.2612) * CHOOSE(CONTROL!$C$21, $C$9, 100%, $E$9)</f>
        <v>33.261200000000002</v>
      </c>
      <c r="F579" s="17">
        <f>CHOOSE(CONTROL!$C$42, 33.1179, 33.1179)*CHOOSE(CONTROL!$C$21, $C$9, 100%, $E$9)</f>
        <v>33.117899999999999</v>
      </c>
      <c r="G579" s="17">
        <f>CHOOSE(CONTROL!$C$42, 33.1341, 33.1341)*CHOOSE(CONTROL!$C$21, $C$9, 100%, $E$9)</f>
        <v>33.134099999999997</v>
      </c>
      <c r="H579" s="17">
        <f>CHOOSE(CONTROL!$C$42, 33.2501, 33.2501) * CHOOSE(CONTROL!$C$21, $C$9, 100%, $E$9)</f>
        <v>33.250100000000003</v>
      </c>
      <c r="I579" s="17">
        <f>CHOOSE(CONTROL!$C$42, 33.2311, 33.2311)* CHOOSE(CONTROL!$C$21, $C$9, 100%, $E$9)</f>
        <v>33.231099999999998</v>
      </c>
      <c r="J579" s="17">
        <f>CHOOSE(CONTROL!$C$42, 33.1105, 33.1105)* CHOOSE(CONTROL!$C$21, $C$9, 100%, $E$9)</f>
        <v>33.110500000000002</v>
      </c>
      <c r="K579" s="53">
        <f>CHOOSE(CONTROL!$C$42, 33.225, 33.225) * CHOOSE(CONTROL!$C$21, $C$9, 100%, $E$9)</f>
        <v>33.225000000000001</v>
      </c>
      <c r="L579" s="17">
        <f>CHOOSE(CONTROL!$C$42, 33.8371, 33.8371) * CHOOSE(CONTROL!$C$21, $C$9, 100%, $E$9)</f>
        <v>33.8371</v>
      </c>
      <c r="M579" s="17">
        <f>CHOOSE(CONTROL!$C$42, 32.8198, 32.8198) * CHOOSE(CONTROL!$C$21, $C$9, 100%, $E$9)</f>
        <v>32.819800000000001</v>
      </c>
      <c r="N579" s="17">
        <f>CHOOSE(CONTROL!$C$42, 32.8357, 32.8357) * CHOOSE(CONTROL!$C$21, $C$9, 100%, $E$9)</f>
        <v>32.835700000000003</v>
      </c>
      <c r="O579" s="17">
        <f>CHOOSE(CONTROL!$C$42, 32.9581, 32.9581) * CHOOSE(CONTROL!$C$21, $C$9, 100%, $E$9)</f>
        <v>32.958100000000002</v>
      </c>
      <c r="P579" s="17">
        <f>CHOOSE(CONTROL!$C$42, 32.9383, 32.9383) * CHOOSE(CONTROL!$C$21, $C$9, 100%, $E$9)</f>
        <v>32.938299999999998</v>
      </c>
      <c r="Q579" s="17">
        <f>CHOOSE(CONTROL!$C$42, 33.5528, 33.5528) * CHOOSE(CONTROL!$C$21, $C$9, 100%, $E$9)</f>
        <v>33.552799999999998</v>
      </c>
      <c r="R579" s="17">
        <f>CHOOSE(CONTROL!$C$42, 34.2237, 34.2237) * CHOOSE(CONTROL!$C$21, $C$9, 100%, $E$9)</f>
        <v>34.223700000000001</v>
      </c>
      <c r="S579" s="17">
        <f>CHOOSE(CONTROL!$C$42, 32.0923, 32.0923) * CHOOSE(CONTROL!$C$21, $C$9, 100%, $E$9)</f>
        <v>32.092300000000002</v>
      </c>
      <c r="T579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579" s="57">
        <f>(1000*CHOOSE(CONTROL!$C$42, 695, 695)*CHOOSE(CONTROL!$C$42, 0.5599, 0.5599)*CHOOSE(CONTROL!$C$42, 31, 31))/1000000</f>
        <v>12.063045499999998</v>
      </c>
      <c r="V579" s="57">
        <f>(1000*CHOOSE(CONTROL!$C$42, 500, 500)*CHOOSE(CONTROL!$C$42, 0.275, 0.275)*CHOOSE(CONTROL!$C$42, 31, 31))/1000000</f>
        <v>4.2625000000000002</v>
      </c>
      <c r="W579" s="57">
        <f>(1000*CHOOSE(CONTROL!$C$42, 0.0916, 0.0916)*CHOOSE(CONTROL!$C$42, 121.5, 121.5)*CHOOSE(CONTROL!$C$42, 31, 31))/1000000</f>
        <v>0.34501139999999997</v>
      </c>
      <c r="X579" s="57">
        <f>(31*0.2374*100000/1000000)</f>
        <v>0.73594000000000004</v>
      </c>
      <c r="Y579" s="57"/>
      <c r="Z579" s="17"/>
      <c r="AA579" s="56"/>
      <c r="AB579" s="49">
        <f>(B579*122.58+C579*297.941+D579*89.177+E579*140.302+F579*40+G579*60+H579*0+I579*100+J579*300)/(122.58+297.941+89.177+140.302+0+40+60+100+300)</f>
        <v>33.149207653826082</v>
      </c>
      <c r="AC579" s="46">
        <f>(M579*'RAP TEMPLATE-GAS AVAILABILITY'!O578+N579*'RAP TEMPLATE-GAS AVAILABILITY'!P578+O579*'RAP TEMPLATE-GAS AVAILABILITY'!Q578+P579*'RAP TEMPLATE-GAS AVAILABILITY'!R578)/('RAP TEMPLATE-GAS AVAILABILITY'!O578+'RAP TEMPLATE-GAS AVAILABILITY'!P578+'RAP TEMPLATE-GAS AVAILABILITY'!Q578+'RAP TEMPLATE-GAS AVAILABILITY'!R578)</f>
        <v>32.900448201438856</v>
      </c>
    </row>
    <row r="580" spans="1:29" ht="15.75" x14ac:dyDescent="0.25">
      <c r="A580" s="13">
        <v>58561</v>
      </c>
      <c r="B580" s="17">
        <f>CHOOSE(CONTROL!$C$42, 33.0068, 33.0068) * CHOOSE(CONTROL!$C$21, $C$9, 100%, $E$9)</f>
        <v>33.006799999999998</v>
      </c>
      <c r="C580" s="17">
        <f>CHOOSE(CONTROL!$C$42, 33.0113, 33.0113) * CHOOSE(CONTROL!$C$21, $C$9, 100%, $E$9)</f>
        <v>33.011299999999999</v>
      </c>
      <c r="D580" s="17">
        <f>CHOOSE(CONTROL!$C$42, 33.264, 33.264) * CHOOSE(CONTROL!$C$21, $C$9, 100%, $E$9)</f>
        <v>33.264000000000003</v>
      </c>
      <c r="E580" s="17">
        <f>CHOOSE(CONTROL!$C$42, 33.2958, 33.2958) * CHOOSE(CONTROL!$C$21, $C$9, 100%, $E$9)</f>
        <v>33.2958</v>
      </c>
      <c r="F580" s="17">
        <f>CHOOSE(CONTROL!$C$42, 33.0128, 33.0128)*CHOOSE(CONTROL!$C$21, $C$9, 100%, $E$9)</f>
        <v>33.012799999999999</v>
      </c>
      <c r="G580" s="17">
        <f>CHOOSE(CONTROL!$C$42, 33.0286, 33.0286)*CHOOSE(CONTROL!$C$21, $C$9, 100%, $E$9)</f>
        <v>33.028599999999997</v>
      </c>
      <c r="H580" s="17">
        <f>CHOOSE(CONTROL!$C$42, 33.2853, 33.2853) * CHOOSE(CONTROL!$C$21, $C$9, 100%, $E$9)</f>
        <v>33.285299999999999</v>
      </c>
      <c r="I580" s="17">
        <f>CHOOSE(CONTROL!$C$42, 33.1309, 33.1309)* CHOOSE(CONTROL!$C$21, $C$9, 100%, $E$9)</f>
        <v>33.130899999999997</v>
      </c>
      <c r="J580" s="17">
        <f>CHOOSE(CONTROL!$C$42, 33.0054, 33.0054)* CHOOSE(CONTROL!$C$21, $C$9, 100%, $E$9)</f>
        <v>33.005400000000002</v>
      </c>
      <c r="K580" s="53">
        <f>CHOOSE(CONTROL!$C$42, 33.1248, 33.1248) * CHOOSE(CONTROL!$C$21, $C$9, 100%, $E$9)</f>
        <v>33.1248</v>
      </c>
      <c r="L580" s="17">
        <f>CHOOSE(CONTROL!$C$42, 33.8723, 33.8723) * CHOOSE(CONTROL!$C$21, $C$9, 100%, $E$9)</f>
        <v>33.872300000000003</v>
      </c>
      <c r="M580" s="17">
        <f>CHOOSE(CONTROL!$C$42, 32.7156, 32.7156) * CHOOSE(CONTROL!$C$21, $C$9, 100%, $E$9)</f>
        <v>32.715600000000002</v>
      </c>
      <c r="N580" s="17">
        <f>CHOOSE(CONTROL!$C$42, 32.7313, 32.7313) * CHOOSE(CONTROL!$C$21, $C$9, 100%, $E$9)</f>
        <v>32.731299999999997</v>
      </c>
      <c r="O580" s="17">
        <f>CHOOSE(CONTROL!$C$42, 32.993, 32.993) * CHOOSE(CONTROL!$C$21, $C$9, 100%, $E$9)</f>
        <v>32.993000000000002</v>
      </c>
      <c r="P580" s="17">
        <f>CHOOSE(CONTROL!$C$42, 32.839, 32.839) * CHOOSE(CONTROL!$C$21, $C$9, 100%, $E$9)</f>
        <v>32.838999999999999</v>
      </c>
      <c r="Q580" s="17">
        <f>CHOOSE(CONTROL!$C$42, 33.5877, 33.5877) * CHOOSE(CONTROL!$C$21, $C$9, 100%, $E$9)</f>
        <v>33.587699999999998</v>
      </c>
      <c r="R580" s="17">
        <f>CHOOSE(CONTROL!$C$42, 34.2586, 34.2586) * CHOOSE(CONTROL!$C$21, $C$9, 100%, $E$9)</f>
        <v>34.258600000000001</v>
      </c>
      <c r="S580" s="17">
        <f>CHOOSE(CONTROL!$C$42, 31.9965, 31.9965) * CHOOSE(CONTROL!$C$21, $C$9, 100%, $E$9)</f>
        <v>31.996500000000001</v>
      </c>
      <c r="T580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580" s="57">
        <f>(1000*CHOOSE(CONTROL!$C$42, 695, 695)*CHOOSE(CONTROL!$C$42, 0.5599, 0.5599)*CHOOSE(CONTROL!$C$42, 30, 30))/1000000</f>
        <v>11.673914999999997</v>
      </c>
      <c r="V580" s="57">
        <f>(1000*CHOOSE(CONTROL!$C$42, 500, 500)*CHOOSE(CONTROL!$C$42, 0.275, 0.275)*CHOOSE(CONTROL!$C$42, 30, 30))/1000000</f>
        <v>4.125</v>
      </c>
      <c r="W580" s="57">
        <f>(1000*CHOOSE(CONTROL!$C$42, 0.0916, 0.0916)*CHOOSE(CONTROL!$C$42, 121.5, 121.5)*CHOOSE(CONTROL!$C$42, 30, 30))/1000000</f>
        <v>0.33388200000000001</v>
      </c>
      <c r="X580" s="57">
        <f>(30*0.1790888*145000/1000000)+(30*0.2374*100000/1000000)</f>
        <v>1.4912362799999999</v>
      </c>
      <c r="Y580" s="57"/>
      <c r="Z580" s="17"/>
      <c r="AA580" s="56"/>
      <c r="AB580" s="49">
        <f>(B580*141.293+C580*267.993+D580*115.016+E580*189.698+F580*40+G580*85+H580*0+I580*100+J580*300)/(141.293+267.993+115.016+189.698+0+40+85+100+300)</f>
        <v>33.087263120016139</v>
      </c>
      <c r="AC580" s="46">
        <f>(M580*'RAP TEMPLATE-GAS AVAILABILITY'!O579+N580*'RAP TEMPLATE-GAS AVAILABILITY'!P579+O580*'RAP TEMPLATE-GAS AVAILABILITY'!Q579+P580*'RAP TEMPLATE-GAS AVAILABILITY'!R579)/('RAP TEMPLATE-GAS AVAILABILITY'!O579+'RAP TEMPLATE-GAS AVAILABILITY'!P579+'RAP TEMPLATE-GAS AVAILABILITY'!Q579+'RAP TEMPLATE-GAS AVAILABILITY'!R579)</f>
        <v>32.814801438848924</v>
      </c>
    </row>
    <row r="581" spans="1:29" ht="15.75" x14ac:dyDescent="0.25">
      <c r="A581" s="13">
        <v>58592</v>
      </c>
      <c r="B581" s="17">
        <f>CHOOSE(CONTROL!$C$42, 33.2994, 33.2994) * CHOOSE(CONTROL!$C$21, $C$9, 100%, $E$9)</f>
        <v>33.299399999999999</v>
      </c>
      <c r="C581" s="17">
        <f>CHOOSE(CONTROL!$C$42, 33.3074, 33.3074) * CHOOSE(CONTROL!$C$21, $C$9, 100%, $E$9)</f>
        <v>33.307400000000001</v>
      </c>
      <c r="D581" s="17">
        <f>CHOOSE(CONTROL!$C$42, 33.557, 33.557) * CHOOSE(CONTROL!$C$21, $C$9, 100%, $E$9)</f>
        <v>33.557000000000002</v>
      </c>
      <c r="E581" s="17">
        <f>CHOOSE(CONTROL!$C$42, 33.5882, 33.5882) * CHOOSE(CONTROL!$C$21, $C$9, 100%, $E$9)</f>
        <v>33.588200000000001</v>
      </c>
      <c r="F581" s="17">
        <f>CHOOSE(CONTROL!$C$42, 33.3043, 33.3043)*CHOOSE(CONTROL!$C$21, $C$9, 100%, $E$9)</f>
        <v>33.304299999999998</v>
      </c>
      <c r="G581" s="17">
        <f>CHOOSE(CONTROL!$C$42, 33.3204, 33.3204)*CHOOSE(CONTROL!$C$21, $C$9, 100%, $E$9)</f>
        <v>33.320399999999999</v>
      </c>
      <c r="H581" s="17">
        <f>CHOOSE(CONTROL!$C$42, 33.5765, 33.5765) * CHOOSE(CONTROL!$C$21, $C$9, 100%, $E$9)</f>
        <v>33.576500000000003</v>
      </c>
      <c r="I581" s="17">
        <f>CHOOSE(CONTROL!$C$42, 33.423, 33.423)* CHOOSE(CONTROL!$C$21, $C$9, 100%, $E$9)</f>
        <v>33.423000000000002</v>
      </c>
      <c r="J581" s="17">
        <f>CHOOSE(CONTROL!$C$42, 33.2969, 33.2969)* CHOOSE(CONTROL!$C$21, $C$9, 100%, $E$9)</f>
        <v>33.296900000000001</v>
      </c>
      <c r="K581" s="53">
        <f>CHOOSE(CONTROL!$C$42, 33.4169, 33.4169) * CHOOSE(CONTROL!$C$21, $C$9, 100%, $E$9)</f>
        <v>33.416899999999998</v>
      </c>
      <c r="L581" s="17">
        <f>CHOOSE(CONTROL!$C$42, 34.1635, 34.1635) * CHOOSE(CONTROL!$C$21, $C$9, 100%, $E$9)</f>
        <v>34.163499999999999</v>
      </c>
      <c r="M581" s="17">
        <f>CHOOSE(CONTROL!$C$42, 33.0044, 33.0044) * CHOOSE(CONTROL!$C$21, $C$9, 100%, $E$9)</f>
        <v>33.004399999999997</v>
      </c>
      <c r="N581" s="17">
        <f>CHOOSE(CONTROL!$C$42, 33.0204, 33.0204) * CHOOSE(CONTROL!$C$21, $C$9, 100%, $E$9)</f>
        <v>33.020400000000002</v>
      </c>
      <c r="O581" s="17">
        <f>CHOOSE(CONTROL!$C$42, 33.2816, 33.2816) * CHOOSE(CONTROL!$C$21, $C$9, 100%, $E$9)</f>
        <v>33.281599999999997</v>
      </c>
      <c r="P581" s="17">
        <f>CHOOSE(CONTROL!$C$42, 33.1285, 33.1285) * CHOOSE(CONTROL!$C$21, $C$9, 100%, $E$9)</f>
        <v>33.128500000000003</v>
      </c>
      <c r="Q581" s="17">
        <f>CHOOSE(CONTROL!$C$42, 33.8763, 33.8763) * CHOOSE(CONTROL!$C$21, $C$9, 100%, $E$9)</f>
        <v>33.876300000000001</v>
      </c>
      <c r="R581" s="17">
        <f>CHOOSE(CONTROL!$C$42, 34.548, 34.548) * CHOOSE(CONTROL!$C$21, $C$9, 100%, $E$9)</f>
        <v>34.548000000000002</v>
      </c>
      <c r="S581" s="17">
        <f>CHOOSE(CONTROL!$C$42, 32.2789, 32.2789) * CHOOSE(CONTROL!$C$21, $C$9, 100%, $E$9)</f>
        <v>32.2789</v>
      </c>
      <c r="T581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581" s="57">
        <f>(1000*CHOOSE(CONTROL!$C$42, 695, 695)*CHOOSE(CONTROL!$C$42, 0.5599, 0.5599)*CHOOSE(CONTROL!$C$42, 31, 31))/1000000</f>
        <v>12.063045499999998</v>
      </c>
      <c r="V581" s="57">
        <f>(1000*CHOOSE(CONTROL!$C$42, 500, 500)*CHOOSE(CONTROL!$C$42, 0.275, 0.275)*CHOOSE(CONTROL!$C$42, 31, 31))/1000000</f>
        <v>4.2625000000000002</v>
      </c>
      <c r="W581" s="57">
        <f>(1000*CHOOSE(CONTROL!$C$42, 0.0916, 0.0916)*CHOOSE(CONTROL!$C$42, 121.5, 121.5)*CHOOSE(CONTROL!$C$42, 31, 31))/1000000</f>
        <v>0.34501139999999997</v>
      </c>
      <c r="X581" s="57">
        <f>(31*0.1790888*145000/1000000)+(31*0.2374*100000/1000000)</f>
        <v>1.5409441560000001</v>
      </c>
      <c r="Y581" s="57"/>
      <c r="Z581" s="17"/>
      <c r="AA581" s="56"/>
      <c r="AB581" s="49">
        <f>(B581*194.205+C581*267.466+D581*133.845+E581*153.484+F581*40+G581*85+H581*0+I581*100+J581*300)/(194.205+267.466+133.845+153.484+0+40+85+100+300)</f>
        <v>33.373603594348509</v>
      </c>
      <c r="AC581" s="46">
        <f>(M581*'RAP TEMPLATE-GAS AVAILABILITY'!O580+N581*'RAP TEMPLATE-GAS AVAILABILITY'!P580+O581*'RAP TEMPLATE-GAS AVAILABILITY'!Q580+P581*'RAP TEMPLATE-GAS AVAILABILITY'!R580)/('RAP TEMPLATE-GAS AVAILABILITY'!O580+'RAP TEMPLATE-GAS AVAILABILITY'!P580+'RAP TEMPLATE-GAS AVAILABILITY'!Q580+'RAP TEMPLATE-GAS AVAILABILITY'!R580)</f>
        <v>33.103715107913672</v>
      </c>
    </row>
    <row r="582" spans="1:29" ht="15.75" x14ac:dyDescent="0.25">
      <c r="A582" s="13">
        <v>58622</v>
      </c>
      <c r="B582" s="17">
        <f>CHOOSE(CONTROL!$C$42, 34.2436, 34.2436) * CHOOSE(CONTROL!$C$21, $C$9, 100%, $E$9)</f>
        <v>34.243600000000001</v>
      </c>
      <c r="C582" s="17">
        <f>CHOOSE(CONTROL!$C$42, 34.2516, 34.2516) * CHOOSE(CONTROL!$C$21, $C$9, 100%, $E$9)</f>
        <v>34.251600000000003</v>
      </c>
      <c r="D582" s="17">
        <f>CHOOSE(CONTROL!$C$42, 34.5012, 34.5012) * CHOOSE(CONTROL!$C$21, $C$9, 100%, $E$9)</f>
        <v>34.501199999999997</v>
      </c>
      <c r="E582" s="17">
        <f>CHOOSE(CONTROL!$C$42, 34.5324, 34.5324) * CHOOSE(CONTROL!$C$21, $C$9, 100%, $E$9)</f>
        <v>34.532400000000003</v>
      </c>
      <c r="F582" s="17">
        <f>CHOOSE(CONTROL!$C$42, 34.2488, 34.2488)*CHOOSE(CONTROL!$C$21, $C$9, 100%, $E$9)</f>
        <v>34.248800000000003</v>
      </c>
      <c r="G582" s="17">
        <f>CHOOSE(CONTROL!$C$42, 34.265, 34.265)*CHOOSE(CONTROL!$C$21, $C$9, 100%, $E$9)</f>
        <v>34.265000000000001</v>
      </c>
      <c r="H582" s="17">
        <f>CHOOSE(CONTROL!$C$42, 34.5207, 34.5207) * CHOOSE(CONTROL!$C$21, $C$9, 100%, $E$9)</f>
        <v>34.520699999999998</v>
      </c>
      <c r="I582" s="17">
        <f>CHOOSE(CONTROL!$C$42, 34.3701, 34.3701)* CHOOSE(CONTROL!$C$21, $C$9, 100%, $E$9)</f>
        <v>34.370100000000001</v>
      </c>
      <c r="J582" s="17">
        <f>CHOOSE(CONTROL!$C$42, 34.2414, 34.2414)* CHOOSE(CONTROL!$C$21, $C$9, 100%, $E$9)</f>
        <v>34.241399999999999</v>
      </c>
      <c r="K582" s="53">
        <f>CHOOSE(CONTROL!$C$42, 34.3641, 34.3641) * CHOOSE(CONTROL!$C$21, $C$9, 100%, $E$9)</f>
        <v>34.364100000000001</v>
      </c>
      <c r="L582" s="17">
        <f>CHOOSE(CONTROL!$C$42, 35.1077, 35.1077) * CHOOSE(CONTROL!$C$21, $C$9, 100%, $E$9)</f>
        <v>35.107700000000001</v>
      </c>
      <c r="M582" s="17">
        <f>CHOOSE(CONTROL!$C$42, 33.9405, 33.9405) * CHOOSE(CONTROL!$C$21, $C$9, 100%, $E$9)</f>
        <v>33.9405</v>
      </c>
      <c r="N582" s="17">
        <f>CHOOSE(CONTROL!$C$42, 33.9566, 33.9566) * CHOOSE(CONTROL!$C$21, $C$9, 100%, $E$9)</f>
        <v>33.956600000000002</v>
      </c>
      <c r="O582" s="17">
        <f>CHOOSE(CONTROL!$C$42, 34.2173, 34.2173) * CHOOSE(CONTROL!$C$21, $C$9, 100%, $E$9)</f>
        <v>34.217300000000002</v>
      </c>
      <c r="P582" s="17">
        <f>CHOOSE(CONTROL!$C$42, 34.0671, 34.0671) * CHOOSE(CONTROL!$C$21, $C$9, 100%, $E$9)</f>
        <v>34.067100000000003</v>
      </c>
      <c r="Q582" s="17">
        <f>CHOOSE(CONTROL!$C$42, 34.812, 34.812) * CHOOSE(CONTROL!$C$21, $C$9, 100%, $E$9)</f>
        <v>34.811999999999998</v>
      </c>
      <c r="R582" s="17">
        <f>CHOOSE(CONTROL!$C$42, 35.486, 35.486) * CHOOSE(CONTROL!$C$21, $C$9, 100%, $E$9)</f>
        <v>35.485999999999997</v>
      </c>
      <c r="S582" s="17">
        <f>CHOOSE(CONTROL!$C$42, 33.1945, 33.1945) * CHOOSE(CONTROL!$C$21, $C$9, 100%, $E$9)</f>
        <v>33.194499999999998</v>
      </c>
      <c r="T582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582" s="57">
        <f>(1000*CHOOSE(CONTROL!$C$42, 695, 695)*CHOOSE(CONTROL!$C$42, 0.5599, 0.5599)*CHOOSE(CONTROL!$C$42, 30, 30))/1000000</f>
        <v>11.673914999999997</v>
      </c>
      <c r="V582" s="57">
        <f>(1000*CHOOSE(CONTROL!$C$42, 500, 500)*CHOOSE(CONTROL!$C$42, 0.275, 0.275)*CHOOSE(CONTROL!$C$42, 30, 30))/1000000</f>
        <v>4.125</v>
      </c>
      <c r="W582" s="57">
        <f>(1000*CHOOSE(CONTROL!$C$42, 0.0916, 0.0916)*CHOOSE(CONTROL!$C$42, 121.5, 121.5)*CHOOSE(CONTROL!$C$42, 30, 30))/1000000</f>
        <v>0.33388200000000001</v>
      </c>
      <c r="X582" s="57">
        <f>(30*0.1790888*145000/1000000)+(30*0.2374*100000/1000000)</f>
        <v>1.4912362799999999</v>
      </c>
      <c r="Y582" s="57"/>
      <c r="Z582" s="17"/>
      <c r="AA582" s="56"/>
      <c r="AB582" s="49">
        <f>(B582*194.205+C582*267.466+D582*133.845+E582*153.484+F582*40+G582*85+H582*0+I582*100+J582*300)/(194.205+267.466+133.845+153.484+0+40+85+100+300)</f>
        <v>34.31813797425432</v>
      </c>
      <c r="AC582" s="46">
        <f>(M582*'RAP TEMPLATE-GAS AVAILABILITY'!O581+N582*'RAP TEMPLATE-GAS AVAILABILITY'!P581+O582*'RAP TEMPLATE-GAS AVAILABILITY'!Q581+P582*'RAP TEMPLATE-GAS AVAILABILITY'!R581)/('RAP TEMPLATE-GAS AVAILABILITY'!O581+'RAP TEMPLATE-GAS AVAILABILITY'!P581+'RAP TEMPLATE-GAS AVAILABILITY'!Q581+'RAP TEMPLATE-GAS AVAILABILITY'!R581)</f>
        <v>34.040085611510797</v>
      </c>
    </row>
    <row r="583" spans="1:29" ht="15.75" x14ac:dyDescent="0.25">
      <c r="A583" s="13">
        <v>58653</v>
      </c>
      <c r="B583" s="17">
        <f>CHOOSE(CONTROL!$C$42, 33.5869, 33.5869) * CHOOSE(CONTROL!$C$21, $C$9, 100%, $E$9)</f>
        <v>33.5869</v>
      </c>
      <c r="C583" s="17">
        <f>CHOOSE(CONTROL!$C$42, 33.5949, 33.5949) * CHOOSE(CONTROL!$C$21, $C$9, 100%, $E$9)</f>
        <v>33.594900000000003</v>
      </c>
      <c r="D583" s="17">
        <f>CHOOSE(CONTROL!$C$42, 33.8445, 33.8445) * CHOOSE(CONTROL!$C$21, $C$9, 100%, $E$9)</f>
        <v>33.844499999999996</v>
      </c>
      <c r="E583" s="17">
        <f>CHOOSE(CONTROL!$C$42, 33.8757, 33.8757) * CHOOSE(CONTROL!$C$21, $C$9, 100%, $E$9)</f>
        <v>33.875700000000002</v>
      </c>
      <c r="F583" s="17">
        <f>CHOOSE(CONTROL!$C$42, 33.5926, 33.5926)*CHOOSE(CONTROL!$C$21, $C$9, 100%, $E$9)</f>
        <v>33.592599999999997</v>
      </c>
      <c r="G583" s="17">
        <f>CHOOSE(CONTROL!$C$42, 33.609, 33.609)*CHOOSE(CONTROL!$C$21, $C$9, 100%, $E$9)</f>
        <v>33.609000000000002</v>
      </c>
      <c r="H583" s="17">
        <f>CHOOSE(CONTROL!$C$42, 33.864, 33.864) * CHOOSE(CONTROL!$C$21, $C$9, 100%, $E$9)</f>
        <v>33.863999999999997</v>
      </c>
      <c r="I583" s="17">
        <f>CHOOSE(CONTROL!$C$42, 33.7114, 33.7114)* CHOOSE(CONTROL!$C$21, $C$9, 100%, $E$9)</f>
        <v>33.711399999999998</v>
      </c>
      <c r="J583" s="17">
        <f>CHOOSE(CONTROL!$C$42, 33.5852, 33.5852)* CHOOSE(CONTROL!$C$21, $C$9, 100%, $E$9)</f>
        <v>33.5852</v>
      </c>
      <c r="K583" s="53">
        <f>CHOOSE(CONTROL!$C$42, 33.7053, 33.7053) * CHOOSE(CONTROL!$C$21, $C$9, 100%, $E$9)</f>
        <v>33.705300000000001</v>
      </c>
      <c r="L583" s="17">
        <f>CHOOSE(CONTROL!$C$42, 34.451, 34.451) * CHOOSE(CONTROL!$C$21, $C$9, 100%, $E$9)</f>
        <v>34.451000000000001</v>
      </c>
      <c r="M583" s="17">
        <f>CHOOSE(CONTROL!$C$42, 33.2902, 33.2902) * CHOOSE(CONTROL!$C$21, $C$9, 100%, $E$9)</f>
        <v>33.290199999999999</v>
      </c>
      <c r="N583" s="17">
        <f>CHOOSE(CONTROL!$C$42, 33.3064, 33.3064) * CHOOSE(CONTROL!$C$21, $C$9, 100%, $E$9)</f>
        <v>33.306399999999996</v>
      </c>
      <c r="O583" s="17">
        <f>CHOOSE(CONTROL!$C$42, 33.5665, 33.5665) * CHOOSE(CONTROL!$C$21, $C$9, 100%, $E$9)</f>
        <v>33.566499999999998</v>
      </c>
      <c r="P583" s="17">
        <f>CHOOSE(CONTROL!$C$42, 33.4143, 33.4143) * CHOOSE(CONTROL!$C$21, $C$9, 100%, $E$9)</f>
        <v>33.414299999999997</v>
      </c>
      <c r="Q583" s="17">
        <f>CHOOSE(CONTROL!$C$42, 34.1612, 34.1612) * CHOOSE(CONTROL!$C$21, $C$9, 100%, $E$9)</f>
        <v>34.161200000000001</v>
      </c>
      <c r="R583" s="17">
        <f>CHOOSE(CONTROL!$C$42, 34.8336, 34.8336) * CHOOSE(CONTROL!$C$21, $C$9, 100%, $E$9)</f>
        <v>34.833599999999997</v>
      </c>
      <c r="S583" s="17">
        <f>CHOOSE(CONTROL!$C$42, 32.5577, 32.5577) * CHOOSE(CONTROL!$C$21, $C$9, 100%, $E$9)</f>
        <v>32.557699999999997</v>
      </c>
      <c r="T583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583" s="57">
        <f>(1000*CHOOSE(CONTROL!$C$42, 695, 695)*CHOOSE(CONTROL!$C$42, 0.5599, 0.5599)*CHOOSE(CONTROL!$C$42, 31, 31))/1000000</f>
        <v>12.063045499999998</v>
      </c>
      <c r="V583" s="57">
        <f>(1000*CHOOSE(CONTROL!$C$42, 500, 500)*CHOOSE(CONTROL!$C$42, 0.275, 0.275)*CHOOSE(CONTROL!$C$42, 31, 31))/1000000</f>
        <v>4.2625000000000002</v>
      </c>
      <c r="W583" s="57">
        <f>(1000*CHOOSE(CONTROL!$C$42, 0.0916, 0.0916)*CHOOSE(CONTROL!$C$42, 121.5, 121.5)*CHOOSE(CONTROL!$C$42, 31, 31))/1000000</f>
        <v>0.34501139999999997</v>
      </c>
      <c r="X583" s="57">
        <f>(31*0.1790888*145000/1000000)+(31*0.2374*100000/1000000)</f>
        <v>1.5409441560000001</v>
      </c>
      <c r="Y583" s="57"/>
      <c r="Z583" s="17"/>
      <c r="AA583" s="56"/>
      <c r="AB583" s="49">
        <f>(B583*194.205+C583*267.466+D583*133.845+E583*153.484+F583*40+G583*85+H583*0+I583*100+J583*300)/(194.205+267.466+133.845+153.484+0+40+85+100+300)</f>
        <v>33.661461129670329</v>
      </c>
      <c r="AC583" s="46">
        <f>(M583*'RAP TEMPLATE-GAS AVAILABILITY'!O582+N583*'RAP TEMPLATE-GAS AVAILABILITY'!P582+O583*'RAP TEMPLATE-GAS AVAILABILITY'!Q582+P583*'RAP TEMPLATE-GAS AVAILABILITY'!R582)/('RAP TEMPLATE-GAS AVAILABILITY'!O582+'RAP TEMPLATE-GAS AVAILABILITY'!P582+'RAP TEMPLATE-GAS AVAILABILITY'!Q582+'RAP TEMPLATE-GAS AVAILABILITY'!R582)</f>
        <v>33.38930863309352</v>
      </c>
    </row>
    <row r="584" spans="1:29" ht="15.75" x14ac:dyDescent="0.25">
      <c r="A584" s="13">
        <v>58684</v>
      </c>
      <c r="B584" s="17">
        <f>CHOOSE(CONTROL!$C$42, 31.9285, 31.9285) * CHOOSE(CONTROL!$C$21, $C$9, 100%, $E$9)</f>
        <v>31.9285</v>
      </c>
      <c r="C584" s="17">
        <f>CHOOSE(CONTROL!$C$42, 31.9365, 31.9365) * CHOOSE(CONTROL!$C$21, $C$9, 100%, $E$9)</f>
        <v>31.936499999999999</v>
      </c>
      <c r="D584" s="17">
        <f>CHOOSE(CONTROL!$C$42, 32.1861, 32.1861) * CHOOSE(CONTROL!$C$21, $C$9, 100%, $E$9)</f>
        <v>32.186100000000003</v>
      </c>
      <c r="E584" s="17">
        <f>CHOOSE(CONTROL!$C$42, 32.2173, 32.2173) * CHOOSE(CONTROL!$C$21, $C$9, 100%, $E$9)</f>
        <v>32.217300000000002</v>
      </c>
      <c r="F584" s="17">
        <f>CHOOSE(CONTROL!$C$42, 31.9345, 31.9345)*CHOOSE(CONTROL!$C$21, $C$9, 100%, $E$9)</f>
        <v>31.9345</v>
      </c>
      <c r="G584" s="17">
        <f>CHOOSE(CONTROL!$C$42, 31.9509, 31.9509)*CHOOSE(CONTROL!$C$21, $C$9, 100%, $E$9)</f>
        <v>31.950900000000001</v>
      </c>
      <c r="H584" s="17">
        <f>CHOOSE(CONTROL!$C$42, 32.2056, 32.2056) * CHOOSE(CONTROL!$C$21, $C$9, 100%, $E$9)</f>
        <v>32.205599999999997</v>
      </c>
      <c r="I584" s="17">
        <f>CHOOSE(CONTROL!$C$42, 32.0478, 32.0478)* CHOOSE(CONTROL!$C$21, $C$9, 100%, $E$9)</f>
        <v>32.047800000000002</v>
      </c>
      <c r="J584" s="17">
        <f>CHOOSE(CONTROL!$C$42, 31.9271, 31.9271)* CHOOSE(CONTROL!$C$21, $C$9, 100%, $E$9)</f>
        <v>31.927099999999999</v>
      </c>
      <c r="K584" s="53">
        <f>CHOOSE(CONTROL!$C$42, 32.0418, 32.0418) * CHOOSE(CONTROL!$C$21, $C$9, 100%, $E$9)</f>
        <v>32.041800000000002</v>
      </c>
      <c r="L584" s="17">
        <f>CHOOSE(CONTROL!$C$42, 32.7926, 32.7926) * CHOOSE(CONTROL!$C$21, $C$9, 100%, $E$9)</f>
        <v>32.7926</v>
      </c>
      <c r="M584" s="17">
        <f>CHOOSE(CONTROL!$C$42, 31.6469, 31.6469) * CHOOSE(CONTROL!$C$21, $C$9, 100%, $E$9)</f>
        <v>31.646899999999999</v>
      </c>
      <c r="N584" s="17">
        <f>CHOOSE(CONTROL!$C$42, 31.6632, 31.6632) * CHOOSE(CONTROL!$C$21, $C$9, 100%, $E$9)</f>
        <v>31.6632</v>
      </c>
      <c r="O584" s="17">
        <f>CHOOSE(CONTROL!$C$42, 31.923, 31.923) * CHOOSE(CONTROL!$C$21, $C$9, 100%, $E$9)</f>
        <v>31.922999999999998</v>
      </c>
      <c r="P584" s="17">
        <f>CHOOSE(CONTROL!$C$42, 31.7658, 31.7658) * CHOOSE(CONTROL!$C$21, $C$9, 100%, $E$9)</f>
        <v>31.765799999999999</v>
      </c>
      <c r="Q584" s="17">
        <f>CHOOSE(CONTROL!$C$42, 32.5177, 32.5177) * CHOOSE(CONTROL!$C$21, $C$9, 100%, $E$9)</f>
        <v>32.517699999999998</v>
      </c>
      <c r="R584" s="17">
        <f>CHOOSE(CONTROL!$C$42, 33.186, 33.186) * CHOOSE(CONTROL!$C$21, $C$9, 100%, $E$9)</f>
        <v>33.186</v>
      </c>
      <c r="S584" s="17">
        <f>CHOOSE(CONTROL!$C$42, 30.9495, 30.9495) * CHOOSE(CONTROL!$C$21, $C$9, 100%, $E$9)</f>
        <v>30.9495</v>
      </c>
      <c r="T584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584" s="57">
        <f>(1000*CHOOSE(CONTROL!$C$42, 695, 695)*CHOOSE(CONTROL!$C$42, 0.5599, 0.5599)*CHOOSE(CONTROL!$C$42, 31, 31))/1000000</f>
        <v>12.063045499999998</v>
      </c>
      <c r="V584" s="57">
        <f>(1000*CHOOSE(CONTROL!$C$42, 500, 500)*CHOOSE(CONTROL!$C$42, 0.275, 0.275)*CHOOSE(CONTROL!$C$42, 31, 31))/1000000</f>
        <v>4.2625000000000002</v>
      </c>
      <c r="W584" s="57">
        <f>(1000*CHOOSE(CONTROL!$C$42, 0.0916, 0.0916)*CHOOSE(CONTROL!$C$42, 121.5, 121.5)*CHOOSE(CONTROL!$C$42, 31, 31))/1000000</f>
        <v>0.34501139999999997</v>
      </c>
      <c r="X584" s="57">
        <f>(31*0.1790888*145000/1000000)+(31*0.2374*100000/1000000)</f>
        <v>1.5409441560000001</v>
      </c>
      <c r="Y584" s="57"/>
      <c r="Z584" s="17"/>
      <c r="AA584" s="56"/>
      <c r="AB584" s="49">
        <f>(B584*194.205+C584*267.466+D584*133.845+E584*153.484+F584*40+G584*85+H584*0+I584*100+J584*300)/(194.205+267.466+133.845+153.484+0+40+85+100+300)</f>
        <v>32.002753044897958</v>
      </c>
      <c r="AC584" s="46">
        <f>(M584*'RAP TEMPLATE-GAS AVAILABILITY'!O583+N584*'RAP TEMPLATE-GAS AVAILABILITY'!P583+O584*'RAP TEMPLATE-GAS AVAILABILITY'!Q583+P584*'RAP TEMPLATE-GAS AVAILABILITY'!R583)/('RAP TEMPLATE-GAS AVAILABILITY'!O583+'RAP TEMPLATE-GAS AVAILABILITY'!P583+'RAP TEMPLATE-GAS AVAILABILITY'!Q583+'RAP TEMPLATE-GAS AVAILABILITY'!R583)</f>
        <v>31.745227338129492</v>
      </c>
    </row>
    <row r="585" spans="1:29" ht="15.75" x14ac:dyDescent="0.25">
      <c r="A585" s="13">
        <v>58714</v>
      </c>
      <c r="B585" s="17">
        <f>CHOOSE(CONTROL!$C$42, 29.902, 29.902) * CHOOSE(CONTROL!$C$21, $C$9, 100%, $E$9)</f>
        <v>29.902000000000001</v>
      </c>
      <c r="C585" s="17">
        <f>CHOOSE(CONTROL!$C$42, 29.91, 29.91) * CHOOSE(CONTROL!$C$21, $C$9, 100%, $E$9)</f>
        <v>29.91</v>
      </c>
      <c r="D585" s="17">
        <f>CHOOSE(CONTROL!$C$42, 30.1596, 30.1596) * CHOOSE(CONTROL!$C$21, $C$9, 100%, $E$9)</f>
        <v>30.159600000000001</v>
      </c>
      <c r="E585" s="17">
        <f>CHOOSE(CONTROL!$C$42, 30.1908, 30.1908) * CHOOSE(CONTROL!$C$21, $C$9, 100%, $E$9)</f>
        <v>30.190799999999999</v>
      </c>
      <c r="F585" s="17">
        <f>CHOOSE(CONTROL!$C$42, 29.908, 29.908)*CHOOSE(CONTROL!$C$21, $C$9, 100%, $E$9)</f>
        <v>29.908000000000001</v>
      </c>
      <c r="G585" s="17">
        <f>CHOOSE(CONTROL!$C$42, 29.9245, 29.9245)*CHOOSE(CONTROL!$C$21, $C$9, 100%, $E$9)</f>
        <v>29.924499999999998</v>
      </c>
      <c r="H585" s="17">
        <f>CHOOSE(CONTROL!$C$42, 30.1791, 30.1791) * CHOOSE(CONTROL!$C$21, $C$9, 100%, $E$9)</f>
        <v>30.179099999999998</v>
      </c>
      <c r="I585" s="17">
        <f>CHOOSE(CONTROL!$C$42, 30.0151, 30.0151)* CHOOSE(CONTROL!$C$21, $C$9, 100%, $E$9)</f>
        <v>30.0151</v>
      </c>
      <c r="J585" s="17">
        <f>CHOOSE(CONTROL!$C$42, 29.9006, 29.9006)* CHOOSE(CONTROL!$C$21, $C$9, 100%, $E$9)</f>
        <v>29.900600000000001</v>
      </c>
      <c r="K585" s="53">
        <f>CHOOSE(CONTROL!$C$42, 30.009, 30.009) * CHOOSE(CONTROL!$C$21, $C$9, 100%, $E$9)</f>
        <v>30.009</v>
      </c>
      <c r="L585" s="17">
        <f>CHOOSE(CONTROL!$C$42, 30.7661, 30.7661) * CHOOSE(CONTROL!$C$21, $C$9, 100%, $E$9)</f>
        <v>30.766100000000002</v>
      </c>
      <c r="M585" s="17">
        <f>CHOOSE(CONTROL!$C$42, 29.6387, 29.6387) * CHOOSE(CONTROL!$C$21, $C$9, 100%, $E$9)</f>
        <v>29.6387</v>
      </c>
      <c r="N585" s="17">
        <f>CHOOSE(CONTROL!$C$42, 29.655, 29.655) * CHOOSE(CONTROL!$C$21, $C$9, 100%, $E$9)</f>
        <v>29.655000000000001</v>
      </c>
      <c r="O585" s="17">
        <f>CHOOSE(CONTROL!$C$42, 29.9147, 29.9147) * CHOOSE(CONTROL!$C$21, $C$9, 100%, $E$9)</f>
        <v>29.9147</v>
      </c>
      <c r="P585" s="17">
        <f>CHOOSE(CONTROL!$C$42, 29.7514, 29.7514) * CHOOSE(CONTROL!$C$21, $C$9, 100%, $E$9)</f>
        <v>29.7514</v>
      </c>
      <c r="Q585" s="17">
        <f>CHOOSE(CONTROL!$C$42, 30.5094, 30.5094) * CHOOSE(CONTROL!$C$21, $C$9, 100%, $E$9)</f>
        <v>30.509399999999999</v>
      </c>
      <c r="R585" s="17">
        <f>CHOOSE(CONTROL!$C$42, 31.1727, 31.1727) * CHOOSE(CONTROL!$C$21, $C$9, 100%, $E$9)</f>
        <v>31.172699999999999</v>
      </c>
      <c r="S585" s="17">
        <f>CHOOSE(CONTROL!$C$42, 28.9844, 28.9844) * CHOOSE(CONTROL!$C$21, $C$9, 100%, $E$9)</f>
        <v>28.984400000000001</v>
      </c>
      <c r="T585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585" s="57">
        <f>(1000*CHOOSE(CONTROL!$C$42, 695, 695)*CHOOSE(CONTROL!$C$42, 0.5599, 0.5599)*CHOOSE(CONTROL!$C$42, 30, 30))/1000000</f>
        <v>11.673914999999997</v>
      </c>
      <c r="V585" s="57">
        <f>(1000*CHOOSE(CONTROL!$C$42, 500, 500)*CHOOSE(CONTROL!$C$42, 0.275, 0.275)*CHOOSE(CONTROL!$C$42, 30, 30))/1000000</f>
        <v>4.125</v>
      </c>
      <c r="W585" s="57">
        <f>(1000*CHOOSE(CONTROL!$C$42, 0.0916, 0.0916)*CHOOSE(CONTROL!$C$42, 121.5, 121.5)*CHOOSE(CONTROL!$C$42, 30, 30))/1000000</f>
        <v>0.33388200000000001</v>
      </c>
      <c r="X585" s="57">
        <f>(30*0.1790888*145000/1000000)+(30*0.2374*100000/1000000)</f>
        <v>1.4912362799999999</v>
      </c>
      <c r="Y585" s="57"/>
      <c r="Z585" s="17"/>
      <c r="AA585" s="56"/>
      <c r="AB585" s="49">
        <f>(B585*194.205+C585*267.466+D585*133.845+E585*153.484+F585*40+G585*85+H585*0+I585*100+J585*300)/(194.205+267.466+133.845+153.484+0+40+85+100+300)</f>
        <v>29.975773060596552</v>
      </c>
      <c r="AC585" s="46">
        <f>(M585*'RAP TEMPLATE-GAS AVAILABILITY'!O584+N585*'RAP TEMPLATE-GAS AVAILABILITY'!P584+O585*'RAP TEMPLATE-GAS AVAILABILITY'!Q584+P585*'RAP TEMPLATE-GAS AVAILABILITY'!R584)/('RAP TEMPLATE-GAS AVAILABILITY'!O584+'RAP TEMPLATE-GAS AVAILABILITY'!P584+'RAP TEMPLATE-GAS AVAILABILITY'!Q584+'RAP TEMPLATE-GAS AVAILABILITY'!R584)</f>
        <v>29.736107194244603</v>
      </c>
    </row>
    <row r="586" spans="1:29" ht="15.75" x14ac:dyDescent="0.25">
      <c r="A586" s="13">
        <v>58745</v>
      </c>
      <c r="B586" s="17">
        <f>CHOOSE(CONTROL!$C$42, 29.2934, 29.2934) * CHOOSE(CONTROL!$C$21, $C$9, 100%, $E$9)</f>
        <v>29.293399999999998</v>
      </c>
      <c r="C586" s="17">
        <f>CHOOSE(CONTROL!$C$42, 29.2988, 29.2988) * CHOOSE(CONTROL!$C$21, $C$9, 100%, $E$9)</f>
        <v>29.2988</v>
      </c>
      <c r="D586" s="17">
        <f>CHOOSE(CONTROL!$C$42, 29.5533, 29.5533) * CHOOSE(CONTROL!$C$21, $C$9, 100%, $E$9)</f>
        <v>29.5533</v>
      </c>
      <c r="E586" s="17">
        <f>CHOOSE(CONTROL!$C$42, 29.5822, 29.5822) * CHOOSE(CONTROL!$C$21, $C$9, 100%, $E$9)</f>
        <v>29.5822</v>
      </c>
      <c r="F586" s="17">
        <f>CHOOSE(CONTROL!$C$42, 29.3016, 29.3016)*CHOOSE(CONTROL!$C$21, $C$9, 100%, $E$9)</f>
        <v>29.301600000000001</v>
      </c>
      <c r="G586" s="17">
        <f>CHOOSE(CONTROL!$C$42, 29.318, 29.318)*CHOOSE(CONTROL!$C$21, $C$9, 100%, $E$9)</f>
        <v>29.318000000000001</v>
      </c>
      <c r="H586" s="17">
        <f>CHOOSE(CONTROL!$C$42, 29.5723, 29.5723) * CHOOSE(CONTROL!$C$21, $C$9, 100%, $E$9)</f>
        <v>29.572299999999998</v>
      </c>
      <c r="I586" s="17">
        <f>CHOOSE(CONTROL!$C$42, 29.4063, 29.4063)* CHOOSE(CONTROL!$C$21, $C$9, 100%, $E$9)</f>
        <v>29.406300000000002</v>
      </c>
      <c r="J586" s="17">
        <f>CHOOSE(CONTROL!$C$42, 29.2942, 29.2942)* CHOOSE(CONTROL!$C$21, $C$9, 100%, $E$9)</f>
        <v>29.2942</v>
      </c>
      <c r="K586" s="53">
        <f>CHOOSE(CONTROL!$C$42, 29.4003, 29.4003) * CHOOSE(CONTROL!$C$21, $C$9, 100%, $E$9)</f>
        <v>29.400300000000001</v>
      </c>
      <c r="L586" s="17">
        <f>CHOOSE(CONTROL!$C$42, 30.1593, 30.1593) * CHOOSE(CONTROL!$C$21, $C$9, 100%, $E$9)</f>
        <v>30.159300000000002</v>
      </c>
      <c r="M586" s="17">
        <f>CHOOSE(CONTROL!$C$42, 29.0378, 29.0378) * CHOOSE(CONTROL!$C$21, $C$9, 100%, $E$9)</f>
        <v>29.037800000000001</v>
      </c>
      <c r="N586" s="17">
        <f>CHOOSE(CONTROL!$C$42, 29.054, 29.054) * CHOOSE(CONTROL!$C$21, $C$9, 100%, $E$9)</f>
        <v>29.053999999999998</v>
      </c>
      <c r="O586" s="17">
        <f>CHOOSE(CONTROL!$C$42, 29.3133, 29.3133) * CHOOSE(CONTROL!$C$21, $C$9, 100%, $E$9)</f>
        <v>29.313300000000002</v>
      </c>
      <c r="P586" s="17">
        <f>CHOOSE(CONTROL!$C$42, 29.1481, 29.1481) * CHOOSE(CONTROL!$C$21, $C$9, 100%, $E$9)</f>
        <v>29.148099999999999</v>
      </c>
      <c r="Q586" s="17">
        <f>CHOOSE(CONTROL!$C$42, 29.908, 29.908) * CHOOSE(CONTROL!$C$21, $C$9, 100%, $E$9)</f>
        <v>29.908000000000001</v>
      </c>
      <c r="R586" s="17">
        <f>CHOOSE(CONTROL!$C$42, 30.5698, 30.5698) * CHOOSE(CONTROL!$C$21, $C$9, 100%, $E$9)</f>
        <v>30.569800000000001</v>
      </c>
      <c r="S586" s="17">
        <f>CHOOSE(CONTROL!$C$42, 28.3959, 28.3959) * CHOOSE(CONTROL!$C$21, $C$9, 100%, $E$9)</f>
        <v>28.395900000000001</v>
      </c>
      <c r="T586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586" s="57">
        <f>(1000*CHOOSE(CONTROL!$C$42, 695, 695)*CHOOSE(CONTROL!$C$42, 0.5599, 0.5599)*CHOOSE(CONTROL!$C$42, 31, 31))/1000000</f>
        <v>12.063045499999998</v>
      </c>
      <c r="V586" s="57">
        <f>(1000*CHOOSE(CONTROL!$C$42, 500, 500)*CHOOSE(CONTROL!$C$42, 0.275, 0.275)*CHOOSE(CONTROL!$C$42, 31, 31))/1000000</f>
        <v>4.2625000000000002</v>
      </c>
      <c r="W586" s="57">
        <f>(1000*CHOOSE(CONTROL!$C$42, 0.0916, 0.0916)*CHOOSE(CONTROL!$C$42, 121.5, 121.5)*CHOOSE(CONTROL!$C$42, 31, 31))/1000000</f>
        <v>0.34501139999999997</v>
      </c>
      <c r="X586" s="57">
        <f>(31*0.1790888*145000/1000000)+(31*0.2374*100000/1000000)</f>
        <v>1.5409441560000001</v>
      </c>
      <c r="Y586" s="57"/>
      <c r="Z586" s="17"/>
      <c r="AA586" s="56"/>
      <c r="AB586" s="49">
        <f>(B586*131.881+C586*277.167+D586*79.08+E586*225.872+F586*40+G586*85+H586*0+I586*100+J586*300)/(131.881+277.167+79.08+225.872+0+40+85+100+300)</f>
        <v>29.375103331234861</v>
      </c>
      <c r="AC586" s="46">
        <f>(M586*'RAP TEMPLATE-GAS AVAILABILITY'!O585+N586*'RAP TEMPLATE-GAS AVAILABILITY'!P585+O586*'RAP TEMPLATE-GAS AVAILABILITY'!Q585+P586*'RAP TEMPLATE-GAS AVAILABILITY'!R585)/('RAP TEMPLATE-GAS AVAILABILITY'!O585+'RAP TEMPLATE-GAS AVAILABILITY'!P585+'RAP TEMPLATE-GAS AVAILABILITY'!Q585+'RAP TEMPLATE-GAS AVAILABILITY'!R585)</f>
        <v>29.13469856115108</v>
      </c>
    </row>
    <row r="587" spans="1:29" ht="15.75" x14ac:dyDescent="0.25">
      <c r="A587" s="13">
        <v>58775</v>
      </c>
      <c r="B587" s="17">
        <f>CHOOSE(CONTROL!$C$42, 30.0645, 30.0645) * CHOOSE(CONTROL!$C$21, $C$9, 100%, $E$9)</f>
        <v>30.064499999999999</v>
      </c>
      <c r="C587" s="17">
        <f>CHOOSE(CONTROL!$C$42, 30.0696, 30.0696) * CHOOSE(CONTROL!$C$21, $C$9, 100%, $E$9)</f>
        <v>30.069600000000001</v>
      </c>
      <c r="D587" s="17">
        <f>CHOOSE(CONTROL!$C$42, 30.1922, 30.1922) * CHOOSE(CONTROL!$C$21, $C$9, 100%, $E$9)</f>
        <v>30.1922</v>
      </c>
      <c r="E587" s="17">
        <f>CHOOSE(CONTROL!$C$42, 30.2259, 30.2259) * CHOOSE(CONTROL!$C$21, $C$9, 100%, $E$9)</f>
        <v>30.225899999999999</v>
      </c>
      <c r="F587" s="17">
        <f>CHOOSE(CONTROL!$C$42, 30.0795, 30.0795)*CHOOSE(CONTROL!$C$21, $C$9, 100%, $E$9)</f>
        <v>30.079499999999999</v>
      </c>
      <c r="G587" s="17">
        <f>CHOOSE(CONTROL!$C$42, 30.0961, 30.0961)*CHOOSE(CONTROL!$C$21, $C$9, 100%, $E$9)</f>
        <v>30.0961</v>
      </c>
      <c r="H587" s="17">
        <f>CHOOSE(CONTROL!$C$42, 30.2148, 30.2148) * CHOOSE(CONTROL!$C$21, $C$9, 100%, $E$9)</f>
        <v>30.2148</v>
      </c>
      <c r="I587" s="17">
        <f>CHOOSE(CONTROL!$C$42, 30.1827, 30.1827)* CHOOSE(CONTROL!$C$21, $C$9, 100%, $E$9)</f>
        <v>30.182700000000001</v>
      </c>
      <c r="J587" s="17">
        <f>CHOOSE(CONTROL!$C$42, 30.0721, 30.0721)* CHOOSE(CONTROL!$C$21, $C$9, 100%, $E$9)</f>
        <v>30.072099999999999</v>
      </c>
      <c r="K587" s="53">
        <f>CHOOSE(CONTROL!$C$42, 30.1767, 30.1767) * CHOOSE(CONTROL!$C$21, $C$9, 100%, $E$9)</f>
        <v>30.1767</v>
      </c>
      <c r="L587" s="17">
        <f>CHOOSE(CONTROL!$C$42, 30.8018, 30.8018) * CHOOSE(CONTROL!$C$21, $C$9, 100%, $E$9)</f>
        <v>30.8018</v>
      </c>
      <c r="M587" s="17">
        <f>CHOOSE(CONTROL!$C$42, 29.8086, 29.8086) * CHOOSE(CONTROL!$C$21, $C$9, 100%, $E$9)</f>
        <v>29.808599999999998</v>
      </c>
      <c r="N587" s="17">
        <f>CHOOSE(CONTROL!$C$42, 29.8252, 29.8252) * CHOOSE(CONTROL!$C$21, $C$9, 100%, $E$9)</f>
        <v>29.825199999999999</v>
      </c>
      <c r="O587" s="17">
        <f>CHOOSE(CONTROL!$C$42, 29.9501, 29.9501) * CHOOSE(CONTROL!$C$21, $C$9, 100%, $E$9)</f>
        <v>29.950099999999999</v>
      </c>
      <c r="P587" s="17">
        <f>CHOOSE(CONTROL!$C$42, 29.9175, 29.9175) * CHOOSE(CONTROL!$C$21, $C$9, 100%, $E$9)</f>
        <v>29.9175</v>
      </c>
      <c r="Q587" s="17">
        <f>CHOOSE(CONTROL!$C$42, 30.5448, 30.5448) * CHOOSE(CONTROL!$C$21, $C$9, 100%, $E$9)</f>
        <v>30.544799999999999</v>
      </c>
      <c r="R587" s="17">
        <f>CHOOSE(CONTROL!$C$42, 31.2081, 31.2081) * CHOOSE(CONTROL!$C$21, $C$9, 100%, $E$9)</f>
        <v>31.208100000000002</v>
      </c>
      <c r="S587" s="17">
        <f>CHOOSE(CONTROL!$C$42, 29.144, 29.144) * CHOOSE(CONTROL!$C$21, $C$9, 100%, $E$9)</f>
        <v>29.143999999999998</v>
      </c>
      <c r="T587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587" s="57">
        <f>(1000*CHOOSE(CONTROL!$C$42, 695, 695)*CHOOSE(CONTROL!$C$42, 0.5599, 0.5599)*CHOOSE(CONTROL!$C$42, 30, 30))/1000000</f>
        <v>11.673914999999997</v>
      </c>
      <c r="V587" s="57">
        <f>(1000*CHOOSE(CONTROL!$C$42, 500, 500)*CHOOSE(CONTROL!$C$42, 0.275, 0.275)*CHOOSE(CONTROL!$C$42, 30, 30))/1000000</f>
        <v>4.125</v>
      </c>
      <c r="W587" s="57">
        <f>(1000*CHOOSE(CONTROL!$C$42, 0.0916, 0.0916)*CHOOSE(CONTROL!$C$42, 121.5, 121.5)*CHOOSE(CONTROL!$C$42, 30, 30))/1000000</f>
        <v>0.33388200000000001</v>
      </c>
      <c r="X587" s="57">
        <f>(30*0.2374*100000/1000000)</f>
        <v>0.71220000000000006</v>
      </c>
      <c r="Y587" s="57"/>
      <c r="Z587" s="17"/>
      <c r="AA587" s="56"/>
      <c r="AB587" s="49">
        <f>(B587*122.58+C587*297.941+D587*89.177+E587*140.302+F587*40+G587*60+H587*0+I587*100+J587*300)/(122.58+297.941+89.177+140.302+0+40+60+100+300)</f>
        <v>30.109846212869567</v>
      </c>
      <c r="AC587" s="46">
        <f>(M587*'RAP TEMPLATE-GAS AVAILABILITY'!O586+N587*'RAP TEMPLATE-GAS AVAILABILITY'!P586+O587*'RAP TEMPLATE-GAS AVAILABILITY'!Q586+P587*'RAP TEMPLATE-GAS AVAILABILITY'!R586)/('RAP TEMPLATE-GAS AVAILABILITY'!O586+'RAP TEMPLATE-GAS AVAILABILITY'!P586+'RAP TEMPLATE-GAS AVAILABILITY'!Q586+'RAP TEMPLATE-GAS AVAILABILITY'!R586)</f>
        <v>29.889357553956831</v>
      </c>
    </row>
    <row r="588" spans="1:29" ht="15.75" x14ac:dyDescent="0.25">
      <c r="A588" s="13">
        <v>58806</v>
      </c>
      <c r="B588" s="17">
        <f>CHOOSE(CONTROL!$C$42, 32.1135, 32.1135) * CHOOSE(CONTROL!$C$21, $C$9, 100%, $E$9)</f>
        <v>32.113500000000002</v>
      </c>
      <c r="C588" s="17">
        <f>CHOOSE(CONTROL!$C$42, 32.1186, 32.1186) * CHOOSE(CONTROL!$C$21, $C$9, 100%, $E$9)</f>
        <v>32.118600000000001</v>
      </c>
      <c r="D588" s="17">
        <f>CHOOSE(CONTROL!$C$42, 32.2412, 32.2412) * CHOOSE(CONTROL!$C$21, $C$9, 100%, $E$9)</f>
        <v>32.241199999999999</v>
      </c>
      <c r="E588" s="17">
        <f>CHOOSE(CONTROL!$C$42, 32.275, 32.275) * CHOOSE(CONTROL!$C$21, $C$9, 100%, $E$9)</f>
        <v>32.274999999999999</v>
      </c>
      <c r="F588" s="17">
        <f>CHOOSE(CONTROL!$C$42, 32.131, 32.131)*CHOOSE(CONTROL!$C$21, $C$9, 100%, $E$9)</f>
        <v>32.131</v>
      </c>
      <c r="G588" s="17">
        <f>CHOOSE(CONTROL!$C$42, 32.1483, 32.1483)*CHOOSE(CONTROL!$C$21, $C$9, 100%, $E$9)</f>
        <v>32.148299999999999</v>
      </c>
      <c r="H588" s="17">
        <f>CHOOSE(CONTROL!$C$42, 32.2639, 32.2639) * CHOOSE(CONTROL!$C$21, $C$9, 100%, $E$9)</f>
        <v>32.2639</v>
      </c>
      <c r="I588" s="17">
        <f>CHOOSE(CONTROL!$C$42, 32.2381, 32.2381)* CHOOSE(CONTROL!$C$21, $C$9, 100%, $E$9)</f>
        <v>32.238100000000003</v>
      </c>
      <c r="J588" s="17">
        <f>CHOOSE(CONTROL!$C$42, 32.1236, 32.1236)* CHOOSE(CONTROL!$C$21, $C$9, 100%, $E$9)</f>
        <v>32.123600000000003</v>
      </c>
      <c r="K588" s="53">
        <f>CHOOSE(CONTROL!$C$42, 32.2321, 32.2321) * CHOOSE(CONTROL!$C$21, $C$9, 100%, $E$9)</f>
        <v>32.232100000000003</v>
      </c>
      <c r="L588" s="17">
        <f>CHOOSE(CONTROL!$C$42, 32.8509, 32.8509) * CHOOSE(CONTROL!$C$21, $C$9, 100%, $E$9)</f>
        <v>32.850900000000003</v>
      </c>
      <c r="M588" s="17">
        <f>CHOOSE(CONTROL!$C$42, 31.8417, 31.8417) * CHOOSE(CONTROL!$C$21, $C$9, 100%, $E$9)</f>
        <v>31.841699999999999</v>
      </c>
      <c r="N588" s="17">
        <f>CHOOSE(CONTROL!$C$42, 31.8588, 31.8588) * CHOOSE(CONTROL!$C$21, $C$9, 100%, $E$9)</f>
        <v>31.858799999999999</v>
      </c>
      <c r="O588" s="17">
        <f>CHOOSE(CONTROL!$C$42, 31.9807, 31.9807) * CHOOSE(CONTROL!$C$21, $C$9, 100%, $E$9)</f>
        <v>31.980699999999999</v>
      </c>
      <c r="P588" s="17">
        <f>CHOOSE(CONTROL!$C$42, 31.9544, 31.9544) * CHOOSE(CONTROL!$C$21, $C$9, 100%, $E$9)</f>
        <v>31.9544</v>
      </c>
      <c r="Q588" s="17">
        <f>CHOOSE(CONTROL!$C$42, 32.5754, 32.5754) * CHOOSE(CONTROL!$C$21, $C$9, 100%, $E$9)</f>
        <v>32.575400000000002</v>
      </c>
      <c r="R588" s="17">
        <f>CHOOSE(CONTROL!$C$42, 33.2439, 33.2439) * CHOOSE(CONTROL!$C$21, $C$9, 100%, $E$9)</f>
        <v>33.243899999999996</v>
      </c>
      <c r="S588" s="17">
        <f>CHOOSE(CONTROL!$C$42, 31.131, 31.131) * CHOOSE(CONTROL!$C$21, $C$9, 100%, $E$9)</f>
        <v>31.131</v>
      </c>
      <c r="T588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588" s="57">
        <f>(1000*CHOOSE(CONTROL!$C$42, 695, 695)*CHOOSE(CONTROL!$C$42, 0.5599, 0.5599)*CHOOSE(CONTROL!$C$42, 31, 31))/1000000</f>
        <v>12.063045499999998</v>
      </c>
      <c r="V588" s="57">
        <f>(1000*CHOOSE(CONTROL!$C$42, 500, 500)*CHOOSE(CONTROL!$C$42, 0.275, 0.275)*CHOOSE(CONTROL!$C$42, 31, 31))/1000000</f>
        <v>4.2625000000000002</v>
      </c>
      <c r="W588" s="57">
        <f>(1000*CHOOSE(CONTROL!$C$42, 0.0916, 0.0916)*CHOOSE(CONTROL!$C$42, 121.5, 121.5)*CHOOSE(CONTROL!$C$42, 31, 31))/1000000</f>
        <v>0.34501139999999997</v>
      </c>
      <c r="X588" s="57">
        <f>(31*0.2374*100000/1000000)</f>
        <v>0.73594000000000004</v>
      </c>
      <c r="Y588" s="57"/>
      <c r="Z588" s="17"/>
      <c r="AA588" s="56"/>
      <c r="AB588" s="49">
        <f>(B588*122.58+C588*297.941+D588*89.177+E588*140.302+F588*40+G588*60+H588*0+I588*100+J588*300)/(122.58+297.941+89.177+140.302+0+40+60+100+300)</f>
        <v>32.160321021739136</v>
      </c>
      <c r="AC588" s="46">
        <f>(M588*'RAP TEMPLATE-GAS AVAILABILITY'!O587+N588*'RAP TEMPLATE-GAS AVAILABILITY'!P587+O588*'RAP TEMPLATE-GAS AVAILABILITY'!Q587+P588*'RAP TEMPLATE-GAS AVAILABILITY'!R587)/('RAP TEMPLATE-GAS AVAILABILITY'!O587+'RAP TEMPLATE-GAS AVAILABILITY'!P587+'RAP TEMPLATE-GAS AVAILABILITY'!Q587+'RAP TEMPLATE-GAS AVAILABILITY'!R587)</f>
        <v>31.921900000000001</v>
      </c>
    </row>
    <row r="589" spans="1:29" ht="15.75" x14ac:dyDescent="0.25">
      <c r="A589" s="13">
        <v>58837</v>
      </c>
      <c r="B589" s="17">
        <f>CHOOSE(CONTROL!$C$42, 34.7749, 34.7749) * CHOOSE(CONTROL!$C$21, $C$9, 100%, $E$9)</f>
        <v>34.774900000000002</v>
      </c>
      <c r="C589" s="17">
        <f>CHOOSE(CONTROL!$C$42, 34.78, 34.78) * CHOOSE(CONTROL!$C$21, $C$9, 100%, $E$9)</f>
        <v>34.78</v>
      </c>
      <c r="D589" s="17">
        <f>CHOOSE(CONTROL!$C$42, 34.8974, 34.8974) * CHOOSE(CONTROL!$C$21, $C$9, 100%, $E$9)</f>
        <v>34.897399999999998</v>
      </c>
      <c r="E589" s="17">
        <f>CHOOSE(CONTROL!$C$42, 34.9312, 34.9312) * CHOOSE(CONTROL!$C$21, $C$9, 100%, $E$9)</f>
        <v>34.931199999999997</v>
      </c>
      <c r="F589" s="17">
        <f>CHOOSE(CONTROL!$C$42, 34.7885, 34.7885)*CHOOSE(CONTROL!$C$21, $C$9, 100%, $E$9)</f>
        <v>34.788499999999999</v>
      </c>
      <c r="G589" s="17">
        <f>CHOOSE(CONTROL!$C$42, 34.8048, 34.8048)*CHOOSE(CONTROL!$C$21, $C$9, 100%, $E$9)</f>
        <v>34.8048</v>
      </c>
      <c r="H589" s="17">
        <f>CHOOSE(CONTROL!$C$42, 34.9201, 34.9201) * CHOOSE(CONTROL!$C$21, $C$9, 100%, $E$9)</f>
        <v>34.920099999999998</v>
      </c>
      <c r="I589" s="17">
        <f>CHOOSE(CONTROL!$C$42, 34.9062, 34.9062)* CHOOSE(CONTROL!$C$21, $C$9, 100%, $E$9)</f>
        <v>34.906199999999998</v>
      </c>
      <c r="J589" s="17">
        <f>CHOOSE(CONTROL!$C$42, 34.7811, 34.7811)* CHOOSE(CONTROL!$C$21, $C$9, 100%, $E$9)</f>
        <v>34.781100000000002</v>
      </c>
      <c r="K589" s="53">
        <f>CHOOSE(CONTROL!$C$42, 34.9002, 34.9002) * CHOOSE(CONTROL!$C$21, $C$9, 100%, $E$9)</f>
        <v>34.900199999999998</v>
      </c>
      <c r="L589" s="17">
        <f>CHOOSE(CONTROL!$C$42, 35.5071, 35.5071) * CHOOSE(CONTROL!$C$21, $C$9, 100%, $E$9)</f>
        <v>35.507100000000001</v>
      </c>
      <c r="M589" s="17">
        <f>CHOOSE(CONTROL!$C$42, 34.4753, 34.4753) * CHOOSE(CONTROL!$C$21, $C$9, 100%, $E$9)</f>
        <v>34.475299999999997</v>
      </c>
      <c r="N589" s="17">
        <f>CHOOSE(CONTROL!$C$42, 34.4915, 34.4915) * CHOOSE(CONTROL!$C$21, $C$9, 100%, $E$9)</f>
        <v>34.491500000000002</v>
      </c>
      <c r="O589" s="17">
        <f>CHOOSE(CONTROL!$C$42, 34.613, 34.613) * CHOOSE(CONTROL!$C$21, $C$9, 100%, $E$9)</f>
        <v>34.613</v>
      </c>
      <c r="P589" s="17">
        <f>CHOOSE(CONTROL!$C$42, 34.5984, 34.5984) * CHOOSE(CONTROL!$C$21, $C$9, 100%, $E$9)</f>
        <v>34.598399999999998</v>
      </c>
      <c r="Q589" s="17">
        <f>CHOOSE(CONTROL!$C$42, 35.2077, 35.2077) * CHOOSE(CONTROL!$C$21, $C$9, 100%, $E$9)</f>
        <v>35.207700000000003</v>
      </c>
      <c r="R589" s="17">
        <f>CHOOSE(CONTROL!$C$42, 35.8828, 35.8828) * CHOOSE(CONTROL!$C$21, $C$9, 100%, $E$9)</f>
        <v>35.882800000000003</v>
      </c>
      <c r="S589" s="17">
        <f>CHOOSE(CONTROL!$C$42, 33.7117, 33.7117) * CHOOSE(CONTROL!$C$21, $C$9, 100%, $E$9)</f>
        <v>33.7117</v>
      </c>
      <c r="T589" s="57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589" s="57">
        <f>(1000*CHOOSE(CONTROL!$C$42, 695, 695)*CHOOSE(CONTROL!$C$42, 0.5599, 0.5599)*CHOOSE(CONTROL!$C$42, 31, 31))/1000000</f>
        <v>12.063045499999998</v>
      </c>
      <c r="V589" s="57">
        <f>(1000*CHOOSE(CONTROL!$C$42, 500, 500)*CHOOSE(CONTROL!$C$42, 0.275, 0.275)*CHOOSE(CONTROL!$C$42, 31, 31))/1000000</f>
        <v>4.2625000000000002</v>
      </c>
      <c r="W589" s="57">
        <f>(1000*CHOOSE(CONTROL!$C$42, 0.0916, 0.0916)*CHOOSE(CONTROL!$C$42, 121.5, 121.5)*CHOOSE(CONTROL!$C$42, 31, 31))/1000000</f>
        <v>0.34501139999999997</v>
      </c>
      <c r="X589" s="57">
        <f>(31*0.2374*100000/1000000)</f>
        <v>0.73594000000000004</v>
      </c>
      <c r="Y589" s="57"/>
      <c r="Z589" s="17"/>
      <c r="AA589" s="56"/>
      <c r="AB589" s="49">
        <f>(B589*122.58+C589*297.941+D589*89.177+E589*140.302+F589*40+G589*60+H589*0+I589*100+J589*300)/(122.58+297.941+89.177+140.302+0+40+60+100+300)</f>
        <v>34.819857290608695</v>
      </c>
      <c r="AC589" s="46">
        <f>(M589*'RAP TEMPLATE-GAS AVAILABILITY'!O588+N589*'RAP TEMPLATE-GAS AVAILABILITY'!P588+O589*'RAP TEMPLATE-GAS AVAILABILITY'!Q588+P589*'RAP TEMPLATE-GAS AVAILABILITY'!R588)/('RAP TEMPLATE-GAS AVAILABILITY'!O588+'RAP TEMPLATE-GAS AVAILABILITY'!P588+'RAP TEMPLATE-GAS AVAILABILITY'!Q588+'RAP TEMPLATE-GAS AVAILABILITY'!R588)</f>
        <v>34.556355395683447</v>
      </c>
    </row>
    <row r="590" spans="1:29" ht="15.75" x14ac:dyDescent="0.25">
      <c r="A590" s="13">
        <v>58865</v>
      </c>
      <c r="B590" s="17">
        <f>CHOOSE(CONTROL!$C$42, 35.3938, 35.3938) * CHOOSE(CONTROL!$C$21, $C$9, 100%, $E$9)</f>
        <v>35.393799999999999</v>
      </c>
      <c r="C590" s="17">
        <f>CHOOSE(CONTROL!$C$42, 35.3988, 35.3988) * CHOOSE(CONTROL!$C$21, $C$9, 100%, $E$9)</f>
        <v>35.398800000000001</v>
      </c>
      <c r="D590" s="17">
        <f>CHOOSE(CONTROL!$C$42, 35.5163, 35.5163) * CHOOSE(CONTROL!$C$21, $C$9, 100%, $E$9)</f>
        <v>35.516300000000001</v>
      </c>
      <c r="E590" s="17">
        <f>CHOOSE(CONTROL!$C$42, 35.5501, 35.5501) * CHOOSE(CONTROL!$C$21, $C$9, 100%, $E$9)</f>
        <v>35.5501</v>
      </c>
      <c r="F590" s="17">
        <f>CHOOSE(CONTROL!$C$42, 35.4074, 35.4074)*CHOOSE(CONTROL!$C$21, $C$9, 100%, $E$9)</f>
        <v>35.407400000000003</v>
      </c>
      <c r="G590" s="17">
        <f>CHOOSE(CONTROL!$C$42, 35.4237, 35.4237)*CHOOSE(CONTROL!$C$21, $C$9, 100%, $E$9)</f>
        <v>35.423699999999997</v>
      </c>
      <c r="H590" s="17">
        <f>CHOOSE(CONTROL!$C$42, 35.5389, 35.5389) * CHOOSE(CONTROL!$C$21, $C$9, 100%, $E$9)</f>
        <v>35.538899999999998</v>
      </c>
      <c r="I590" s="17">
        <f>CHOOSE(CONTROL!$C$42, 35.527, 35.527)* CHOOSE(CONTROL!$C$21, $C$9, 100%, $E$9)</f>
        <v>35.527000000000001</v>
      </c>
      <c r="J590" s="17">
        <f>CHOOSE(CONTROL!$C$42, 35.4, 35.4)* CHOOSE(CONTROL!$C$21, $C$9, 100%, $E$9)</f>
        <v>35.4</v>
      </c>
      <c r="K590" s="53">
        <f>CHOOSE(CONTROL!$C$42, 35.521, 35.521) * CHOOSE(CONTROL!$C$21, $C$9, 100%, $E$9)</f>
        <v>35.521000000000001</v>
      </c>
      <c r="L590" s="17">
        <f>CHOOSE(CONTROL!$C$42, 36.1259, 36.1259) * CHOOSE(CONTROL!$C$21, $C$9, 100%, $E$9)</f>
        <v>36.125900000000001</v>
      </c>
      <c r="M590" s="17">
        <f>CHOOSE(CONTROL!$C$42, 35.0886, 35.0886) * CHOOSE(CONTROL!$C$21, $C$9, 100%, $E$9)</f>
        <v>35.0886</v>
      </c>
      <c r="N590" s="17">
        <f>CHOOSE(CONTROL!$C$42, 35.1048, 35.1048) * CHOOSE(CONTROL!$C$21, $C$9, 100%, $E$9)</f>
        <v>35.104799999999997</v>
      </c>
      <c r="O590" s="17">
        <f>CHOOSE(CONTROL!$C$42, 35.2263, 35.2263) * CHOOSE(CONTROL!$C$21, $C$9, 100%, $E$9)</f>
        <v>35.226300000000002</v>
      </c>
      <c r="P590" s="17">
        <f>CHOOSE(CONTROL!$C$42, 35.2136, 35.2136) * CHOOSE(CONTROL!$C$21, $C$9, 100%, $E$9)</f>
        <v>35.2136</v>
      </c>
      <c r="Q590" s="17">
        <f>CHOOSE(CONTROL!$C$42, 35.821, 35.821) * CHOOSE(CONTROL!$C$21, $C$9, 100%, $E$9)</f>
        <v>35.820999999999998</v>
      </c>
      <c r="R590" s="17">
        <f>CHOOSE(CONTROL!$C$42, 36.4976, 36.4976) * CHOOSE(CONTROL!$C$21, $C$9, 100%, $E$9)</f>
        <v>36.497599999999998</v>
      </c>
      <c r="S590" s="17">
        <f>CHOOSE(CONTROL!$C$42, 34.3118, 34.3118) * CHOOSE(CONTROL!$C$21, $C$9, 100%, $E$9)</f>
        <v>34.311799999999998</v>
      </c>
      <c r="T590" s="57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590" s="57">
        <f>(1000*CHOOSE(CONTROL!$C$42, 695, 695)*CHOOSE(CONTROL!$C$42, 0.5599, 0.5599)*CHOOSE(CONTROL!$C$42, 28, 28))/1000000</f>
        <v>10.895653999999999</v>
      </c>
      <c r="V590" s="57">
        <f>(1000*CHOOSE(CONTROL!$C$42, 500, 500)*CHOOSE(CONTROL!$C$42, 0.275, 0.275)*CHOOSE(CONTROL!$C$42, 28, 28))/1000000</f>
        <v>3.85</v>
      </c>
      <c r="W590" s="57">
        <f>(1000*CHOOSE(CONTROL!$C$42, 0.0916, 0.0916)*CHOOSE(CONTROL!$C$42, 121.5, 121.5)*CHOOSE(CONTROL!$C$42, 28, 28))/1000000</f>
        <v>0.31162319999999999</v>
      </c>
      <c r="X590" s="57">
        <f>(28*0.2374*100000/1000000)</f>
        <v>0.66471999999999998</v>
      </c>
      <c r="Y590" s="57"/>
      <c r="Z590" s="17"/>
      <c r="AA590" s="56"/>
      <c r="AB590" s="49">
        <f>(B590*122.58+C590*297.941+D590*89.177+E590*140.302+F590*40+G590*60+H590*0+I590*100+J590*300)/(122.58+297.941+89.177+140.302+0+40+60+100+300)</f>
        <v>35.438896600086949</v>
      </c>
      <c r="AC590" s="46">
        <f>(M590*'RAP TEMPLATE-GAS AVAILABILITY'!O589+N590*'RAP TEMPLATE-GAS AVAILABILITY'!P589+O590*'RAP TEMPLATE-GAS AVAILABILITY'!Q589+P590*'RAP TEMPLATE-GAS AVAILABILITY'!R589)/('RAP TEMPLATE-GAS AVAILABILITY'!O589+'RAP TEMPLATE-GAS AVAILABILITY'!P589+'RAP TEMPLATE-GAS AVAILABILITY'!Q589+'RAP TEMPLATE-GAS AVAILABILITY'!R589)</f>
        <v>35.169928776978416</v>
      </c>
    </row>
    <row r="591" spans="1:29" ht="15.75" x14ac:dyDescent="0.25">
      <c r="A591" s="13">
        <v>58893</v>
      </c>
      <c r="B591" s="17">
        <f>CHOOSE(CONTROL!$C$42, 34.3892, 34.3892) * CHOOSE(CONTROL!$C$21, $C$9, 100%, $E$9)</f>
        <v>34.389200000000002</v>
      </c>
      <c r="C591" s="17">
        <f>CHOOSE(CONTROL!$C$42, 34.3943, 34.3943) * CHOOSE(CONTROL!$C$21, $C$9, 100%, $E$9)</f>
        <v>34.394300000000001</v>
      </c>
      <c r="D591" s="17">
        <f>CHOOSE(CONTROL!$C$42, 34.5117, 34.5117) * CHOOSE(CONTROL!$C$21, $C$9, 100%, $E$9)</f>
        <v>34.511699999999998</v>
      </c>
      <c r="E591" s="17">
        <f>CHOOSE(CONTROL!$C$42, 34.5455, 34.5455) * CHOOSE(CONTROL!$C$21, $C$9, 100%, $E$9)</f>
        <v>34.545499999999997</v>
      </c>
      <c r="F591" s="17">
        <f>CHOOSE(CONTROL!$C$42, 34.4022, 34.4022)*CHOOSE(CONTROL!$C$21, $C$9, 100%, $E$9)</f>
        <v>34.402200000000001</v>
      </c>
      <c r="G591" s="17">
        <f>CHOOSE(CONTROL!$C$42, 34.4183, 34.4183)*CHOOSE(CONTROL!$C$21, $C$9, 100%, $E$9)</f>
        <v>34.418300000000002</v>
      </c>
      <c r="H591" s="17">
        <f>CHOOSE(CONTROL!$C$42, 34.5344, 34.5344) * CHOOSE(CONTROL!$C$21, $C$9, 100%, $E$9)</f>
        <v>34.534399999999998</v>
      </c>
      <c r="I591" s="17">
        <f>CHOOSE(CONTROL!$C$42, 34.5193, 34.5193)* CHOOSE(CONTROL!$C$21, $C$9, 100%, $E$9)</f>
        <v>34.519300000000001</v>
      </c>
      <c r="J591" s="17">
        <f>CHOOSE(CONTROL!$C$42, 34.3948, 34.3948)* CHOOSE(CONTROL!$C$21, $C$9, 100%, $E$9)</f>
        <v>34.394799999999996</v>
      </c>
      <c r="K591" s="53">
        <f>CHOOSE(CONTROL!$C$42, 34.5133, 34.5133) * CHOOSE(CONTROL!$C$21, $C$9, 100%, $E$9)</f>
        <v>34.513300000000001</v>
      </c>
      <c r="L591" s="17">
        <f>CHOOSE(CONTROL!$C$42, 35.1214, 35.1214) * CHOOSE(CONTROL!$C$21, $C$9, 100%, $E$9)</f>
        <v>35.121400000000001</v>
      </c>
      <c r="M591" s="17">
        <f>CHOOSE(CONTROL!$C$42, 34.0925, 34.0925) * CHOOSE(CONTROL!$C$21, $C$9, 100%, $E$9)</f>
        <v>34.092500000000001</v>
      </c>
      <c r="N591" s="17">
        <f>CHOOSE(CONTROL!$C$42, 34.1085, 34.1085) * CHOOSE(CONTROL!$C$21, $C$9, 100%, $E$9)</f>
        <v>34.108499999999999</v>
      </c>
      <c r="O591" s="17">
        <f>CHOOSE(CONTROL!$C$42, 34.2308, 34.2308) * CHOOSE(CONTROL!$C$21, $C$9, 100%, $E$9)</f>
        <v>34.230800000000002</v>
      </c>
      <c r="P591" s="17">
        <f>CHOOSE(CONTROL!$C$42, 34.215, 34.215) * CHOOSE(CONTROL!$C$21, $C$9, 100%, $E$9)</f>
        <v>34.215000000000003</v>
      </c>
      <c r="Q591" s="17">
        <f>CHOOSE(CONTROL!$C$42, 34.8255, 34.8255) * CHOOSE(CONTROL!$C$21, $C$9, 100%, $E$9)</f>
        <v>34.825499999999998</v>
      </c>
      <c r="R591" s="17">
        <f>CHOOSE(CONTROL!$C$42, 35.4996, 35.4996) * CHOOSE(CONTROL!$C$21, $C$9, 100%, $E$9)</f>
        <v>35.499600000000001</v>
      </c>
      <c r="S591" s="17">
        <f>CHOOSE(CONTROL!$C$42, 33.3377, 33.3377) * CHOOSE(CONTROL!$C$21, $C$9, 100%, $E$9)</f>
        <v>33.337699999999998</v>
      </c>
      <c r="T591" s="57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591" s="57">
        <f>(1000*CHOOSE(CONTROL!$C$42, 695, 695)*CHOOSE(CONTROL!$C$42, 0.5599, 0.5599)*CHOOSE(CONTROL!$C$42, 31, 31))/1000000</f>
        <v>12.063045499999998</v>
      </c>
      <c r="V591" s="57">
        <f>(1000*CHOOSE(CONTROL!$C$42, 500, 500)*CHOOSE(CONTROL!$C$42, 0.275, 0.275)*CHOOSE(CONTROL!$C$42, 31, 31))/1000000</f>
        <v>4.2625000000000002</v>
      </c>
      <c r="W591" s="57">
        <f>(1000*CHOOSE(CONTROL!$C$42, 0.0916, 0.0916)*CHOOSE(CONTROL!$C$42, 121.5, 121.5)*CHOOSE(CONTROL!$C$42, 31, 31))/1000000</f>
        <v>0.34501139999999997</v>
      </c>
      <c r="X591" s="57">
        <f>(31*0.2374*100000/1000000)</f>
        <v>0.73594000000000004</v>
      </c>
      <c r="Y591" s="57"/>
      <c r="Z591" s="17"/>
      <c r="AA591" s="56"/>
      <c r="AB591" s="49">
        <f>(B591*122.58+C591*297.941+D591*89.177+E591*140.302+F591*40+G591*60+H591*0+I591*100+J591*300)/(122.58+297.941+89.177+140.302+0+40+60+100+300)</f>
        <v>34.433833812347821</v>
      </c>
      <c r="AC591" s="46">
        <f>(M591*'RAP TEMPLATE-GAS AVAILABILITY'!O590+N591*'RAP TEMPLATE-GAS AVAILABILITY'!P590+O591*'RAP TEMPLATE-GAS AVAILABILITY'!Q590+P591*'RAP TEMPLATE-GAS AVAILABILITY'!R590)/('RAP TEMPLATE-GAS AVAILABILITY'!O590+'RAP TEMPLATE-GAS AVAILABILITY'!P590+'RAP TEMPLATE-GAS AVAILABILITY'!Q590+'RAP TEMPLATE-GAS AVAILABILITY'!R590)</f>
        <v>34.173729496402878</v>
      </c>
    </row>
    <row r="592" spans="1:29" ht="15.75" x14ac:dyDescent="0.25">
      <c r="A592" s="13">
        <v>58926</v>
      </c>
      <c r="B592" s="17">
        <f>CHOOSE(CONTROL!$C$42, 34.2873, 34.2873) * CHOOSE(CONTROL!$C$21, $C$9, 100%, $E$9)</f>
        <v>34.287300000000002</v>
      </c>
      <c r="C592" s="17">
        <f>CHOOSE(CONTROL!$C$42, 34.2918, 34.2918) * CHOOSE(CONTROL!$C$21, $C$9, 100%, $E$9)</f>
        <v>34.291800000000002</v>
      </c>
      <c r="D592" s="17">
        <f>CHOOSE(CONTROL!$C$42, 34.5445, 34.5445) * CHOOSE(CONTROL!$C$21, $C$9, 100%, $E$9)</f>
        <v>34.544499999999999</v>
      </c>
      <c r="E592" s="17">
        <f>CHOOSE(CONTROL!$C$42, 34.5763, 34.5763) * CHOOSE(CONTROL!$C$21, $C$9, 100%, $E$9)</f>
        <v>34.576300000000003</v>
      </c>
      <c r="F592" s="17">
        <f>CHOOSE(CONTROL!$C$42, 34.2932, 34.2932)*CHOOSE(CONTROL!$C$21, $C$9, 100%, $E$9)</f>
        <v>34.293199999999999</v>
      </c>
      <c r="G592" s="17">
        <f>CHOOSE(CONTROL!$C$42, 34.3091, 34.3091)*CHOOSE(CONTROL!$C$21, $C$9, 100%, $E$9)</f>
        <v>34.309100000000001</v>
      </c>
      <c r="H592" s="17">
        <f>CHOOSE(CONTROL!$C$42, 34.5657, 34.5657) * CHOOSE(CONTROL!$C$21, $C$9, 100%, $E$9)</f>
        <v>34.5657</v>
      </c>
      <c r="I592" s="17">
        <f>CHOOSE(CONTROL!$C$42, 34.4153, 34.4153)* CHOOSE(CONTROL!$C$21, $C$9, 100%, $E$9)</f>
        <v>34.415300000000002</v>
      </c>
      <c r="J592" s="17">
        <f>CHOOSE(CONTROL!$C$42, 34.2858, 34.2858)* CHOOSE(CONTROL!$C$21, $C$9, 100%, $E$9)</f>
        <v>34.285800000000002</v>
      </c>
      <c r="K592" s="53">
        <f>CHOOSE(CONTROL!$C$42, 34.4092, 34.4092) * CHOOSE(CONTROL!$C$21, $C$9, 100%, $E$9)</f>
        <v>34.409199999999998</v>
      </c>
      <c r="L592" s="17">
        <f>CHOOSE(CONTROL!$C$42, 35.1527, 35.1527) * CHOOSE(CONTROL!$C$21, $C$9, 100%, $E$9)</f>
        <v>35.152700000000003</v>
      </c>
      <c r="M592" s="17">
        <f>CHOOSE(CONTROL!$C$42, 33.9845, 33.9845) * CHOOSE(CONTROL!$C$21, $C$9, 100%, $E$9)</f>
        <v>33.984499999999997</v>
      </c>
      <c r="N592" s="17">
        <f>CHOOSE(CONTROL!$C$42, 34.0002, 34.0002) * CHOOSE(CONTROL!$C$21, $C$9, 100%, $E$9)</f>
        <v>34.0002</v>
      </c>
      <c r="O592" s="17">
        <f>CHOOSE(CONTROL!$C$42, 34.2619, 34.2619) * CHOOSE(CONTROL!$C$21, $C$9, 100%, $E$9)</f>
        <v>34.261899999999997</v>
      </c>
      <c r="P592" s="17">
        <f>CHOOSE(CONTROL!$C$42, 34.1119, 34.1119) * CHOOSE(CONTROL!$C$21, $C$9, 100%, $E$9)</f>
        <v>34.111899999999999</v>
      </c>
      <c r="Q592" s="17">
        <f>CHOOSE(CONTROL!$C$42, 34.8566, 34.8566) * CHOOSE(CONTROL!$C$21, $C$9, 100%, $E$9)</f>
        <v>34.8566</v>
      </c>
      <c r="R592" s="17">
        <f>CHOOSE(CONTROL!$C$42, 35.5307, 35.5307) * CHOOSE(CONTROL!$C$21, $C$9, 100%, $E$9)</f>
        <v>35.530700000000003</v>
      </c>
      <c r="S592" s="17">
        <f>CHOOSE(CONTROL!$C$42, 33.2381, 33.2381) * CHOOSE(CONTROL!$C$21, $C$9, 100%, $E$9)</f>
        <v>33.238100000000003</v>
      </c>
      <c r="T592" s="57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592" s="57">
        <f>(1000*CHOOSE(CONTROL!$C$42, 695, 695)*CHOOSE(CONTROL!$C$42, 0.5599, 0.5599)*CHOOSE(CONTROL!$C$42, 30, 30))/1000000</f>
        <v>11.673914999999997</v>
      </c>
      <c r="V592" s="57">
        <f>(1000*CHOOSE(CONTROL!$C$42, 500, 500)*CHOOSE(CONTROL!$C$42, 0.275, 0.275)*CHOOSE(CONTROL!$C$42, 30, 30))/1000000</f>
        <v>4.125</v>
      </c>
      <c r="W592" s="57">
        <f>(1000*CHOOSE(CONTROL!$C$42, 0.0916, 0.0916)*CHOOSE(CONTROL!$C$42, 121.5, 121.5)*CHOOSE(CONTROL!$C$42, 30, 30))/1000000</f>
        <v>0.33388200000000001</v>
      </c>
      <c r="X592" s="57">
        <f>(30*0.1790888*145000/1000000)+(30*0.2374*100000/1000000)</f>
        <v>1.4912362799999999</v>
      </c>
      <c r="Y592" s="57"/>
      <c r="Z592" s="17"/>
      <c r="AA592" s="56"/>
      <c r="AB592" s="49">
        <f>(B592*141.293+C592*267.993+D592*115.016+E592*189.698+F592*40+G592*85+H592*0+I592*100+J592*300)/(141.293+267.993+115.016+189.698+0+40+85+100+300)</f>
        <v>34.368050448506857</v>
      </c>
      <c r="AC592" s="46">
        <f>(M592*'RAP TEMPLATE-GAS AVAILABILITY'!O591+N592*'RAP TEMPLATE-GAS AVAILABILITY'!P591+O592*'RAP TEMPLATE-GAS AVAILABILITY'!Q591+P592*'RAP TEMPLATE-GAS AVAILABILITY'!R591)/('RAP TEMPLATE-GAS AVAILABILITY'!O591+'RAP TEMPLATE-GAS AVAILABILITY'!P591+'RAP TEMPLATE-GAS AVAILABILITY'!Q591+'RAP TEMPLATE-GAS AVAILABILITY'!R591)</f>
        <v>34.084276978417265</v>
      </c>
    </row>
    <row r="593" spans="1:29" ht="15.75" x14ac:dyDescent="0.25">
      <c r="A593" s="13">
        <v>58957</v>
      </c>
      <c r="B593" s="17">
        <f>CHOOSE(CONTROL!$C$42, 34.5911, 34.5911) * CHOOSE(CONTROL!$C$21, $C$9, 100%, $E$9)</f>
        <v>34.591099999999997</v>
      </c>
      <c r="C593" s="17">
        <f>CHOOSE(CONTROL!$C$42, 34.5991, 34.5991) * CHOOSE(CONTROL!$C$21, $C$9, 100%, $E$9)</f>
        <v>34.5991</v>
      </c>
      <c r="D593" s="17">
        <f>CHOOSE(CONTROL!$C$42, 34.8488, 34.8488) * CHOOSE(CONTROL!$C$21, $C$9, 100%, $E$9)</f>
        <v>34.848799999999997</v>
      </c>
      <c r="E593" s="17">
        <f>CHOOSE(CONTROL!$C$42, 34.8799, 34.8799) * CHOOSE(CONTROL!$C$21, $C$9, 100%, $E$9)</f>
        <v>34.879899999999999</v>
      </c>
      <c r="F593" s="17">
        <f>CHOOSE(CONTROL!$C$42, 34.596, 34.596)*CHOOSE(CONTROL!$C$21, $C$9, 100%, $E$9)</f>
        <v>34.595999999999997</v>
      </c>
      <c r="G593" s="17">
        <f>CHOOSE(CONTROL!$C$42, 34.6121, 34.6121)*CHOOSE(CONTROL!$C$21, $C$9, 100%, $E$9)</f>
        <v>34.612099999999998</v>
      </c>
      <c r="H593" s="17">
        <f>CHOOSE(CONTROL!$C$42, 34.8683, 34.8683) * CHOOSE(CONTROL!$C$21, $C$9, 100%, $E$9)</f>
        <v>34.868299999999998</v>
      </c>
      <c r="I593" s="17">
        <f>CHOOSE(CONTROL!$C$42, 34.7187, 34.7187)* CHOOSE(CONTROL!$C$21, $C$9, 100%, $E$9)</f>
        <v>34.718699999999998</v>
      </c>
      <c r="J593" s="17">
        <f>CHOOSE(CONTROL!$C$42, 34.5886, 34.5886)* CHOOSE(CONTROL!$C$21, $C$9, 100%, $E$9)</f>
        <v>34.5886</v>
      </c>
      <c r="K593" s="53">
        <f>CHOOSE(CONTROL!$C$42, 34.7127, 34.7127) * CHOOSE(CONTROL!$C$21, $C$9, 100%, $E$9)</f>
        <v>34.712699999999998</v>
      </c>
      <c r="L593" s="17">
        <f>CHOOSE(CONTROL!$C$42, 35.4553, 35.4553) * CHOOSE(CONTROL!$C$21, $C$9, 100%, $E$9)</f>
        <v>35.455300000000001</v>
      </c>
      <c r="M593" s="17">
        <f>CHOOSE(CONTROL!$C$42, 34.2845, 34.2845) * CHOOSE(CONTROL!$C$21, $C$9, 100%, $E$9)</f>
        <v>34.284500000000001</v>
      </c>
      <c r="N593" s="17">
        <f>CHOOSE(CONTROL!$C$42, 34.3005, 34.3005) * CHOOSE(CONTROL!$C$21, $C$9, 100%, $E$9)</f>
        <v>34.3005</v>
      </c>
      <c r="O593" s="17">
        <f>CHOOSE(CONTROL!$C$42, 34.5617, 34.5617) * CHOOSE(CONTROL!$C$21, $C$9, 100%, $E$9)</f>
        <v>34.561700000000002</v>
      </c>
      <c r="P593" s="17">
        <f>CHOOSE(CONTROL!$C$42, 34.4126, 34.4126) * CHOOSE(CONTROL!$C$21, $C$9, 100%, $E$9)</f>
        <v>34.412599999999998</v>
      </c>
      <c r="Q593" s="17">
        <f>CHOOSE(CONTROL!$C$42, 35.1564, 35.1564) * CHOOSE(CONTROL!$C$21, $C$9, 100%, $E$9)</f>
        <v>35.156399999999998</v>
      </c>
      <c r="R593" s="17">
        <f>CHOOSE(CONTROL!$C$42, 35.8313, 35.8313) * CHOOSE(CONTROL!$C$21, $C$9, 100%, $E$9)</f>
        <v>35.831299999999999</v>
      </c>
      <c r="S593" s="17">
        <f>CHOOSE(CONTROL!$C$42, 33.5315, 33.5315) * CHOOSE(CONTROL!$C$21, $C$9, 100%, $E$9)</f>
        <v>33.531500000000001</v>
      </c>
      <c r="T593" s="57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593" s="57">
        <f>(1000*CHOOSE(CONTROL!$C$42, 695, 695)*CHOOSE(CONTROL!$C$42, 0.5599, 0.5599)*CHOOSE(CONTROL!$C$42, 31, 31))/1000000</f>
        <v>12.063045499999998</v>
      </c>
      <c r="V593" s="57">
        <f>(1000*CHOOSE(CONTROL!$C$42, 500, 500)*CHOOSE(CONTROL!$C$42, 0.275, 0.275)*CHOOSE(CONTROL!$C$42, 31, 31))/1000000</f>
        <v>4.2625000000000002</v>
      </c>
      <c r="W593" s="57">
        <f>(1000*CHOOSE(CONTROL!$C$42, 0.0916, 0.0916)*CHOOSE(CONTROL!$C$42, 121.5, 121.5)*CHOOSE(CONTROL!$C$42, 31, 31))/1000000</f>
        <v>0.34501139999999997</v>
      </c>
      <c r="X593" s="57">
        <f>(31*0.1790888*145000/1000000)+(31*0.2374*100000/1000000)</f>
        <v>1.5409441560000001</v>
      </c>
      <c r="Y593" s="57"/>
      <c r="Z593" s="17"/>
      <c r="AA593" s="56"/>
      <c r="AB593" s="49">
        <f>(B593*194.205+C593*267.466+D593*133.845+E593*153.484+F593*40+G593*85+H593*0+I593*100+J593*300)/(194.205+267.466+133.845+153.484+0+40+85+100+300)</f>
        <v>34.665628071978027</v>
      </c>
      <c r="AC593" s="46">
        <f>(M593*'RAP TEMPLATE-GAS AVAILABILITY'!O592+N593*'RAP TEMPLATE-GAS AVAILABILITY'!P592+O593*'RAP TEMPLATE-GAS AVAILABILITY'!Q592+P593*'RAP TEMPLATE-GAS AVAILABILITY'!R592)/('RAP TEMPLATE-GAS AVAILABILITY'!O592+'RAP TEMPLATE-GAS AVAILABILITY'!P592+'RAP TEMPLATE-GAS AVAILABILITY'!Q592+'RAP TEMPLATE-GAS AVAILABILITY'!R592)</f>
        <v>34.384390647482014</v>
      </c>
    </row>
    <row r="594" spans="1:29" ht="15.75" x14ac:dyDescent="0.25">
      <c r="A594" s="13">
        <v>58987</v>
      </c>
      <c r="B594" s="17">
        <f>CHOOSE(CONTROL!$C$42, 35.572, 35.572) * CHOOSE(CONTROL!$C$21, $C$9, 100%, $E$9)</f>
        <v>35.572000000000003</v>
      </c>
      <c r="C594" s="17">
        <f>CHOOSE(CONTROL!$C$42, 35.58, 35.58) * CHOOSE(CONTROL!$C$21, $C$9, 100%, $E$9)</f>
        <v>35.58</v>
      </c>
      <c r="D594" s="17">
        <f>CHOOSE(CONTROL!$C$42, 35.8296, 35.8296) * CHOOSE(CONTROL!$C$21, $C$9, 100%, $E$9)</f>
        <v>35.829599999999999</v>
      </c>
      <c r="E594" s="17">
        <f>CHOOSE(CONTROL!$C$42, 35.8608, 35.8608) * CHOOSE(CONTROL!$C$21, $C$9, 100%, $E$9)</f>
        <v>35.860799999999998</v>
      </c>
      <c r="F594" s="17">
        <f>CHOOSE(CONTROL!$C$42, 35.5772, 35.5772)*CHOOSE(CONTROL!$C$21, $C$9, 100%, $E$9)</f>
        <v>35.577199999999998</v>
      </c>
      <c r="G594" s="17">
        <f>CHOOSE(CONTROL!$C$42, 35.5934, 35.5934)*CHOOSE(CONTROL!$C$21, $C$9, 100%, $E$9)</f>
        <v>35.593400000000003</v>
      </c>
      <c r="H594" s="17">
        <f>CHOOSE(CONTROL!$C$42, 35.8491, 35.8491) * CHOOSE(CONTROL!$C$21, $C$9, 100%, $E$9)</f>
        <v>35.8491</v>
      </c>
      <c r="I594" s="17">
        <f>CHOOSE(CONTROL!$C$42, 35.7026, 35.7026)* CHOOSE(CONTROL!$C$21, $C$9, 100%, $E$9)</f>
        <v>35.702599999999997</v>
      </c>
      <c r="J594" s="17">
        <f>CHOOSE(CONTROL!$C$42, 35.5698, 35.5698)* CHOOSE(CONTROL!$C$21, $C$9, 100%, $E$9)</f>
        <v>35.569800000000001</v>
      </c>
      <c r="K594" s="53">
        <f>CHOOSE(CONTROL!$C$42, 35.6966, 35.6966) * CHOOSE(CONTROL!$C$21, $C$9, 100%, $E$9)</f>
        <v>35.696599999999997</v>
      </c>
      <c r="L594" s="17">
        <f>CHOOSE(CONTROL!$C$42, 36.4361, 36.4361) * CHOOSE(CONTROL!$C$21, $C$9, 100%, $E$9)</f>
        <v>36.436100000000003</v>
      </c>
      <c r="M594" s="17">
        <f>CHOOSE(CONTROL!$C$42, 35.2569, 35.2569) * CHOOSE(CONTROL!$C$21, $C$9, 100%, $E$9)</f>
        <v>35.256900000000002</v>
      </c>
      <c r="N594" s="17">
        <f>CHOOSE(CONTROL!$C$42, 35.273, 35.273) * CHOOSE(CONTROL!$C$21, $C$9, 100%, $E$9)</f>
        <v>35.273000000000003</v>
      </c>
      <c r="O594" s="17">
        <f>CHOOSE(CONTROL!$C$42, 35.5337, 35.5337) * CHOOSE(CONTROL!$C$21, $C$9, 100%, $E$9)</f>
        <v>35.533700000000003</v>
      </c>
      <c r="P594" s="17">
        <f>CHOOSE(CONTROL!$C$42, 35.3876, 35.3876) * CHOOSE(CONTROL!$C$21, $C$9, 100%, $E$9)</f>
        <v>35.387599999999999</v>
      </c>
      <c r="Q594" s="17">
        <f>CHOOSE(CONTROL!$C$42, 36.1284, 36.1284) * CHOOSE(CONTROL!$C$21, $C$9, 100%, $E$9)</f>
        <v>36.128399999999999</v>
      </c>
      <c r="R594" s="17">
        <f>CHOOSE(CONTROL!$C$42, 36.8057, 36.8057) * CHOOSE(CONTROL!$C$21, $C$9, 100%, $E$9)</f>
        <v>36.805700000000002</v>
      </c>
      <c r="S594" s="17">
        <f>CHOOSE(CONTROL!$C$42, 34.4826, 34.4826) * CHOOSE(CONTROL!$C$21, $C$9, 100%, $E$9)</f>
        <v>34.482599999999998</v>
      </c>
      <c r="T594" s="57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594" s="57">
        <f>(1000*CHOOSE(CONTROL!$C$42, 695, 695)*CHOOSE(CONTROL!$C$42, 0.5599, 0.5599)*CHOOSE(CONTROL!$C$42, 30, 30))/1000000</f>
        <v>11.673914999999997</v>
      </c>
      <c r="V594" s="57">
        <f>(1000*CHOOSE(CONTROL!$C$42, 500, 500)*CHOOSE(CONTROL!$C$42, 0.275, 0.275)*CHOOSE(CONTROL!$C$42, 30, 30))/1000000</f>
        <v>4.125</v>
      </c>
      <c r="W594" s="57">
        <f>(1000*CHOOSE(CONTROL!$C$42, 0.0916, 0.0916)*CHOOSE(CONTROL!$C$42, 121.5, 121.5)*CHOOSE(CONTROL!$C$42, 30, 30))/1000000</f>
        <v>0.33388200000000001</v>
      </c>
      <c r="X594" s="57">
        <f>(30*0.1790888*145000/1000000)+(30*0.2374*100000/1000000)</f>
        <v>1.4912362799999999</v>
      </c>
      <c r="Y594" s="57"/>
      <c r="Z594" s="17"/>
      <c r="AA594" s="56"/>
      <c r="AB594" s="49">
        <f>(B594*194.205+C594*267.466+D594*133.845+E594*153.484+F594*40+G594*85+H594*0+I594*100+J594*300)/(194.205+267.466+133.845+153.484+0+40+85+100+300)</f>
        <v>35.646859795290432</v>
      </c>
      <c r="AC594" s="46">
        <f>(M594*'RAP TEMPLATE-GAS AVAILABILITY'!O593+N594*'RAP TEMPLATE-GAS AVAILABILITY'!P593+O594*'RAP TEMPLATE-GAS AVAILABILITY'!Q593+P594*'RAP TEMPLATE-GAS AVAILABILITY'!R593)/('RAP TEMPLATE-GAS AVAILABILITY'!O593+'RAP TEMPLATE-GAS AVAILABILITY'!P593+'RAP TEMPLATE-GAS AVAILABILITY'!Q593+'RAP TEMPLATE-GAS AVAILABILITY'!R593)</f>
        <v>35.357075539568342</v>
      </c>
    </row>
    <row r="595" spans="1:29" ht="15.75" x14ac:dyDescent="0.25">
      <c r="A595" s="13">
        <v>59018</v>
      </c>
      <c r="B595" s="17">
        <f>CHOOSE(CONTROL!$C$42, 34.8898, 34.8898) * CHOOSE(CONTROL!$C$21, $C$9, 100%, $E$9)</f>
        <v>34.889800000000001</v>
      </c>
      <c r="C595" s="17">
        <f>CHOOSE(CONTROL!$C$42, 34.8978, 34.8978) * CHOOSE(CONTROL!$C$21, $C$9, 100%, $E$9)</f>
        <v>34.897799999999997</v>
      </c>
      <c r="D595" s="17">
        <f>CHOOSE(CONTROL!$C$42, 35.1474, 35.1474) * CHOOSE(CONTROL!$C$21, $C$9, 100%, $E$9)</f>
        <v>35.147399999999998</v>
      </c>
      <c r="E595" s="17">
        <f>CHOOSE(CONTROL!$C$42, 35.1786, 35.1786) * CHOOSE(CONTROL!$C$21, $C$9, 100%, $E$9)</f>
        <v>35.178600000000003</v>
      </c>
      <c r="F595" s="17">
        <f>CHOOSE(CONTROL!$C$42, 34.8955, 34.8955)*CHOOSE(CONTROL!$C$21, $C$9, 100%, $E$9)</f>
        <v>34.895499999999998</v>
      </c>
      <c r="G595" s="17">
        <f>CHOOSE(CONTROL!$C$42, 34.9119, 34.9119)*CHOOSE(CONTROL!$C$21, $C$9, 100%, $E$9)</f>
        <v>34.911900000000003</v>
      </c>
      <c r="H595" s="17">
        <f>CHOOSE(CONTROL!$C$42, 35.1669, 35.1669) * CHOOSE(CONTROL!$C$21, $C$9, 100%, $E$9)</f>
        <v>35.166899999999998</v>
      </c>
      <c r="I595" s="17">
        <f>CHOOSE(CONTROL!$C$42, 35.0183, 35.0183)* CHOOSE(CONTROL!$C$21, $C$9, 100%, $E$9)</f>
        <v>35.018300000000004</v>
      </c>
      <c r="J595" s="17">
        <f>CHOOSE(CONTROL!$C$42, 34.8881, 34.8881)* CHOOSE(CONTROL!$C$21, $C$9, 100%, $E$9)</f>
        <v>34.888100000000001</v>
      </c>
      <c r="K595" s="53">
        <f>CHOOSE(CONTROL!$C$42, 35.0123, 35.0123) * CHOOSE(CONTROL!$C$21, $C$9, 100%, $E$9)</f>
        <v>35.012300000000003</v>
      </c>
      <c r="L595" s="17">
        <f>CHOOSE(CONTROL!$C$42, 35.7539, 35.7539) * CHOOSE(CONTROL!$C$21, $C$9, 100%, $E$9)</f>
        <v>35.753900000000002</v>
      </c>
      <c r="M595" s="17">
        <f>CHOOSE(CONTROL!$C$42, 34.5813, 34.5813) * CHOOSE(CONTROL!$C$21, $C$9, 100%, $E$9)</f>
        <v>34.581299999999999</v>
      </c>
      <c r="N595" s="17">
        <f>CHOOSE(CONTROL!$C$42, 34.5976, 34.5976) * CHOOSE(CONTROL!$C$21, $C$9, 100%, $E$9)</f>
        <v>34.5976</v>
      </c>
      <c r="O595" s="17">
        <f>CHOOSE(CONTROL!$C$42, 34.8577, 34.8577) * CHOOSE(CONTROL!$C$21, $C$9, 100%, $E$9)</f>
        <v>34.857700000000001</v>
      </c>
      <c r="P595" s="17">
        <f>CHOOSE(CONTROL!$C$42, 34.7095, 34.7095) * CHOOSE(CONTROL!$C$21, $C$9, 100%, $E$9)</f>
        <v>34.709499999999998</v>
      </c>
      <c r="Q595" s="17">
        <f>CHOOSE(CONTROL!$C$42, 35.4524, 35.4524) * CHOOSE(CONTROL!$C$21, $C$9, 100%, $E$9)</f>
        <v>35.452399999999997</v>
      </c>
      <c r="R595" s="17">
        <f>CHOOSE(CONTROL!$C$42, 36.128, 36.128) * CHOOSE(CONTROL!$C$21, $C$9, 100%, $E$9)</f>
        <v>36.128</v>
      </c>
      <c r="S595" s="17">
        <f>CHOOSE(CONTROL!$C$42, 33.8211, 33.8211) * CHOOSE(CONTROL!$C$21, $C$9, 100%, $E$9)</f>
        <v>33.821100000000001</v>
      </c>
      <c r="T595" s="57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595" s="57">
        <f>(1000*CHOOSE(CONTROL!$C$42, 695, 695)*CHOOSE(CONTROL!$C$42, 0.5599, 0.5599)*CHOOSE(CONTROL!$C$42, 31, 31))/1000000</f>
        <v>12.063045499999998</v>
      </c>
      <c r="V595" s="57">
        <f>(1000*CHOOSE(CONTROL!$C$42, 500, 500)*CHOOSE(CONTROL!$C$42, 0.275, 0.275)*CHOOSE(CONTROL!$C$42, 31, 31))/1000000</f>
        <v>4.2625000000000002</v>
      </c>
      <c r="W595" s="57">
        <f>(1000*CHOOSE(CONTROL!$C$42, 0.0916, 0.0916)*CHOOSE(CONTROL!$C$42, 121.5, 121.5)*CHOOSE(CONTROL!$C$42, 31, 31))/1000000</f>
        <v>0.34501139999999997</v>
      </c>
      <c r="X595" s="57">
        <f>(31*0.1790888*145000/1000000)+(31*0.2374*100000/1000000)</f>
        <v>1.5409441560000001</v>
      </c>
      <c r="Y595" s="57"/>
      <c r="Z595" s="17"/>
      <c r="AA595" s="56"/>
      <c r="AB595" s="49">
        <f>(B595*194.205+C595*267.466+D595*133.845+E595*153.484+F595*40+G595*85+H595*0+I595*100+J595*300)/(194.205+267.466+133.845+153.484+0+40+85+100+300)</f>
        <v>34.964675101412872</v>
      </c>
      <c r="AC595" s="46">
        <f>(M595*'RAP TEMPLATE-GAS AVAILABILITY'!O594+N595*'RAP TEMPLATE-GAS AVAILABILITY'!P594+O595*'RAP TEMPLATE-GAS AVAILABILITY'!Q594+P595*'RAP TEMPLATE-GAS AVAILABILITY'!R594)/('RAP TEMPLATE-GAS AVAILABILITY'!O594+'RAP TEMPLATE-GAS AVAILABILITY'!P594+'RAP TEMPLATE-GAS AVAILABILITY'!Q594+'RAP TEMPLATE-GAS AVAILABILITY'!R594)</f>
        <v>34.681049640287767</v>
      </c>
    </row>
    <row r="596" spans="1:29" ht="15.75" x14ac:dyDescent="0.25">
      <c r="A596" s="13">
        <v>59049</v>
      </c>
      <c r="B596" s="17">
        <f>CHOOSE(CONTROL!$C$42, 33.1671, 33.1671) * CHOOSE(CONTROL!$C$21, $C$9, 100%, $E$9)</f>
        <v>33.167099999999998</v>
      </c>
      <c r="C596" s="17">
        <f>CHOOSE(CONTROL!$C$42, 33.175, 33.175) * CHOOSE(CONTROL!$C$21, $C$9, 100%, $E$9)</f>
        <v>33.174999999999997</v>
      </c>
      <c r="D596" s="17">
        <f>CHOOSE(CONTROL!$C$42, 33.4247, 33.4247) * CHOOSE(CONTROL!$C$21, $C$9, 100%, $E$9)</f>
        <v>33.424700000000001</v>
      </c>
      <c r="E596" s="17">
        <f>CHOOSE(CONTROL!$C$42, 33.4558, 33.4558) * CHOOSE(CONTROL!$C$21, $C$9, 100%, $E$9)</f>
        <v>33.455800000000004</v>
      </c>
      <c r="F596" s="17">
        <f>CHOOSE(CONTROL!$C$42, 33.173, 33.173)*CHOOSE(CONTROL!$C$21, $C$9, 100%, $E$9)</f>
        <v>33.173000000000002</v>
      </c>
      <c r="G596" s="17">
        <f>CHOOSE(CONTROL!$C$42, 33.1894, 33.1894)*CHOOSE(CONTROL!$C$21, $C$9, 100%, $E$9)</f>
        <v>33.189399999999999</v>
      </c>
      <c r="H596" s="17">
        <f>CHOOSE(CONTROL!$C$42, 33.4442, 33.4442) * CHOOSE(CONTROL!$C$21, $C$9, 100%, $E$9)</f>
        <v>33.444200000000002</v>
      </c>
      <c r="I596" s="17">
        <f>CHOOSE(CONTROL!$C$42, 33.2902, 33.2902)* CHOOSE(CONTROL!$C$21, $C$9, 100%, $E$9)</f>
        <v>33.290199999999999</v>
      </c>
      <c r="J596" s="17">
        <f>CHOOSE(CONTROL!$C$42, 33.1656, 33.1656)* CHOOSE(CONTROL!$C$21, $C$9, 100%, $E$9)</f>
        <v>33.165599999999998</v>
      </c>
      <c r="K596" s="53">
        <f>CHOOSE(CONTROL!$C$42, 33.2842, 33.2842) * CHOOSE(CONTROL!$C$21, $C$9, 100%, $E$9)</f>
        <v>33.284199999999998</v>
      </c>
      <c r="L596" s="17">
        <f>CHOOSE(CONTROL!$C$42, 34.0312, 34.0312) * CHOOSE(CONTROL!$C$21, $C$9, 100%, $E$9)</f>
        <v>34.031199999999998</v>
      </c>
      <c r="M596" s="17">
        <f>CHOOSE(CONTROL!$C$42, 32.8743, 32.8743) * CHOOSE(CONTROL!$C$21, $C$9, 100%, $E$9)</f>
        <v>32.874299999999998</v>
      </c>
      <c r="N596" s="17">
        <f>CHOOSE(CONTROL!$C$42, 32.8906, 32.8906) * CHOOSE(CONTROL!$C$21, $C$9, 100%, $E$9)</f>
        <v>32.890599999999999</v>
      </c>
      <c r="O596" s="17">
        <f>CHOOSE(CONTROL!$C$42, 33.1504, 33.1504) * CHOOSE(CONTROL!$C$21, $C$9, 100%, $E$9)</f>
        <v>33.150399999999998</v>
      </c>
      <c r="P596" s="17">
        <f>CHOOSE(CONTROL!$C$42, 32.997, 32.997) * CHOOSE(CONTROL!$C$21, $C$9, 100%, $E$9)</f>
        <v>32.997</v>
      </c>
      <c r="Q596" s="17">
        <f>CHOOSE(CONTROL!$C$42, 33.7451, 33.7451) * CHOOSE(CONTROL!$C$21, $C$9, 100%, $E$9)</f>
        <v>33.745100000000001</v>
      </c>
      <c r="R596" s="17">
        <f>CHOOSE(CONTROL!$C$42, 34.4165, 34.4165) * CHOOSE(CONTROL!$C$21, $C$9, 100%, $E$9)</f>
        <v>34.416499999999999</v>
      </c>
      <c r="S596" s="17">
        <f>CHOOSE(CONTROL!$C$42, 32.1505, 32.1505) * CHOOSE(CONTROL!$C$21, $C$9, 100%, $E$9)</f>
        <v>32.150500000000001</v>
      </c>
      <c r="T596" s="57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596" s="57">
        <f>(1000*CHOOSE(CONTROL!$C$42, 695, 695)*CHOOSE(CONTROL!$C$42, 0.5599, 0.5599)*CHOOSE(CONTROL!$C$42, 31, 31))/1000000</f>
        <v>12.063045499999998</v>
      </c>
      <c r="V596" s="57">
        <f>(1000*CHOOSE(CONTROL!$C$42, 500, 500)*CHOOSE(CONTROL!$C$42, 0.275, 0.275)*CHOOSE(CONTROL!$C$42, 31, 31))/1000000</f>
        <v>4.2625000000000002</v>
      </c>
      <c r="W596" s="57">
        <f>(1000*CHOOSE(CONTROL!$C$42, 0.0916, 0.0916)*CHOOSE(CONTROL!$C$42, 121.5, 121.5)*CHOOSE(CONTROL!$C$42, 31, 31))/1000000</f>
        <v>0.34501139999999997</v>
      </c>
      <c r="X596" s="57">
        <f>(31*0.1790888*145000/1000000)+(31*0.2374*100000/1000000)</f>
        <v>1.5409441560000001</v>
      </c>
      <c r="Y596" s="57"/>
      <c r="Z596" s="17"/>
      <c r="AA596" s="56"/>
      <c r="AB596" s="49">
        <f>(B596*194.205+C596*267.466+D596*133.845+E596*153.484+F596*40+G596*85+H596*0+I596*100+J596*300)/(194.205+267.466+133.845+153.484+0+40+85+100+300)</f>
        <v>33.241584916954473</v>
      </c>
      <c r="AC596" s="46">
        <f>(M596*'RAP TEMPLATE-GAS AVAILABILITY'!O595+N596*'RAP TEMPLATE-GAS AVAILABILITY'!P595+O596*'RAP TEMPLATE-GAS AVAILABILITY'!Q595+P596*'RAP TEMPLATE-GAS AVAILABILITY'!R595)/('RAP TEMPLATE-GAS AVAILABILITY'!O595+'RAP TEMPLATE-GAS AVAILABILITY'!P595+'RAP TEMPLATE-GAS AVAILABILITY'!Q595+'RAP TEMPLATE-GAS AVAILABILITY'!R595)</f>
        <v>32.973174100719426</v>
      </c>
    </row>
    <row r="597" spans="1:29" ht="15.75" x14ac:dyDescent="0.25">
      <c r="A597" s="13">
        <v>59079</v>
      </c>
      <c r="B597" s="17">
        <f>CHOOSE(CONTROL!$C$42, 31.0619, 31.0619) * CHOOSE(CONTROL!$C$21, $C$9, 100%, $E$9)</f>
        <v>31.061900000000001</v>
      </c>
      <c r="C597" s="17">
        <f>CHOOSE(CONTROL!$C$42, 31.0699, 31.0699) * CHOOSE(CONTROL!$C$21, $C$9, 100%, $E$9)</f>
        <v>31.069900000000001</v>
      </c>
      <c r="D597" s="17">
        <f>CHOOSE(CONTROL!$C$42, 31.3195, 31.3195) * CHOOSE(CONTROL!$C$21, $C$9, 100%, $E$9)</f>
        <v>31.319500000000001</v>
      </c>
      <c r="E597" s="17">
        <f>CHOOSE(CONTROL!$C$42, 31.3507, 31.3507) * CHOOSE(CONTROL!$C$21, $C$9, 100%, $E$9)</f>
        <v>31.3507</v>
      </c>
      <c r="F597" s="17">
        <f>CHOOSE(CONTROL!$C$42, 31.0679, 31.0679)*CHOOSE(CONTROL!$C$21, $C$9, 100%, $E$9)</f>
        <v>31.067900000000002</v>
      </c>
      <c r="G597" s="17">
        <f>CHOOSE(CONTROL!$C$42, 31.0844, 31.0844)*CHOOSE(CONTROL!$C$21, $C$9, 100%, $E$9)</f>
        <v>31.084399999999999</v>
      </c>
      <c r="H597" s="17">
        <f>CHOOSE(CONTROL!$C$42, 31.339, 31.339) * CHOOSE(CONTROL!$C$21, $C$9, 100%, $E$9)</f>
        <v>31.338999999999999</v>
      </c>
      <c r="I597" s="17">
        <f>CHOOSE(CONTROL!$C$42, 31.1786, 31.1786)* CHOOSE(CONTROL!$C$21, $C$9, 100%, $E$9)</f>
        <v>31.178599999999999</v>
      </c>
      <c r="J597" s="17">
        <f>CHOOSE(CONTROL!$C$42, 31.0605, 31.0605)* CHOOSE(CONTROL!$C$21, $C$9, 100%, $E$9)</f>
        <v>31.060500000000001</v>
      </c>
      <c r="K597" s="53">
        <f>CHOOSE(CONTROL!$C$42, 31.1725, 31.1725) * CHOOSE(CONTROL!$C$21, $C$9, 100%, $E$9)</f>
        <v>31.172499999999999</v>
      </c>
      <c r="L597" s="17">
        <f>CHOOSE(CONTROL!$C$42, 31.926, 31.926) * CHOOSE(CONTROL!$C$21, $C$9, 100%, $E$9)</f>
        <v>31.925999999999998</v>
      </c>
      <c r="M597" s="17">
        <f>CHOOSE(CONTROL!$C$42, 30.7882, 30.7882) * CHOOSE(CONTROL!$C$21, $C$9, 100%, $E$9)</f>
        <v>30.7882</v>
      </c>
      <c r="N597" s="17">
        <f>CHOOSE(CONTROL!$C$42, 30.8045, 30.8045) * CHOOSE(CONTROL!$C$21, $C$9, 100%, $E$9)</f>
        <v>30.804500000000001</v>
      </c>
      <c r="O597" s="17">
        <f>CHOOSE(CONTROL!$C$42, 31.0642, 31.0642) * CHOOSE(CONTROL!$C$21, $C$9, 100%, $E$9)</f>
        <v>31.0642</v>
      </c>
      <c r="P597" s="17">
        <f>CHOOSE(CONTROL!$C$42, 30.9044, 30.9044) * CHOOSE(CONTROL!$C$21, $C$9, 100%, $E$9)</f>
        <v>30.904399999999999</v>
      </c>
      <c r="Q597" s="17">
        <f>CHOOSE(CONTROL!$C$42, 31.6589, 31.6589) * CHOOSE(CONTROL!$C$21, $C$9, 100%, $E$9)</f>
        <v>31.658899999999999</v>
      </c>
      <c r="R597" s="17">
        <f>CHOOSE(CONTROL!$C$42, 32.3251, 32.3251) * CHOOSE(CONTROL!$C$21, $C$9, 100%, $E$9)</f>
        <v>32.325099999999999</v>
      </c>
      <c r="S597" s="17">
        <f>CHOOSE(CONTROL!$C$42, 30.1092, 30.1092) * CHOOSE(CONTROL!$C$21, $C$9, 100%, $E$9)</f>
        <v>30.109200000000001</v>
      </c>
      <c r="T597" s="57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597" s="57">
        <f>(1000*CHOOSE(CONTROL!$C$42, 695, 695)*CHOOSE(CONTROL!$C$42, 0.5599, 0.5599)*CHOOSE(CONTROL!$C$42, 30, 30))/1000000</f>
        <v>11.673914999999997</v>
      </c>
      <c r="V597" s="57">
        <f>(1000*CHOOSE(CONTROL!$C$42, 500, 500)*CHOOSE(CONTROL!$C$42, 0.275, 0.275)*CHOOSE(CONTROL!$C$42, 30, 30))/1000000</f>
        <v>4.125</v>
      </c>
      <c r="W597" s="57">
        <f>(1000*CHOOSE(CONTROL!$C$42, 0.0916, 0.0916)*CHOOSE(CONTROL!$C$42, 121.5, 121.5)*CHOOSE(CONTROL!$C$42, 30, 30))/1000000</f>
        <v>0.33388200000000001</v>
      </c>
      <c r="X597" s="57">
        <f>(30*0.1790888*145000/1000000)+(30*0.2374*100000/1000000)</f>
        <v>1.4912362799999999</v>
      </c>
      <c r="Y597" s="57"/>
      <c r="Z597" s="17"/>
      <c r="AA597" s="56"/>
      <c r="AB597" s="49">
        <f>(B597*194.205+C597*267.466+D597*133.845+E597*153.484+F597*40+G597*85+H597*0+I597*100+J597*300)/(194.205+267.466+133.845+153.484+0+40+85+100+300)</f>
        <v>31.135955635164834</v>
      </c>
      <c r="AC597" s="46">
        <f>(M597*'RAP TEMPLATE-GAS AVAILABILITY'!O596+N597*'RAP TEMPLATE-GAS AVAILABILITY'!P596+O597*'RAP TEMPLATE-GAS AVAILABILITY'!Q596+P597*'RAP TEMPLATE-GAS AVAILABILITY'!R596)/('RAP TEMPLATE-GAS AVAILABILITY'!O596+'RAP TEMPLATE-GAS AVAILABILITY'!P596+'RAP TEMPLATE-GAS AVAILABILITY'!Q596+'RAP TEMPLATE-GAS AVAILABILITY'!R596)</f>
        <v>30.886110791366903</v>
      </c>
    </row>
    <row r="598" spans="1:29" ht="15.75" x14ac:dyDescent="0.25">
      <c r="A598" s="13">
        <v>59110</v>
      </c>
      <c r="B598" s="17">
        <f>CHOOSE(CONTROL!$C$42, 30.4298, 30.4298) * CHOOSE(CONTROL!$C$21, $C$9, 100%, $E$9)</f>
        <v>30.4298</v>
      </c>
      <c r="C598" s="17">
        <f>CHOOSE(CONTROL!$C$42, 30.4351, 30.4351) * CHOOSE(CONTROL!$C$21, $C$9, 100%, $E$9)</f>
        <v>30.435099999999998</v>
      </c>
      <c r="D598" s="17">
        <f>CHOOSE(CONTROL!$C$42, 30.6896, 30.6896) * CHOOSE(CONTROL!$C$21, $C$9, 100%, $E$9)</f>
        <v>30.689599999999999</v>
      </c>
      <c r="E598" s="17">
        <f>CHOOSE(CONTROL!$C$42, 30.7185, 30.7185) * CHOOSE(CONTROL!$C$21, $C$9, 100%, $E$9)</f>
        <v>30.718499999999999</v>
      </c>
      <c r="F598" s="17">
        <f>CHOOSE(CONTROL!$C$42, 30.438, 30.438)*CHOOSE(CONTROL!$C$21, $C$9, 100%, $E$9)</f>
        <v>30.437999999999999</v>
      </c>
      <c r="G598" s="17">
        <f>CHOOSE(CONTROL!$C$42, 30.4543, 30.4543)*CHOOSE(CONTROL!$C$21, $C$9, 100%, $E$9)</f>
        <v>30.4543</v>
      </c>
      <c r="H598" s="17">
        <f>CHOOSE(CONTROL!$C$42, 30.7086, 30.7086) * CHOOSE(CONTROL!$C$21, $C$9, 100%, $E$9)</f>
        <v>30.708600000000001</v>
      </c>
      <c r="I598" s="17">
        <f>CHOOSE(CONTROL!$C$42, 30.5462, 30.5462)* CHOOSE(CONTROL!$C$21, $C$9, 100%, $E$9)</f>
        <v>30.546199999999999</v>
      </c>
      <c r="J598" s="17">
        <f>CHOOSE(CONTROL!$C$42, 30.4306, 30.4306)* CHOOSE(CONTROL!$C$21, $C$9, 100%, $E$9)</f>
        <v>30.430599999999998</v>
      </c>
      <c r="K598" s="53">
        <f>CHOOSE(CONTROL!$C$42, 30.5401, 30.5401) * CHOOSE(CONTROL!$C$21, $C$9, 100%, $E$9)</f>
        <v>30.540099999999999</v>
      </c>
      <c r="L598" s="17">
        <f>CHOOSE(CONTROL!$C$42, 31.2956, 31.2956) * CHOOSE(CONTROL!$C$21, $C$9, 100%, $E$9)</f>
        <v>31.2956</v>
      </c>
      <c r="M598" s="17">
        <f>CHOOSE(CONTROL!$C$42, 30.1639, 30.1639) * CHOOSE(CONTROL!$C$21, $C$9, 100%, $E$9)</f>
        <v>30.163900000000002</v>
      </c>
      <c r="N598" s="17">
        <f>CHOOSE(CONTROL!$C$42, 30.1801, 30.1801) * CHOOSE(CONTROL!$C$21, $C$9, 100%, $E$9)</f>
        <v>30.180099999999999</v>
      </c>
      <c r="O598" s="17">
        <f>CHOOSE(CONTROL!$C$42, 30.4395, 30.4395) * CHOOSE(CONTROL!$C$21, $C$9, 100%, $E$9)</f>
        <v>30.439499999999999</v>
      </c>
      <c r="P598" s="17">
        <f>CHOOSE(CONTROL!$C$42, 30.2777, 30.2777) * CHOOSE(CONTROL!$C$21, $C$9, 100%, $E$9)</f>
        <v>30.277699999999999</v>
      </c>
      <c r="Q598" s="17">
        <f>CHOOSE(CONTROL!$C$42, 31.0342, 31.0342) * CHOOSE(CONTROL!$C$21, $C$9, 100%, $E$9)</f>
        <v>31.034199999999998</v>
      </c>
      <c r="R598" s="17">
        <f>CHOOSE(CONTROL!$C$42, 31.6987, 31.6987) * CHOOSE(CONTROL!$C$21, $C$9, 100%, $E$9)</f>
        <v>31.698699999999999</v>
      </c>
      <c r="S598" s="17">
        <f>CHOOSE(CONTROL!$C$42, 29.4979, 29.4979) * CHOOSE(CONTROL!$C$21, $C$9, 100%, $E$9)</f>
        <v>29.497900000000001</v>
      </c>
      <c r="T598" s="57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598" s="57">
        <f>(1000*CHOOSE(CONTROL!$C$42, 695, 695)*CHOOSE(CONTROL!$C$42, 0.5599, 0.5599)*CHOOSE(CONTROL!$C$42, 31, 31))/1000000</f>
        <v>12.063045499999998</v>
      </c>
      <c r="V598" s="57">
        <f>(1000*CHOOSE(CONTROL!$C$42, 500, 500)*CHOOSE(CONTROL!$C$42, 0.275, 0.275)*CHOOSE(CONTROL!$C$42, 31, 31))/1000000</f>
        <v>4.2625000000000002</v>
      </c>
      <c r="W598" s="57">
        <f>(1000*CHOOSE(CONTROL!$C$42, 0.0916, 0.0916)*CHOOSE(CONTROL!$C$42, 121.5, 121.5)*CHOOSE(CONTROL!$C$42, 31, 31))/1000000</f>
        <v>0.34501139999999997</v>
      </c>
      <c r="X598" s="57">
        <f>(31*0.1790888*145000/1000000)+(31*0.2374*100000/1000000)</f>
        <v>1.5409441560000001</v>
      </c>
      <c r="Y598" s="57"/>
      <c r="Z598" s="17"/>
      <c r="AA598" s="56"/>
      <c r="AB598" s="49">
        <f>(B598*131.881+C598*277.167+D598*79.08+E598*225.872+F598*40+G598*85+H598*0+I598*100+J598*300)/(131.881+277.167+79.08+225.872+0+40+85+100+300)</f>
        <v>30.511731973769166</v>
      </c>
      <c r="AC598" s="46">
        <f>(M598*'RAP TEMPLATE-GAS AVAILABILITY'!O597+N598*'RAP TEMPLATE-GAS AVAILABILITY'!P597+O598*'RAP TEMPLATE-GAS AVAILABILITY'!Q597+P598*'RAP TEMPLATE-GAS AVAILABILITY'!R597)/('RAP TEMPLATE-GAS AVAILABILITY'!O597+'RAP TEMPLATE-GAS AVAILABILITY'!P597+'RAP TEMPLATE-GAS AVAILABILITY'!Q597+'RAP TEMPLATE-GAS AVAILABILITY'!R597)</f>
        <v>30.261330215827339</v>
      </c>
    </row>
    <row r="599" spans="1:29" ht="15.75" x14ac:dyDescent="0.25">
      <c r="A599" s="13">
        <v>59140</v>
      </c>
      <c r="B599" s="17">
        <f>CHOOSE(CONTROL!$C$42, 31.2308, 31.2308) * CHOOSE(CONTROL!$C$21, $C$9, 100%, $E$9)</f>
        <v>31.230799999999999</v>
      </c>
      <c r="C599" s="17">
        <f>CHOOSE(CONTROL!$C$42, 31.2358, 31.2358) * CHOOSE(CONTROL!$C$21, $C$9, 100%, $E$9)</f>
        <v>31.235800000000001</v>
      </c>
      <c r="D599" s="17">
        <f>CHOOSE(CONTROL!$C$42, 31.3585, 31.3585) * CHOOSE(CONTROL!$C$21, $C$9, 100%, $E$9)</f>
        <v>31.358499999999999</v>
      </c>
      <c r="E599" s="17">
        <f>CHOOSE(CONTROL!$C$42, 31.3922, 31.3922) * CHOOSE(CONTROL!$C$21, $C$9, 100%, $E$9)</f>
        <v>31.392199999999999</v>
      </c>
      <c r="F599" s="17">
        <f>CHOOSE(CONTROL!$C$42, 31.2458, 31.2458)*CHOOSE(CONTROL!$C$21, $C$9, 100%, $E$9)</f>
        <v>31.245799999999999</v>
      </c>
      <c r="G599" s="17">
        <f>CHOOSE(CONTROL!$C$42, 31.2624, 31.2624)*CHOOSE(CONTROL!$C$21, $C$9, 100%, $E$9)</f>
        <v>31.2624</v>
      </c>
      <c r="H599" s="17">
        <f>CHOOSE(CONTROL!$C$42, 31.3811, 31.3811) * CHOOSE(CONTROL!$C$21, $C$9, 100%, $E$9)</f>
        <v>31.3811</v>
      </c>
      <c r="I599" s="17">
        <f>CHOOSE(CONTROL!$C$42, 31.3526, 31.3526)* CHOOSE(CONTROL!$C$21, $C$9, 100%, $E$9)</f>
        <v>31.352599999999999</v>
      </c>
      <c r="J599" s="17">
        <f>CHOOSE(CONTROL!$C$42, 31.2384, 31.2384)* CHOOSE(CONTROL!$C$21, $C$9, 100%, $E$9)</f>
        <v>31.238399999999999</v>
      </c>
      <c r="K599" s="53">
        <f>CHOOSE(CONTROL!$C$42, 31.3466, 31.3466) * CHOOSE(CONTROL!$C$21, $C$9, 100%, $E$9)</f>
        <v>31.346599999999999</v>
      </c>
      <c r="L599" s="17">
        <f>CHOOSE(CONTROL!$C$42, 31.9681, 31.9681) * CHOOSE(CONTROL!$C$21, $C$9, 100%, $E$9)</f>
        <v>31.9681</v>
      </c>
      <c r="M599" s="17">
        <f>CHOOSE(CONTROL!$C$42, 30.9644, 30.9644) * CHOOSE(CONTROL!$C$21, $C$9, 100%, $E$9)</f>
        <v>30.964400000000001</v>
      </c>
      <c r="N599" s="17">
        <f>CHOOSE(CONTROL!$C$42, 30.9809, 30.9809) * CHOOSE(CONTROL!$C$21, $C$9, 100%, $E$9)</f>
        <v>30.980899999999998</v>
      </c>
      <c r="O599" s="17">
        <f>CHOOSE(CONTROL!$C$42, 31.1059, 31.1059) * CHOOSE(CONTROL!$C$21, $C$9, 100%, $E$9)</f>
        <v>31.105899999999998</v>
      </c>
      <c r="P599" s="17">
        <f>CHOOSE(CONTROL!$C$42, 31.0769, 31.0769) * CHOOSE(CONTROL!$C$21, $C$9, 100%, $E$9)</f>
        <v>31.076899999999998</v>
      </c>
      <c r="Q599" s="17">
        <f>CHOOSE(CONTROL!$C$42, 31.7006, 31.7006) * CHOOSE(CONTROL!$C$21, $C$9, 100%, $E$9)</f>
        <v>31.700600000000001</v>
      </c>
      <c r="R599" s="17">
        <f>CHOOSE(CONTROL!$C$42, 32.3668, 32.3668) * CHOOSE(CONTROL!$C$21, $C$9, 100%, $E$9)</f>
        <v>32.366799999999998</v>
      </c>
      <c r="S599" s="17">
        <f>CHOOSE(CONTROL!$C$42, 30.275, 30.275) * CHOOSE(CONTROL!$C$21, $C$9, 100%, $E$9)</f>
        <v>30.274999999999999</v>
      </c>
      <c r="T599" s="57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599" s="57">
        <f>(1000*CHOOSE(CONTROL!$C$42, 695, 695)*CHOOSE(CONTROL!$C$42, 0.5599, 0.5599)*CHOOSE(CONTROL!$C$42, 30, 30))/1000000</f>
        <v>11.673914999999997</v>
      </c>
      <c r="V599" s="57">
        <f>(1000*CHOOSE(CONTROL!$C$42, 500, 500)*CHOOSE(CONTROL!$C$42, 0.275, 0.275)*CHOOSE(CONTROL!$C$42, 30, 30))/1000000</f>
        <v>4.125</v>
      </c>
      <c r="W599" s="57">
        <f>(1000*CHOOSE(CONTROL!$C$42, 0.0916, 0.0916)*CHOOSE(CONTROL!$C$42, 121.5, 121.5)*CHOOSE(CONTROL!$C$42, 30, 30))/1000000</f>
        <v>0.33388200000000001</v>
      </c>
      <c r="X599" s="57">
        <f>(30*0.2374*100000/1000000)</f>
        <v>0.71220000000000006</v>
      </c>
      <c r="Y599" s="57"/>
      <c r="Z599" s="17"/>
      <c r="AA599" s="56"/>
      <c r="AB599" s="49">
        <f>(B599*122.58+C599*297.941+D599*89.177+E599*140.302+F599*40+G599*60+H599*0+I599*100+J599*300)/(122.58+297.941+89.177+140.302+0+40+60+100+300)</f>
        <v>31.276433348434779</v>
      </c>
      <c r="AC599" s="46">
        <f>(M599*'RAP TEMPLATE-GAS AVAILABILITY'!O598+N599*'RAP TEMPLATE-GAS AVAILABILITY'!P598+O599*'RAP TEMPLATE-GAS AVAILABILITY'!Q598+P599*'RAP TEMPLATE-GAS AVAILABILITY'!R598)/('RAP TEMPLATE-GAS AVAILABILITY'!O598+'RAP TEMPLATE-GAS AVAILABILITY'!P598+'RAP TEMPLATE-GAS AVAILABILITY'!Q598+'RAP TEMPLATE-GAS AVAILABILITY'!R598)</f>
        <v>31.045669784172656</v>
      </c>
    </row>
    <row r="600" spans="1:29" ht="15.75" x14ac:dyDescent="0.25">
      <c r="A600" s="13">
        <v>59171</v>
      </c>
      <c r="B600" s="17">
        <f>CHOOSE(CONTROL!$C$42, 33.3586, 33.3586) * CHOOSE(CONTROL!$C$21, $C$9, 100%, $E$9)</f>
        <v>33.358600000000003</v>
      </c>
      <c r="C600" s="17">
        <f>CHOOSE(CONTROL!$C$42, 33.3637, 33.3637) * CHOOSE(CONTROL!$C$21, $C$9, 100%, $E$9)</f>
        <v>33.363700000000001</v>
      </c>
      <c r="D600" s="17">
        <f>CHOOSE(CONTROL!$C$42, 33.4863, 33.4863) * CHOOSE(CONTROL!$C$21, $C$9, 100%, $E$9)</f>
        <v>33.4863</v>
      </c>
      <c r="E600" s="17">
        <f>CHOOSE(CONTROL!$C$42, 33.52, 33.52) * CHOOSE(CONTROL!$C$21, $C$9, 100%, $E$9)</f>
        <v>33.520000000000003</v>
      </c>
      <c r="F600" s="17">
        <f>CHOOSE(CONTROL!$C$42, 33.376, 33.376)*CHOOSE(CONTROL!$C$21, $C$9, 100%, $E$9)</f>
        <v>33.375999999999998</v>
      </c>
      <c r="G600" s="17">
        <f>CHOOSE(CONTROL!$C$42, 33.3933, 33.3933)*CHOOSE(CONTROL!$C$21, $C$9, 100%, $E$9)</f>
        <v>33.393300000000004</v>
      </c>
      <c r="H600" s="17">
        <f>CHOOSE(CONTROL!$C$42, 33.5089, 33.5089) * CHOOSE(CONTROL!$C$21, $C$9, 100%, $E$9)</f>
        <v>33.508899999999997</v>
      </c>
      <c r="I600" s="17">
        <f>CHOOSE(CONTROL!$C$42, 33.487, 33.487)* CHOOSE(CONTROL!$C$21, $C$9, 100%, $E$9)</f>
        <v>33.487000000000002</v>
      </c>
      <c r="J600" s="17">
        <f>CHOOSE(CONTROL!$C$42, 33.3686, 33.3686)* CHOOSE(CONTROL!$C$21, $C$9, 100%, $E$9)</f>
        <v>33.368600000000001</v>
      </c>
      <c r="K600" s="53">
        <f>CHOOSE(CONTROL!$C$42, 33.481, 33.481) * CHOOSE(CONTROL!$C$21, $C$9, 100%, $E$9)</f>
        <v>33.481000000000002</v>
      </c>
      <c r="L600" s="17">
        <f>CHOOSE(CONTROL!$C$42, 34.0959, 34.0959) * CHOOSE(CONTROL!$C$21, $C$9, 100%, $E$9)</f>
        <v>34.0959</v>
      </c>
      <c r="M600" s="17">
        <f>CHOOSE(CONTROL!$C$42, 33.0755, 33.0755) * CHOOSE(CONTROL!$C$21, $C$9, 100%, $E$9)</f>
        <v>33.075499999999998</v>
      </c>
      <c r="N600" s="17">
        <f>CHOOSE(CONTROL!$C$42, 33.0927, 33.0927) * CHOOSE(CONTROL!$C$21, $C$9, 100%, $E$9)</f>
        <v>33.092700000000001</v>
      </c>
      <c r="O600" s="17">
        <f>CHOOSE(CONTROL!$C$42, 33.2145, 33.2145) * CHOOSE(CONTROL!$C$21, $C$9, 100%, $E$9)</f>
        <v>33.214500000000001</v>
      </c>
      <c r="P600" s="17">
        <f>CHOOSE(CONTROL!$C$42, 33.192, 33.192) * CHOOSE(CONTROL!$C$21, $C$9, 100%, $E$9)</f>
        <v>33.192</v>
      </c>
      <c r="Q600" s="17">
        <f>CHOOSE(CONTROL!$C$42, 33.8092, 33.8092) * CHOOSE(CONTROL!$C$21, $C$9, 100%, $E$9)</f>
        <v>33.809199999999997</v>
      </c>
      <c r="R600" s="17">
        <f>CHOOSE(CONTROL!$C$42, 34.4808, 34.4808) * CHOOSE(CONTROL!$C$21, $C$9, 100%, $E$9)</f>
        <v>34.480800000000002</v>
      </c>
      <c r="S600" s="17">
        <f>CHOOSE(CONTROL!$C$42, 32.3383, 32.3383) * CHOOSE(CONTROL!$C$21, $C$9, 100%, $E$9)</f>
        <v>32.338299999999997</v>
      </c>
      <c r="T600" s="57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600" s="57">
        <f>(1000*CHOOSE(CONTROL!$C$42, 695, 695)*CHOOSE(CONTROL!$C$42, 0.5599, 0.5599)*CHOOSE(CONTROL!$C$42, 31, 31))/1000000</f>
        <v>12.063045499999998</v>
      </c>
      <c r="V600" s="57">
        <f>(1000*CHOOSE(CONTROL!$C$42, 500, 500)*CHOOSE(CONTROL!$C$42, 0.275, 0.275)*CHOOSE(CONTROL!$C$42, 31, 31))/1000000</f>
        <v>4.2625000000000002</v>
      </c>
      <c r="W600" s="57">
        <f>(1000*CHOOSE(CONTROL!$C$42, 0.0916, 0.0916)*CHOOSE(CONTROL!$C$42, 121.5, 121.5)*CHOOSE(CONTROL!$C$42, 31, 31))/1000000</f>
        <v>0.34501139999999997</v>
      </c>
      <c r="X600" s="57">
        <f>(31*0.2374*100000/1000000)</f>
        <v>0.73594000000000004</v>
      </c>
      <c r="Y600" s="57"/>
      <c r="Z600" s="17"/>
      <c r="AA600" s="56"/>
      <c r="AB600" s="49">
        <f>(B600*122.58+C600*297.941+D600*89.177+E600*140.302+F600*40+G600*60+H600*0+I600*100+J600*300)/(122.58+297.941+89.177+140.302+0+40+60+100+300)</f>
        <v>33.405704473739135</v>
      </c>
      <c r="AC600" s="46">
        <f>(M600*'RAP TEMPLATE-GAS AVAILABILITY'!O599+N600*'RAP TEMPLATE-GAS AVAILABILITY'!P599+O600*'RAP TEMPLATE-GAS AVAILABILITY'!Q599+P600*'RAP TEMPLATE-GAS AVAILABILITY'!R599)/('RAP TEMPLATE-GAS AVAILABILITY'!O599+'RAP TEMPLATE-GAS AVAILABILITY'!P599+'RAP TEMPLATE-GAS AVAILABILITY'!Q599+'RAP TEMPLATE-GAS AVAILABILITY'!R599)</f>
        <v>33.156252517985614</v>
      </c>
    </row>
    <row r="601" spans="1:29" ht="15" x14ac:dyDescent="0.2">
      <c r="A601" s="12"/>
    </row>
    <row r="602" spans="1:29" ht="15.75" x14ac:dyDescent="0.25">
      <c r="A602" s="11">
        <v>2013</v>
      </c>
      <c r="B602" s="17">
        <f t="shared" ref="B602:J602" si="3">AVERAGE(B13:B24)</f>
        <v>3.5966200950465819</v>
      </c>
      <c r="C602" s="17">
        <f t="shared" si="3"/>
        <v>3.6028937823605816</v>
      </c>
      <c r="D602" s="17">
        <f t="shared" si="3"/>
        <v>3.7943233320977909</v>
      </c>
      <c r="E602" s="17">
        <f t="shared" si="3"/>
        <v>3.8264449800320937</v>
      </c>
      <c r="F602" s="17">
        <f t="shared" si="3"/>
        <v>3.5963091441208626</v>
      </c>
      <c r="G602" s="17">
        <f t="shared" si="3"/>
        <v>3.6108947057466114</v>
      </c>
      <c r="H602" s="17">
        <f t="shared" si="3"/>
        <v>3.8152264805328535</v>
      </c>
      <c r="I602" s="17">
        <f t="shared" si="3"/>
        <v>3.6249409947995317</v>
      </c>
      <c r="J602" s="17">
        <f t="shared" si="3"/>
        <v>3.588909144120862</v>
      </c>
      <c r="K602" s="53"/>
      <c r="L602" s="17">
        <f t="shared" ref="L602:S602" si="4">AVERAGE(L13:L24)</f>
        <v>4.4022264805328541</v>
      </c>
      <c r="M602" s="17">
        <f t="shared" si="4"/>
        <v>3.5636131438126384</v>
      </c>
      <c r="N602" s="17">
        <f t="shared" si="4"/>
        <v>3.5780875935913699</v>
      </c>
      <c r="O602" s="17">
        <f t="shared" si="4"/>
        <v>3.7879261512580897</v>
      </c>
      <c r="P602" s="17">
        <f t="shared" si="4"/>
        <v>3.599291054849862</v>
      </c>
      <c r="Q602" s="17">
        <f t="shared" si="4"/>
        <v>4.3826261512580897</v>
      </c>
      <c r="R602" s="17">
        <f t="shared" si="4"/>
        <v>4.9805894249695681</v>
      </c>
      <c r="S602" s="17">
        <f t="shared" si="4"/>
        <v>3.4772089140060412</v>
      </c>
      <c r="T602" s="52">
        <f t="shared" ref="T602:Y602" si="5">SUM(T13:T24)</f>
        <v>360.2459035</v>
      </c>
      <c r="U602" s="52">
        <f t="shared" si="5"/>
        <v>142.03323699999999</v>
      </c>
      <c r="V602" s="52">
        <f t="shared" si="5"/>
        <v>58.217499999999994</v>
      </c>
      <c r="W602" s="52">
        <f t="shared" si="5"/>
        <v>6.6868619999999996</v>
      </c>
      <c r="X602" s="52">
        <f t="shared" si="5"/>
        <v>5.5571254639999994</v>
      </c>
      <c r="Y602" s="52">
        <f t="shared" si="5"/>
        <v>1.17</v>
      </c>
      <c r="Z602" s="17">
        <f>AVERAGE(Z13:Z24)</f>
        <v>3.5790337997332387</v>
      </c>
      <c r="AA602" s="52">
        <f>SUM(AA13:AA24)</f>
        <v>9.4679999999999982</v>
      </c>
      <c r="AB602" s="49">
        <f>AVERAGE(AB13:AB24)</f>
        <v>3.6601413684435902</v>
      </c>
      <c r="AC602" s="46">
        <f>AVERAGE(AC13:AC24)</f>
        <v>3.6560230844555992</v>
      </c>
    </row>
    <row r="603" spans="1:29" ht="15.75" x14ac:dyDescent="0.25">
      <c r="A603" s="11">
        <v>2014</v>
      </c>
      <c r="B603" s="17">
        <f t="shared" ref="B603:J603" si="6">AVERAGE(B25:B36)</f>
        <v>4.136916666666667</v>
      </c>
      <c r="C603" s="17">
        <f t="shared" si="6"/>
        <v>4.1431833333333339</v>
      </c>
      <c r="D603" s="17">
        <f t="shared" si="6"/>
        <v>4.3392583333333334</v>
      </c>
      <c r="E603" s="17">
        <f t="shared" si="6"/>
        <v>4.3713749999999996</v>
      </c>
      <c r="F603" s="17">
        <f t="shared" si="6"/>
        <v>4.1464666666666661</v>
      </c>
      <c r="G603" s="17">
        <f t="shared" si="6"/>
        <v>4.1628333333333334</v>
      </c>
      <c r="H603" s="17">
        <f t="shared" si="6"/>
        <v>4.3601666666666672</v>
      </c>
      <c r="I603" s="17">
        <f t="shared" si="6"/>
        <v>4.1718083333333338</v>
      </c>
      <c r="J603" s="17">
        <f t="shared" si="6"/>
        <v>4.1390666666666673</v>
      </c>
      <c r="K603" s="53"/>
      <c r="L603" s="17">
        <f t="shared" ref="L603:S603" si="7">AVERAGE(L25:L36)</f>
        <v>4.9471666666666669</v>
      </c>
      <c r="M603" s="17">
        <f t="shared" si="7"/>
        <v>4.1088250000000004</v>
      </c>
      <c r="N603" s="17">
        <f t="shared" si="7"/>
        <v>4.125066666666668</v>
      </c>
      <c r="O603" s="17">
        <f t="shared" si="7"/>
        <v>4.3279583333333331</v>
      </c>
      <c r="P603" s="17">
        <f t="shared" si="7"/>
        <v>4.1412333333333331</v>
      </c>
      <c r="Q603" s="17">
        <f t="shared" si="7"/>
        <v>4.9226583333333345</v>
      </c>
      <c r="R603" s="17">
        <f t="shared" si="7"/>
        <v>5.5219583333333331</v>
      </c>
      <c r="S603" s="17">
        <f t="shared" si="7"/>
        <v>4.0011333333333337</v>
      </c>
      <c r="T603" s="52">
        <f>SUM(T25:T36)</f>
        <v>364.83318099999997</v>
      </c>
      <c r="U603" s="52">
        <f>SUM(U25:U36)</f>
        <v>142.03263249999998</v>
      </c>
      <c r="V603" s="52">
        <f>SUM(V25:V36)</f>
        <v>58.217499999999994</v>
      </c>
      <c r="W603" s="52">
        <f>SUM(W25:W36)</f>
        <v>6.6867999999999999</v>
      </c>
      <c r="X603" s="52">
        <f>SUM(X25:X36)</f>
        <v>5.5571254639999994</v>
      </c>
      <c r="Y603" s="52"/>
      <c r="Z603" s="17">
        <f>AVERAGE(Z25:Z36)</f>
        <v>4.115050000000001</v>
      </c>
      <c r="AA603" s="52">
        <f>SUM(AA25:AA36)</f>
        <v>9.4679999999999982</v>
      </c>
      <c r="AB603" s="49">
        <f>AVERAGE(AB25:AB36)</f>
        <v>4.2062255531225992</v>
      </c>
      <c r="AC603" s="46">
        <f>AVERAGE(AC25:AC36)</f>
        <v>4.199196462829736</v>
      </c>
    </row>
    <row r="604" spans="1:29" ht="15.75" x14ac:dyDescent="0.25">
      <c r="A604" s="11">
        <v>2015</v>
      </c>
      <c r="B604" s="17">
        <f t="shared" ref="B604:J604" si="8">AVERAGE(B37:B48)</f>
        <v>4.3749500000000001</v>
      </c>
      <c r="C604" s="17">
        <f t="shared" si="8"/>
        <v>4.3812083333333325</v>
      </c>
      <c r="D604" s="17">
        <f t="shared" si="8"/>
        <v>4.5772833333333338</v>
      </c>
      <c r="E604" s="17">
        <f t="shared" si="8"/>
        <v>4.6094083333333336</v>
      </c>
      <c r="F604" s="17">
        <f t="shared" si="8"/>
        <v>4.3845000000000001</v>
      </c>
      <c r="G604" s="17">
        <f t="shared" si="8"/>
        <v>4.4008666666666665</v>
      </c>
      <c r="H604" s="17">
        <f t="shared" si="8"/>
        <v>4.5981916666666658</v>
      </c>
      <c r="I604" s="17">
        <f t="shared" si="8"/>
        <v>4.4105833333333342</v>
      </c>
      <c r="J604" s="17">
        <f t="shared" si="8"/>
        <v>4.3770999999999995</v>
      </c>
      <c r="K604" s="53"/>
      <c r="L604" s="17">
        <f t="shared" ref="L604:S604" si="9">AVERAGE(L37:L48)</f>
        <v>5.1851916666666673</v>
      </c>
      <c r="M604" s="17">
        <f t="shared" si="9"/>
        <v>4.3447333333333331</v>
      </c>
      <c r="N604" s="17">
        <f t="shared" si="9"/>
        <v>4.3609666666666671</v>
      </c>
      <c r="O604" s="17">
        <f t="shared" si="9"/>
        <v>4.5638666666666659</v>
      </c>
      <c r="P604" s="17">
        <f t="shared" si="9"/>
        <v>4.3778666666666668</v>
      </c>
      <c r="Q604" s="17">
        <f t="shared" si="9"/>
        <v>5.1585666666666663</v>
      </c>
      <c r="R604" s="17">
        <f t="shared" si="9"/>
        <v>5.7584583333333335</v>
      </c>
      <c r="S604" s="17">
        <f t="shared" si="9"/>
        <v>4.2319666666666667</v>
      </c>
      <c r="T604" s="52">
        <f>SUM(T37:T48)</f>
        <v>364.83318099999997</v>
      </c>
      <c r="U604" s="52">
        <f>SUM(U37:U48)</f>
        <v>142.03263249999998</v>
      </c>
      <c r="V604" s="52">
        <f>SUM(V37:V48)</f>
        <v>58.217499999999994</v>
      </c>
      <c r="W604" s="52">
        <f>SUM(W37:W48)</f>
        <v>6.6867999999999999</v>
      </c>
      <c r="X604" s="52">
        <f>SUM(X37:X48)</f>
        <v>12.085625463999998</v>
      </c>
      <c r="Y604" s="52"/>
      <c r="Z604" s="17">
        <f>AVERAGE(Z37:Z48)</f>
        <v>4.3513000000000002</v>
      </c>
      <c r="AA604" s="52">
        <f>SUM(AA37:AA48)</f>
        <v>9.4679999999999982</v>
      </c>
      <c r="AB604" s="49">
        <f>AVERAGE(AB37:AB48)</f>
        <v>4.4360176143097618</v>
      </c>
      <c r="AC604" s="46">
        <f>AVERAGE(AC37:AC48)</f>
        <v>4.4252824940047955</v>
      </c>
    </row>
    <row r="605" spans="1:29" ht="15.75" x14ac:dyDescent="0.25">
      <c r="A605" s="11">
        <v>2016</v>
      </c>
      <c r="B605" s="17">
        <f t="shared" ref="B605:J605" si="10">AVERAGE(B49:B60)</f>
        <v>4.5898666666666665</v>
      </c>
      <c r="C605" s="17">
        <f t="shared" si="10"/>
        <v>4.5961166666666671</v>
      </c>
      <c r="D605" s="17">
        <f t="shared" si="10"/>
        <v>4.7922000000000011</v>
      </c>
      <c r="E605" s="17">
        <f t="shared" si="10"/>
        <v>4.8243166666666673</v>
      </c>
      <c r="F605" s="17">
        <f t="shared" si="10"/>
        <v>4.5994166666666674</v>
      </c>
      <c r="G605" s="17">
        <f t="shared" si="10"/>
        <v>4.6157833333333338</v>
      </c>
      <c r="H605" s="17">
        <f t="shared" si="10"/>
        <v>4.8131250000000003</v>
      </c>
      <c r="I605" s="17">
        <f t="shared" si="10"/>
        <v>4.6261583333333336</v>
      </c>
      <c r="J605" s="17">
        <f t="shared" si="10"/>
        <v>4.5920166666666669</v>
      </c>
      <c r="K605" s="53"/>
      <c r="L605" s="17">
        <f t="shared" ref="L605:S605" si="11">AVERAGE(L49:L60)</f>
        <v>5.4001249999999992</v>
      </c>
      <c r="M605" s="17">
        <f t="shared" si="11"/>
        <v>4.557716666666666</v>
      </c>
      <c r="N605" s="17">
        <f t="shared" si="11"/>
        <v>4.5739416666666664</v>
      </c>
      <c r="O605" s="17">
        <f t="shared" si="11"/>
        <v>4.7768249999999997</v>
      </c>
      <c r="P605" s="17">
        <f t="shared" si="11"/>
        <v>4.5914833333333336</v>
      </c>
      <c r="Q605" s="17">
        <f t="shared" si="11"/>
        <v>5.371525000000001</v>
      </c>
      <c r="R605" s="17">
        <f t="shared" si="11"/>
        <v>5.9719666666666669</v>
      </c>
      <c r="S605" s="17">
        <f t="shared" si="11"/>
        <v>4.4403166666666669</v>
      </c>
      <c r="T605" s="52">
        <f>SUM(T49:T60)</f>
        <v>358.26753550000001</v>
      </c>
      <c r="U605" s="52">
        <f>SUM(U49:U60)</f>
        <v>142.42176299999997</v>
      </c>
      <c r="V605" s="52">
        <f>SUM(V49:V60)</f>
        <v>58.377000000000002</v>
      </c>
      <c r="W605" s="52">
        <f>SUM(W49:W60)</f>
        <v>4.9434229999999992</v>
      </c>
      <c r="X605" s="52">
        <f>SUM(X49:X60)</f>
        <v>14.245965463999999</v>
      </c>
      <c r="Y605" s="52"/>
      <c r="Z605" s="17"/>
      <c r="AA605" s="52"/>
      <c r="AB605" s="49">
        <f>AVERAGE(AB49:AB60)</f>
        <v>4.6460321449108957</v>
      </c>
      <c r="AC605" s="46">
        <f>AVERAGE(AC49:AC60)</f>
        <v>4.636595503597122</v>
      </c>
    </row>
    <row r="606" spans="1:29" ht="15.75" x14ac:dyDescent="0.25">
      <c r="A606" s="11">
        <v>2017</v>
      </c>
      <c r="B606" s="17">
        <f t="shared" ref="B606:S606" si="12">AVERAGE(B61:B72)</f>
        <v>4.9568416666666666</v>
      </c>
      <c r="C606" s="17">
        <f t="shared" si="12"/>
        <v>4.9631083333333335</v>
      </c>
      <c r="D606" s="17">
        <f t="shared" si="12"/>
        <v>5.159183333333333</v>
      </c>
      <c r="E606" s="17">
        <f t="shared" si="12"/>
        <v>5.1913000000000009</v>
      </c>
      <c r="F606" s="17">
        <f t="shared" si="12"/>
        <v>4.9663833333333329</v>
      </c>
      <c r="G606" s="17">
        <f t="shared" si="12"/>
        <v>4.9827583333333338</v>
      </c>
      <c r="H606" s="17">
        <f t="shared" si="12"/>
        <v>5.1800916666666668</v>
      </c>
      <c r="I606" s="17">
        <f t="shared" si="12"/>
        <v>4.9942666666666673</v>
      </c>
      <c r="J606" s="17">
        <f t="shared" si="12"/>
        <v>4.9589833333333333</v>
      </c>
      <c r="K606" s="53">
        <f t="shared" si="12"/>
        <v>4.9262125000000001</v>
      </c>
      <c r="L606" s="17">
        <f t="shared" si="12"/>
        <v>5.7670916666666665</v>
      </c>
      <c r="M606" s="17">
        <f t="shared" si="12"/>
        <v>4.9213916666666666</v>
      </c>
      <c r="N606" s="17">
        <f t="shared" si="12"/>
        <v>4.9376249999999997</v>
      </c>
      <c r="O606" s="17">
        <f t="shared" si="12"/>
        <v>5.1405166666666666</v>
      </c>
      <c r="P606" s="17">
        <f t="shared" si="12"/>
        <v>4.9562916666666679</v>
      </c>
      <c r="Q606" s="17">
        <f t="shared" si="12"/>
        <v>5.7352166666666662</v>
      </c>
      <c r="R606" s="17">
        <f t="shared" si="12"/>
        <v>6.3365416666666681</v>
      </c>
      <c r="S606" s="17">
        <f t="shared" si="12"/>
        <v>4.7961750000000007</v>
      </c>
      <c r="T606" s="52">
        <f>SUM(T61:T72)</f>
        <v>357.33618100000001</v>
      </c>
      <c r="U606" s="52">
        <f>SUM(U61:U72)</f>
        <v>142.03263249999998</v>
      </c>
      <c r="V606" s="52">
        <f>SUM(V61:V72)</f>
        <v>58.217499999999994</v>
      </c>
      <c r="W606" s="52">
        <f>SUM(W61:W72)</f>
        <v>4.0622309999999988</v>
      </c>
      <c r="X606" s="52">
        <f>SUM(X61:X72)</f>
        <v>14.222225463999999</v>
      </c>
      <c r="Y606" s="52"/>
      <c r="Z606" s="17"/>
      <c r="AA606" s="17"/>
      <c r="AB606" s="49">
        <f>AVERAGE(AB61:AB72)</f>
        <v>5.0131033863803145</v>
      </c>
      <c r="AC606" s="46">
        <f>AVERAGE(AC61:AC72)</f>
        <v>5.0004387290167864</v>
      </c>
    </row>
    <row r="607" spans="1:29" ht="15.75" x14ac:dyDescent="0.25">
      <c r="A607" s="11">
        <v>2018</v>
      </c>
      <c r="B607" s="17">
        <f t="shared" ref="B607:S607" si="13">AVERAGE(B73:B84)</f>
        <v>5.6693166666666661</v>
      </c>
      <c r="C607" s="17">
        <f t="shared" si="13"/>
        <v>5.6755666666666675</v>
      </c>
      <c r="D607" s="17">
        <f t="shared" si="13"/>
        <v>5.8716499999999998</v>
      </c>
      <c r="E607" s="17">
        <f t="shared" si="13"/>
        <v>5.9037499999999996</v>
      </c>
      <c r="F607" s="17">
        <f t="shared" si="13"/>
        <v>5.6788499999999997</v>
      </c>
      <c r="G607" s="17">
        <f t="shared" si="13"/>
        <v>5.6952250000000006</v>
      </c>
      <c r="H607" s="17">
        <f t="shared" si="13"/>
        <v>5.8925583333333336</v>
      </c>
      <c r="I607" s="17">
        <f t="shared" si="13"/>
        <v>5.7089500000000006</v>
      </c>
      <c r="J607" s="17">
        <f t="shared" si="13"/>
        <v>5.671450000000001</v>
      </c>
      <c r="K607" s="53">
        <f t="shared" si="13"/>
        <v>5.7029166666666669</v>
      </c>
      <c r="L607" s="17">
        <f t="shared" si="13"/>
        <v>6.4795583333333333</v>
      </c>
      <c r="M607" s="17">
        <f t="shared" si="13"/>
        <v>5.6274333333333333</v>
      </c>
      <c r="N607" s="17">
        <f t="shared" si="13"/>
        <v>5.6436749999999991</v>
      </c>
      <c r="O607" s="17">
        <f t="shared" si="13"/>
        <v>5.8465666666666669</v>
      </c>
      <c r="P607" s="17">
        <f t="shared" si="13"/>
        <v>5.6645166666666675</v>
      </c>
      <c r="Q607" s="17">
        <f t="shared" si="13"/>
        <v>6.4412666666666665</v>
      </c>
      <c r="R607" s="17">
        <f t="shared" si="13"/>
        <v>7.0443750000000014</v>
      </c>
      <c r="S607" s="17">
        <f t="shared" si="13"/>
        <v>5.4870583333333327</v>
      </c>
      <c r="T607" s="52">
        <f>SUM(T73:T84)</f>
        <v>357.33618100000001</v>
      </c>
      <c r="U607" s="52">
        <f>SUM(U73:U84)</f>
        <v>142.03263249999998</v>
      </c>
      <c r="V607" s="52">
        <f>SUM(V73:V84)</f>
        <v>50.187500000000007</v>
      </c>
      <c r="W607" s="52">
        <f>SUM(W73:W84)</f>
        <v>4.0622309999999988</v>
      </c>
      <c r="X607" s="52">
        <f>SUM(X73:X84)</f>
        <v>14.222225463999999</v>
      </c>
      <c r="Y607" s="52"/>
      <c r="Z607" s="17"/>
      <c r="AA607" s="17"/>
      <c r="AB607" s="49">
        <f>AVERAGE(AB73:AB84)</f>
        <v>5.7257508194770388</v>
      </c>
      <c r="AC607" s="46">
        <f>AVERAGE(AC73:AC84)</f>
        <v>5.7067988009592314</v>
      </c>
    </row>
    <row r="608" spans="1:29" ht="15.75" x14ac:dyDescent="0.25">
      <c r="A608" s="11">
        <v>2019</v>
      </c>
      <c r="B608" s="17">
        <f t="shared" ref="B608:S608" si="14">AVERAGE(B85:B96)</f>
        <v>6.1990166666666662</v>
      </c>
      <c r="C608" s="17">
        <f t="shared" si="14"/>
        <v>6.205283333333333</v>
      </c>
      <c r="D608" s="17">
        <f t="shared" si="14"/>
        <v>6.4013500000000008</v>
      </c>
      <c r="E608" s="17">
        <f t="shared" si="14"/>
        <v>6.4334833333333341</v>
      </c>
      <c r="F608" s="17">
        <f t="shared" si="14"/>
        <v>6.2085499999999989</v>
      </c>
      <c r="G608" s="17">
        <f t="shared" si="14"/>
        <v>6.2249333333333334</v>
      </c>
      <c r="H608" s="17">
        <f t="shared" si="14"/>
        <v>6.4222666666666663</v>
      </c>
      <c r="I608" s="17">
        <f t="shared" si="14"/>
        <v>6.2403250000000012</v>
      </c>
      <c r="J608" s="17">
        <f t="shared" si="14"/>
        <v>6.2011500000000011</v>
      </c>
      <c r="K608" s="53">
        <f t="shared" si="14"/>
        <v>6.2342750000000002</v>
      </c>
      <c r="L608" s="17">
        <f t="shared" si="14"/>
        <v>7.0092666666666661</v>
      </c>
      <c r="M608" s="17">
        <f t="shared" si="14"/>
        <v>6.1524000000000001</v>
      </c>
      <c r="N608" s="17">
        <f t="shared" si="14"/>
        <v>6.1686333333333332</v>
      </c>
      <c r="O608" s="17">
        <f t="shared" si="14"/>
        <v>6.371508333333332</v>
      </c>
      <c r="P608" s="17">
        <f t="shared" si="14"/>
        <v>6.1910833333333324</v>
      </c>
      <c r="Q608" s="17">
        <f t="shared" si="14"/>
        <v>6.9662083333333333</v>
      </c>
      <c r="R608" s="17">
        <f t="shared" si="14"/>
        <v>7.5706333333333342</v>
      </c>
      <c r="S608" s="17">
        <f t="shared" si="14"/>
        <v>6.0007166666666665</v>
      </c>
      <c r="T608" s="52">
        <f>SUM(T85:T96)</f>
        <v>357.33618100000001</v>
      </c>
      <c r="U608" s="52">
        <f>SUM(U85:U96)</f>
        <v>142.03263249999998</v>
      </c>
      <c r="V608" s="52">
        <f>SUM(V85:V96)</f>
        <v>50.187500000000007</v>
      </c>
      <c r="W608" s="52">
        <f>SUM(W85:W96)</f>
        <v>4.0622309999999988</v>
      </c>
      <c r="X608" s="52">
        <f>SUM(X85:X96)</f>
        <v>14.222225463999999</v>
      </c>
      <c r="Y608" s="52"/>
      <c r="Z608" s="17"/>
      <c r="AA608" s="17"/>
      <c r="AB608" s="49">
        <f>AVERAGE(AB85:AB96)</f>
        <v>6.2555961625424645</v>
      </c>
      <c r="AC608" s="46">
        <f>AVERAGE(AC85:AC96)</f>
        <v>6.2319867505995203</v>
      </c>
    </row>
    <row r="609" spans="1:29" ht="15.75" x14ac:dyDescent="0.25">
      <c r="A609" s="11">
        <v>2020</v>
      </c>
      <c r="B609" s="17">
        <f t="shared" ref="B609:S609" si="15">AVERAGE(B97:B108)</f>
        <v>6.7260083333333327</v>
      </c>
      <c r="C609" s="17">
        <f t="shared" si="15"/>
        <v>6.7322916666666659</v>
      </c>
      <c r="D609" s="17">
        <f t="shared" si="15"/>
        <v>6.9283500000000009</v>
      </c>
      <c r="E609" s="17">
        <f t="shared" si="15"/>
        <v>6.9604666666666652</v>
      </c>
      <c r="F609" s="17">
        <f t="shared" si="15"/>
        <v>6.7355416666666663</v>
      </c>
      <c r="G609" s="17">
        <f t="shared" si="15"/>
        <v>6.7519166666666655</v>
      </c>
      <c r="H609" s="17">
        <f t="shared" si="15"/>
        <v>6.9492583333333329</v>
      </c>
      <c r="I609" s="17">
        <f t="shared" si="15"/>
        <v>6.768933333333333</v>
      </c>
      <c r="J609" s="17">
        <f t="shared" si="15"/>
        <v>6.7281416666666667</v>
      </c>
      <c r="K609" s="53">
        <f t="shared" si="15"/>
        <v>6.7629083333333329</v>
      </c>
      <c r="L609" s="17">
        <f t="shared" si="15"/>
        <v>7.5362583333333335</v>
      </c>
      <c r="M609" s="17">
        <f t="shared" si="15"/>
        <v>6.6746499999999997</v>
      </c>
      <c r="N609" s="17">
        <f t="shared" si="15"/>
        <v>6.6908583333333338</v>
      </c>
      <c r="O609" s="17">
        <f t="shared" si="15"/>
        <v>6.893766666666667</v>
      </c>
      <c r="P609" s="17">
        <f t="shared" si="15"/>
        <v>6.7149333333333336</v>
      </c>
      <c r="Q609" s="17">
        <f t="shared" si="15"/>
        <v>7.4884666666666666</v>
      </c>
      <c r="R609" s="17">
        <f t="shared" si="15"/>
        <v>8.0941833333333317</v>
      </c>
      <c r="S609" s="17">
        <f t="shared" si="15"/>
        <v>6.5117250000000011</v>
      </c>
      <c r="T609" s="52">
        <f>SUM(T97:T108)</f>
        <v>358.26753550000001</v>
      </c>
      <c r="U609" s="52">
        <f>SUM(U97:U108)</f>
        <v>142.42176299999997</v>
      </c>
      <c r="V609" s="52">
        <f>SUM(V97:V108)</f>
        <v>50.325000000000003</v>
      </c>
      <c r="W609" s="52">
        <f>SUM(W97:W108)</f>
        <v>4.0733603999999994</v>
      </c>
      <c r="X609" s="52">
        <f>SUM(X97:X108)</f>
        <v>14.245965463999999</v>
      </c>
      <c r="Y609" s="52"/>
      <c r="Z609" s="17"/>
      <c r="AA609" s="17"/>
      <c r="AB609" s="49">
        <f>AVERAGE(AB97:AB108)</f>
        <v>6.7827242323012458</v>
      </c>
      <c r="AC609" s="46">
        <f>AVERAGE(AC97:AC108)</f>
        <v>6.7544649880095919</v>
      </c>
    </row>
    <row r="610" spans="1:29" ht="15.75" x14ac:dyDescent="0.25">
      <c r="A610" s="11">
        <v>2021</v>
      </c>
      <c r="B610" s="17">
        <f t="shared" ref="B610:S610" si="16">AVERAGE(B109:B120)</f>
        <v>7.1175666666666677</v>
      </c>
      <c r="C610" s="17">
        <f t="shared" si="16"/>
        <v>7.1238416666666673</v>
      </c>
      <c r="D610" s="17">
        <f t="shared" si="16"/>
        <v>7.3199333333333341</v>
      </c>
      <c r="E610" s="17">
        <f t="shared" si="16"/>
        <v>7.3520250000000003</v>
      </c>
      <c r="F610" s="17">
        <f t="shared" si="16"/>
        <v>7.1271083333333349</v>
      </c>
      <c r="G610" s="17">
        <f t="shared" si="16"/>
        <v>7.1434916666666668</v>
      </c>
      <c r="H610" s="17">
        <f t="shared" si="16"/>
        <v>7.340841666666666</v>
      </c>
      <c r="I610" s="17">
        <f t="shared" si="16"/>
        <v>7.1617333333333333</v>
      </c>
      <c r="J610" s="17">
        <f t="shared" si="16"/>
        <v>7.1197083333333318</v>
      </c>
      <c r="K610" s="53">
        <f t="shared" si="16"/>
        <v>7.1556666666666677</v>
      </c>
      <c r="L610" s="17">
        <f t="shared" si="16"/>
        <v>7.9278416666666667</v>
      </c>
      <c r="M610" s="17">
        <f t="shared" si="16"/>
        <v>7.0626749999999987</v>
      </c>
      <c r="N610" s="17">
        <f t="shared" si="16"/>
        <v>7.0789166666666672</v>
      </c>
      <c r="O610" s="17">
        <f t="shared" si="16"/>
        <v>7.2818250000000004</v>
      </c>
      <c r="P610" s="17">
        <f t="shared" si="16"/>
        <v>7.1041583333333342</v>
      </c>
      <c r="Q610" s="17">
        <f t="shared" si="16"/>
        <v>7.876525</v>
      </c>
      <c r="R610" s="17">
        <f t="shared" si="16"/>
        <v>8.4831833333333329</v>
      </c>
      <c r="S610" s="17">
        <f t="shared" si="16"/>
        <v>6.891441666666668</v>
      </c>
      <c r="T610" s="52">
        <f>SUM(T109:T120)</f>
        <v>357.33618100000001</v>
      </c>
      <c r="U610" s="52">
        <f>SUM(U109:U120)</f>
        <v>142.03263249999998</v>
      </c>
      <c r="V610" s="52">
        <f>SUM(V109:V120)</f>
        <v>50.187500000000007</v>
      </c>
      <c r="W610" s="52">
        <f>SUM(W109:W120)</f>
        <v>4.0622309999999988</v>
      </c>
      <c r="X610" s="52">
        <f>SUM(X109:X120)</f>
        <v>14.222225463999999</v>
      </c>
      <c r="Y610" s="52"/>
      <c r="Z610" s="17"/>
      <c r="AA610" s="17"/>
      <c r="AB610" s="49">
        <f>AVERAGE(AB109:AB120)</f>
        <v>7.1743898843416281</v>
      </c>
      <c r="AC610" s="46">
        <f>AVERAGE(AC109:AC120)</f>
        <v>7.1426796762589921</v>
      </c>
    </row>
    <row r="611" spans="1:29" ht="15.75" x14ac:dyDescent="0.25">
      <c r="A611" s="11">
        <v>2022</v>
      </c>
      <c r="B611" s="17">
        <f t="shared" ref="B611:S611" si="17">AVERAGE(B121:B132)</f>
        <v>7.4165999999999999</v>
      </c>
      <c r="C611" s="17">
        <f t="shared" si="17"/>
        <v>7.4228833333333322</v>
      </c>
      <c r="D611" s="17">
        <f t="shared" si="17"/>
        <v>7.6189500000000008</v>
      </c>
      <c r="E611" s="17">
        <f t="shared" si="17"/>
        <v>7.6510749999999996</v>
      </c>
      <c r="F611" s="17">
        <f t="shared" si="17"/>
        <v>7.4261583333333334</v>
      </c>
      <c r="G611" s="17">
        <f t="shared" si="17"/>
        <v>7.4425249999999989</v>
      </c>
      <c r="H611" s="17">
        <f t="shared" si="17"/>
        <v>7.639875</v>
      </c>
      <c r="I611" s="17">
        <f t="shared" si="17"/>
        <v>7.4617000000000013</v>
      </c>
      <c r="J611" s="17">
        <f t="shared" si="17"/>
        <v>7.4187583333333338</v>
      </c>
      <c r="K611" s="53">
        <f t="shared" si="17"/>
        <v>7.455633333333334</v>
      </c>
      <c r="L611" s="17">
        <f t="shared" si="17"/>
        <v>8.2268749999999997</v>
      </c>
      <c r="M611" s="17">
        <f t="shared" si="17"/>
        <v>7.3590333333333335</v>
      </c>
      <c r="N611" s="17">
        <f t="shared" si="17"/>
        <v>7.3752749999999994</v>
      </c>
      <c r="O611" s="17">
        <f t="shared" si="17"/>
        <v>7.5781583333333336</v>
      </c>
      <c r="P611" s="17">
        <f t="shared" si="17"/>
        <v>7.4014333333333324</v>
      </c>
      <c r="Q611" s="17">
        <f t="shared" si="17"/>
        <v>8.172858333333334</v>
      </c>
      <c r="R611" s="17">
        <f t="shared" si="17"/>
        <v>8.7802833333333314</v>
      </c>
      <c r="S611" s="17">
        <f t="shared" si="17"/>
        <v>7.1814166666666663</v>
      </c>
      <c r="T611" s="52">
        <f>SUM(T121:T132)</f>
        <v>357.33618100000001</v>
      </c>
      <c r="U611" s="52">
        <f>SUM(U121:U132)</f>
        <v>142.03263249999998</v>
      </c>
      <c r="V611" s="52">
        <f>SUM(V121:V132)</f>
        <v>50.187500000000007</v>
      </c>
      <c r="W611" s="52">
        <f>SUM(W121:W132)</f>
        <v>4.0622309999999988</v>
      </c>
      <c r="X611" s="52">
        <f>SUM(X121:X132)</f>
        <v>14.222225463999999</v>
      </c>
      <c r="Y611" s="52"/>
      <c r="Z611" s="17"/>
      <c r="AA611" s="17"/>
      <c r="AB611" s="49">
        <f>AVERAGE(AB121:AB132)</f>
        <v>7.4735057529724358</v>
      </c>
      <c r="AC611" s="46">
        <f>AVERAGE(AC121:AC132)</f>
        <v>7.4391614508393298</v>
      </c>
    </row>
    <row r="612" spans="1:29" ht="15.75" x14ac:dyDescent="0.25">
      <c r="A612" s="11">
        <v>2023</v>
      </c>
      <c r="B612" s="17">
        <f t="shared" ref="B612:S612" si="18">AVERAGE(B133:B144)</f>
        <v>8.0303166666666659</v>
      </c>
      <c r="C612" s="17">
        <f t="shared" si="18"/>
        <v>8.0365833333333345</v>
      </c>
      <c r="D612" s="17">
        <f t="shared" si="18"/>
        <v>8.2326583333333332</v>
      </c>
      <c r="E612" s="17">
        <f t="shared" si="18"/>
        <v>8.2647666666666684</v>
      </c>
      <c r="F612" s="17">
        <f t="shared" si="18"/>
        <v>8.0398583333333313</v>
      </c>
      <c r="G612" s="17">
        <f t="shared" si="18"/>
        <v>8.0562333333333331</v>
      </c>
      <c r="H612" s="17">
        <f t="shared" si="18"/>
        <v>8.2535749999999997</v>
      </c>
      <c r="I612" s="17">
        <f t="shared" si="18"/>
        <v>8.0772916666666674</v>
      </c>
      <c r="J612" s="17">
        <f t="shared" si="18"/>
        <v>8.0324583333333326</v>
      </c>
      <c r="K612" s="53">
        <f t="shared" si="18"/>
        <v>8.0712666666666664</v>
      </c>
      <c r="L612" s="17">
        <f t="shared" si="18"/>
        <v>8.8405749999999994</v>
      </c>
      <c r="M612" s="17">
        <f t="shared" si="18"/>
        <v>7.9672083333333346</v>
      </c>
      <c r="N612" s="17">
        <f t="shared" si="18"/>
        <v>7.983458333333334</v>
      </c>
      <c r="O612" s="17">
        <f t="shared" si="18"/>
        <v>8.1863666666666663</v>
      </c>
      <c r="P612" s="17">
        <f t="shared" si="18"/>
        <v>8.011491666666668</v>
      </c>
      <c r="Q612" s="17">
        <f t="shared" si="18"/>
        <v>8.7810666666666659</v>
      </c>
      <c r="R612" s="17">
        <f t="shared" si="18"/>
        <v>9.39</v>
      </c>
      <c r="S612" s="17">
        <f t="shared" si="18"/>
        <v>7.7765333333333331</v>
      </c>
      <c r="T612" s="52">
        <f>SUM(T133:T144)</f>
        <v>357.33618100000001</v>
      </c>
      <c r="U612" s="52">
        <f>SUM(U133:U144)</f>
        <v>142.03263249999998</v>
      </c>
      <c r="V612" s="52">
        <f>SUM(V133:V144)</f>
        <v>50.187500000000007</v>
      </c>
      <c r="W612" s="52">
        <f>SUM(W133:W144)</f>
        <v>4.0622309999999988</v>
      </c>
      <c r="X612" s="52">
        <f>SUM(X133:X144)</f>
        <v>14.222225463999999</v>
      </c>
      <c r="Y612" s="52"/>
      <c r="Z612" s="17"/>
      <c r="AA612" s="17"/>
      <c r="AB612" s="49">
        <f>AVERAGE(AB133:AB144)</f>
        <v>8.0873653156771166</v>
      </c>
      <c r="AC612" s="46">
        <f>AVERAGE(AC133:AC144)</f>
        <v>8.0476201438848936</v>
      </c>
    </row>
    <row r="613" spans="1:29" ht="15.75" x14ac:dyDescent="0.25">
      <c r="A613" s="11">
        <v>2024</v>
      </c>
      <c r="B613" s="17">
        <f t="shared" ref="B613:S613" si="19">AVERAGE(B145:B156)</f>
        <v>8.3866666666666685</v>
      </c>
      <c r="C613" s="17">
        <f t="shared" si="19"/>
        <v>8.3929416666666672</v>
      </c>
      <c r="D613" s="17">
        <f t="shared" si="19"/>
        <v>8.5890000000000004</v>
      </c>
      <c r="E613" s="17">
        <f t="shared" si="19"/>
        <v>8.6211166666666674</v>
      </c>
      <c r="F613" s="17">
        <f t="shared" si="19"/>
        <v>8.3962000000000003</v>
      </c>
      <c r="G613" s="17">
        <f t="shared" si="19"/>
        <v>8.4125666666666667</v>
      </c>
      <c r="H613" s="17">
        <f t="shared" si="19"/>
        <v>8.6099166666666669</v>
      </c>
      <c r="I613" s="17">
        <f t="shared" si="19"/>
        <v>8.4347666666666665</v>
      </c>
      <c r="J613" s="17">
        <f t="shared" si="19"/>
        <v>8.3887999999999998</v>
      </c>
      <c r="K613" s="53">
        <f t="shared" si="19"/>
        <v>8.4287083333333346</v>
      </c>
      <c r="L613" s="17">
        <f t="shared" si="19"/>
        <v>9.1969166666666649</v>
      </c>
      <c r="M613" s="17">
        <f t="shared" si="19"/>
        <v>8.3203750000000003</v>
      </c>
      <c r="N613" s="17">
        <f t="shared" si="19"/>
        <v>8.3365916666666688</v>
      </c>
      <c r="O613" s="17">
        <f t="shared" si="19"/>
        <v>8.5395000000000003</v>
      </c>
      <c r="P613" s="17">
        <f t="shared" si="19"/>
        <v>8.3657166666666658</v>
      </c>
      <c r="Q613" s="17">
        <f t="shared" si="19"/>
        <v>9.1341999999999999</v>
      </c>
      <c r="R613" s="17">
        <f t="shared" si="19"/>
        <v>9.7440250000000006</v>
      </c>
      <c r="S613" s="17">
        <f t="shared" si="19"/>
        <v>8.1220583333333334</v>
      </c>
      <c r="T613" s="52">
        <f>SUM(T145:T156)</f>
        <v>358.26753550000001</v>
      </c>
      <c r="U613" s="52">
        <f>SUM(U145:U156)</f>
        <v>142.42176299999997</v>
      </c>
      <c r="V613" s="52">
        <f>SUM(V145:V156)</f>
        <v>50.325000000000003</v>
      </c>
      <c r="W613" s="52">
        <f>SUM(W145:W156)</f>
        <v>4.0733603999999994</v>
      </c>
      <c r="X613" s="52">
        <f>SUM(X145:X156)</f>
        <v>14.245965463999999</v>
      </c>
      <c r="Y613" s="52"/>
      <c r="Z613" s="17"/>
      <c r="AA613" s="17"/>
      <c r="AB613" s="49">
        <f>AVERAGE(AB145:AB156)</f>
        <v>8.4438050366784925</v>
      </c>
      <c r="AC613" s="46">
        <f>AVERAGE(AC145:AC156)</f>
        <v>8.4009235011990402</v>
      </c>
    </row>
    <row r="614" spans="1:29" ht="15.75" x14ac:dyDescent="0.25">
      <c r="A614" s="11">
        <v>2025</v>
      </c>
      <c r="B614" s="17">
        <f t="shared" ref="B614:S614" si="20">AVERAGE(B157:B168)</f>
        <v>8.7412749999999999</v>
      </c>
      <c r="C614" s="17">
        <f t="shared" si="20"/>
        <v>8.7475583333333322</v>
      </c>
      <c r="D614" s="17">
        <f t="shared" si="20"/>
        <v>8.9436250000000008</v>
      </c>
      <c r="E614" s="17">
        <f t="shared" si="20"/>
        <v>8.9757416666666678</v>
      </c>
      <c r="F614" s="17">
        <f t="shared" si="20"/>
        <v>8.7508333333333326</v>
      </c>
      <c r="G614" s="17">
        <f t="shared" si="20"/>
        <v>8.767216666666668</v>
      </c>
      <c r="H614" s="17">
        <f t="shared" si="20"/>
        <v>8.9645250000000001</v>
      </c>
      <c r="I614" s="17">
        <f t="shared" si="20"/>
        <v>8.7904833333333343</v>
      </c>
      <c r="J614" s="17">
        <f t="shared" si="20"/>
        <v>8.7434333333333338</v>
      </c>
      <c r="K614" s="53">
        <f t="shared" si="20"/>
        <v>8.7844499999999996</v>
      </c>
      <c r="L614" s="17">
        <f t="shared" si="20"/>
        <v>9.5515250000000016</v>
      </c>
      <c r="M614" s="17">
        <f t="shared" si="20"/>
        <v>8.6718083333333329</v>
      </c>
      <c r="N614" s="17">
        <f t="shared" si="20"/>
        <v>8.6880333333333315</v>
      </c>
      <c r="O614" s="17">
        <f t="shared" si="20"/>
        <v>8.8909249999999975</v>
      </c>
      <c r="P614" s="17">
        <f t="shared" si="20"/>
        <v>8.718258333333333</v>
      </c>
      <c r="Q614" s="17">
        <f t="shared" si="20"/>
        <v>9.4856250000000006</v>
      </c>
      <c r="R614" s="17">
        <f t="shared" si="20"/>
        <v>10.096350000000001</v>
      </c>
      <c r="S614" s="17">
        <f t="shared" si="20"/>
        <v>8.4659583333333348</v>
      </c>
      <c r="T614" s="52">
        <f>SUM(T157:T168)</f>
        <v>357.33618100000001</v>
      </c>
      <c r="U614" s="52">
        <f>SUM(U157:U168)</f>
        <v>142.03263249999998</v>
      </c>
      <c r="V614" s="52">
        <f>SUM(V157:V168)</f>
        <v>50.187500000000007</v>
      </c>
      <c r="W614" s="52">
        <f>SUM(W157:W168)</f>
        <v>4.0622309999999988</v>
      </c>
      <c r="X614" s="52">
        <f>SUM(X157:X168)</f>
        <v>14.222225463999999</v>
      </c>
      <c r="Y614" s="52"/>
      <c r="Z614" s="17"/>
      <c r="AA614" s="17"/>
      <c r="AB614" s="49">
        <f>AVERAGE(AB157:AB168)</f>
        <v>8.79851947734379</v>
      </c>
      <c r="AC614" s="46">
        <f>AVERAGE(AC157:AC168)</f>
        <v>8.7525158872901674</v>
      </c>
    </row>
    <row r="615" spans="1:29" ht="15.75" x14ac:dyDescent="0.25">
      <c r="A615" s="11">
        <v>2026</v>
      </c>
      <c r="B615" s="17">
        <f t="shared" ref="B615:S615" si="21">AVERAGE(B169:B180)</f>
        <v>9.0562999999999985</v>
      </c>
      <c r="C615" s="17">
        <f t="shared" si="21"/>
        <v>9.0625666666666671</v>
      </c>
      <c r="D615" s="17">
        <f t="shared" si="21"/>
        <v>9.2586249999999986</v>
      </c>
      <c r="E615" s="17">
        <f t="shared" si="21"/>
        <v>9.2907583333333346</v>
      </c>
      <c r="F615" s="17">
        <f t="shared" si="21"/>
        <v>9.0658666666666647</v>
      </c>
      <c r="G615" s="17">
        <f t="shared" si="21"/>
        <v>9.0822166666666657</v>
      </c>
      <c r="H615" s="17">
        <f t="shared" si="21"/>
        <v>9.279558333333334</v>
      </c>
      <c r="I615" s="17">
        <f t="shared" si="21"/>
        <v>9.1064750000000014</v>
      </c>
      <c r="J615" s="17">
        <f t="shared" si="21"/>
        <v>9.0584666666666696</v>
      </c>
      <c r="K615" s="53">
        <f t="shared" si="21"/>
        <v>9.1004333333333332</v>
      </c>
      <c r="L615" s="17">
        <f t="shared" si="21"/>
        <v>9.8665583333333338</v>
      </c>
      <c r="M615" s="17">
        <f t="shared" si="21"/>
        <v>8.9839833333333328</v>
      </c>
      <c r="N615" s="17">
        <f t="shared" si="21"/>
        <v>9.0002083333333349</v>
      </c>
      <c r="O615" s="17">
        <f t="shared" si="21"/>
        <v>9.2031083333333328</v>
      </c>
      <c r="P615" s="17">
        <f t="shared" si="21"/>
        <v>9.0313833333333342</v>
      </c>
      <c r="Q615" s="17">
        <f t="shared" si="21"/>
        <v>9.7978083333333341</v>
      </c>
      <c r="R615" s="17">
        <f t="shared" si="21"/>
        <v>10.4093</v>
      </c>
      <c r="S615" s="17">
        <f t="shared" si="21"/>
        <v>8.7714166666666653</v>
      </c>
      <c r="T615" s="52">
        <f>SUM(T169:T180)</f>
        <v>357.33618100000001</v>
      </c>
      <c r="U615" s="52">
        <f>SUM(U169:U180)</f>
        <v>142.03263249999998</v>
      </c>
      <c r="V615" s="52">
        <f>SUM(V169:V180)</f>
        <v>50.187500000000007</v>
      </c>
      <c r="W615" s="52">
        <f>SUM(W169:W180)</f>
        <v>4.0622309999999988</v>
      </c>
      <c r="X615" s="52">
        <f>SUM(X169:X180)</f>
        <v>14.222225463999999</v>
      </c>
      <c r="Y615" s="52"/>
      <c r="Z615" s="17"/>
      <c r="AA615" s="17"/>
      <c r="AB615" s="49">
        <f>AVERAGE(AB169:AB180)</f>
        <v>9.1136178180677501</v>
      </c>
      <c r="AC615" s="46">
        <f>AVERAGE(AC169:AC180)</f>
        <v>9.0648284772182244</v>
      </c>
    </row>
    <row r="616" spans="1:29" ht="15.75" x14ac:dyDescent="0.25">
      <c r="A616" s="11">
        <v>2027</v>
      </c>
      <c r="B616" s="17">
        <f t="shared" ref="B616:S616" si="22">AVERAGE(B181:B192)</f>
        <v>9.3663500000000006</v>
      </c>
      <c r="C616" s="17">
        <f t="shared" si="22"/>
        <v>9.3726000000000003</v>
      </c>
      <c r="D616" s="17">
        <f t="shared" si="22"/>
        <v>9.5686916666666662</v>
      </c>
      <c r="E616" s="17">
        <f t="shared" si="22"/>
        <v>9.6008000000000013</v>
      </c>
      <c r="F616" s="17">
        <f t="shared" si="22"/>
        <v>9.3758999999999997</v>
      </c>
      <c r="G616" s="17">
        <f t="shared" si="22"/>
        <v>9.3922666666666661</v>
      </c>
      <c r="H616" s="17">
        <f t="shared" si="22"/>
        <v>9.5896083333333326</v>
      </c>
      <c r="I616" s="17">
        <f t="shared" si="22"/>
        <v>9.4174750000000014</v>
      </c>
      <c r="J616" s="17">
        <f t="shared" si="22"/>
        <v>9.3684999999999992</v>
      </c>
      <c r="K616" s="53">
        <f t="shared" si="22"/>
        <v>9.4114500000000003</v>
      </c>
      <c r="L616" s="17">
        <f t="shared" si="22"/>
        <v>10.176608333333332</v>
      </c>
      <c r="M616" s="17">
        <f t="shared" si="22"/>
        <v>9.291241666666668</v>
      </c>
      <c r="N616" s="17">
        <f t="shared" si="22"/>
        <v>9.3074666666666666</v>
      </c>
      <c r="O616" s="17">
        <f t="shared" si="22"/>
        <v>9.5103666666666662</v>
      </c>
      <c r="P616" s="17">
        <f t="shared" si="22"/>
        <v>9.3395916666666672</v>
      </c>
      <c r="Q616" s="17">
        <f t="shared" si="22"/>
        <v>10.105066666666668</v>
      </c>
      <c r="R616" s="17">
        <f t="shared" si="22"/>
        <v>10.717333333333334</v>
      </c>
      <c r="S616" s="17">
        <f t="shared" si="22"/>
        <v>9.0720833333333353</v>
      </c>
      <c r="T616" s="52">
        <f>SUM(T181:T192)</f>
        <v>357.33618100000001</v>
      </c>
      <c r="U616" s="52">
        <f>SUM(U181:U192)</f>
        <v>142.03263249999998</v>
      </c>
      <c r="V616" s="52">
        <f>SUM(V181:V192)</f>
        <v>50.187500000000007</v>
      </c>
      <c r="W616" s="52">
        <f>SUM(W181:W192)</f>
        <v>4.0622309999999988</v>
      </c>
      <c r="X616" s="52">
        <f>SUM(X181:X192)</f>
        <v>14.222225463999999</v>
      </c>
      <c r="Y616" s="52"/>
      <c r="Z616" s="17"/>
      <c r="AA616" s="17"/>
      <c r="AB616" s="49">
        <f>AVERAGE(AB181:AB192)</f>
        <v>9.4237384481019486</v>
      </c>
      <c r="AC616" s="46">
        <f>AVERAGE(AC181:AC192)</f>
        <v>9.3722235011990396</v>
      </c>
    </row>
    <row r="617" spans="1:29" ht="15.75" x14ac:dyDescent="0.25">
      <c r="A617" s="11">
        <v>2028</v>
      </c>
      <c r="B617" s="17">
        <f t="shared" ref="B617:S617" si="23">AVERAGE(B193:B204)</f>
        <v>9.6784249999999989</v>
      </c>
      <c r="C617" s="17">
        <f t="shared" si="23"/>
        <v>9.6846999999999994</v>
      </c>
      <c r="D617" s="17">
        <f t="shared" si="23"/>
        <v>9.8807833333333317</v>
      </c>
      <c r="E617" s="17">
        <f t="shared" si="23"/>
        <v>9.9128916666666669</v>
      </c>
      <c r="F617" s="17">
        <f t="shared" si="23"/>
        <v>9.6879833333333334</v>
      </c>
      <c r="G617" s="17">
        <f t="shared" si="23"/>
        <v>9.7043416666666662</v>
      </c>
      <c r="H617" s="17">
        <f t="shared" si="23"/>
        <v>9.9016833333333327</v>
      </c>
      <c r="I617" s="17">
        <f t="shared" si="23"/>
        <v>9.7305166666666683</v>
      </c>
      <c r="J617" s="17">
        <f t="shared" si="23"/>
        <v>9.6805833333333329</v>
      </c>
      <c r="K617" s="53">
        <f t="shared" si="23"/>
        <v>9.7245000000000008</v>
      </c>
      <c r="L617" s="17">
        <f t="shared" si="23"/>
        <v>10.488683333333332</v>
      </c>
      <c r="M617" s="17">
        <f t="shared" si="23"/>
        <v>9.6005249999999993</v>
      </c>
      <c r="N617" s="17">
        <f t="shared" si="23"/>
        <v>9.6167499999999997</v>
      </c>
      <c r="O617" s="17">
        <f t="shared" si="23"/>
        <v>9.8196416666666675</v>
      </c>
      <c r="P617" s="17">
        <f t="shared" si="23"/>
        <v>9.6498083333333344</v>
      </c>
      <c r="Q617" s="17">
        <f t="shared" si="23"/>
        <v>10.414341666666667</v>
      </c>
      <c r="R617" s="17">
        <f t="shared" si="23"/>
        <v>11.027375000000001</v>
      </c>
      <c r="S617" s="17">
        <f t="shared" si="23"/>
        <v>9.3747166666666661</v>
      </c>
      <c r="T617" s="52">
        <f>SUM(T193:T204)</f>
        <v>358.26753550000001</v>
      </c>
      <c r="U617" s="52">
        <f>SUM(U193:U204)</f>
        <v>142.42176299999997</v>
      </c>
      <c r="V617" s="52">
        <f>SUM(V193:V204)</f>
        <v>50.325000000000003</v>
      </c>
      <c r="W617" s="52">
        <f>SUM(W193:W204)</f>
        <v>4.0733603999999994</v>
      </c>
      <c r="X617" s="52">
        <f>SUM(X193:X204)</f>
        <v>14.245965463999999</v>
      </c>
      <c r="Y617" s="52"/>
      <c r="Z617" s="17"/>
      <c r="AA617" s="17"/>
      <c r="AB617" s="49">
        <f>AVERAGE(AB193:AB204)</f>
        <v>9.7359049525763073</v>
      </c>
      <c r="AC617" s="46">
        <f>AVERAGE(AC193:AC204)</f>
        <v>9.681638788968824</v>
      </c>
    </row>
    <row r="618" spans="1:29" ht="15.75" x14ac:dyDescent="0.25">
      <c r="A618" s="11">
        <v>2029</v>
      </c>
      <c r="B618" s="17">
        <f t="shared" ref="B618:S618" si="24">AVERAGE(B205:B216)</f>
        <v>10.000274999999998</v>
      </c>
      <c r="C618" s="17">
        <f t="shared" si="24"/>
        <v>10.006533333333334</v>
      </c>
      <c r="D618" s="17">
        <f t="shared" si="24"/>
        <v>10.202600000000002</v>
      </c>
      <c r="E618" s="17">
        <f t="shared" si="24"/>
        <v>10.234725000000001</v>
      </c>
      <c r="F618" s="17">
        <f t="shared" si="24"/>
        <v>10.009799999999998</v>
      </c>
      <c r="G618" s="17">
        <f t="shared" si="24"/>
        <v>10.026183333333334</v>
      </c>
      <c r="H618" s="17">
        <f t="shared" si="24"/>
        <v>10.223525</v>
      </c>
      <c r="I618" s="17">
        <f t="shared" si="24"/>
        <v>10.053366666666665</v>
      </c>
      <c r="J618" s="17">
        <f t="shared" si="24"/>
        <v>10.002400000000003</v>
      </c>
      <c r="K618" s="53">
        <f t="shared" si="24"/>
        <v>10.047325000000001</v>
      </c>
      <c r="L618" s="17">
        <f t="shared" si="24"/>
        <v>10.810525</v>
      </c>
      <c r="M618" s="17">
        <f t="shared" si="24"/>
        <v>9.919458333333333</v>
      </c>
      <c r="N618" s="17">
        <f t="shared" si="24"/>
        <v>9.9356833333333334</v>
      </c>
      <c r="O618" s="17">
        <f t="shared" si="24"/>
        <v>10.138575000000001</v>
      </c>
      <c r="P618" s="17">
        <f t="shared" si="24"/>
        <v>9.9697333333333322</v>
      </c>
      <c r="Q618" s="17">
        <f t="shared" si="24"/>
        <v>10.733275000000001</v>
      </c>
      <c r="R618" s="17">
        <f t="shared" si="24"/>
        <v>11.347125</v>
      </c>
      <c r="S618" s="17">
        <f t="shared" si="24"/>
        <v>9.6867833333333344</v>
      </c>
      <c r="T618" s="52">
        <f>SUM(T205:T216)</f>
        <v>357.33618100000001</v>
      </c>
      <c r="U618" s="52">
        <f>SUM(U205:U216)</f>
        <v>142.03263249999998</v>
      </c>
      <c r="V618" s="52">
        <f>SUM(V205:V216)</f>
        <v>50.187500000000007</v>
      </c>
      <c r="W618" s="52">
        <f>SUM(W205:W216)</f>
        <v>4.0622309999999988</v>
      </c>
      <c r="X618" s="52">
        <f>SUM(X205:X216)</f>
        <v>14.222225463999999</v>
      </c>
      <c r="Y618" s="52"/>
      <c r="Z618" s="17"/>
      <c r="AA618" s="17"/>
      <c r="AB618" s="49">
        <f>AVERAGE(AB205:AB216)</f>
        <v>10.057818359979672</v>
      </c>
      <c r="AC618" s="46">
        <f>AVERAGE(AC205:AC216)</f>
        <v>10.000713369304558</v>
      </c>
    </row>
    <row r="619" spans="1:29" ht="15.75" x14ac:dyDescent="0.25">
      <c r="A619" s="11">
        <v>2030</v>
      </c>
      <c r="B619" s="17">
        <f t="shared" ref="B619:S619" si="25">AVERAGE(B217:B228)</f>
        <v>10.290408333333332</v>
      </c>
      <c r="C619" s="17">
        <f t="shared" si="25"/>
        <v>10.296691666666668</v>
      </c>
      <c r="D619" s="17">
        <f t="shared" si="25"/>
        <v>10.492775</v>
      </c>
      <c r="E619" s="17">
        <f t="shared" si="25"/>
        <v>10.524875000000002</v>
      </c>
      <c r="F619" s="17">
        <f t="shared" si="25"/>
        <v>10.299966666666668</v>
      </c>
      <c r="G619" s="17">
        <f t="shared" si="25"/>
        <v>10.316375000000001</v>
      </c>
      <c r="H619" s="17">
        <f t="shared" si="25"/>
        <v>10.513691666666666</v>
      </c>
      <c r="I619" s="17">
        <f t="shared" si="25"/>
        <v>10.344433333333333</v>
      </c>
      <c r="J619" s="17">
        <f t="shared" si="25"/>
        <v>10.292566666666668</v>
      </c>
      <c r="K619" s="53">
        <f t="shared" si="25"/>
        <v>10.338391666666666</v>
      </c>
      <c r="L619" s="17">
        <f t="shared" si="25"/>
        <v>11.100691666666664</v>
      </c>
      <c r="M619" s="17">
        <f t="shared" si="25"/>
        <v>10.207016666666666</v>
      </c>
      <c r="N619" s="17">
        <f t="shared" si="25"/>
        <v>10.223233333333335</v>
      </c>
      <c r="O619" s="17">
        <f t="shared" si="25"/>
        <v>10.42615</v>
      </c>
      <c r="P619" s="17">
        <f t="shared" si="25"/>
        <v>10.258158333333334</v>
      </c>
      <c r="Q619" s="17">
        <f t="shared" si="25"/>
        <v>11.020850000000001</v>
      </c>
      <c r="R619" s="17">
        <f t="shared" si="25"/>
        <v>11.635383333333332</v>
      </c>
      <c r="S619" s="17">
        <f t="shared" si="25"/>
        <v>9.9681750000000005</v>
      </c>
      <c r="T619" s="52">
        <f>SUM(T217:T228)</f>
        <v>357.33618100000001</v>
      </c>
      <c r="U619" s="52">
        <f>SUM(U217:U228)</f>
        <v>142.03263249999998</v>
      </c>
      <c r="V619" s="52">
        <f>SUM(V217:V228)</f>
        <v>50.187500000000007</v>
      </c>
      <c r="W619" s="52">
        <f>SUM(W217:W228)</f>
        <v>4.0622309999999988</v>
      </c>
      <c r="X619" s="52">
        <f>SUM(X217:X228)</f>
        <v>14.222225463999999</v>
      </c>
      <c r="Y619" s="52"/>
      <c r="Z619" s="17"/>
      <c r="AA619" s="17"/>
      <c r="AB619" s="49">
        <f>AVERAGE(AB217:AB228)</f>
        <v>10.34805270776735</v>
      </c>
      <c r="AC619" s="46">
        <f>AVERAGE(AC217:AC228)</f>
        <v>10.288403477218225</v>
      </c>
    </row>
    <row r="620" spans="1:29" ht="15.75" x14ac:dyDescent="0.25">
      <c r="A620" s="11">
        <v>2031</v>
      </c>
      <c r="B620" s="17">
        <f t="shared" ref="B620:S620" si="26">AVERAGE(B229:B240)</f>
        <v>10.729108333333334</v>
      </c>
      <c r="C620" s="17">
        <f t="shared" si="26"/>
        <v>10.735383333333331</v>
      </c>
      <c r="D620" s="17">
        <f t="shared" si="26"/>
        <v>10.931458333333332</v>
      </c>
      <c r="E620" s="17">
        <f t="shared" si="26"/>
        <v>10.963566666666665</v>
      </c>
      <c r="F620" s="17">
        <f t="shared" si="26"/>
        <v>10.738666666666667</v>
      </c>
      <c r="G620" s="17">
        <f t="shared" si="26"/>
        <v>10.755041666666665</v>
      </c>
      <c r="H620" s="17">
        <f t="shared" si="26"/>
        <v>10.952358333333335</v>
      </c>
      <c r="I620" s="17">
        <f t="shared" si="26"/>
        <v>10.784475</v>
      </c>
      <c r="J620" s="17">
        <f t="shared" si="26"/>
        <v>10.731266666666668</v>
      </c>
      <c r="K620" s="53">
        <f t="shared" si="26"/>
        <v>10.778458333333333</v>
      </c>
      <c r="L620" s="17">
        <f t="shared" si="26"/>
        <v>11.539358333333332</v>
      </c>
      <c r="M620" s="17">
        <f t="shared" si="26"/>
        <v>10.641758333333334</v>
      </c>
      <c r="N620" s="17">
        <f t="shared" si="26"/>
        <v>10.657983333333334</v>
      </c>
      <c r="O620" s="17">
        <f t="shared" si="26"/>
        <v>10.860891666666666</v>
      </c>
      <c r="P620" s="17">
        <f t="shared" si="26"/>
        <v>10.694241666666665</v>
      </c>
      <c r="Q620" s="17">
        <f t="shared" si="26"/>
        <v>11.455591666666665</v>
      </c>
      <c r="R620" s="17">
        <f t="shared" si="26"/>
        <v>12.071208333333333</v>
      </c>
      <c r="S620" s="17">
        <f t="shared" si="26"/>
        <v>10.393566666666667</v>
      </c>
      <c r="T620" s="52">
        <f>SUM(T229:T240)</f>
        <v>357.33618100000001</v>
      </c>
      <c r="U620" s="52">
        <f>SUM(U229:U240)</f>
        <v>142.03263249999998</v>
      </c>
      <c r="V620" s="52">
        <f>SUM(V229:V240)</f>
        <v>50.187500000000007</v>
      </c>
      <c r="W620" s="52">
        <f>SUM(W229:W240)</f>
        <v>4.0622309999999988</v>
      </c>
      <c r="X620" s="52">
        <f>SUM(X229:X240)</f>
        <v>14.222225463999999</v>
      </c>
      <c r="Y620" s="52"/>
      <c r="Z620" s="17"/>
      <c r="AA620" s="17"/>
      <c r="AB620" s="49">
        <f>AVERAGE(AB229:AB240)</f>
        <v>10.786856923484317</v>
      </c>
      <c r="AC620" s="46">
        <f>AVERAGE(AC229:AC240)</f>
        <v>10.723338669064747</v>
      </c>
    </row>
    <row r="621" spans="1:29" ht="15.75" x14ac:dyDescent="0.25">
      <c r="A621" s="11">
        <v>2032</v>
      </c>
      <c r="B621" s="17">
        <f t="shared" ref="B621:S621" si="27">AVERAGE(B241:B252)</f>
        <v>11.145024999999999</v>
      </c>
      <c r="C621" s="17">
        <f t="shared" si="27"/>
        <v>11.151291666666665</v>
      </c>
      <c r="D621" s="17">
        <f t="shared" si="27"/>
        <v>11.347358333333332</v>
      </c>
      <c r="E621" s="17">
        <f t="shared" si="27"/>
        <v>11.379483333333333</v>
      </c>
      <c r="F621" s="17">
        <f t="shared" si="27"/>
        <v>11.154575000000001</v>
      </c>
      <c r="G621" s="17">
        <f t="shared" si="27"/>
        <v>11.170941666666666</v>
      </c>
      <c r="H621" s="17">
        <f t="shared" si="27"/>
        <v>11.368266666666665</v>
      </c>
      <c r="I621" s="17">
        <f t="shared" si="27"/>
        <v>11.201683333333335</v>
      </c>
      <c r="J621" s="17">
        <f t="shared" si="27"/>
        <v>11.147174999999999</v>
      </c>
      <c r="K621" s="53">
        <f t="shared" si="27"/>
        <v>11.195633333333333</v>
      </c>
      <c r="L621" s="17">
        <f t="shared" si="27"/>
        <v>11.955266666666667</v>
      </c>
      <c r="M621" s="17">
        <f t="shared" si="27"/>
        <v>11.053925</v>
      </c>
      <c r="N621" s="17">
        <f t="shared" si="27"/>
        <v>11.070141666666666</v>
      </c>
      <c r="O621" s="17">
        <f t="shared" si="27"/>
        <v>11.273041666666664</v>
      </c>
      <c r="P621" s="17">
        <f t="shared" si="27"/>
        <v>11.107683333333332</v>
      </c>
      <c r="Q621" s="17">
        <f t="shared" si="27"/>
        <v>11.867741666666666</v>
      </c>
      <c r="R621" s="17">
        <f t="shared" si="27"/>
        <v>12.484408333333334</v>
      </c>
      <c r="S621" s="17">
        <f t="shared" si="27"/>
        <v>10.796858333333333</v>
      </c>
      <c r="T621" s="52">
        <f>SUM(T241:T252)</f>
        <v>358.26753550000001</v>
      </c>
      <c r="U621" s="52">
        <f>SUM(U241:U252)</f>
        <v>142.42176299999997</v>
      </c>
      <c r="V621" s="52">
        <f>SUM(V241:V252)</f>
        <v>50.325000000000003</v>
      </c>
      <c r="W621" s="52">
        <f>SUM(W241:W252)</f>
        <v>4.0733603999999994</v>
      </c>
      <c r="X621" s="52">
        <f>SUM(X241:X252)</f>
        <v>14.245965463999999</v>
      </c>
      <c r="Y621" s="52"/>
      <c r="Z621" s="17"/>
      <c r="AA621" s="17"/>
      <c r="AB621" s="49">
        <f>AVERAGE(AB241:AB252)</f>
        <v>11.202873105142347</v>
      </c>
      <c r="AC621" s="46">
        <f>AVERAGE(AC241:AC252)</f>
        <v>11.135683633093526</v>
      </c>
    </row>
    <row r="622" spans="1:29" ht="15.75" x14ac:dyDescent="0.25">
      <c r="A622" s="11">
        <v>2033</v>
      </c>
      <c r="B622" s="17">
        <f t="shared" ref="B622:S622" si="28">AVERAGE(B253:B264)</f>
        <v>11.577066666666667</v>
      </c>
      <c r="C622" s="17">
        <f t="shared" si="28"/>
        <v>11.58333333333333</v>
      </c>
      <c r="D622" s="17">
        <f t="shared" si="28"/>
        <v>11.779391666666667</v>
      </c>
      <c r="E622" s="17">
        <f t="shared" si="28"/>
        <v>11.811516666666664</v>
      </c>
      <c r="F622" s="17">
        <f t="shared" si="28"/>
        <v>11.586608333333336</v>
      </c>
      <c r="G622" s="17">
        <f t="shared" si="28"/>
        <v>11.602983333333333</v>
      </c>
      <c r="H622" s="17">
        <f t="shared" si="28"/>
        <v>11.800316666666665</v>
      </c>
      <c r="I622" s="17">
        <f t="shared" si="28"/>
        <v>11.635050000000001</v>
      </c>
      <c r="J622" s="17">
        <f t="shared" si="28"/>
        <v>11.579208333333334</v>
      </c>
      <c r="K622" s="53">
        <f t="shared" si="28"/>
        <v>11.629016666666667</v>
      </c>
      <c r="L622" s="17">
        <f t="shared" si="28"/>
        <v>12.387316666666665</v>
      </c>
      <c r="M622" s="17">
        <f t="shared" si="28"/>
        <v>11.482083333333334</v>
      </c>
      <c r="N622" s="17">
        <f t="shared" si="28"/>
        <v>11.498316666666668</v>
      </c>
      <c r="O622" s="17">
        <f t="shared" si="28"/>
        <v>11.701208333333334</v>
      </c>
      <c r="P622" s="17">
        <f t="shared" si="28"/>
        <v>11.537166666666666</v>
      </c>
      <c r="Q622" s="17">
        <f t="shared" si="28"/>
        <v>12.295908333333335</v>
      </c>
      <c r="R622" s="17">
        <f t="shared" si="28"/>
        <v>12.913658333333332</v>
      </c>
      <c r="S622" s="17">
        <f t="shared" si="28"/>
        <v>11.215825000000001</v>
      </c>
      <c r="T622" s="52">
        <f>SUM(T253:T264)</f>
        <v>357.33618100000001</v>
      </c>
      <c r="U622" s="52">
        <f>SUM(U253:U264)</f>
        <v>142.03263249999998</v>
      </c>
      <c r="V622" s="52">
        <f>SUM(V253:V264)</f>
        <v>50.187500000000007</v>
      </c>
      <c r="W622" s="52">
        <f>SUM(W253:W264)</f>
        <v>4.0622309999999988</v>
      </c>
      <c r="X622" s="52">
        <f>SUM(X253:X264)</f>
        <v>14.222225463999999</v>
      </c>
      <c r="Y622" s="52"/>
      <c r="Z622" s="17"/>
      <c r="AA622" s="17"/>
      <c r="AB622" s="49">
        <f>AVERAGE(AB253:AB264)</f>
        <v>11.635019973902951</v>
      </c>
      <c r="AC622" s="46">
        <f>AVERAGE(AC253:AC264)</f>
        <v>11.564035911270985</v>
      </c>
    </row>
    <row r="623" spans="1:29" ht="15.75" x14ac:dyDescent="0.25">
      <c r="A623" s="11">
        <v>2034</v>
      </c>
      <c r="B623" s="17">
        <f t="shared" ref="B623:S623" si="29">AVERAGE(B265:B276)</f>
        <v>12.025891666666666</v>
      </c>
      <c r="C623" s="17">
        <f t="shared" si="29"/>
        <v>12.032158333333333</v>
      </c>
      <c r="D623" s="17">
        <f t="shared" si="29"/>
        <v>12.228233333333334</v>
      </c>
      <c r="E623" s="17">
        <f t="shared" si="29"/>
        <v>12.260341666666669</v>
      </c>
      <c r="F623" s="17">
        <f t="shared" si="29"/>
        <v>12.035425000000002</v>
      </c>
      <c r="G623" s="17">
        <f t="shared" si="29"/>
        <v>12.0518</v>
      </c>
      <c r="H623" s="17">
        <f t="shared" si="29"/>
        <v>12.249141666666667</v>
      </c>
      <c r="I623" s="17">
        <f t="shared" si="29"/>
        <v>12.085266666666667</v>
      </c>
      <c r="J623" s="17">
        <f t="shared" si="29"/>
        <v>12.028025000000001</v>
      </c>
      <c r="K623" s="53">
        <f t="shared" si="29"/>
        <v>12.079216666666667</v>
      </c>
      <c r="L623" s="17">
        <f t="shared" si="29"/>
        <v>12.836141666666668</v>
      </c>
      <c r="M623" s="17">
        <f t="shared" si="29"/>
        <v>11.926866666666667</v>
      </c>
      <c r="N623" s="17">
        <f t="shared" si="29"/>
        <v>11.943083333333334</v>
      </c>
      <c r="O623" s="17">
        <f t="shared" si="29"/>
        <v>12.145983333333334</v>
      </c>
      <c r="P623" s="17">
        <f t="shared" si="29"/>
        <v>11.983299999999998</v>
      </c>
      <c r="Q623" s="17">
        <f t="shared" si="29"/>
        <v>12.740683333333331</v>
      </c>
      <c r="R623" s="17">
        <f t="shared" si="29"/>
        <v>13.359533333333333</v>
      </c>
      <c r="S623" s="17">
        <f t="shared" si="29"/>
        <v>11.651041666666666</v>
      </c>
      <c r="T623" s="52">
        <f>SUM(T265:T276)</f>
        <v>357.33618100000001</v>
      </c>
      <c r="U623" s="52">
        <f>SUM(U265:U276)</f>
        <v>142.03263249999998</v>
      </c>
      <c r="V623" s="52">
        <f>SUM(V265:V276)</f>
        <v>50.187500000000007</v>
      </c>
      <c r="W623" s="52">
        <f>SUM(W265:W276)</f>
        <v>4.0622309999999988</v>
      </c>
      <c r="X623" s="52">
        <f>SUM(X265:X276)</f>
        <v>14.222225463999999</v>
      </c>
      <c r="Y623" s="52"/>
      <c r="Z623" s="17"/>
      <c r="AA623" s="17"/>
      <c r="AB623" s="49">
        <f>AVERAGE(AB265:AB276)</f>
        <v>12.083958399449054</v>
      </c>
      <c r="AC623" s="46">
        <f>AVERAGE(AC265:AC276)</f>
        <v>12.009008752997602</v>
      </c>
    </row>
    <row r="624" spans="1:29" ht="15.75" x14ac:dyDescent="0.25">
      <c r="A624" s="11">
        <v>2035</v>
      </c>
      <c r="B624" s="17">
        <f t="shared" ref="B624:S624" si="30">AVERAGE(B277:B288)</f>
        <v>12.492116666666668</v>
      </c>
      <c r="C624" s="17">
        <f t="shared" si="30"/>
        <v>12.498391666666668</v>
      </c>
      <c r="D624" s="17">
        <f t="shared" si="30"/>
        <v>12.694441666666664</v>
      </c>
      <c r="E624" s="17">
        <f t="shared" si="30"/>
        <v>12.726583333333336</v>
      </c>
      <c r="F624" s="17">
        <f t="shared" si="30"/>
        <v>12.501658333333333</v>
      </c>
      <c r="G624" s="17">
        <f t="shared" si="30"/>
        <v>12.518041666666667</v>
      </c>
      <c r="H624" s="17">
        <f t="shared" si="30"/>
        <v>12.715383333333335</v>
      </c>
      <c r="I624" s="17">
        <f t="shared" si="30"/>
        <v>12.552950000000001</v>
      </c>
      <c r="J624" s="17">
        <f t="shared" si="30"/>
        <v>12.494258333333335</v>
      </c>
      <c r="K624" s="53">
        <f t="shared" si="30"/>
        <v>12.546900000000001</v>
      </c>
      <c r="L624" s="17">
        <f t="shared" si="30"/>
        <v>13.302383333333331</v>
      </c>
      <c r="M624" s="17">
        <f t="shared" si="30"/>
        <v>12.388875000000001</v>
      </c>
      <c r="N624" s="17">
        <f t="shared" si="30"/>
        <v>12.405108333333333</v>
      </c>
      <c r="O624" s="17">
        <f t="shared" si="30"/>
        <v>12.608025000000003</v>
      </c>
      <c r="P624" s="17">
        <f t="shared" si="30"/>
        <v>12.446766666666667</v>
      </c>
      <c r="Q624" s="17">
        <f t="shared" si="30"/>
        <v>13.202725000000001</v>
      </c>
      <c r="R624" s="17">
        <f t="shared" si="30"/>
        <v>13.822733333333332</v>
      </c>
      <c r="S624" s="17">
        <f t="shared" si="30"/>
        <v>12.103125</v>
      </c>
      <c r="T624" s="52">
        <f>SUM(T277:T288)</f>
        <v>357.33618100000001</v>
      </c>
      <c r="U624" s="52">
        <f>SUM(U277:U288)</f>
        <v>142.03263249999998</v>
      </c>
      <c r="V624" s="52">
        <f>SUM(V277:V288)</f>
        <v>50.187500000000007</v>
      </c>
      <c r="W624" s="52">
        <f>SUM(W277:W288)</f>
        <v>4.0622309999999988</v>
      </c>
      <c r="X624" s="52">
        <f>SUM(X277:X288)</f>
        <v>14.222225463999999</v>
      </c>
      <c r="Y624" s="52"/>
      <c r="Z624" s="17"/>
      <c r="AA624" s="17"/>
      <c r="AB624" s="49">
        <f>AVERAGE(AB277:AB288)</f>
        <v>12.550309432989154</v>
      </c>
      <c r="AC624" s="46">
        <f>AVERAGE(AC277:AC288)</f>
        <v>12.471240107913667</v>
      </c>
    </row>
    <row r="625" spans="1:29" ht="15.75" x14ac:dyDescent="0.25">
      <c r="A625" s="11">
        <v>2036</v>
      </c>
      <c r="B625" s="17">
        <f t="shared" ref="B625:S625" si="31">AVERAGE(B289:B300)</f>
        <v>12.976433333333334</v>
      </c>
      <c r="C625" s="17">
        <f t="shared" si="31"/>
        <v>12.982691666666668</v>
      </c>
      <c r="D625" s="17">
        <f t="shared" si="31"/>
        <v>13.178791666666667</v>
      </c>
      <c r="E625" s="17">
        <f t="shared" si="31"/>
        <v>13.210875</v>
      </c>
      <c r="F625" s="17">
        <f t="shared" si="31"/>
        <v>12.985983333333332</v>
      </c>
      <c r="G625" s="17">
        <f t="shared" si="31"/>
        <v>13.00235</v>
      </c>
      <c r="H625" s="17">
        <f t="shared" si="31"/>
        <v>13.199691666666666</v>
      </c>
      <c r="I625" s="17">
        <f t="shared" si="31"/>
        <v>13.038774999999999</v>
      </c>
      <c r="J625" s="17">
        <f t="shared" si="31"/>
        <v>12.978583333333333</v>
      </c>
      <c r="K625" s="53">
        <f t="shared" si="31"/>
        <v>13.032733333333333</v>
      </c>
      <c r="L625" s="17">
        <f t="shared" si="31"/>
        <v>13.786691666666664</v>
      </c>
      <c r="M625" s="17">
        <f t="shared" si="31"/>
        <v>12.86885833333333</v>
      </c>
      <c r="N625" s="17">
        <f t="shared" si="31"/>
        <v>12.885083333333332</v>
      </c>
      <c r="O625" s="17">
        <f t="shared" si="31"/>
        <v>13.088000000000001</v>
      </c>
      <c r="P625" s="17">
        <f t="shared" si="31"/>
        <v>12.928183333333331</v>
      </c>
      <c r="Q625" s="17">
        <f t="shared" si="31"/>
        <v>13.682699999999997</v>
      </c>
      <c r="R625" s="17">
        <f t="shared" si="31"/>
        <v>14.303883333333332</v>
      </c>
      <c r="S625" s="17">
        <f t="shared" si="31"/>
        <v>12.572775000000002</v>
      </c>
      <c r="T625" s="52">
        <f>SUM(T289:T300)</f>
        <v>358.26753550000001</v>
      </c>
      <c r="U625" s="52">
        <f>SUM(U289:U300)</f>
        <v>142.42176299999997</v>
      </c>
      <c r="V625" s="52">
        <f>SUM(V289:V300)</f>
        <v>50.325000000000003</v>
      </c>
      <c r="W625" s="52">
        <f>SUM(W289:W300)</f>
        <v>4.0733603999999994</v>
      </c>
      <c r="X625" s="52">
        <f>SUM(X289:X300)</f>
        <v>14.245965463999999</v>
      </c>
      <c r="Y625" s="52"/>
      <c r="Z625" s="17"/>
      <c r="AA625" s="17"/>
      <c r="AB625" s="49">
        <f>AVERAGE(AB289:AB300)</f>
        <v>13.034748375310144</v>
      </c>
      <c r="AC625" s="46">
        <f>AVERAGE(AC289:AC300)</f>
        <v>12.951426858513189</v>
      </c>
    </row>
    <row r="626" spans="1:29" ht="15.75" x14ac:dyDescent="0.25">
      <c r="A626" s="11">
        <v>2037</v>
      </c>
      <c r="B626" s="17">
        <f t="shared" ref="B626:S626" si="32">AVERAGE(B301:B312)</f>
        <v>13.479558333333332</v>
      </c>
      <c r="C626" s="17">
        <f t="shared" si="32"/>
        <v>13.485816666666665</v>
      </c>
      <c r="D626" s="17">
        <f t="shared" si="32"/>
        <v>13.681899999999999</v>
      </c>
      <c r="E626" s="17">
        <f t="shared" si="32"/>
        <v>13.714</v>
      </c>
      <c r="F626" s="17">
        <f t="shared" si="32"/>
        <v>13.489100000000001</v>
      </c>
      <c r="G626" s="17">
        <f t="shared" si="32"/>
        <v>13.505474999999999</v>
      </c>
      <c r="H626" s="17">
        <f t="shared" si="32"/>
        <v>13.702800000000002</v>
      </c>
      <c r="I626" s="17">
        <f t="shared" si="32"/>
        <v>13.543450000000002</v>
      </c>
      <c r="J626" s="17">
        <f t="shared" si="32"/>
        <v>13.481700000000002</v>
      </c>
      <c r="K626" s="53">
        <f t="shared" si="32"/>
        <v>13.537408333333333</v>
      </c>
      <c r="L626" s="17">
        <f t="shared" si="32"/>
        <v>14.2898</v>
      </c>
      <c r="M626" s="17">
        <f t="shared" si="32"/>
        <v>13.367449999999998</v>
      </c>
      <c r="N626" s="17">
        <f t="shared" si="32"/>
        <v>13.383675000000002</v>
      </c>
      <c r="O626" s="17">
        <f t="shared" si="32"/>
        <v>13.586591666666669</v>
      </c>
      <c r="P626" s="17">
        <f t="shared" si="32"/>
        <v>13.428308333333332</v>
      </c>
      <c r="Q626" s="17">
        <f t="shared" si="32"/>
        <v>14.181291666666667</v>
      </c>
      <c r="R626" s="17">
        <f t="shared" si="32"/>
        <v>14.803725</v>
      </c>
      <c r="S626" s="17">
        <f t="shared" si="32"/>
        <v>13.060649999999997</v>
      </c>
      <c r="T626" s="52">
        <f>SUM(T301:T312)</f>
        <v>357.33618100000001</v>
      </c>
      <c r="U626" s="52">
        <f>SUM(U301:U312)</f>
        <v>142.03263249999998</v>
      </c>
      <c r="V626" s="52">
        <f>SUM(V301:V312)</f>
        <v>50.187500000000007</v>
      </c>
      <c r="W626" s="52">
        <f>SUM(W301:W312)</f>
        <v>4.0622309999999988</v>
      </c>
      <c r="X626" s="52">
        <f>SUM(X301:X312)</f>
        <v>14.222225463999999</v>
      </c>
      <c r="Y626" s="52"/>
      <c r="Z626" s="17"/>
      <c r="AA626" s="17"/>
      <c r="AB626" s="49">
        <f>AVERAGE(AB301:AB312)</f>
        <v>13.53799740773786</v>
      </c>
      <c r="AC626" s="46">
        <f>AVERAGE(AC301:AC312)</f>
        <v>13.450237709832138</v>
      </c>
    </row>
    <row r="627" spans="1:29" ht="15.75" x14ac:dyDescent="0.25">
      <c r="A627" s="11">
        <f t="shared" ref="A627:A650" si="33">A626+1</f>
        <v>2038</v>
      </c>
      <c r="B627" s="17">
        <f t="shared" ref="B627:S627" si="34">AVERAGE(B313:B324)</f>
        <v>14.002208333333334</v>
      </c>
      <c r="C627" s="17">
        <f t="shared" si="34"/>
        <v>14.008458333333332</v>
      </c>
      <c r="D627" s="17">
        <f t="shared" si="34"/>
        <v>14.204525000000002</v>
      </c>
      <c r="E627" s="17">
        <f t="shared" si="34"/>
        <v>14.236666666666666</v>
      </c>
      <c r="F627" s="17">
        <f t="shared" si="34"/>
        <v>14.011750000000001</v>
      </c>
      <c r="G627" s="17">
        <f t="shared" si="34"/>
        <v>14.028116666666669</v>
      </c>
      <c r="H627" s="17">
        <f t="shared" si="34"/>
        <v>14.22545</v>
      </c>
      <c r="I627" s="17">
        <f t="shared" si="34"/>
        <v>14.067700000000002</v>
      </c>
      <c r="J627" s="17">
        <f t="shared" si="34"/>
        <v>14.004349999999997</v>
      </c>
      <c r="K627" s="53">
        <f t="shared" si="34"/>
        <v>14.061675000000001</v>
      </c>
      <c r="L627" s="17">
        <f t="shared" si="34"/>
        <v>14.81245</v>
      </c>
      <c r="M627" s="17">
        <f t="shared" si="34"/>
        <v>13.885408333333332</v>
      </c>
      <c r="N627" s="17">
        <f t="shared" si="34"/>
        <v>13.901608333333334</v>
      </c>
      <c r="O627" s="17">
        <f t="shared" si="34"/>
        <v>14.104508333333333</v>
      </c>
      <c r="P627" s="17">
        <f t="shared" si="34"/>
        <v>13.947866666666664</v>
      </c>
      <c r="Q627" s="17">
        <f t="shared" si="34"/>
        <v>14.699208333333333</v>
      </c>
      <c r="R627" s="17">
        <f t="shared" si="34"/>
        <v>15.322975</v>
      </c>
      <c r="S627" s="17">
        <f t="shared" si="34"/>
        <v>13.567466666666668</v>
      </c>
      <c r="T627" s="52">
        <f>SUM(T313:T324)</f>
        <v>357.33618100000001</v>
      </c>
      <c r="U627" s="52">
        <f>SUM(U313:U324)</f>
        <v>142.03263249999998</v>
      </c>
      <c r="V627" s="52">
        <f>SUM(V313:V324)</f>
        <v>50.187500000000007</v>
      </c>
      <c r="W627" s="52">
        <f>SUM(W313:W324)</f>
        <v>4.0622309999999988</v>
      </c>
      <c r="X627" s="52">
        <f>SUM(X313:X324)</f>
        <v>14.222225463999999</v>
      </c>
      <c r="Y627" s="52"/>
      <c r="Z627" s="17"/>
      <c r="AA627" s="17"/>
      <c r="AB627" s="49">
        <f>AVERAGE(AB313:AB324)</f>
        <v>14.060775803072074</v>
      </c>
      <c r="AC627" s="46">
        <f>AVERAGE(AC313:AC324)</f>
        <v>13.968410251798561</v>
      </c>
    </row>
    <row r="628" spans="1:29" ht="15.75" x14ac:dyDescent="0.25">
      <c r="A628" s="11">
        <f t="shared" si="33"/>
        <v>2039</v>
      </c>
      <c r="B628" s="17">
        <f t="shared" ref="B628:S628" si="35">AVERAGE(B325:B336)</f>
        <v>14.545116666666665</v>
      </c>
      <c r="C628" s="17">
        <f t="shared" si="35"/>
        <v>14.551391666666666</v>
      </c>
      <c r="D628" s="17">
        <f t="shared" si="35"/>
        <v>14.747466666666663</v>
      </c>
      <c r="E628" s="17">
        <f t="shared" si="35"/>
        <v>14.779575000000001</v>
      </c>
      <c r="F628" s="17">
        <f t="shared" si="35"/>
        <v>14.554658333333334</v>
      </c>
      <c r="G628" s="17">
        <f t="shared" si="35"/>
        <v>14.571041666666666</v>
      </c>
      <c r="H628" s="17">
        <f t="shared" si="35"/>
        <v>14.768375000000001</v>
      </c>
      <c r="I628" s="17">
        <f t="shared" si="35"/>
        <v>14.612316666666665</v>
      </c>
      <c r="J628" s="17">
        <f t="shared" si="35"/>
        <v>14.547258333333334</v>
      </c>
      <c r="K628" s="53">
        <f t="shared" si="35"/>
        <v>14.606266666666665</v>
      </c>
      <c r="L628" s="17">
        <f t="shared" si="35"/>
        <v>15.355375</v>
      </c>
      <c r="M628" s="17">
        <f t="shared" si="35"/>
        <v>14.42343333333333</v>
      </c>
      <c r="N628" s="17">
        <f t="shared" si="35"/>
        <v>14.439658333333332</v>
      </c>
      <c r="O628" s="17">
        <f t="shared" si="35"/>
        <v>14.642558333333334</v>
      </c>
      <c r="P628" s="17">
        <f t="shared" si="35"/>
        <v>14.487558333333334</v>
      </c>
      <c r="Q628" s="17">
        <f t="shared" si="35"/>
        <v>15.237258333333335</v>
      </c>
      <c r="R628" s="17">
        <f t="shared" si="35"/>
        <v>15.862350000000001</v>
      </c>
      <c r="S628" s="17">
        <f t="shared" si="35"/>
        <v>14.093933333333334</v>
      </c>
      <c r="T628" s="52">
        <f>SUM(T325:T336)</f>
        <v>357.33618100000001</v>
      </c>
      <c r="U628" s="52">
        <f>SUM(U325:U336)</f>
        <v>142.03263249999998</v>
      </c>
      <c r="V628" s="52">
        <f>SUM(V325:V336)</f>
        <v>50.187500000000007</v>
      </c>
      <c r="W628" s="52">
        <f>SUM(W325:W336)</f>
        <v>4.0622309999999988</v>
      </c>
      <c r="X628" s="52">
        <f>SUM(X325:X336)</f>
        <v>14.222225463999999</v>
      </c>
      <c r="Y628" s="52"/>
      <c r="Z628" s="55"/>
      <c r="AA628" s="54"/>
      <c r="AB628" s="49">
        <f>AVERAGE(AB325:AB336)</f>
        <v>14.60383481075492</v>
      </c>
      <c r="AC628" s="46">
        <f>AVERAGE(AC325:AC336)</f>
        <v>14.506683513189445</v>
      </c>
    </row>
    <row r="629" spans="1:29" ht="15.75" x14ac:dyDescent="0.25">
      <c r="A629" s="11">
        <f t="shared" si="33"/>
        <v>2040</v>
      </c>
      <c r="B629" s="17">
        <f t="shared" ref="B629:S629" si="36">AVERAGE(B337:B348)</f>
        <v>15.109116666666665</v>
      </c>
      <c r="C629" s="17">
        <f t="shared" si="36"/>
        <v>15.115383333333334</v>
      </c>
      <c r="D629" s="17">
        <f t="shared" si="36"/>
        <v>15.311441666666667</v>
      </c>
      <c r="E629" s="17">
        <f t="shared" si="36"/>
        <v>15.343575000000001</v>
      </c>
      <c r="F629" s="17">
        <f t="shared" si="36"/>
        <v>15.118650000000001</v>
      </c>
      <c r="G629" s="17">
        <f t="shared" si="36"/>
        <v>15.135025000000004</v>
      </c>
      <c r="H629" s="17">
        <f t="shared" si="36"/>
        <v>15.332383333333334</v>
      </c>
      <c r="I629" s="17">
        <f t="shared" si="36"/>
        <v>15.178066666666668</v>
      </c>
      <c r="J629" s="17">
        <f t="shared" si="36"/>
        <v>15.111249999999998</v>
      </c>
      <c r="K629" s="53">
        <f t="shared" si="36"/>
        <v>15.172016666666666</v>
      </c>
      <c r="L629" s="17">
        <f t="shared" si="36"/>
        <v>15.919383333333334</v>
      </c>
      <c r="M629" s="17">
        <f t="shared" si="36"/>
        <v>14.982358333333332</v>
      </c>
      <c r="N629" s="17">
        <f t="shared" si="36"/>
        <v>14.998591666666668</v>
      </c>
      <c r="O629" s="17">
        <f t="shared" si="36"/>
        <v>15.201475</v>
      </c>
      <c r="P629" s="17">
        <f t="shared" si="36"/>
        <v>15.0482</v>
      </c>
      <c r="Q629" s="17">
        <f t="shared" si="36"/>
        <v>15.796174999999998</v>
      </c>
      <c r="R629" s="17">
        <f t="shared" si="36"/>
        <v>16.422675000000002</v>
      </c>
      <c r="S629" s="17">
        <f t="shared" si="36"/>
        <v>14.640833333333331</v>
      </c>
      <c r="T629" s="52">
        <f>SUM(T337:T348)</f>
        <v>358.26753550000001</v>
      </c>
      <c r="U629" s="52">
        <f>SUM(U337:U348)</f>
        <v>142.42176299999997</v>
      </c>
      <c r="V629" s="52">
        <f>SUM(V337:V348)</f>
        <v>50.325000000000003</v>
      </c>
      <c r="W629" s="52">
        <f>SUM(W337:W348)</f>
        <v>4.0733603999999994</v>
      </c>
      <c r="X629" s="52">
        <f>SUM(X337:X348)</f>
        <v>14.245965463999999</v>
      </c>
      <c r="Y629" s="52"/>
      <c r="Z629" s="55"/>
      <c r="AA629" s="54"/>
      <c r="AB629" s="49">
        <f>AVERAGE(AB337:AB348)</f>
        <v>15.167972265151041</v>
      </c>
      <c r="AC629" s="46">
        <f>AVERAGE(AC337:AC348)</f>
        <v>15.06585653477218</v>
      </c>
    </row>
    <row r="630" spans="1:29" ht="15.75" x14ac:dyDescent="0.25">
      <c r="A630" s="11">
        <f t="shared" si="33"/>
        <v>2041</v>
      </c>
      <c r="B630" s="17">
        <f t="shared" ref="B630:S630" si="37">AVERAGE(B349:B360)</f>
        <v>15.694991666666668</v>
      </c>
      <c r="C630" s="17">
        <f t="shared" si="37"/>
        <v>15.701258333333334</v>
      </c>
      <c r="D630" s="17">
        <f t="shared" si="37"/>
        <v>15.897350000000003</v>
      </c>
      <c r="E630" s="17">
        <f t="shared" si="37"/>
        <v>15.929424999999997</v>
      </c>
      <c r="F630" s="17">
        <f t="shared" si="37"/>
        <v>15.704533333333336</v>
      </c>
      <c r="G630" s="17">
        <f t="shared" si="37"/>
        <v>15.720916666666666</v>
      </c>
      <c r="H630" s="17">
        <f t="shared" si="37"/>
        <v>15.918250000000002</v>
      </c>
      <c r="I630" s="17">
        <f t="shared" si="37"/>
        <v>15.765766666666664</v>
      </c>
      <c r="J630" s="17">
        <f t="shared" si="37"/>
        <v>15.697133333333333</v>
      </c>
      <c r="K630" s="53">
        <f t="shared" si="37"/>
        <v>15.759716666666668</v>
      </c>
      <c r="L630" s="17">
        <f t="shared" si="37"/>
        <v>16.50525</v>
      </c>
      <c r="M630" s="17">
        <f t="shared" si="37"/>
        <v>15.562975</v>
      </c>
      <c r="N630" s="17">
        <f t="shared" si="37"/>
        <v>15.5792</v>
      </c>
      <c r="O630" s="17">
        <f t="shared" si="37"/>
        <v>15.782083333333333</v>
      </c>
      <c r="P630" s="17">
        <f t="shared" si="37"/>
        <v>15.630591666666668</v>
      </c>
      <c r="Q630" s="17">
        <f t="shared" si="37"/>
        <v>16.376783333333332</v>
      </c>
      <c r="R630" s="17">
        <f t="shared" si="37"/>
        <v>17.004724999999997</v>
      </c>
      <c r="S630" s="17">
        <f t="shared" si="37"/>
        <v>15.208966666666663</v>
      </c>
      <c r="T630" s="52">
        <f>SUM(T349:T360)</f>
        <v>357.33618100000001</v>
      </c>
      <c r="U630" s="52">
        <f>SUM(U349:U360)</f>
        <v>142.03263249999998</v>
      </c>
      <c r="V630" s="52">
        <f>SUM(V349:V360)</f>
        <v>50.187500000000007</v>
      </c>
      <c r="W630" s="52">
        <f>SUM(W349:W360)</f>
        <v>4.0622309999999988</v>
      </c>
      <c r="X630" s="52">
        <f>SUM(X349:X360)</f>
        <v>14.222225463999999</v>
      </c>
      <c r="Y630" s="52"/>
      <c r="Z630" s="55"/>
      <c r="AA630" s="54"/>
      <c r="AB630" s="49">
        <f>AVERAGE(AB349:AB360)</f>
        <v>15.754001379026358</v>
      </c>
      <c r="AC630" s="46">
        <f>AVERAGE(AC349:AC360)</f>
        <v>15.646722901678658</v>
      </c>
    </row>
    <row r="631" spans="1:29" ht="15.75" x14ac:dyDescent="0.25">
      <c r="A631" s="11">
        <f t="shared" si="33"/>
        <v>2042</v>
      </c>
      <c r="B631" s="17">
        <f t="shared" ref="B631:S631" si="38">AVERAGE(B361:B372)</f>
        <v>16.303599999999999</v>
      </c>
      <c r="C631" s="17">
        <f t="shared" si="38"/>
        <v>16.309849999999997</v>
      </c>
      <c r="D631" s="17">
        <f t="shared" si="38"/>
        <v>16.505941666666665</v>
      </c>
      <c r="E631" s="17">
        <f t="shared" si="38"/>
        <v>16.538049999999998</v>
      </c>
      <c r="F631" s="17">
        <f t="shared" si="38"/>
        <v>16.313149999999997</v>
      </c>
      <c r="G631" s="17">
        <f t="shared" si="38"/>
        <v>16.329533333333334</v>
      </c>
      <c r="H631" s="17">
        <f t="shared" si="38"/>
        <v>16.526858333333333</v>
      </c>
      <c r="I631" s="17">
        <f t="shared" si="38"/>
        <v>16.376258333333329</v>
      </c>
      <c r="J631" s="17">
        <f t="shared" si="38"/>
        <v>16.30575</v>
      </c>
      <c r="K631" s="53">
        <f t="shared" si="38"/>
        <v>16.370216666666664</v>
      </c>
      <c r="L631" s="17">
        <f t="shared" si="38"/>
        <v>17.113858333333337</v>
      </c>
      <c r="M631" s="17">
        <f t="shared" si="38"/>
        <v>16.166108333333334</v>
      </c>
      <c r="N631" s="17">
        <f t="shared" si="38"/>
        <v>16.182341666666666</v>
      </c>
      <c r="O631" s="17">
        <f t="shared" si="38"/>
        <v>16.385225000000002</v>
      </c>
      <c r="P631" s="17">
        <f t="shared" si="38"/>
        <v>16.235591666666664</v>
      </c>
      <c r="Q631" s="17">
        <f t="shared" si="38"/>
        <v>16.979924999999998</v>
      </c>
      <c r="R631" s="17">
        <f t="shared" si="38"/>
        <v>17.609375</v>
      </c>
      <c r="S631" s="17">
        <f t="shared" si="38"/>
        <v>15.799133333333332</v>
      </c>
      <c r="T631" s="52">
        <f>SUM(T361:T372)</f>
        <v>357.33618100000001</v>
      </c>
      <c r="U631" s="52">
        <f>SUM(U361:U372)</f>
        <v>142.03263249999998</v>
      </c>
      <c r="V631" s="52">
        <f>SUM(V361:V372)</f>
        <v>50.187500000000007</v>
      </c>
      <c r="W631" s="52">
        <f>SUM(W361:W372)</f>
        <v>4.0622309999999988</v>
      </c>
      <c r="X631" s="52">
        <f>SUM(X361:X372)</f>
        <v>14.222225463999999</v>
      </c>
      <c r="Y631" s="52"/>
      <c r="Z631" s="55"/>
      <c r="AA631" s="54"/>
      <c r="AB631" s="49">
        <f>AVERAGE(AB361:AB372)</f>
        <v>16.362763786737379</v>
      </c>
      <c r="AC631" s="46">
        <f>AVERAGE(AC361:AC372)</f>
        <v>16.250130515587532</v>
      </c>
    </row>
    <row r="632" spans="1:29" ht="15.75" x14ac:dyDescent="0.25">
      <c r="A632" s="11">
        <f t="shared" si="33"/>
        <v>2043</v>
      </c>
      <c r="B632" s="17">
        <f t="shared" ref="B632:S632" si="39">AVERAGE(B373:B384)</f>
        <v>16.935850000000002</v>
      </c>
      <c r="C632" s="17">
        <f t="shared" si="39"/>
        <v>16.942116666666664</v>
      </c>
      <c r="D632" s="17">
        <f t="shared" si="39"/>
        <v>17.13818333333333</v>
      </c>
      <c r="E632" s="17">
        <f t="shared" si="39"/>
        <v>17.170291666666667</v>
      </c>
      <c r="F632" s="17">
        <f t="shared" si="39"/>
        <v>16.945383333333336</v>
      </c>
      <c r="G632" s="17">
        <f t="shared" si="39"/>
        <v>16.961758333333332</v>
      </c>
      <c r="H632" s="17">
        <f t="shared" si="39"/>
        <v>17.159091666666665</v>
      </c>
      <c r="I632" s="17">
        <f t="shared" si="39"/>
        <v>17.010450000000002</v>
      </c>
      <c r="J632" s="17">
        <f t="shared" si="39"/>
        <v>16.937983333333335</v>
      </c>
      <c r="K632" s="53">
        <f t="shared" si="39"/>
        <v>17.004416666666668</v>
      </c>
      <c r="L632" s="17">
        <f t="shared" si="39"/>
        <v>17.746091666666661</v>
      </c>
      <c r="M632" s="17">
        <f t="shared" si="39"/>
        <v>16.792650000000002</v>
      </c>
      <c r="N632" s="17">
        <f t="shared" si="39"/>
        <v>16.808891666666668</v>
      </c>
      <c r="O632" s="17">
        <f t="shared" si="39"/>
        <v>17.011783333333334</v>
      </c>
      <c r="P632" s="17">
        <f t="shared" si="39"/>
        <v>16.864058333333332</v>
      </c>
      <c r="Q632" s="17">
        <f t="shared" si="39"/>
        <v>17.60648333333333</v>
      </c>
      <c r="R632" s="17">
        <f t="shared" si="39"/>
        <v>18.237491666666667</v>
      </c>
      <c r="S632" s="17">
        <f t="shared" si="39"/>
        <v>16.412208333333332</v>
      </c>
      <c r="T632" s="52">
        <f>SUM(T373:T384)</f>
        <v>357.33618100000001</v>
      </c>
      <c r="U632" s="52">
        <f>SUM(U373:U384)</f>
        <v>142.03263249999998</v>
      </c>
      <c r="V632" s="52">
        <f>SUM(V373:V384)</f>
        <v>50.187500000000007</v>
      </c>
      <c r="W632" s="52">
        <f>SUM(W373:W384)</f>
        <v>4.0622309999999988</v>
      </c>
      <c r="X632" s="52">
        <f>SUM(X373:X384)</f>
        <v>14.222225463999999</v>
      </c>
      <c r="Y632" s="52"/>
      <c r="Z632" s="55"/>
      <c r="AA632" s="54"/>
      <c r="AB632" s="49">
        <f>AVERAGE(AB373:AB384)</f>
        <v>16.995169818419871</v>
      </c>
      <c r="AC632" s="46">
        <f>AVERAGE(AC373:AC384)</f>
        <v>16.876954316546762</v>
      </c>
    </row>
    <row r="633" spans="1:29" ht="15.75" x14ac:dyDescent="0.25">
      <c r="A633" s="11">
        <f t="shared" si="33"/>
        <v>2044</v>
      </c>
      <c r="B633" s="17">
        <f t="shared" ref="B633:S633" si="40">AVERAGE(B385:B396)</f>
        <v>17.592608333333335</v>
      </c>
      <c r="C633" s="17">
        <f t="shared" si="40"/>
        <v>17.598866666666666</v>
      </c>
      <c r="D633" s="17">
        <f t="shared" si="40"/>
        <v>17.79495</v>
      </c>
      <c r="E633" s="17">
        <f t="shared" si="40"/>
        <v>17.827058333333333</v>
      </c>
      <c r="F633" s="17">
        <f t="shared" si="40"/>
        <v>17.602141666666665</v>
      </c>
      <c r="G633" s="17">
        <f t="shared" si="40"/>
        <v>17.618541666666665</v>
      </c>
      <c r="H633" s="17">
        <f t="shared" si="40"/>
        <v>17.815866666666668</v>
      </c>
      <c r="I633" s="17">
        <f t="shared" si="40"/>
        <v>17.669266666666669</v>
      </c>
      <c r="J633" s="17">
        <f t="shared" si="40"/>
        <v>17.594741666666668</v>
      </c>
      <c r="K633" s="53">
        <f t="shared" si="40"/>
        <v>17.663225000000001</v>
      </c>
      <c r="L633" s="17">
        <f t="shared" si="40"/>
        <v>18.402866666666668</v>
      </c>
      <c r="M633" s="17">
        <f t="shared" si="40"/>
        <v>17.443524999999998</v>
      </c>
      <c r="N633" s="17">
        <f t="shared" si="40"/>
        <v>17.459733333333336</v>
      </c>
      <c r="O633" s="17">
        <f t="shared" si="40"/>
        <v>17.662641666666666</v>
      </c>
      <c r="P633" s="17">
        <f t="shared" si="40"/>
        <v>17.516925000000001</v>
      </c>
      <c r="Q633" s="17">
        <f t="shared" si="40"/>
        <v>18.257341666666665</v>
      </c>
      <c r="R633" s="17">
        <f t="shared" si="40"/>
        <v>18.889983333333333</v>
      </c>
      <c r="S633" s="17">
        <f t="shared" si="40"/>
        <v>17.049083333333332</v>
      </c>
      <c r="T633" s="52">
        <f>SUM(T385:T396)</f>
        <v>358.26753550000001</v>
      </c>
      <c r="U633" s="52">
        <f>SUM(U385:U396)</f>
        <v>142.42176299999997</v>
      </c>
      <c r="V633" s="52">
        <f>SUM(V385:V396)</f>
        <v>50.325000000000003</v>
      </c>
      <c r="W633" s="52">
        <f>SUM(W385:W396)</f>
        <v>4.0733603999999994</v>
      </c>
      <c r="X633" s="52">
        <f>SUM(X385:X396)</f>
        <v>14.245965463999999</v>
      </c>
      <c r="Y633" s="52"/>
      <c r="Z633" s="55"/>
      <c r="AA633" s="54"/>
      <c r="AB633" s="49">
        <f>AVERAGE(AB385:AB396)</f>
        <v>17.652099186772286</v>
      </c>
      <c r="AC633" s="46">
        <f>AVERAGE(AC385:AC396)</f>
        <v>17.528106414868105</v>
      </c>
    </row>
    <row r="634" spans="1:29" ht="15.75" x14ac:dyDescent="0.25">
      <c r="A634" s="11">
        <f t="shared" si="33"/>
        <v>2045</v>
      </c>
      <c r="B634" s="17">
        <f t="shared" ref="B634:S634" si="41">AVERAGE(B397:B408)</f>
        <v>18.274858333333334</v>
      </c>
      <c r="C634" s="17">
        <f t="shared" si="41"/>
        <v>18.281116666666666</v>
      </c>
      <c r="D634" s="17">
        <f t="shared" si="41"/>
        <v>18.4772</v>
      </c>
      <c r="E634" s="17">
        <f t="shared" si="41"/>
        <v>18.509308333333333</v>
      </c>
      <c r="F634" s="17">
        <f t="shared" si="41"/>
        <v>18.284400000000002</v>
      </c>
      <c r="G634" s="17">
        <f t="shared" si="41"/>
        <v>18.300783333333332</v>
      </c>
      <c r="H634" s="17">
        <f t="shared" si="41"/>
        <v>18.498108333333331</v>
      </c>
      <c r="I634" s="17">
        <f t="shared" si="41"/>
        <v>18.353641666666665</v>
      </c>
      <c r="J634" s="17">
        <f t="shared" si="41"/>
        <v>18.277000000000001</v>
      </c>
      <c r="K634" s="53">
        <f t="shared" si="41"/>
        <v>18.347591666666666</v>
      </c>
      <c r="L634" s="17">
        <f t="shared" si="41"/>
        <v>19.085108333333327</v>
      </c>
      <c r="M634" s="17">
        <f t="shared" si="41"/>
        <v>18.119641666666666</v>
      </c>
      <c r="N634" s="17">
        <f t="shared" si="41"/>
        <v>18.135866666666665</v>
      </c>
      <c r="O634" s="17">
        <f t="shared" si="41"/>
        <v>18.338766666666668</v>
      </c>
      <c r="P634" s="17">
        <f t="shared" si="41"/>
        <v>18.195133333333331</v>
      </c>
      <c r="Q634" s="17">
        <f t="shared" si="41"/>
        <v>18.933466666666664</v>
      </c>
      <c r="R634" s="17">
        <f t="shared" si="41"/>
        <v>19.567783333333335</v>
      </c>
      <c r="S634" s="17">
        <f t="shared" si="41"/>
        <v>17.710666666666668</v>
      </c>
      <c r="T634" s="52">
        <f>SUM(T397:T408)</f>
        <v>357.33618100000001</v>
      </c>
      <c r="U634" s="52">
        <f>SUM(U397:U408)</f>
        <v>142.03263249999998</v>
      </c>
      <c r="V634" s="52">
        <f>SUM(V397:V408)</f>
        <v>50.187500000000007</v>
      </c>
      <c r="W634" s="52">
        <f>SUM(W397:W408)</f>
        <v>4.0622309999999988</v>
      </c>
      <c r="X634" s="52">
        <f>SUM(X397:X408)</f>
        <v>14.222225463999999</v>
      </c>
      <c r="Y634" s="52"/>
      <c r="Z634" s="55"/>
      <c r="AA634" s="54"/>
      <c r="AB634" s="49">
        <f>AVERAGE(AB397:AB408)</f>
        <v>18.33452581325508</v>
      </c>
      <c r="AC634" s="46">
        <f>AVERAGE(AC397:AC408)</f>
        <v>18.204531654676259</v>
      </c>
    </row>
    <row r="635" spans="1:29" ht="15.75" x14ac:dyDescent="0.25">
      <c r="A635" s="11">
        <f t="shared" si="33"/>
        <v>2046</v>
      </c>
      <c r="B635" s="17">
        <f t="shared" ref="B635:S635" si="42">AVERAGE(B409:B420)</f>
        <v>18.983599999999999</v>
      </c>
      <c r="C635" s="17">
        <f t="shared" si="42"/>
        <v>18.989858333333334</v>
      </c>
      <c r="D635" s="17">
        <f t="shared" si="42"/>
        <v>19.185950000000002</v>
      </c>
      <c r="E635" s="17">
        <f t="shared" si="42"/>
        <v>19.218033333333334</v>
      </c>
      <c r="F635" s="17">
        <f t="shared" si="42"/>
        <v>18.993141666666663</v>
      </c>
      <c r="G635" s="17">
        <f t="shared" si="42"/>
        <v>19.009516666666666</v>
      </c>
      <c r="H635" s="17">
        <f t="shared" si="42"/>
        <v>19.206850000000003</v>
      </c>
      <c r="I635" s="17">
        <f t="shared" si="42"/>
        <v>19.064566666666668</v>
      </c>
      <c r="J635" s="17">
        <f t="shared" si="42"/>
        <v>18.985741666666666</v>
      </c>
      <c r="K635" s="53">
        <f t="shared" si="42"/>
        <v>19.058533333333333</v>
      </c>
      <c r="L635" s="17">
        <f t="shared" si="42"/>
        <v>19.793849999999999</v>
      </c>
      <c r="M635" s="17">
        <f t="shared" si="42"/>
        <v>18.821991666666669</v>
      </c>
      <c r="N635" s="17">
        <f t="shared" si="42"/>
        <v>18.838208333333334</v>
      </c>
      <c r="O635" s="17">
        <f t="shared" si="42"/>
        <v>19.04110833333333</v>
      </c>
      <c r="P635" s="17">
        <f t="shared" si="42"/>
        <v>18.899650000000001</v>
      </c>
      <c r="Q635" s="17">
        <f t="shared" si="42"/>
        <v>19.635808333333333</v>
      </c>
      <c r="R635" s="17">
        <f t="shared" si="42"/>
        <v>20.271908333333329</v>
      </c>
      <c r="S635" s="17">
        <f t="shared" si="42"/>
        <v>18.397916666666671</v>
      </c>
      <c r="T635" s="52">
        <f>SUM(T409:T420)</f>
        <v>357.33618100000001</v>
      </c>
      <c r="U635" s="52">
        <f>SUM(U409:U420)</f>
        <v>142.03263249999998</v>
      </c>
      <c r="V635" s="52">
        <f>SUM(V409:V420)</f>
        <v>50.187500000000007</v>
      </c>
      <c r="W635" s="52">
        <f>SUM(W409:W420)</f>
        <v>4.0622309999999988</v>
      </c>
      <c r="X635" s="52">
        <f>SUM(X409:X420)</f>
        <v>14.222225463999999</v>
      </c>
      <c r="Y635" s="52"/>
      <c r="Z635" s="55"/>
      <c r="AA635" s="54"/>
      <c r="AB635" s="49">
        <f>AVERAGE(AB409:AB420)</f>
        <v>19.043445960990706</v>
      </c>
      <c r="AC635" s="46">
        <f>AVERAGE(AC409:AC420)</f>
        <v>18.907187709832137</v>
      </c>
    </row>
    <row r="636" spans="1:29" ht="15.75" x14ac:dyDescent="0.25">
      <c r="A636" s="11">
        <f t="shared" si="33"/>
        <v>2047</v>
      </c>
      <c r="B636" s="17">
        <f t="shared" ref="B636:S636" si="43">AVERAGE(B421:B432)</f>
        <v>19.719824999999997</v>
      </c>
      <c r="C636" s="17">
        <f t="shared" si="43"/>
        <v>19.726091666666665</v>
      </c>
      <c r="D636" s="17">
        <f t="shared" si="43"/>
        <v>19.922158333333332</v>
      </c>
      <c r="E636" s="17">
        <f t="shared" si="43"/>
        <v>19.954283333333333</v>
      </c>
      <c r="F636" s="17">
        <f t="shared" si="43"/>
        <v>19.729366666666664</v>
      </c>
      <c r="G636" s="17">
        <f t="shared" si="43"/>
        <v>19.745758333333335</v>
      </c>
      <c r="H636" s="17">
        <f t="shared" si="43"/>
        <v>19.943091666666668</v>
      </c>
      <c r="I636" s="17">
        <f t="shared" si="43"/>
        <v>19.803074999999996</v>
      </c>
      <c r="J636" s="17">
        <f t="shared" si="43"/>
        <v>19.721966666666663</v>
      </c>
      <c r="K636" s="53">
        <f t="shared" si="43"/>
        <v>19.797041666666669</v>
      </c>
      <c r="L636" s="17">
        <f t="shared" si="43"/>
        <v>20.530091666666664</v>
      </c>
      <c r="M636" s="17">
        <f t="shared" si="43"/>
        <v>19.551608333333331</v>
      </c>
      <c r="N636" s="17">
        <f t="shared" si="43"/>
        <v>19.567824999999999</v>
      </c>
      <c r="O636" s="17">
        <f t="shared" si="43"/>
        <v>19.770724999999999</v>
      </c>
      <c r="P636" s="17">
        <f t="shared" si="43"/>
        <v>19.631491666666665</v>
      </c>
      <c r="Q636" s="17">
        <f t="shared" si="43"/>
        <v>20.365425000000002</v>
      </c>
      <c r="R636" s="17">
        <f t="shared" si="43"/>
        <v>21.003325000000004</v>
      </c>
      <c r="S636" s="17">
        <f t="shared" si="43"/>
        <v>19.111841666666667</v>
      </c>
      <c r="T636" s="52">
        <f>SUM(T421:T432)</f>
        <v>357.33618100000001</v>
      </c>
      <c r="U636" s="52">
        <f>SUM(U421:U432)</f>
        <v>142.03263249999998</v>
      </c>
      <c r="V636" s="52">
        <f>SUM(V421:V432)</f>
        <v>50.187500000000007</v>
      </c>
      <c r="W636" s="52">
        <f>SUM(W421:W432)</f>
        <v>4.0622309999999988</v>
      </c>
      <c r="X636" s="52">
        <f>SUM(X421:X432)</f>
        <v>14.222225463999999</v>
      </c>
      <c r="Y636" s="52"/>
      <c r="Z636" s="55"/>
      <c r="AA636" s="54"/>
      <c r="AB636" s="49">
        <f>AVERAGE(AB421:AB432)</f>
        <v>19.779863826722945</v>
      </c>
      <c r="AC636" s="46">
        <f>AVERAGE(AC421:AC432)</f>
        <v>19.637124520383697</v>
      </c>
    </row>
    <row r="637" spans="1:29" ht="15.75" x14ac:dyDescent="0.25">
      <c r="A637" s="11">
        <f t="shared" si="33"/>
        <v>2048</v>
      </c>
      <c r="B637" s="17">
        <f t="shared" ref="B637:S637" si="44">AVERAGE(B433:B444)</f>
        <v>20.484624999999998</v>
      </c>
      <c r="C637" s="17">
        <f t="shared" si="44"/>
        <v>20.490908333333334</v>
      </c>
      <c r="D637" s="17">
        <f t="shared" si="44"/>
        <v>20.686966666666667</v>
      </c>
      <c r="E637" s="17">
        <f t="shared" si="44"/>
        <v>20.719100000000001</v>
      </c>
      <c r="F637" s="17">
        <f t="shared" si="44"/>
        <v>20.494183333333336</v>
      </c>
      <c r="G637" s="17">
        <f t="shared" si="44"/>
        <v>20.510549999999999</v>
      </c>
      <c r="H637" s="17">
        <f t="shared" si="44"/>
        <v>20.707874999999998</v>
      </c>
      <c r="I637" s="17">
        <f t="shared" si="44"/>
        <v>20.570258333333335</v>
      </c>
      <c r="J637" s="17">
        <f t="shared" si="44"/>
        <v>20.486783333333332</v>
      </c>
      <c r="K637" s="53">
        <f t="shared" si="44"/>
        <v>20.564225000000004</v>
      </c>
      <c r="L637" s="17">
        <f t="shared" si="44"/>
        <v>21.294875000000001</v>
      </c>
      <c r="M637" s="17">
        <f t="shared" si="44"/>
        <v>20.309533333333334</v>
      </c>
      <c r="N637" s="17">
        <f t="shared" si="44"/>
        <v>20.325774999999997</v>
      </c>
      <c r="O637" s="17">
        <f t="shared" si="44"/>
        <v>20.528649999999995</v>
      </c>
      <c r="P637" s="17">
        <f t="shared" si="44"/>
        <v>20.391758333333332</v>
      </c>
      <c r="Q637" s="17">
        <f t="shared" si="44"/>
        <v>21.123350000000002</v>
      </c>
      <c r="R637" s="17">
        <f t="shared" si="44"/>
        <v>21.763158333333333</v>
      </c>
      <c r="S637" s="17">
        <f t="shared" si="44"/>
        <v>19.853483333333333</v>
      </c>
      <c r="T637" s="52">
        <f>SUM(T433:T444)</f>
        <v>358.26753550000001</v>
      </c>
      <c r="U637" s="52">
        <f>SUM(U433:U444)</f>
        <v>142.42176299999997</v>
      </c>
      <c r="V637" s="52">
        <f>SUM(V433:V444)</f>
        <v>50.325000000000003</v>
      </c>
      <c r="W637" s="52">
        <f>SUM(W433:W444)</f>
        <v>4.0733603999999994</v>
      </c>
      <c r="X637" s="52">
        <f>SUM(X433:X444)</f>
        <v>14.245965463999999</v>
      </c>
      <c r="Y637" s="52"/>
      <c r="Z637" s="55"/>
      <c r="AA637" s="54"/>
      <c r="AB637" s="49">
        <f>AVERAGE(AB433:AB444)</f>
        <v>20.544870608201766</v>
      </c>
      <c r="AC637" s="46">
        <f>AVERAGE(AC433:AC444)</f>
        <v>20.395389328537167</v>
      </c>
    </row>
    <row r="638" spans="1:29" ht="15.75" x14ac:dyDescent="0.25">
      <c r="A638" s="11">
        <f t="shared" si="33"/>
        <v>2049</v>
      </c>
      <c r="B638" s="17">
        <f t="shared" ref="B638:S638" si="45">AVERAGE(B445:B456)</f>
        <v>21.27910833333333</v>
      </c>
      <c r="C638" s="17">
        <f t="shared" si="45"/>
        <v>21.285383333333332</v>
      </c>
      <c r="D638" s="17">
        <f t="shared" si="45"/>
        <v>21.481449999999995</v>
      </c>
      <c r="E638" s="17">
        <f t="shared" si="45"/>
        <v>21.513566666666666</v>
      </c>
      <c r="F638" s="17">
        <f t="shared" si="45"/>
        <v>21.288683333333335</v>
      </c>
      <c r="G638" s="17">
        <f t="shared" si="45"/>
        <v>21.305033333333331</v>
      </c>
      <c r="H638" s="17">
        <f t="shared" si="45"/>
        <v>21.502366666666671</v>
      </c>
      <c r="I638" s="17">
        <f t="shared" si="45"/>
        <v>21.367216666666668</v>
      </c>
      <c r="J638" s="17">
        <f t="shared" si="45"/>
        <v>21.281283333333331</v>
      </c>
      <c r="K638" s="53">
        <f t="shared" si="45"/>
        <v>21.361166666666666</v>
      </c>
      <c r="L638" s="17">
        <f t="shared" si="45"/>
        <v>22.089366666666663</v>
      </c>
      <c r="M638" s="17">
        <f t="shared" si="45"/>
        <v>21.096874999999997</v>
      </c>
      <c r="N638" s="17">
        <f t="shared" si="45"/>
        <v>21.113083333333332</v>
      </c>
      <c r="O638" s="17">
        <f t="shared" si="45"/>
        <v>21.315999999999995</v>
      </c>
      <c r="P638" s="17">
        <f t="shared" si="45"/>
        <v>21.181516666666667</v>
      </c>
      <c r="Q638" s="17">
        <f t="shared" si="45"/>
        <v>21.910700000000002</v>
      </c>
      <c r="R638" s="17">
        <f t="shared" si="45"/>
        <v>22.552475000000005</v>
      </c>
      <c r="S638" s="17">
        <f t="shared" si="45"/>
        <v>20.623900000000003</v>
      </c>
      <c r="T638" s="52">
        <f>SUM(T445:T456)</f>
        <v>357.33618100000001</v>
      </c>
      <c r="U638" s="52">
        <f>SUM(U445:U456)</f>
        <v>142.03263249999998</v>
      </c>
      <c r="V638" s="52">
        <f>SUM(V445:V456)</f>
        <v>50.187500000000007</v>
      </c>
      <c r="W638" s="52">
        <f>SUM(W445:W456)</f>
        <v>4.0622309999999988</v>
      </c>
      <c r="X638" s="52">
        <f>SUM(X445:X456)</f>
        <v>14.222225463999999</v>
      </c>
      <c r="Y638" s="52"/>
      <c r="Z638" s="55"/>
      <c r="AA638" s="54"/>
      <c r="AB638" s="49">
        <f>AVERAGE(AB445:AB456)</f>
        <v>21.339558412388712</v>
      </c>
      <c r="AC638" s="46">
        <f>AVERAGE(AC445:AC456)</f>
        <v>21.183076258992806</v>
      </c>
    </row>
    <row r="639" spans="1:29" ht="15.75" x14ac:dyDescent="0.25">
      <c r="A639" s="11">
        <f t="shared" si="33"/>
        <v>2050</v>
      </c>
      <c r="B639" s="17">
        <f t="shared" ref="B639:S639" si="46">AVERAGE(B457:B468)</f>
        <v>22.104441666666663</v>
      </c>
      <c r="C639" s="17">
        <f t="shared" si="46"/>
        <v>22.110691666666668</v>
      </c>
      <c r="D639" s="17">
        <f t="shared" si="46"/>
        <v>22.306774999999998</v>
      </c>
      <c r="E639" s="17">
        <f t="shared" si="46"/>
        <v>22.338875000000002</v>
      </c>
      <c r="F639" s="17">
        <f t="shared" si="46"/>
        <v>22.113974999999996</v>
      </c>
      <c r="G639" s="17">
        <f t="shared" si="46"/>
        <v>22.130350000000004</v>
      </c>
      <c r="H639" s="17">
        <f t="shared" si="46"/>
        <v>22.327683333333336</v>
      </c>
      <c r="I639" s="17">
        <f t="shared" si="46"/>
        <v>22.195075000000003</v>
      </c>
      <c r="J639" s="17">
        <f t="shared" si="46"/>
        <v>22.106575000000003</v>
      </c>
      <c r="K639" s="53">
        <f t="shared" si="46"/>
        <v>22.189066666666665</v>
      </c>
      <c r="L639" s="17">
        <f t="shared" si="46"/>
        <v>22.914683333333329</v>
      </c>
      <c r="M639" s="17">
        <f t="shared" si="46"/>
        <v>21.914774999999995</v>
      </c>
      <c r="N639" s="17">
        <f t="shared" si="46"/>
        <v>21.930999999999997</v>
      </c>
      <c r="O639" s="17">
        <f t="shared" si="46"/>
        <v>22.13388333333333</v>
      </c>
      <c r="P639" s="17">
        <f t="shared" si="46"/>
        <v>22.001925</v>
      </c>
      <c r="Q639" s="17">
        <f t="shared" si="46"/>
        <v>22.728583333333336</v>
      </c>
      <c r="R639" s="17">
        <f t="shared" si="46"/>
        <v>23.372408333333329</v>
      </c>
      <c r="S639" s="17">
        <f t="shared" si="46"/>
        <v>21.424216666666666</v>
      </c>
      <c r="T639" s="52">
        <f>SUM(T457:T468)</f>
        <v>357.33618100000001</v>
      </c>
      <c r="U639" s="52">
        <f>SUM(U457:U468)</f>
        <v>142.03263249999998</v>
      </c>
      <c r="V639" s="52">
        <f>SUM(V457:V468)</f>
        <v>50.187500000000007</v>
      </c>
      <c r="W639" s="52">
        <f>SUM(W457:W468)</f>
        <v>4.0622309999999988</v>
      </c>
      <c r="X639" s="52">
        <f>SUM(X457:X468)</f>
        <v>14.222225463999999</v>
      </c>
      <c r="Y639" s="52"/>
      <c r="Z639" s="55"/>
      <c r="AA639" s="54"/>
      <c r="AB639" s="49">
        <f>AVERAGE(AB457:AB468)</f>
        <v>22.165077365152111</v>
      </c>
      <c r="AC639" s="46">
        <f>AVERAGE(AC457:AC468)</f>
        <v>22.001333453237411</v>
      </c>
    </row>
    <row r="640" spans="1:29" ht="15.75" x14ac:dyDescent="0.25">
      <c r="A640" s="11">
        <f t="shared" si="33"/>
        <v>2051</v>
      </c>
      <c r="B640" s="17">
        <f t="shared" ref="B640:S640" si="47">AVERAGE(B469:B480)</f>
        <v>22.961766666666666</v>
      </c>
      <c r="C640" s="17">
        <f t="shared" si="47"/>
        <v>22.968041666666664</v>
      </c>
      <c r="D640" s="17">
        <f t="shared" si="47"/>
        <v>23.164108333333331</v>
      </c>
      <c r="E640" s="17">
        <f t="shared" si="47"/>
        <v>23.196224999999998</v>
      </c>
      <c r="F640" s="17">
        <f t="shared" si="47"/>
        <v>22.97133333333333</v>
      </c>
      <c r="G640" s="17">
        <f t="shared" si="47"/>
        <v>22.987691666666663</v>
      </c>
      <c r="H640" s="17">
        <f t="shared" si="47"/>
        <v>23.185008333333332</v>
      </c>
      <c r="I640" s="17">
        <f t="shared" si="47"/>
        <v>23.055091666666666</v>
      </c>
      <c r="J640" s="17">
        <f t="shared" si="47"/>
        <v>22.963933333333333</v>
      </c>
      <c r="K640" s="53">
        <f t="shared" si="47"/>
        <v>23.049066666666665</v>
      </c>
      <c r="L640" s="17">
        <f t="shared" si="47"/>
        <v>23.772008333333332</v>
      </c>
      <c r="M640" s="17">
        <f t="shared" si="47"/>
        <v>22.764408333333336</v>
      </c>
      <c r="N640" s="17">
        <f t="shared" si="47"/>
        <v>22.780608333333337</v>
      </c>
      <c r="O640" s="17">
        <f t="shared" si="47"/>
        <v>22.983525</v>
      </c>
      <c r="P640" s="17">
        <f t="shared" si="47"/>
        <v>22.854174999999998</v>
      </c>
      <c r="Q640" s="17">
        <f t="shared" si="47"/>
        <v>23.578225</v>
      </c>
      <c r="R640" s="17">
        <f t="shared" si="47"/>
        <v>24.224174999999999</v>
      </c>
      <c r="S640" s="17">
        <f t="shared" si="47"/>
        <v>22.255566666666667</v>
      </c>
      <c r="T640" s="52">
        <f>SUM(T469:T480)</f>
        <v>357.33618100000001</v>
      </c>
      <c r="U640" s="52">
        <f>SUM(U469:U480)</f>
        <v>142.03263249999998</v>
      </c>
      <c r="V640" s="52">
        <f>SUM(V469:V480)</f>
        <v>50.187500000000007</v>
      </c>
      <c r="W640" s="52">
        <f>SUM(W469:W480)</f>
        <v>4.0622309999999988</v>
      </c>
      <c r="X640" s="52">
        <f>SUM(X469:X480)</f>
        <v>14.222225463999999</v>
      </c>
      <c r="Y640" s="52"/>
      <c r="Z640" s="55"/>
      <c r="AA640" s="54"/>
      <c r="AB640" s="49">
        <f>AVERAGE(AB469:AB480)</f>
        <v>23.022644150556513</v>
      </c>
      <c r="AC640" s="46">
        <f>AVERAGE(AC469:AC480)</f>
        <v>22.851344184652277</v>
      </c>
    </row>
    <row r="641" spans="1:29" ht="15.75" x14ac:dyDescent="0.25">
      <c r="A641" s="11">
        <f t="shared" si="33"/>
        <v>2052</v>
      </c>
      <c r="B641" s="17">
        <f t="shared" ref="B641:S641" si="48">AVERAGE(B481:B492)</f>
        <v>23.852399999999999</v>
      </c>
      <c r="C641" s="17">
        <f t="shared" si="48"/>
        <v>23.858658333333334</v>
      </c>
      <c r="D641" s="17">
        <f t="shared" si="48"/>
        <v>24.054733333333331</v>
      </c>
      <c r="E641" s="17">
        <f t="shared" si="48"/>
        <v>24.086858333333335</v>
      </c>
      <c r="F641" s="17">
        <f t="shared" si="48"/>
        <v>23.861924999999999</v>
      </c>
      <c r="G641" s="17">
        <f t="shared" si="48"/>
        <v>23.878308333333337</v>
      </c>
      <c r="H641" s="17">
        <f t="shared" si="48"/>
        <v>24.075633333333332</v>
      </c>
      <c r="I641" s="17">
        <f t="shared" si="48"/>
        <v>23.948466666666665</v>
      </c>
      <c r="J641" s="17">
        <f t="shared" si="48"/>
        <v>23.854524999999995</v>
      </c>
      <c r="K641" s="53">
        <f t="shared" si="48"/>
        <v>23.94243333333333</v>
      </c>
      <c r="L641" s="17">
        <f t="shared" si="48"/>
        <v>24.662633333333332</v>
      </c>
      <c r="M641" s="17">
        <f t="shared" si="48"/>
        <v>23.646999999999995</v>
      </c>
      <c r="N641" s="17">
        <f t="shared" si="48"/>
        <v>23.663224999999997</v>
      </c>
      <c r="O641" s="17">
        <f t="shared" si="48"/>
        <v>23.866141666666667</v>
      </c>
      <c r="P641" s="17">
        <f t="shared" si="48"/>
        <v>23.739483333333329</v>
      </c>
      <c r="Q641" s="17">
        <f t="shared" si="48"/>
        <v>24.460841666666667</v>
      </c>
      <c r="R641" s="17">
        <f t="shared" si="48"/>
        <v>25.108966666666664</v>
      </c>
      <c r="S641" s="17">
        <f t="shared" si="48"/>
        <v>23.11921666666667</v>
      </c>
      <c r="T641" s="52">
        <f>SUM(T481:T492)</f>
        <v>358.26753550000001</v>
      </c>
      <c r="U641" s="52">
        <f>SUM(U481:U492)</f>
        <v>142.42176299999997</v>
      </c>
      <c r="V641" s="52">
        <f>SUM(V481:V492)</f>
        <v>50.325000000000003</v>
      </c>
      <c r="W641" s="52">
        <f>SUM(W481:W492)</f>
        <v>4.0733603999999994</v>
      </c>
      <c r="X641" s="52">
        <f>SUM(X481:X492)</f>
        <v>14.245965463999999</v>
      </c>
      <c r="Y641" s="52"/>
      <c r="Z641" s="55"/>
      <c r="AA641" s="54"/>
      <c r="AB641" s="49">
        <f>AVERAGE(AB481:AB492)</f>
        <v>23.913486362519141</v>
      </c>
      <c r="AC641" s="46">
        <f>AVERAGE(AC481:AC492)</f>
        <v>23.734339508393287</v>
      </c>
    </row>
    <row r="642" spans="1:29" ht="15.75" x14ac:dyDescent="0.25">
      <c r="A642" s="11">
        <f t="shared" si="33"/>
        <v>2053</v>
      </c>
      <c r="B642" s="17">
        <f t="shared" ref="B642:S642" si="49">AVERAGE(B493:B504)</f>
        <v>24.777558333333335</v>
      </c>
      <c r="C642" s="17">
        <f t="shared" si="49"/>
        <v>24.783833333333334</v>
      </c>
      <c r="D642" s="17">
        <f t="shared" si="49"/>
        <v>24.979924999999998</v>
      </c>
      <c r="E642" s="17">
        <f t="shared" si="49"/>
        <v>25.012</v>
      </c>
      <c r="F642" s="17">
        <f t="shared" si="49"/>
        <v>24.787108333333332</v>
      </c>
      <c r="G642" s="17">
        <f t="shared" si="49"/>
        <v>24.803499999999996</v>
      </c>
      <c r="H642" s="17">
        <f t="shared" si="49"/>
        <v>25.000824999999995</v>
      </c>
      <c r="I642" s="17">
        <f t="shared" si="49"/>
        <v>24.876516666666671</v>
      </c>
      <c r="J642" s="17">
        <f t="shared" si="49"/>
        <v>24.779708333333332</v>
      </c>
      <c r="K642" s="53">
        <f t="shared" si="49"/>
        <v>24.870474999999999</v>
      </c>
      <c r="L642" s="17">
        <f t="shared" si="49"/>
        <v>25.587824999999995</v>
      </c>
      <c r="M642" s="17">
        <f t="shared" si="49"/>
        <v>24.563858333333339</v>
      </c>
      <c r="N642" s="17">
        <f t="shared" si="49"/>
        <v>24.580083333333334</v>
      </c>
      <c r="O642" s="17">
        <f t="shared" si="49"/>
        <v>24.782975000000004</v>
      </c>
      <c r="P642" s="17">
        <f t="shared" si="49"/>
        <v>24.659166666666668</v>
      </c>
      <c r="Q642" s="17">
        <f t="shared" si="49"/>
        <v>25.377674999999996</v>
      </c>
      <c r="R642" s="17">
        <f t="shared" si="49"/>
        <v>26.028124999999999</v>
      </c>
      <c r="S642" s="17">
        <f t="shared" si="49"/>
        <v>24.016333333333336</v>
      </c>
      <c r="T642" s="52">
        <f>SUM(T493:T504)</f>
        <v>357.33618100000001</v>
      </c>
      <c r="U642" s="52">
        <f>SUM(U493:U504)</f>
        <v>142.03263249999998</v>
      </c>
      <c r="V642" s="52">
        <f>SUM(V493:V504)</f>
        <v>50.187500000000007</v>
      </c>
      <c r="W642" s="52">
        <f>SUM(W493:W504)</f>
        <v>4.0622309999999988</v>
      </c>
      <c r="X642" s="52">
        <f>SUM(X493:X504)</f>
        <v>14.222225463999999</v>
      </c>
      <c r="Y642" s="52"/>
      <c r="Z642" s="55"/>
      <c r="AA642" s="54"/>
      <c r="AB642" s="49">
        <f>AVERAGE(AB493:AB504)</f>
        <v>24.838896674277251</v>
      </c>
      <c r="AC642" s="46">
        <f>AVERAGE(AC493:AC504)</f>
        <v>24.651594424460431</v>
      </c>
    </row>
    <row r="643" spans="1:29" ht="15.75" x14ac:dyDescent="0.25">
      <c r="A643" s="11">
        <f t="shared" si="33"/>
        <v>2054</v>
      </c>
      <c r="B643" s="17">
        <f t="shared" ref="B643:S643" si="50">AVERAGE(B505:B516)</f>
        <v>25.738641666666666</v>
      </c>
      <c r="C643" s="17">
        <f t="shared" si="50"/>
        <v>25.744924999999999</v>
      </c>
      <c r="D643" s="17">
        <f t="shared" si="50"/>
        <v>25.940983333333332</v>
      </c>
      <c r="E643" s="17">
        <f t="shared" si="50"/>
        <v>25.973100000000002</v>
      </c>
      <c r="F643" s="17">
        <f t="shared" si="50"/>
        <v>25.748166666666663</v>
      </c>
      <c r="G643" s="17">
        <f t="shared" si="50"/>
        <v>25.764558333333337</v>
      </c>
      <c r="H643" s="17">
        <f t="shared" si="50"/>
        <v>25.96190833333333</v>
      </c>
      <c r="I643" s="17">
        <f t="shared" si="50"/>
        <v>25.840583333333331</v>
      </c>
      <c r="J643" s="17">
        <f t="shared" si="50"/>
        <v>25.740766666666669</v>
      </c>
      <c r="K643" s="53">
        <f t="shared" si="50"/>
        <v>25.834533333333329</v>
      </c>
      <c r="L643" s="17">
        <f t="shared" si="50"/>
        <v>26.54890833333333</v>
      </c>
      <c r="M643" s="17">
        <f t="shared" si="50"/>
        <v>25.516300000000001</v>
      </c>
      <c r="N643" s="17">
        <f t="shared" si="50"/>
        <v>25.532516666666666</v>
      </c>
      <c r="O643" s="17">
        <f t="shared" si="50"/>
        <v>25.735424999999996</v>
      </c>
      <c r="P643" s="17">
        <f t="shared" si="50"/>
        <v>25.61451666666667</v>
      </c>
      <c r="Q643" s="17">
        <f t="shared" si="50"/>
        <v>26.330124999999999</v>
      </c>
      <c r="R643" s="17">
        <f t="shared" si="50"/>
        <v>26.982916666666664</v>
      </c>
      <c r="S643" s="17">
        <f t="shared" si="50"/>
        <v>24.948275000000006</v>
      </c>
      <c r="T643" s="52">
        <f>SUM(T505:T516)</f>
        <v>357.33618100000001</v>
      </c>
      <c r="U643" s="52">
        <f>SUM(U505:U516)</f>
        <v>142.03263249999998</v>
      </c>
      <c r="V643" s="52">
        <f>SUM(V505:V516)</f>
        <v>50.187500000000007</v>
      </c>
      <c r="W643" s="52">
        <f>SUM(W505:W516)</f>
        <v>4.0622309999999988</v>
      </c>
      <c r="X643" s="52">
        <f>SUM(X505:X516)</f>
        <v>14.222225463999999</v>
      </c>
      <c r="Y643" s="52"/>
      <c r="Z643" s="51"/>
      <c r="AA643" s="50"/>
      <c r="AB643" s="49">
        <f>AVERAGE(AB505:AB516)</f>
        <v>25.800218735313717</v>
      </c>
      <c r="AC643" s="46">
        <f>AVERAGE(AC505:AC516)</f>
        <v>25.604456414868107</v>
      </c>
    </row>
    <row r="644" spans="1:29" ht="15.75" x14ac:dyDescent="0.25">
      <c r="A644" s="11">
        <f t="shared" si="33"/>
        <v>2055</v>
      </c>
      <c r="B644" s="17">
        <f t="shared" ref="B644:S644" si="51">AVERAGE(B517:B528)</f>
        <v>26.737008333333335</v>
      </c>
      <c r="C644" s="17">
        <f t="shared" si="51"/>
        <v>26.743275000000001</v>
      </c>
      <c r="D644" s="17">
        <f t="shared" si="51"/>
        <v>26.939349999999994</v>
      </c>
      <c r="E644" s="17">
        <f t="shared" si="51"/>
        <v>26.971466666666672</v>
      </c>
      <c r="F644" s="17">
        <f t="shared" si="51"/>
        <v>26.746558333333336</v>
      </c>
      <c r="G644" s="17">
        <f t="shared" si="51"/>
        <v>26.762916666666669</v>
      </c>
      <c r="H644" s="17">
        <f t="shared" si="51"/>
        <v>26.960258333333329</v>
      </c>
      <c r="I644" s="17">
        <f t="shared" si="51"/>
        <v>26.842066666666668</v>
      </c>
      <c r="J644" s="17">
        <f t="shared" si="51"/>
        <v>26.739158333333332</v>
      </c>
      <c r="K644" s="53">
        <f t="shared" si="51"/>
        <v>26.836016666666669</v>
      </c>
      <c r="L644" s="17">
        <f t="shared" si="51"/>
        <v>27.547258333333332</v>
      </c>
      <c r="M644" s="17">
        <f t="shared" si="51"/>
        <v>26.505683333333334</v>
      </c>
      <c r="N644" s="17">
        <f t="shared" si="51"/>
        <v>26.521916666666669</v>
      </c>
      <c r="O644" s="17">
        <f t="shared" si="51"/>
        <v>26.724816666666669</v>
      </c>
      <c r="P644" s="17">
        <f t="shared" si="51"/>
        <v>26.606950000000001</v>
      </c>
      <c r="Q644" s="17">
        <f t="shared" si="51"/>
        <v>27.319516666666662</v>
      </c>
      <c r="R644" s="17">
        <f t="shared" si="51"/>
        <v>27.974808333333332</v>
      </c>
      <c r="S644" s="17">
        <f t="shared" si="51"/>
        <v>25.916425</v>
      </c>
      <c r="T644" s="52">
        <f>SUM(T517:T528)</f>
        <v>357.33618100000001</v>
      </c>
      <c r="U644" s="52">
        <f>SUM(U517:U528)</f>
        <v>142.03263249999998</v>
      </c>
      <c r="V644" s="52">
        <f>SUM(V517:V528)</f>
        <v>50.187500000000007</v>
      </c>
      <c r="W644" s="52">
        <f>SUM(W517:W528)</f>
        <v>4.0622309999999988</v>
      </c>
      <c r="X644" s="52">
        <f>SUM(X517:X528)</f>
        <v>14.222225463999999</v>
      </c>
      <c r="Y644" s="52"/>
      <c r="Z644" s="51"/>
      <c r="AA644" s="50"/>
      <c r="AB644" s="49">
        <f>AVERAGE(AB517:AB528)</f>
        <v>26.798845123601804</v>
      </c>
      <c r="AC644" s="46">
        <f>AVERAGE(AC517:AC528)</f>
        <v>26.59428477218226</v>
      </c>
    </row>
    <row r="645" spans="1:29" ht="15.75" x14ac:dyDescent="0.25">
      <c r="A645" s="11">
        <f t="shared" si="33"/>
        <v>2056</v>
      </c>
      <c r="B645" s="17">
        <f t="shared" ref="B645:S645" si="52">AVERAGE(B529:B540)</f>
        <v>27.774125000000002</v>
      </c>
      <c r="C645" s="17">
        <f t="shared" si="52"/>
        <v>27.780383333333337</v>
      </c>
      <c r="D645" s="17">
        <f t="shared" si="52"/>
        <v>27.976474999999997</v>
      </c>
      <c r="E645" s="17">
        <f t="shared" si="52"/>
        <v>28.008574999999997</v>
      </c>
      <c r="F645" s="17">
        <f t="shared" si="52"/>
        <v>27.783683333333332</v>
      </c>
      <c r="G645" s="17">
        <f t="shared" si="52"/>
        <v>27.800049999999999</v>
      </c>
      <c r="H645" s="17">
        <f t="shared" si="52"/>
        <v>27.997399999999999</v>
      </c>
      <c r="I645" s="17">
        <f t="shared" si="52"/>
        <v>27.882391666666667</v>
      </c>
      <c r="J645" s="17">
        <f t="shared" si="52"/>
        <v>27.776283333333335</v>
      </c>
      <c r="K645" s="53">
        <f t="shared" si="52"/>
        <v>27.876341666666665</v>
      </c>
      <c r="L645" s="17">
        <f t="shared" si="52"/>
        <v>28.584399999999999</v>
      </c>
      <c r="M645" s="17">
        <f t="shared" si="52"/>
        <v>27.533483333333333</v>
      </c>
      <c r="N645" s="17">
        <f t="shared" si="52"/>
        <v>27.549708333333331</v>
      </c>
      <c r="O645" s="17">
        <f t="shared" si="52"/>
        <v>27.752591666666664</v>
      </c>
      <c r="P645" s="17">
        <f t="shared" si="52"/>
        <v>27.637908333333332</v>
      </c>
      <c r="Q645" s="17">
        <f t="shared" si="52"/>
        <v>28.347291666666667</v>
      </c>
      <c r="R645" s="17">
        <f t="shared" si="52"/>
        <v>29.005175000000005</v>
      </c>
      <c r="S645" s="17">
        <f t="shared" si="52"/>
        <v>26.92210833333333</v>
      </c>
      <c r="T645" s="52">
        <f>SUM(T529:T540)</f>
        <v>358.26753550000001</v>
      </c>
      <c r="U645" s="52">
        <f>SUM(U529:U540)</f>
        <v>142.42176299999997</v>
      </c>
      <c r="V645" s="52">
        <f>SUM(V529:V540)</f>
        <v>50.325000000000003</v>
      </c>
      <c r="W645" s="52">
        <f>SUM(W529:W540)</f>
        <v>4.0733603999999994</v>
      </c>
      <c r="X645" s="52">
        <f>SUM(X529:X540)</f>
        <v>14.245965463999999</v>
      </c>
      <c r="Y645" s="52"/>
      <c r="Z645" s="51"/>
      <c r="AA645" s="50"/>
      <c r="AB645" s="49">
        <f>AVERAGE(AB529:AB540)</f>
        <v>27.836227398262213</v>
      </c>
      <c r="AC645" s="46">
        <f>AVERAGE(AC529:AC540)</f>
        <v>27.622528836930453</v>
      </c>
    </row>
    <row r="646" spans="1:29" ht="15.75" x14ac:dyDescent="0.25">
      <c r="A646" s="11">
        <f t="shared" si="33"/>
        <v>2057</v>
      </c>
      <c r="B646" s="17">
        <f t="shared" ref="B646:S646" si="53">AVERAGE(B541:B552)</f>
        <v>28.851508333333332</v>
      </c>
      <c r="C646" s="17">
        <f t="shared" si="53"/>
        <v>28.857775</v>
      </c>
      <c r="D646" s="17">
        <f t="shared" si="53"/>
        <v>29.053833333333333</v>
      </c>
      <c r="E646" s="17">
        <f t="shared" si="53"/>
        <v>29.085958333333327</v>
      </c>
      <c r="F646" s="17">
        <f t="shared" si="53"/>
        <v>28.861033333333335</v>
      </c>
      <c r="G646" s="17">
        <f t="shared" si="53"/>
        <v>28.877416666666672</v>
      </c>
      <c r="H646" s="17">
        <f t="shared" si="53"/>
        <v>29.074733333333331</v>
      </c>
      <c r="I646" s="17">
        <f t="shared" si="53"/>
        <v>28.963083333333334</v>
      </c>
      <c r="J646" s="17">
        <f t="shared" si="53"/>
        <v>28.853633333333335</v>
      </c>
      <c r="K646" s="53">
        <f t="shared" si="53"/>
        <v>28.957066666666673</v>
      </c>
      <c r="L646" s="17">
        <f t="shared" si="53"/>
        <v>29.661733333333341</v>
      </c>
      <c r="M646" s="17">
        <f t="shared" si="53"/>
        <v>28.601150000000004</v>
      </c>
      <c r="N646" s="17">
        <f t="shared" si="53"/>
        <v>28.617374999999999</v>
      </c>
      <c r="O646" s="17">
        <f t="shared" si="53"/>
        <v>28.820266666666665</v>
      </c>
      <c r="P646" s="17">
        <f t="shared" si="53"/>
        <v>28.708866666666665</v>
      </c>
      <c r="Q646" s="17">
        <f t="shared" si="53"/>
        <v>29.414966666666668</v>
      </c>
      <c r="R646" s="17">
        <f t="shared" si="53"/>
        <v>30.075533333333336</v>
      </c>
      <c r="S646" s="17">
        <f t="shared" si="53"/>
        <v>27.966825</v>
      </c>
      <c r="T646" s="52">
        <f>SUM(T541:T552)</f>
        <v>357.33618100000001</v>
      </c>
      <c r="U646" s="52">
        <f>SUM(U541:U552)</f>
        <v>142.03263249999998</v>
      </c>
      <c r="V646" s="52">
        <f>SUM(V541:V552)</f>
        <v>50.187500000000007</v>
      </c>
      <c r="W646" s="52">
        <f>SUM(W541:W552)</f>
        <v>4.0622309999999988</v>
      </c>
      <c r="X646" s="52">
        <f>SUM(X541:X552)</f>
        <v>14.222225463999999</v>
      </c>
      <c r="Y646" s="52"/>
      <c r="Z646" s="51"/>
      <c r="AA646" s="50"/>
      <c r="AB646" s="49">
        <f>AVERAGE(AB541:AB552)</f>
        <v>28.913872442726838</v>
      </c>
      <c r="AC646" s="46">
        <f>AVERAGE(AC541:AC552)</f>
        <v>28.690672901678656</v>
      </c>
    </row>
    <row r="647" spans="1:29" ht="15.75" x14ac:dyDescent="0.25">
      <c r="A647" s="11">
        <f t="shared" si="33"/>
        <v>2058</v>
      </c>
      <c r="B647" s="17">
        <f t="shared" ref="B647:S647" si="54">AVERAGE(B553:B564)</f>
        <v>29.970658333333333</v>
      </c>
      <c r="C647" s="17">
        <f t="shared" si="54"/>
        <v>29.976933333333331</v>
      </c>
      <c r="D647" s="17">
        <f t="shared" si="54"/>
        <v>30.173008333333332</v>
      </c>
      <c r="E647" s="17">
        <f t="shared" si="54"/>
        <v>30.205116666666665</v>
      </c>
      <c r="F647" s="17">
        <f t="shared" si="54"/>
        <v>29.980208333333334</v>
      </c>
      <c r="G647" s="17">
        <f t="shared" si="54"/>
        <v>29.996591666666664</v>
      </c>
      <c r="H647" s="17">
        <f t="shared" si="54"/>
        <v>30.193916666666667</v>
      </c>
      <c r="I647" s="17">
        <f t="shared" si="54"/>
        <v>30.085733333333334</v>
      </c>
      <c r="J647" s="17">
        <f t="shared" si="54"/>
        <v>29.972808333333333</v>
      </c>
      <c r="K647" s="53">
        <f t="shared" si="54"/>
        <v>30.079716666666666</v>
      </c>
      <c r="L647" s="17">
        <f t="shared" si="54"/>
        <v>30.780916666666659</v>
      </c>
      <c r="M647" s="17">
        <f t="shared" si="54"/>
        <v>29.710274999999996</v>
      </c>
      <c r="N647" s="17">
        <f t="shared" si="54"/>
        <v>29.726491666666671</v>
      </c>
      <c r="O647" s="17">
        <f t="shared" si="54"/>
        <v>29.929391666666664</v>
      </c>
      <c r="P647" s="17">
        <f t="shared" si="54"/>
        <v>29.82139166666666</v>
      </c>
      <c r="Q647" s="17">
        <f t="shared" si="54"/>
        <v>30.524091666666667</v>
      </c>
      <c r="R647" s="17">
        <f t="shared" si="54"/>
        <v>31.18739166666667</v>
      </c>
      <c r="S647" s="17">
        <f t="shared" si="54"/>
        <v>29.052091666666666</v>
      </c>
      <c r="T647" s="52">
        <f>SUM(T553:T564)</f>
        <v>357.33618100000001</v>
      </c>
      <c r="U647" s="52">
        <f>SUM(U553:U564)</f>
        <v>142.03263249999998</v>
      </c>
      <c r="V647" s="52">
        <f>SUM(V553:V564)</f>
        <v>50.187500000000007</v>
      </c>
      <c r="W647" s="52">
        <f>SUM(W553:W564)</f>
        <v>4.0622309999999988</v>
      </c>
      <c r="X647" s="52">
        <f>SUM(X553:X564)</f>
        <v>14.222225463999999</v>
      </c>
      <c r="Y647" s="52"/>
      <c r="Z647" s="51"/>
      <c r="AA647" s="50"/>
      <c r="AB647" s="49">
        <f>AVERAGE(AB553:AB564)</f>
        <v>30.033324500104573</v>
      </c>
      <c r="AC647" s="46">
        <f>AVERAGE(AC553:AC564)</f>
        <v>29.800285191846523</v>
      </c>
    </row>
    <row r="648" spans="1:29" ht="15.75" x14ac:dyDescent="0.25">
      <c r="A648" s="11">
        <f t="shared" si="33"/>
        <v>2059</v>
      </c>
      <c r="B648" s="17">
        <f t="shared" ref="B648:S648" si="55">AVERAGE(B565:B576)</f>
        <v>31.133266666666671</v>
      </c>
      <c r="C648" s="17">
        <f t="shared" si="55"/>
        <v>31.139533333333333</v>
      </c>
      <c r="D648" s="17">
        <f t="shared" si="55"/>
        <v>31.335625000000004</v>
      </c>
      <c r="E648" s="17">
        <f t="shared" si="55"/>
        <v>31.367716666666663</v>
      </c>
      <c r="F648" s="17">
        <f t="shared" si="55"/>
        <v>31.142824999999998</v>
      </c>
      <c r="G648" s="17">
        <f t="shared" si="55"/>
        <v>31.159191666666672</v>
      </c>
      <c r="H648" s="17">
        <f t="shared" si="55"/>
        <v>31.356525000000001</v>
      </c>
      <c r="I648" s="17">
        <f t="shared" si="55"/>
        <v>31.251949999999997</v>
      </c>
      <c r="J648" s="17">
        <f t="shared" si="55"/>
        <v>31.135425000000012</v>
      </c>
      <c r="K648" s="53">
        <f t="shared" si="55"/>
        <v>31.24591666666667</v>
      </c>
      <c r="L648" s="17">
        <f t="shared" si="55"/>
        <v>31.943524999999998</v>
      </c>
      <c r="M648" s="17">
        <f t="shared" si="55"/>
        <v>30.862400000000008</v>
      </c>
      <c r="N648" s="17">
        <f t="shared" si="55"/>
        <v>30.87863333333333</v>
      </c>
      <c r="O648" s="17">
        <f t="shared" si="55"/>
        <v>31.081524999999999</v>
      </c>
      <c r="P648" s="17">
        <f t="shared" si="55"/>
        <v>30.977091666666666</v>
      </c>
      <c r="Q648" s="17">
        <f t="shared" si="55"/>
        <v>31.676225000000006</v>
      </c>
      <c r="R648" s="17">
        <f t="shared" si="55"/>
        <v>32.342416666666665</v>
      </c>
      <c r="S648" s="17">
        <f t="shared" si="55"/>
        <v>30.179474999999996</v>
      </c>
      <c r="T648" s="52">
        <f>SUM(T565:T576)</f>
        <v>357.33618100000001</v>
      </c>
      <c r="U648" s="52">
        <f>SUM(U565:U576)</f>
        <v>142.03263249999998</v>
      </c>
      <c r="V648" s="52">
        <f>SUM(V565:V576)</f>
        <v>50.187500000000007</v>
      </c>
      <c r="W648" s="52">
        <f>SUM(W565:W576)</f>
        <v>4.0622309999999988</v>
      </c>
      <c r="X648" s="52">
        <f>SUM(X565:X576)</f>
        <v>14.222225463999999</v>
      </c>
      <c r="Y648" s="52"/>
      <c r="Z648" s="17"/>
      <c r="AA648" s="17"/>
      <c r="AB648" s="49">
        <f>AVERAGE(AB565:AB576)</f>
        <v>31.196230126858094</v>
      </c>
      <c r="AC648" s="46">
        <f>AVERAGE(AC565:AC576)</f>
        <v>30.952929316546768</v>
      </c>
    </row>
    <row r="649" spans="1:29" ht="15.75" x14ac:dyDescent="0.25">
      <c r="A649" s="11">
        <f t="shared" si="33"/>
        <v>2060</v>
      </c>
      <c r="B649" s="17">
        <f t="shared" ref="B649:S649" si="56">AVERAGE(B577:B588)</f>
        <v>32.340975</v>
      </c>
      <c r="C649" s="17">
        <f t="shared" si="56"/>
        <v>32.347249999999995</v>
      </c>
      <c r="D649" s="17">
        <f t="shared" si="56"/>
        <v>32.543324999999996</v>
      </c>
      <c r="E649" s="17">
        <f t="shared" si="56"/>
        <v>32.57544166666667</v>
      </c>
      <c r="F649" s="17">
        <f t="shared" si="56"/>
        <v>32.350533333333338</v>
      </c>
      <c r="G649" s="17">
        <f t="shared" si="56"/>
        <v>32.366908333333335</v>
      </c>
      <c r="H649" s="17">
        <f t="shared" si="56"/>
        <v>32.564233333333334</v>
      </c>
      <c r="I649" s="17">
        <f t="shared" si="56"/>
        <v>32.463425000000001</v>
      </c>
      <c r="J649" s="17">
        <f t="shared" si="56"/>
        <v>32.343133333333334</v>
      </c>
      <c r="K649" s="53">
        <f t="shared" si="56"/>
        <v>32.457374999999999</v>
      </c>
      <c r="L649" s="17">
        <f t="shared" si="56"/>
        <v>33.151233333333337</v>
      </c>
      <c r="M649" s="17">
        <f t="shared" si="56"/>
        <v>32.059266666666666</v>
      </c>
      <c r="N649" s="17">
        <f t="shared" si="56"/>
        <v>32.075499999999998</v>
      </c>
      <c r="O649" s="17">
        <f t="shared" si="56"/>
        <v>32.278391666666671</v>
      </c>
      <c r="P649" s="17">
        <f t="shared" si="56"/>
        <v>32.177616666666673</v>
      </c>
      <c r="Q649" s="17">
        <f t="shared" si="56"/>
        <v>32.873091666666667</v>
      </c>
      <c r="R649" s="17">
        <f t="shared" si="56"/>
        <v>33.542274999999997</v>
      </c>
      <c r="S649" s="17">
        <f t="shared" si="56"/>
        <v>31.350599999999996</v>
      </c>
      <c r="T649" s="52">
        <f>SUM(T577:T588)</f>
        <v>358.26753550000001</v>
      </c>
      <c r="U649" s="52">
        <f>SUM(U577:U588)</f>
        <v>142.42176299999997</v>
      </c>
      <c r="V649" s="52">
        <f>SUM(V577:V588)</f>
        <v>50.325000000000003</v>
      </c>
      <c r="W649" s="52">
        <f>SUM(W577:W588)</f>
        <v>4.0733603999999994</v>
      </c>
      <c r="X649" s="52">
        <f>SUM(X577:X588)</f>
        <v>14.245965463999999</v>
      </c>
      <c r="Y649" s="52"/>
      <c r="Z649" s="51"/>
      <c r="AA649" s="50"/>
      <c r="AB649" s="49">
        <f>AVERAGE(AB577:AB588)</f>
        <v>32.404252286737069</v>
      </c>
      <c r="AC649" s="46">
        <f>AVERAGE(AC577:AC588)</f>
        <v>32.150322362110309</v>
      </c>
    </row>
    <row r="650" spans="1:29" ht="15.75" x14ac:dyDescent="0.25">
      <c r="A650" s="11">
        <f t="shared" si="33"/>
        <v>2061</v>
      </c>
      <c r="B650" s="17">
        <f t="shared" ref="B650:S650" si="57">AVERAGE(B589:B600)</f>
        <v>33.595525000000002</v>
      </c>
      <c r="C650" s="17">
        <f t="shared" si="57"/>
        <v>33.601774999999996</v>
      </c>
      <c r="D650" s="17">
        <f t="shared" si="57"/>
        <v>33.79785833333333</v>
      </c>
      <c r="E650" s="17">
        <f t="shared" si="57"/>
        <v>33.829966666666671</v>
      </c>
      <c r="F650" s="17">
        <f t="shared" si="57"/>
        <v>33.605058333333332</v>
      </c>
      <c r="G650" s="17">
        <f t="shared" si="57"/>
        <v>33.621425000000002</v>
      </c>
      <c r="H650" s="17">
        <f t="shared" si="57"/>
        <v>33.818766666666669</v>
      </c>
      <c r="I650" s="17">
        <f t="shared" si="57"/>
        <v>33.721833333333336</v>
      </c>
      <c r="J650" s="17">
        <f t="shared" si="57"/>
        <v>33.597658333333335</v>
      </c>
      <c r="K650" s="53">
        <f t="shared" si="57"/>
        <v>33.715808333333335</v>
      </c>
      <c r="L650" s="17">
        <f t="shared" si="57"/>
        <v>34.405766666666665</v>
      </c>
      <c r="M650" s="17">
        <f t="shared" si="57"/>
        <v>33.302491666666668</v>
      </c>
      <c r="N650" s="17">
        <f t="shared" si="57"/>
        <v>33.318741666666668</v>
      </c>
      <c r="O650" s="17">
        <f t="shared" si="57"/>
        <v>33.521633333333334</v>
      </c>
      <c r="P650" s="17">
        <f t="shared" si="57"/>
        <v>33.424716666666669</v>
      </c>
      <c r="Q650" s="17">
        <f t="shared" si="57"/>
        <v>34.11633333333333</v>
      </c>
      <c r="R650" s="17">
        <f t="shared" si="57"/>
        <v>34.78863333333333</v>
      </c>
      <c r="S650" s="17">
        <f t="shared" si="57"/>
        <v>32.567116666666664</v>
      </c>
      <c r="T650" s="52">
        <f>SUM(T589:T600)</f>
        <v>357.33618100000001</v>
      </c>
      <c r="U650" s="52">
        <f>SUM(U589:U600)</f>
        <v>142.03263249999998</v>
      </c>
      <c r="V650" s="52">
        <f>SUM(V589:V600)</f>
        <v>50.187500000000007</v>
      </c>
      <c r="W650" s="52">
        <f>SUM(W589:W600)</f>
        <v>4.0622309999999988</v>
      </c>
      <c r="X650" s="52">
        <f>SUM(X589:X600)</f>
        <v>14.222225463999999</v>
      </c>
      <c r="Y650" s="52"/>
      <c r="Z650" s="51"/>
      <c r="AA650" s="50"/>
      <c r="AB650" s="49">
        <f>AVERAGE(AB589:AB600)</f>
        <v>33.659100955691166</v>
      </c>
      <c r="AC650" s="46">
        <f>AVERAGE(AC589:AC600)</f>
        <v>33.394111990407673</v>
      </c>
    </row>
    <row r="652" spans="1:29" ht="15" x14ac:dyDescent="0.2">
      <c r="S652" s="17"/>
    </row>
    <row r="653" spans="1:29" ht="15" x14ac:dyDescent="0.2">
      <c r="S653" s="17"/>
    </row>
    <row r="654" spans="1:29" ht="15" x14ac:dyDescent="0.2">
      <c r="S654" s="17"/>
    </row>
    <row r="655" spans="1:29" ht="15" x14ac:dyDescent="0.2">
      <c r="S655" s="17"/>
    </row>
    <row r="656" spans="1:29" ht="15" x14ac:dyDescent="0.2">
      <c r="S656" s="17"/>
    </row>
  </sheetData>
  <mergeCells count="4">
    <mergeCell ref="Z9:AA9"/>
    <mergeCell ref="T9:Y9"/>
    <mergeCell ref="T10:Y10"/>
    <mergeCell ref="T8:Y8"/>
  </mergeCells>
  <pageMargins left="0.25" right="0.25" top="0.5" bottom="0.5" header="0.25" footer="0.25"/>
  <pageSetup paperSize="17" scale="35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locked="0" defaultSize="0" autoLine="0" autoPict="0">
                <anchor moveWithCells="1">
                  <from>
                    <xdr:col>7</xdr:col>
                    <xdr:colOff>333375</xdr:colOff>
                    <xdr:row>7</xdr:row>
                    <xdr:rowOff>85725</xdr:rowOff>
                  </from>
                  <to>
                    <xdr:col>8</xdr:col>
                    <xdr:colOff>600075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locked="0" defaultSize="0" autoLine="0" autoPict="0">
                <anchor moveWithCells="1">
                  <from>
                    <xdr:col>11</xdr:col>
                    <xdr:colOff>47625</xdr:colOff>
                    <xdr:row>7</xdr:row>
                    <xdr:rowOff>180975</xdr:rowOff>
                  </from>
                  <to>
                    <xdr:col>12</xdr:col>
                    <xdr:colOff>323850</xdr:colOff>
                    <xdr:row>9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AD708"/>
  <sheetViews>
    <sheetView zoomScale="75" workbookViewId="0">
      <pane xSplit="1" ySplit="11" topLeftCell="B12" activePane="bottomRight" state="frozen"/>
      <selection activeCell="A6" sqref="A6"/>
      <selection pane="topRight" activeCell="A6" sqref="A6"/>
      <selection pane="bottomLeft" activeCell="A6" sqref="A6"/>
      <selection pane="bottomRight" activeCell="B12" sqref="B12"/>
    </sheetView>
  </sheetViews>
  <sheetFormatPr defaultColWidth="7.109375" defaultRowHeight="12.75" x14ac:dyDescent="0.2"/>
  <cols>
    <col min="1" max="1" width="19.21875" style="34" customWidth="1"/>
    <col min="2" max="2" width="7.88671875" style="34" customWidth="1"/>
    <col min="3" max="14" width="13" style="8" customWidth="1"/>
    <col min="15" max="19" width="20.6640625" style="8" customWidth="1"/>
    <col min="20" max="20" width="15.44140625" style="8" customWidth="1"/>
    <col min="21" max="21" width="7.77734375" style="8" customWidth="1"/>
    <col min="22" max="16384" width="7.109375" style="8"/>
  </cols>
  <sheetData>
    <row r="1" spans="1:30" ht="15.75" x14ac:dyDescent="0.25">
      <c r="A1" s="103" t="s">
        <v>91</v>
      </c>
    </row>
    <row r="2" spans="1:30" ht="15.75" x14ac:dyDescent="0.25">
      <c r="A2" s="103" t="s">
        <v>92</v>
      </c>
    </row>
    <row r="3" spans="1:30" ht="15.75" x14ac:dyDescent="0.25">
      <c r="A3" s="103" t="s">
        <v>93</v>
      </c>
    </row>
    <row r="4" spans="1:30" ht="15.75" x14ac:dyDescent="0.25">
      <c r="A4" s="103" t="s">
        <v>94</v>
      </c>
    </row>
    <row r="5" spans="1:30" ht="15.75" x14ac:dyDescent="0.25">
      <c r="A5" s="103" t="s">
        <v>96</v>
      </c>
    </row>
    <row r="6" spans="1:30" ht="15.75" x14ac:dyDescent="0.25">
      <c r="A6" s="103" t="s">
        <v>101</v>
      </c>
    </row>
    <row r="8" spans="1:30" ht="15.75" x14ac:dyDescent="0.25">
      <c r="A8" s="43" t="s">
        <v>27</v>
      </c>
      <c r="B8" s="43"/>
      <c r="C8" s="101"/>
      <c r="O8" s="72"/>
      <c r="P8" s="72"/>
      <c r="Q8" s="72"/>
      <c r="R8" s="72"/>
      <c r="S8" s="72"/>
    </row>
    <row r="9" spans="1:30" ht="15.75" x14ac:dyDescent="0.25">
      <c r="A9" s="43"/>
      <c r="C9" s="112" t="s">
        <v>90</v>
      </c>
      <c r="D9" s="112"/>
      <c r="E9" s="112"/>
      <c r="F9" s="112"/>
      <c r="G9" s="100"/>
      <c r="H9" s="100"/>
      <c r="I9" s="117" t="s">
        <v>89</v>
      </c>
      <c r="J9" s="118"/>
      <c r="K9" s="118"/>
      <c r="L9" s="99"/>
      <c r="M9" s="74"/>
      <c r="N9" s="98"/>
      <c r="O9" s="116"/>
      <c r="P9" s="116"/>
      <c r="Q9" s="116"/>
      <c r="R9" s="97"/>
      <c r="S9" s="97"/>
    </row>
    <row r="10" spans="1:30" ht="97.9" customHeight="1" x14ac:dyDescent="0.25">
      <c r="A10" s="96"/>
      <c r="B10" s="96"/>
      <c r="C10" s="67" t="s">
        <v>77</v>
      </c>
      <c r="D10" s="71" t="s">
        <v>76</v>
      </c>
      <c r="E10" s="67" t="s">
        <v>75</v>
      </c>
      <c r="F10" s="67" t="s">
        <v>74</v>
      </c>
      <c r="G10" s="71" t="s">
        <v>73</v>
      </c>
      <c r="H10" s="71" t="s">
        <v>72</v>
      </c>
      <c r="I10" s="71" t="s">
        <v>71</v>
      </c>
      <c r="J10" s="71" t="s">
        <v>70</v>
      </c>
      <c r="K10" s="71" t="s">
        <v>69</v>
      </c>
      <c r="L10" s="67" t="s">
        <v>88</v>
      </c>
      <c r="M10" s="68" t="s">
        <v>68</v>
      </c>
      <c r="N10" s="37" t="s">
        <v>67</v>
      </c>
      <c r="O10" s="70" t="s">
        <v>87</v>
      </c>
      <c r="P10" s="70" t="s">
        <v>86</v>
      </c>
      <c r="Q10" s="70" t="s">
        <v>85</v>
      </c>
      <c r="R10" s="70" t="s">
        <v>63</v>
      </c>
      <c r="S10" s="95" t="s">
        <v>84</v>
      </c>
      <c r="T10" s="39" t="s">
        <v>83</v>
      </c>
    </row>
    <row r="11" spans="1:30" ht="15.75" x14ac:dyDescent="0.25">
      <c r="A11" s="38" t="s">
        <v>15</v>
      </c>
      <c r="B11" s="38" t="s">
        <v>82</v>
      </c>
      <c r="C11" s="38" t="s">
        <v>81</v>
      </c>
      <c r="D11" s="38" t="s">
        <v>81</v>
      </c>
      <c r="E11" s="38" t="s">
        <v>81</v>
      </c>
      <c r="F11" s="38" t="s">
        <v>81</v>
      </c>
      <c r="G11" s="38" t="s">
        <v>81</v>
      </c>
      <c r="H11" s="38" t="s">
        <v>81</v>
      </c>
      <c r="I11" s="38" t="s">
        <v>81</v>
      </c>
      <c r="J11" s="38" t="s">
        <v>81</v>
      </c>
      <c r="K11" s="38" t="s">
        <v>81</v>
      </c>
      <c r="L11" s="38" t="s">
        <v>81</v>
      </c>
      <c r="M11" s="94" t="s">
        <v>81</v>
      </c>
      <c r="N11" s="38" t="s">
        <v>81</v>
      </c>
      <c r="O11" s="38" t="s">
        <v>81</v>
      </c>
      <c r="P11" s="38" t="s">
        <v>81</v>
      </c>
      <c r="Q11" s="38" t="s">
        <v>81</v>
      </c>
      <c r="R11" s="38" t="s">
        <v>81</v>
      </c>
      <c r="S11" s="38" t="s">
        <v>81</v>
      </c>
      <c r="T11" s="38" t="s">
        <v>81</v>
      </c>
    </row>
    <row r="12" spans="1:30" ht="15" x14ac:dyDescent="0.2">
      <c r="A12" s="16">
        <v>41275</v>
      </c>
      <c r="B12" s="92">
        <v>31</v>
      </c>
      <c r="C12" s="79">
        <v>122.58</v>
      </c>
      <c r="D12" s="79">
        <v>297.94099999999997</v>
      </c>
      <c r="E12" s="87">
        <v>89.177000000000007</v>
      </c>
      <c r="F12" s="79">
        <v>200.30199999999999</v>
      </c>
      <c r="G12" s="81">
        <v>40</v>
      </c>
      <c r="H12" s="79">
        <v>0</v>
      </c>
      <c r="I12" s="79">
        <v>0</v>
      </c>
      <c r="J12" s="81">
        <v>100</v>
      </c>
      <c r="K12" s="81">
        <v>300</v>
      </c>
      <c r="L12" s="79">
        <v>1150</v>
      </c>
      <c r="M12" s="93"/>
      <c r="N12" s="79">
        <v>125</v>
      </c>
      <c r="O12" s="81">
        <v>240</v>
      </c>
      <c r="P12" s="81">
        <v>0</v>
      </c>
      <c r="Q12" s="81">
        <v>355</v>
      </c>
      <c r="R12" s="81">
        <v>100</v>
      </c>
      <c r="S12" s="79">
        <v>695</v>
      </c>
      <c r="T12" s="79">
        <v>50</v>
      </c>
      <c r="U12" s="77"/>
      <c r="V12" s="77"/>
      <c r="W12" s="77"/>
      <c r="X12" s="77"/>
      <c r="Y12" s="77"/>
      <c r="Z12" s="77"/>
      <c r="AA12" s="77"/>
      <c r="AB12" s="77"/>
      <c r="AC12" s="77"/>
      <c r="AD12" s="77"/>
    </row>
    <row r="13" spans="1:30" ht="15" x14ac:dyDescent="0.2">
      <c r="A13" s="16">
        <v>41306</v>
      </c>
      <c r="B13" s="92">
        <v>28</v>
      </c>
      <c r="C13" s="79">
        <f>122.58</f>
        <v>122.58</v>
      </c>
      <c r="D13" s="79">
        <f>297.941</f>
        <v>297.94099999999997</v>
      </c>
      <c r="E13" s="87">
        <f>89.177</f>
        <v>89.177000000000007</v>
      </c>
      <c r="F13" s="79">
        <f>240.302-40</f>
        <v>200.30199999999999</v>
      </c>
      <c r="G13" s="81">
        <v>40</v>
      </c>
      <c r="H13" s="79">
        <v>0</v>
      </c>
      <c r="I13" s="79">
        <v>0</v>
      </c>
      <c r="J13" s="81">
        <v>100</v>
      </c>
      <c r="K13" s="81">
        <v>300</v>
      </c>
      <c r="L13" s="79">
        <f t="shared" ref="L13:L76" si="0">SUM(C13:K13)</f>
        <v>1150</v>
      </c>
      <c r="M13" s="93"/>
      <c r="N13" s="79">
        <f>125</f>
        <v>125</v>
      </c>
      <c r="O13" s="81">
        <v>240</v>
      </c>
      <c r="P13" s="81">
        <v>0</v>
      </c>
      <c r="Q13" s="81">
        <f t="shared" ref="Q13:Q76" si="1">695-R13-O13-P13</f>
        <v>355</v>
      </c>
      <c r="R13" s="81">
        <f t="shared" ref="R13:R76" si="2">200-J13</f>
        <v>100</v>
      </c>
      <c r="S13" s="79">
        <f t="shared" ref="S13:S76" si="3">SUM(O13:R13)</f>
        <v>695</v>
      </c>
      <c r="T13" s="79">
        <f>50</f>
        <v>50</v>
      </c>
      <c r="U13" s="77"/>
      <c r="V13" s="77"/>
      <c r="W13" s="77"/>
      <c r="X13" s="77"/>
      <c r="Y13" s="77"/>
      <c r="Z13" s="77"/>
      <c r="AA13" s="77"/>
      <c r="AB13" s="77"/>
      <c r="AC13" s="77"/>
      <c r="AD13" s="77"/>
    </row>
    <row r="14" spans="1:30" ht="15" x14ac:dyDescent="0.2">
      <c r="A14" s="16">
        <v>41334</v>
      </c>
      <c r="B14" s="92">
        <v>31</v>
      </c>
      <c r="C14" s="79">
        <f>122.58</f>
        <v>122.58</v>
      </c>
      <c r="D14" s="79">
        <f>297.941</f>
        <v>297.94099999999997</v>
      </c>
      <c r="E14" s="87">
        <f>89.177</f>
        <v>89.177000000000007</v>
      </c>
      <c r="F14" s="79">
        <f>240.302-40</f>
        <v>200.30199999999999</v>
      </c>
      <c r="G14" s="81">
        <v>40</v>
      </c>
      <c r="H14" s="79">
        <v>0</v>
      </c>
      <c r="I14" s="79">
        <v>0</v>
      </c>
      <c r="J14" s="81">
        <v>100</v>
      </c>
      <c r="K14" s="81">
        <v>300</v>
      </c>
      <c r="L14" s="79">
        <f t="shared" si="0"/>
        <v>1150</v>
      </c>
      <c r="M14" s="93"/>
      <c r="N14" s="79">
        <f>125</f>
        <v>125</v>
      </c>
      <c r="O14" s="81">
        <v>240</v>
      </c>
      <c r="P14" s="81">
        <v>0</v>
      </c>
      <c r="Q14" s="81">
        <f t="shared" si="1"/>
        <v>355</v>
      </c>
      <c r="R14" s="81">
        <f t="shared" si="2"/>
        <v>100</v>
      </c>
      <c r="S14" s="79">
        <f t="shared" si="3"/>
        <v>695</v>
      </c>
      <c r="T14" s="79">
        <f>50</f>
        <v>50</v>
      </c>
      <c r="U14" s="77"/>
      <c r="V14" s="77"/>
      <c r="W14" s="77"/>
      <c r="X14" s="77"/>
      <c r="Y14" s="77"/>
      <c r="Z14" s="77"/>
      <c r="AA14" s="77"/>
      <c r="AB14" s="77"/>
      <c r="AC14" s="77"/>
      <c r="AD14" s="77"/>
    </row>
    <row r="15" spans="1:30" ht="15" x14ac:dyDescent="0.2">
      <c r="A15" s="16">
        <v>41365</v>
      </c>
      <c r="B15" s="92">
        <v>30</v>
      </c>
      <c r="C15" s="79">
        <f>141.293</f>
        <v>141.29300000000001</v>
      </c>
      <c r="D15" s="79">
        <f>267.993</f>
        <v>267.99299999999999</v>
      </c>
      <c r="E15" s="87">
        <f>115.016</f>
        <v>115.01600000000001</v>
      </c>
      <c r="F15" s="79">
        <f>314.698-40-25</f>
        <v>249.69799999999998</v>
      </c>
      <c r="G15" s="81">
        <v>40</v>
      </c>
      <c r="H15" s="79">
        <v>25</v>
      </c>
      <c r="I15" s="79">
        <v>0</v>
      </c>
      <c r="J15" s="81">
        <v>100</v>
      </c>
      <c r="K15" s="81">
        <v>300</v>
      </c>
      <c r="L15" s="79">
        <f t="shared" si="0"/>
        <v>1239</v>
      </c>
      <c r="M15" s="93"/>
      <c r="N15" s="79">
        <f>125</f>
        <v>125</v>
      </c>
      <c r="O15" s="81">
        <v>240</v>
      </c>
      <c r="P15" s="81">
        <f t="shared" ref="P15:P21" si="4">145-H15</f>
        <v>120</v>
      </c>
      <c r="Q15" s="81">
        <f t="shared" si="1"/>
        <v>235</v>
      </c>
      <c r="R15" s="81">
        <f t="shared" si="2"/>
        <v>100</v>
      </c>
      <c r="S15" s="79">
        <f t="shared" si="3"/>
        <v>695</v>
      </c>
      <c r="T15" s="79">
        <f>50</f>
        <v>50</v>
      </c>
      <c r="U15" s="77"/>
      <c r="V15" s="77"/>
      <c r="W15" s="77"/>
      <c r="X15" s="77"/>
      <c r="Y15" s="77"/>
      <c r="Z15" s="77"/>
      <c r="AA15" s="77"/>
      <c r="AB15" s="77"/>
      <c r="AC15" s="77"/>
      <c r="AD15" s="77"/>
    </row>
    <row r="16" spans="1:30" ht="15" x14ac:dyDescent="0.2">
      <c r="A16" s="16">
        <v>41395</v>
      </c>
      <c r="B16" s="92">
        <v>31</v>
      </c>
      <c r="C16" s="79">
        <f>194.205</f>
        <v>194.20500000000001</v>
      </c>
      <c r="D16" s="79">
        <f>267.466</f>
        <v>267.46600000000001</v>
      </c>
      <c r="E16" s="87">
        <f>133.845</f>
        <v>133.845</v>
      </c>
      <c r="F16" s="79">
        <f>278.484-40-25</f>
        <v>213.48399999999998</v>
      </c>
      <c r="G16" s="81">
        <v>40</v>
      </c>
      <c r="H16" s="79">
        <v>25</v>
      </c>
      <c r="I16" s="93">
        <v>30</v>
      </c>
      <c r="J16" s="81">
        <v>100</v>
      </c>
      <c r="K16" s="81">
        <v>300</v>
      </c>
      <c r="L16" s="79">
        <f t="shared" si="0"/>
        <v>1304</v>
      </c>
      <c r="M16" s="93"/>
      <c r="N16" s="79">
        <f>100</f>
        <v>100</v>
      </c>
      <c r="O16" s="81">
        <v>240</v>
      </c>
      <c r="P16" s="81">
        <f t="shared" si="4"/>
        <v>120</v>
      </c>
      <c r="Q16" s="81">
        <f t="shared" si="1"/>
        <v>235</v>
      </c>
      <c r="R16" s="81">
        <f t="shared" si="2"/>
        <v>100</v>
      </c>
      <c r="S16" s="79">
        <f t="shared" si="3"/>
        <v>695</v>
      </c>
      <c r="T16" s="79">
        <f>50</f>
        <v>50</v>
      </c>
      <c r="U16" s="77"/>
      <c r="V16" s="77"/>
      <c r="W16" s="77"/>
      <c r="X16" s="77"/>
      <c r="Y16" s="77"/>
      <c r="Z16" s="77"/>
      <c r="AA16" s="77"/>
      <c r="AB16" s="77"/>
      <c r="AC16" s="77"/>
      <c r="AD16" s="77"/>
    </row>
    <row r="17" spans="1:30" ht="15" x14ac:dyDescent="0.2">
      <c r="A17" s="16">
        <v>41426</v>
      </c>
      <c r="B17" s="92">
        <v>30</v>
      </c>
      <c r="C17" s="79">
        <f>194.205</f>
        <v>194.20500000000001</v>
      </c>
      <c r="D17" s="79">
        <f>267.466</f>
        <v>267.46600000000001</v>
      </c>
      <c r="E17" s="87">
        <f>133.845</f>
        <v>133.845</v>
      </c>
      <c r="F17" s="79">
        <f>278.484-40-25</f>
        <v>213.48399999999998</v>
      </c>
      <c r="G17" s="81">
        <v>40</v>
      </c>
      <c r="H17" s="79">
        <v>25</v>
      </c>
      <c r="I17" s="93">
        <v>30</v>
      </c>
      <c r="J17" s="81">
        <v>100</v>
      </c>
      <c r="K17" s="81">
        <v>300</v>
      </c>
      <c r="L17" s="79">
        <f t="shared" si="0"/>
        <v>1304</v>
      </c>
      <c r="M17" s="93"/>
      <c r="N17" s="79">
        <f>55</f>
        <v>55</v>
      </c>
      <c r="O17" s="81">
        <v>240</v>
      </c>
      <c r="P17" s="81">
        <f t="shared" si="4"/>
        <v>120</v>
      </c>
      <c r="Q17" s="81">
        <f t="shared" si="1"/>
        <v>235</v>
      </c>
      <c r="R17" s="81">
        <f t="shared" si="2"/>
        <v>100</v>
      </c>
      <c r="S17" s="79">
        <f t="shared" si="3"/>
        <v>695</v>
      </c>
      <c r="T17" s="79">
        <f>50</f>
        <v>50</v>
      </c>
      <c r="U17" s="77"/>
      <c r="V17" s="77"/>
      <c r="W17" s="77"/>
      <c r="X17" s="77"/>
      <c r="Y17" s="77"/>
      <c r="Z17" s="77"/>
      <c r="AA17" s="77"/>
      <c r="AB17" s="77"/>
      <c r="AC17" s="77"/>
      <c r="AD17" s="77"/>
    </row>
    <row r="18" spans="1:30" ht="15" x14ac:dyDescent="0.2">
      <c r="A18" s="16">
        <v>41456</v>
      </c>
      <c r="B18" s="92">
        <v>31</v>
      </c>
      <c r="C18" s="79">
        <f>194.205</f>
        <v>194.20500000000001</v>
      </c>
      <c r="D18" s="79">
        <f>267.466</f>
        <v>267.46600000000001</v>
      </c>
      <c r="E18" s="87">
        <f>133.845</f>
        <v>133.845</v>
      </c>
      <c r="F18" s="79">
        <f>278.484-40-25</f>
        <v>213.48399999999998</v>
      </c>
      <c r="G18" s="81">
        <v>40</v>
      </c>
      <c r="H18" s="79">
        <v>25</v>
      </c>
      <c r="I18" s="93">
        <v>30</v>
      </c>
      <c r="J18" s="81">
        <v>100</v>
      </c>
      <c r="K18" s="81">
        <v>300</v>
      </c>
      <c r="L18" s="79">
        <f t="shared" si="0"/>
        <v>1304</v>
      </c>
      <c r="M18" s="93"/>
      <c r="N18" s="79">
        <f>55</f>
        <v>55</v>
      </c>
      <c r="O18" s="81">
        <v>240</v>
      </c>
      <c r="P18" s="81">
        <f t="shared" si="4"/>
        <v>120</v>
      </c>
      <c r="Q18" s="81">
        <f t="shared" si="1"/>
        <v>235</v>
      </c>
      <c r="R18" s="81">
        <f t="shared" si="2"/>
        <v>100</v>
      </c>
      <c r="S18" s="79">
        <f t="shared" si="3"/>
        <v>695</v>
      </c>
      <c r="T18" s="79">
        <f>0</f>
        <v>0</v>
      </c>
      <c r="U18" s="77"/>
      <c r="V18" s="77"/>
      <c r="W18" s="77"/>
      <c r="X18" s="77"/>
      <c r="Y18" s="77"/>
      <c r="Z18" s="77"/>
      <c r="AA18" s="77"/>
      <c r="AB18" s="77"/>
      <c r="AC18" s="77"/>
      <c r="AD18" s="77"/>
    </row>
    <row r="19" spans="1:30" ht="15" x14ac:dyDescent="0.2">
      <c r="A19" s="16">
        <v>41487</v>
      </c>
      <c r="B19" s="92">
        <v>31</v>
      </c>
      <c r="C19" s="79">
        <f>194.205</f>
        <v>194.20500000000001</v>
      </c>
      <c r="D19" s="79">
        <f>267.466</f>
        <v>267.46600000000001</v>
      </c>
      <c r="E19" s="87">
        <f>133.845</f>
        <v>133.845</v>
      </c>
      <c r="F19" s="79">
        <f>278.484-40-25</f>
        <v>213.48399999999998</v>
      </c>
      <c r="G19" s="81">
        <v>40</v>
      </c>
      <c r="H19" s="79">
        <v>25</v>
      </c>
      <c r="I19" s="93">
        <v>30</v>
      </c>
      <c r="J19" s="81">
        <v>100</v>
      </c>
      <c r="K19" s="81">
        <v>300</v>
      </c>
      <c r="L19" s="79">
        <f t="shared" si="0"/>
        <v>1304</v>
      </c>
      <c r="M19" s="93"/>
      <c r="N19" s="79">
        <f>55</f>
        <v>55</v>
      </c>
      <c r="O19" s="81">
        <v>240</v>
      </c>
      <c r="P19" s="81">
        <f t="shared" si="4"/>
        <v>120</v>
      </c>
      <c r="Q19" s="81">
        <f t="shared" si="1"/>
        <v>235</v>
      </c>
      <c r="R19" s="81">
        <f t="shared" si="2"/>
        <v>100</v>
      </c>
      <c r="S19" s="79">
        <f t="shared" si="3"/>
        <v>695</v>
      </c>
      <c r="T19" s="79">
        <f>0</f>
        <v>0</v>
      </c>
      <c r="U19" s="77"/>
      <c r="V19" s="77"/>
      <c r="W19" s="77"/>
      <c r="X19" s="77"/>
      <c r="Y19" s="77"/>
      <c r="Z19" s="77"/>
      <c r="AA19" s="77"/>
      <c r="AB19" s="77"/>
      <c r="AC19" s="77"/>
      <c r="AD19" s="77"/>
    </row>
    <row r="20" spans="1:30" ht="15" x14ac:dyDescent="0.2">
      <c r="A20" s="16">
        <v>41518</v>
      </c>
      <c r="B20" s="92">
        <v>30</v>
      </c>
      <c r="C20" s="79">
        <f>194.205</f>
        <v>194.20500000000001</v>
      </c>
      <c r="D20" s="79">
        <f>267.466</f>
        <v>267.46600000000001</v>
      </c>
      <c r="E20" s="87">
        <f>133.845</f>
        <v>133.845</v>
      </c>
      <c r="F20" s="79">
        <f>278.484-40-25</f>
        <v>213.48399999999998</v>
      </c>
      <c r="G20" s="81">
        <v>40</v>
      </c>
      <c r="H20" s="79">
        <v>25</v>
      </c>
      <c r="I20" s="93">
        <v>30</v>
      </c>
      <c r="J20" s="81">
        <v>100</v>
      </c>
      <c r="K20" s="81">
        <v>300</v>
      </c>
      <c r="L20" s="79">
        <f t="shared" si="0"/>
        <v>1304</v>
      </c>
      <c r="M20" s="93"/>
      <c r="N20" s="79">
        <f>55</f>
        <v>55</v>
      </c>
      <c r="O20" s="81">
        <v>240</v>
      </c>
      <c r="P20" s="81">
        <f t="shared" si="4"/>
        <v>120</v>
      </c>
      <c r="Q20" s="81">
        <f t="shared" si="1"/>
        <v>235</v>
      </c>
      <c r="R20" s="81">
        <f t="shared" si="2"/>
        <v>100</v>
      </c>
      <c r="S20" s="79">
        <f t="shared" si="3"/>
        <v>695</v>
      </c>
      <c r="T20" s="79">
        <f>0</f>
        <v>0</v>
      </c>
      <c r="U20" s="77"/>
      <c r="V20" s="77"/>
      <c r="W20" s="77"/>
      <c r="X20" s="77"/>
      <c r="Y20" s="77"/>
      <c r="Z20" s="77"/>
      <c r="AA20" s="77"/>
      <c r="AB20" s="77"/>
      <c r="AC20" s="77"/>
      <c r="AD20" s="77"/>
    </row>
    <row r="21" spans="1:30" ht="15" x14ac:dyDescent="0.2">
      <c r="A21" s="16">
        <v>41548</v>
      </c>
      <c r="B21" s="92">
        <v>31</v>
      </c>
      <c r="C21" s="79">
        <f>131.881</f>
        <v>131.881</v>
      </c>
      <c r="D21" s="79">
        <f>277.167</f>
        <v>277.16699999999997</v>
      </c>
      <c r="E21" s="87">
        <f>79.08</f>
        <v>79.08</v>
      </c>
      <c r="F21" s="79">
        <f>350.872-40-25</f>
        <v>285.87200000000001</v>
      </c>
      <c r="G21" s="81">
        <v>40</v>
      </c>
      <c r="H21" s="79">
        <v>25</v>
      </c>
      <c r="I21" s="79">
        <v>0</v>
      </c>
      <c r="J21" s="81">
        <v>100</v>
      </c>
      <c r="K21" s="81">
        <v>300</v>
      </c>
      <c r="L21" s="79">
        <f t="shared" si="0"/>
        <v>1239</v>
      </c>
      <c r="M21" s="93"/>
      <c r="N21" s="79">
        <f>100</f>
        <v>100</v>
      </c>
      <c r="O21" s="81">
        <v>240</v>
      </c>
      <c r="P21" s="81">
        <f t="shared" si="4"/>
        <v>120</v>
      </c>
      <c r="Q21" s="81">
        <f t="shared" si="1"/>
        <v>235</v>
      </c>
      <c r="R21" s="81">
        <f t="shared" si="2"/>
        <v>100</v>
      </c>
      <c r="S21" s="79">
        <f t="shared" si="3"/>
        <v>695</v>
      </c>
      <c r="T21" s="79">
        <f>0</f>
        <v>0</v>
      </c>
      <c r="U21" s="77"/>
      <c r="V21" s="77"/>
      <c r="W21" s="77"/>
      <c r="X21" s="77"/>
      <c r="Y21" s="77"/>
      <c r="Z21" s="77"/>
      <c r="AA21" s="77"/>
      <c r="AB21" s="77"/>
      <c r="AC21" s="77"/>
      <c r="AD21" s="77"/>
    </row>
    <row r="22" spans="1:30" ht="15" x14ac:dyDescent="0.2">
      <c r="A22" s="16">
        <v>41579</v>
      </c>
      <c r="B22" s="92">
        <v>30</v>
      </c>
      <c r="C22" s="79">
        <f>122.58</f>
        <v>122.58</v>
      </c>
      <c r="D22" s="79">
        <f>297.941</f>
        <v>297.94099999999997</v>
      </c>
      <c r="E22" s="87">
        <f>89.177</f>
        <v>89.177000000000007</v>
      </c>
      <c r="F22" s="79">
        <f>240.302-40</f>
        <v>200.30199999999999</v>
      </c>
      <c r="G22" s="81">
        <v>40</v>
      </c>
      <c r="H22" s="79">
        <v>0</v>
      </c>
      <c r="I22" s="79">
        <v>0</v>
      </c>
      <c r="J22" s="81">
        <v>100</v>
      </c>
      <c r="K22" s="81">
        <v>300</v>
      </c>
      <c r="L22" s="79">
        <f t="shared" si="0"/>
        <v>1150</v>
      </c>
      <c r="M22" s="93"/>
      <c r="N22" s="79">
        <f>125</f>
        <v>125</v>
      </c>
      <c r="O22" s="81">
        <v>240</v>
      </c>
      <c r="P22" s="81">
        <v>0</v>
      </c>
      <c r="Q22" s="81">
        <f t="shared" si="1"/>
        <v>355</v>
      </c>
      <c r="R22" s="81">
        <f t="shared" si="2"/>
        <v>100</v>
      </c>
      <c r="S22" s="79">
        <f t="shared" si="3"/>
        <v>695</v>
      </c>
      <c r="T22" s="79">
        <f>50</f>
        <v>50</v>
      </c>
      <c r="U22" s="77"/>
      <c r="V22" s="77"/>
      <c r="W22" s="77"/>
      <c r="X22" s="77"/>
      <c r="Y22" s="77"/>
      <c r="Z22" s="77"/>
      <c r="AA22" s="77"/>
      <c r="AB22" s="77"/>
      <c r="AC22" s="77"/>
      <c r="AD22" s="77"/>
    </row>
    <row r="23" spans="1:30" ht="15" x14ac:dyDescent="0.2">
      <c r="A23" s="16">
        <v>41609</v>
      </c>
      <c r="B23" s="92">
        <v>31</v>
      </c>
      <c r="C23" s="79">
        <f>122.58</f>
        <v>122.58</v>
      </c>
      <c r="D23" s="79">
        <f>297.941</f>
        <v>297.94099999999997</v>
      </c>
      <c r="E23" s="87">
        <f>89.177</f>
        <v>89.177000000000007</v>
      </c>
      <c r="F23" s="79">
        <f>240.302-40</f>
        <v>200.30199999999999</v>
      </c>
      <c r="G23" s="81">
        <v>40</v>
      </c>
      <c r="H23" s="79">
        <v>0</v>
      </c>
      <c r="I23" s="79">
        <v>0</v>
      </c>
      <c r="J23" s="81">
        <v>100</v>
      </c>
      <c r="K23" s="81">
        <v>300</v>
      </c>
      <c r="L23" s="79">
        <f t="shared" si="0"/>
        <v>1150</v>
      </c>
      <c r="M23" s="93"/>
      <c r="N23" s="79">
        <f>125</f>
        <v>125</v>
      </c>
      <c r="O23" s="81">
        <v>240</v>
      </c>
      <c r="P23" s="81">
        <v>0</v>
      </c>
      <c r="Q23" s="81">
        <f t="shared" si="1"/>
        <v>355</v>
      </c>
      <c r="R23" s="81">
        <f t="shared" si="2"/>
        <v>100</v>
      </c>
      <c r="S23" s="79">
        <f t="shared" si="3"/>
        <v>695</v>
      </c>
      <c r="T23" s="79">
        <f>50</f>
        <v>50</v>
      </c>
      <c r="U23" s="77"/>
      <c r="V23" s="77"/>
      <c r="W23" s="77"/>
      <c r="X23" s="77"/>
      <c r="Y23" s="77"/>
      <c r="Z23" s="77"/>
      <c r="AA23" s="77"/>
      <c r="AB23" s="77"/>
      <c r="AC23" s="77"/>
      <c r="AD23" s="77"/>
    </row>
    <row r="24" spans="1:30" ht="15.75" x14ac:dyDescent="0.25">
      <c r="A24" s="16">
        <v>41640</v>
      </c>
      <c r="B24" s="92">
        <v>31</v>
      </c>
      <c r="C24" s="79">
        <f>122.58</f>
        <v>122.58</v>
      </c>
      <c r="D24" s="79">
        <f>297.941</f>
        <v>297.94099999999997</v>
      </c>
      <c r="E24" s="87">
        <f>89.177</f>
        <v>89.177000000000007</v>
      </c>
      <c r="F24" s="79">
        <f>240.302-40</f>
        <v>200.30199999999999</v>
      </c>
      <c r="G24" s="81">
        <v>40</v>
      </c>
      <c r="H24" s="79">
        <v>0</v>
      </c>
      <c r="I24" s="79">
        <v>0</v>
      </c>
      <c r="J24" s="81">
        <v>100</v>
      </c>
      <c r="K24" s="81">
        <v>300</v>
      </c>
      <c r="L24" s="79">
        <f t="shared" si="0"/>
        <v>1150</v>
      </c>
      <c r="M24" s="89"/>
      <c r="N24" s="79">
        <f>100</f>
        <v>100</v>
      </c>
      <c r="O24" s="81">
        <v>240</v>
      </c>
      <c r="P24" s="81">
        <v>0</v>
      </c>
      <c r="Q24" s="81">
        <f t="shared" si="1"/>
        <v>355</v>
      </c>
      <c r="R24" s="81">
        <f t="shared" si="2"/>
        <v>100</v>
      </c>
      <c r="S24" s="79">
        <f t="shared" si="3"/>
        <v>695</v>
      </c>
      <c r="T24" s="79">
        <f>50</f>
        <v>50</v>
      </c>
      <c r="U24" s="77"/>
      <c r="V24" s="77"/>
      <c r="W24" s="77"/>
      <c r="X24" s="77"/>
      <c r="Y24" s="77"/>
      <c r="Z24" s="77"/>
      <c r="AA24" s="77"/>
      <c r="AB24" s="77"/>
      <c r="AC24" s="77"/>
      <c r="AD24" s="77"/>
    </row>
    <row r="25" spans="1:30" ht="15.75" x14ac:dyDescent="0.25">
      <c r="A25" s="16">
        <v>41671</v>
      </c>
      <c r="B25" s="92">
        <v>28</v>
      </c>
      <c r="C25" s="79">
        <f>122.58</f>
        <v>122.58</v>
      </c>
      <c r="D25" s="79">
        <f>297.941</f>
        <v>297.94099999999997</v>
      </c>
      <c r="E25" s="87">
        <f>89.177</f>
        <v>89.177000000000007</v>
      </c>
      <c r="F25" s="79">
        <f>240.302-40</f>
        <v>200.30199999999999</v>
      </c>
      <c r="G25" s="81">
        <v>40</v>
      </c>
      <c r="H25" s="79">
        <v>0</v>
      </c>
      <c r="I25" s="79">
        <v>0</v>
      </c>
      <c r="J25" s="81">
        <v>100</v>
      </c>
      <c r="K25" s="81">
        <v>300</v>
      </c>
      <c r="L25" s="79">
        <f t="shared" si="0"/>
        <v>1150</v>
      </c>
      <c r="M25" s="89"/>
      <c r="N25" s="79">
        <f>100</f>
        <v>100</v>
      </c>
      <c r="O25" s="81">
        <v>240</v>
      </c>
      <c r="P25" s="81">
        <v>0</v>
      </c>
      <c r="Q25" s="81">
        <f t="shared" si="1"/>
        <v>355</v>
      </c>
      <c r="R25" s="81">
        <f t="shared" si="2"/>
        <v>100</v>
      </c>
      <c r="S25" s="79">
        <f t="shared" si="3"/>
        <v>695</v>
      </c>
      <c r="T25" s="79">
        <f>50</f>
        <v>50</v>
      </c>
      <c r="U25" s="77"/>
      <c r="V25" s="77"/>
      <c r="W25" s="77"/>
      <c r="X25" s="77"/>
      <c r="Y25" s="77"/>
      <c r="Z25" s="77"/>
      <c r="AA25" s="77"/>
      <c r="AB25" s="77"/>
      <c r="AC25" s="77"/>
      <c r="AD25" s="77"/>
    </row>
    <row r="26" spans="1:30" ht="15.75" x14ac:dyDescent="0.25">
      <c r="A26" s="16">
        <v>41699</v>
      </c>
      <c r="B26" s="92">
        <v>31</v>
      </c>
      <c r="C26" s="79">
        <f>122.58</f>
        <v>122.58</v>
      </c>
      <c r="D26" s="79">
        <f>297.941</f>
        <v>297.94099999999997</v>
      </c>
      <c r="E26" s="87">
        <f>89.177</f>
        <v>89.177000000000007</v>
      </c>
      <c r="F26" s="79">
        <f>240.302-40</f>
        <v>200.30199999999999</v>
      </c>
      <c r="G26" s="81">
        <v>40</v>
      </c>
      <c r="H26" s="79">
        <v>0</v>
      </c>
      <c r="I26" s="79">
        <v>0</v>
      </c>
      <c r="J26" s="81">
        <v>100</v>
      </c>
      <c r="K26" s="81">
        <v>300</v>
      </c>
      <c r="L26" s="79">
        <f t="shared" si="0"/>
        <v>1150</v>
      </c>
      <c r="M26" s="89"/>
      <c r="N26" s="79">
        <f>100</f>
        <v>100</v>
      </c>
      <c r="O26" s="81">
        <v>240</v>
      </c>
      <c r="P26" s="81">
        <v>0</v>
      </c>
      <c r="Q26" s="81">
        <f t="shared" si="1"/>
        <v>355</v>
      </c>
      <c r="R26" s="81">
        <f t="shared" si="2"/>
        <v>100</v>
      </c>
      <c r="S26" s="79">
        <f t="shared" si="3"/>
        <v>695</v>
      </c>
      <c r="T26" s="79">
        <f>50</f>
        <v>50</v>
      </c>
      <c r="U26" s="77"/>
      <c r="V26" s="77"/>
      <c r="W26" s="77"/>
      <c r="X26" s="77"/>
      <c r="Y26" s="77"/>
      <c r="Z26" s="77"/>
      <c r="AA26" s="77"/>
      <c r="AB26" s="77"/>
      <c r="AC26" s="77"/>
      <c r="AD26" s="77"/>
    </row>
    <row r="27" spans="1:30" ht="15.75" x14ac:dyDescent="0.25">
      <c r="A27" s="16">
        <v>41730</v>
      </c>
      <c r="B27" s="92">
        <v>30</v>
      </c>
      <c r="C27" s="79">
        <f>141.293</f>
        <v>141.29300000000001</v>
      </c>
      <c r="D27" s="79">
        <f>267.993</f>
        <v>267.99299999999999</v>
      </c>
      <c r="E27" s="87">
        <f>115.016</f>
        <v>115.01600000000001</v>
      </c>
      <c r="F27" s="79">
        <f>314.698-40-25</f>
        <v>249.69799999999998</v>
      </c>
      <c r="G27" s="81">
        <v>40</v>
      </c>
      <c r="H27" s="79">
        <v>25</v>
      </c>
      <c r="I27" s="79">
        <v>0</v>
      </c>
      <c r="J27" s="81">
        <v>100</v>
      </c>
      <c r="K27" s="81">
        <v>300</v>
      </c>
      <c r="L27" s="79">
        <f t="shared" si="0"/>
        <v>1239</v>
      </c>
      <c r="M27" s="89"/>
      <c r="N27" s="79">
        <f>100</f>
        <v>100</v>
      </c>
      <c r="O27" s="81">
        <v>240</v>
      </c>
      <c r="P27" s="81">
        <f t="shared" ref="P27:P33" si="5">145-H27</f>
        <v>120</v>
      </c>
      <c r="Q27" s="81">
        <f t="shared" si="1"/>
        <v>235</v>
      </c>
      <c r="R27" s="81">
        <f t="shared" si="2"/>
        <v>100</v>
      </c>
      <c r="S27" s="79">
        <f t="shared" si="3"/>
        <v>695</v>
      </c>
      <c r="T27" s="79">
        <f>50</f>
        <v>50</v>
      </c>
      <c r="U27" s="77"/>
      <c r="V27" s="77"/>
      <c r="W27" s="77"/>
      <c r="X27" s="77"/>
      <c r="Y27" s="77"/>
      <c r="Z27" s="77"/>
      <c r="AA27" s="77"/>
      <c r="AB27" s="77"/>
      <c r="AC27" s="77"/>
      <c r="AD27" s="77"/>
    </row>
    <row r="28" spans="1:30" ht="15.75" x14ac:dyDescent="0.25">
      <c r="A28" s="16">
        <v>41760</v>
      </c>
      <c r="B28" s="92">
        <v>31</v>
      </c>
      <c r="C28" s="79">
        <f>194.205</f>
        <v>194.20500000000001</v>
      </c>
      <c r="D28" s="79">
        <f>267.466</f>
        <v>267.46600000000001</v>
      </c>
      <c r="E28" s="87">
        <f>133.845</f>
        <v>133.845</v>
      </c>
      <c r="F28" s="79">
        <f>278.484-40-25</f>
        <v>213.48399999999998</v>
      </c>
      <c r="G28" s="81">
        <v>40</v>
      </c>
      <c r="H28" s="79">
        <v>25</v>
      </c>
      <c r="I28" s="93">
        <v>50</v>
      </c>
      <c r="J28" s="81">
        <v>100</v>
      </c>
      <c r="K28" s="81">
        <v>300</v>
      </c>
      <c r="L28" s="79">
        <f t="shared" si="0"/>
        <v>1324</v>
      </c>
      <c r="M28" s="89"/>
      <c r="N28" s="79">
        <f>75</f>
        <v>75</v>
      </c>
      <c r="O28" s="81">
        <v>240</v>
      </c>
      <c r="P28" s="81">
        <f t="shared" si="5"/>
        <v>120</v>
      </c>
      <c r="Q28" s="81">
        <f t="shared" si="1"/>
        <v>235</v>
      </c>
      <c r="R28" s="81">
        <f t="shared" si="2"/>
        <v>100</v>
      </c>
      <c r="S28" s="79">
        <f t="shared" si="3"/>
        <v>695</v>
      </c>
      <c r="T28" s="79">
        <f>50</f>
        <v>50</v>
      </c>
      <c r="U28" s="77"/>
      <c r="V28" s="77"/>
      <c r="W28" s="77"/>
      <c r="X28" s="77"/>
      <c r="Y28" s="77"/>
      <c r="Z28" s="77"/>
      <c r="AA28" s="77"/>
      <c r="AB28" s="77"/>
      <c r="AC28" s="77"/>
      <c r="AD28" s="77"/>
    </row>
    <row r="29" spans="1:30" ht="15.75" x14ac:dyDescent="0.25">
      <c r="A29" s="16">
        <v>41791</v>
      </c>
      <c r="B29" s="92">
        <v>30</v>
      </c>
      <c r="C29" s="79">
        <f>194.205</f>
        <v>194.20500000000001</v>
      </c>
      <c r="D29" s="79">
        <f>267.466</f>
        <v>267.46600000000001</v>
      </c>
      <c r="E29" s="87">
        <f>133.845</f>
        <v>133.845</v>
      </c>
      <c r="F29" s="79">
        <f>278.484-40-25</f>
        <v>213.48399999999998</v>
      </c>
      <c r="G29" s="81">
        <v>40</v>
      </c>
      <c r="H29" s="79">
        <v>25</v>
      </c>
      <c r="I29" s="93">
        <v>50</v>
      </c>
      <c r="J29" s="81">
        <v>100</v>
      </c>
      <c r="K29" s="81">
        <v>300</v>
      </c>
      <c r="L29" s="79">
        <f t="shared" si="0"/>
        <v>1324</v>
      </c>
      <c r="M29" s="89"/>
      <c r="N29" s="79">
        <f>30</f>
        <v>30</v>
      </c>
      <c r="O29" s="81">
        <v>240</v>
      </c>
      <c r="P29" s="81">
        <f t="shared" si="5"/>
        <v>120</v>
      </c>
      <c r="Q29" s="81">
        <f t="shared" si="1"/>
        <v>235</v>
      </c>
      <c r="R29" s="81">
        <f t="shared" si="2"/>
        <v>100</v>
      </c>
      <c r="S29" s="79">
        <f t="shared" si="3"/>
        <v>695</v>
      </c>
      <c r="T29" s="79">
        <f>50</f>
        <v>50</v>
      </c>
      <c r="U29" s="77"/>
      <c r="V29" s="77"/>
      <c r="W29" s="77"/>
      <c r="X29" s="77"/>
      <c r="Y29" s="77"/>
      <c r="Z29" s="77"/>
      <c r="AA29" s="77"/>
      <c r="AB29" s="77"/>
      <c r="AC29" s="77"/>
      <c r="AD29" s="77"/>
    </row>
    <row r="30" spans="1:30" ht="15.75" x14ac:dyDescent="0.25">
      <c r="A30" s="16">
        <v>41821</v>
      </c>
      <c r="B30" s="92">
        <v>31</v>
      </c>
      <c r="C30" s="79">
        <f>194.205</f>
        <v>194.20500000000001</v>
      </c>
      <c r="D30" s="79">
        <f>267.466</f>
        <v>267.46600000000001</v>
      </c>
      <c r="E30" s="87">
        <f>133.845</f>
        <v>133.845</v>
      </c>
      <c r="F30" s="79">
        <f>278.484-40-25</f>
        <v>213.48399999999998</v>
      </c>
      <c r="G30" s="81">
        <v>40</v>
      </c>
      <c r="H30" s="79">
        <v>25</v>
      </c>
      <c r="I30" s="93">
        <v>50</v>
      </c>
      <c r="J30" s="81">
        <v>100</v>
      </c>
      <c r="K30" s="81">
        <v>300</v>
      </c>
      <c r="L30" s="79">
        <f t="shared" si="0"/>
        <v>1324</v>
      </c>
      <c r="M30" s="89"/>
      <c r="N30" s="79">
        <f>30</f>
        <v>30</v>
      </c>
      <c r="O30" s="81">
        <v>240</v>
      </c>
      <c r="P30" s="81">
        <f t="shared" si="5"/>
        <v>120</v>
      </c>
      <c r="Q30" s="81">
        <f t="shared" si="1"/>
        <v>235</v>
      </c>
      <c r="R30" s="81">
        <f t="shared" si="2"/>
        <v>100</v>
      </c>
      <c r="S30" s="79">
        <f t="shared" si="3"/>
        <v>695</v>
      </c>
      <c r="T30" s="79">
        <f>0</f>
        <v>0</v>
      </c>
      <c r="U30" s="77"/>
      <c r="V30" s="77"/>
      <c r="W30" s="77"/>
      <c r="X30" s="77"/>
      <c r="Y30" s="77"/>
      <c r="Z30" s="77"/>
      <c r="AA30" s="77"/>
      <c r="AB30" s="77"/>
      <c r="AC30" s="77"/>
      <c r="AD30" s="77"/>
    </row>
    <row r="31" spans="1:30" ht="15.75" x14ac:dyDescent="0.25">
      <c r="A31" s="16">
        <v>41852</v>
      </c>
      <c r="B31" s="92">
        <v>31</v>
      </c>
      <c r="C31" s="79">
        <f>194.205</f>
        <v>194.20500000000001</v>
      </c>
      <c r="D31" s="79">
        <f>267.466</f>
        <v>267.46600000000001</v>
      </c>
      <c r="E31" s="87">
        <f>133.845</f>
        <v>133.845</v>
      </c>
      <c r="F31" s="79">
        <f>278.484-40-25</f>
        <v>213.48399999999998</v>
      </c>
      <c r="G31" s="81">
        <v>40</v>
      </c>
      <c r="H31" s="79">
        <v>25</v>
      </c>
      <c r="I31" s="93">
        <v>50</v>
      </c>
      <c r="J31" s="81">
        <v>100</v>
      </c>
      <c r="K31" s="81">
        <v>300</v>
      </c>
      <c r="L31" s="79">
        <f t="shared" si="0"/>
        <v>1324</v>
      </c>
      <c r="M31" s="89"/>
      <c r="N31" s="79">
        <f>30</f>
        <v>30</v>
      </c>
      <c r="O31" s="81">
        <v>240</v>
      </c>
      <c r="P31" s="81">
        <f t="shared" si="5"/>
        <v>120</v>
      </c>
      <c r="Q31" s="81">
        <f t="shared" si="1"/>
        <v>235</v>
      </c>
      <c r="R31" s="81">
        <f t="shared" si="2"/>
        <v>100</v>
      </c>
      <c r="S31" s="79">
        <f t="shared" si="3"/>
        <v>695</v>
      </c>
      <c r="T31" s="79">
        <f>0</f>
        <v>0</v>
      </c>
      <c r="U31" s="77"/>
      <c r="V31" s="77"/>
      <c r="W31" s="77"/>
      <c r="X31" s="77"/>
      <c r="Y31" s="77"/>
      <c r="Z31" s="77"/>
      <c r="AA31" s="77"/>
      <c r="AB31" s="77"/>
      <c r="AC31" s="77"/>
      <c r="AD31" s="77"/>
    </row>
    <row r="32" spans="1:30" ht="15.75" x14ac:dyDescent="0.25">
      <c r="A32" s="16">
        <v>41883</v>
      </c>
      <c r="B32" s="92">
        <v>30</v>
      </c>
      <c r="C32" s="79">
        <f>194.205</f>
        <v>194.20500000000001</v>
      </c>
      <c r="D32" s="79">
        <f>267.466</f>
        <v>267.46600000000001</v>
      </c>
      <c r="E32" s="87">
        <f>133.845</f>
        <v>133.845</v>
      </c>
      <c r="F32" s="79">
        <f>278.484-40-25</f>
        <v>213.48399999999998</v>
      </c>
      <c r="G32" s="81">
        <v>40</v>
      </c>
      <c r="H32" s="79">
        <v>25</v>
      </c>
      <c r="I32" s="93">
        <v>50</v>
      </c>
      <c r="J32" s="81">
        <v>100</v>
      </c>
      <c r="K32" s="81">
        <v>300</v>
      </c>
      <c r="L32" s="79">
        <f t="shared" si="0"/>
        <v>1324</v>
      </c>
      <c r="M32" s="89"/>
      <c r="N32" s="79">
        <f>30</f>
        <v>30</v>
      </c>
      <c r="O32" s="81">
        <v>240</v>
      </c>
      <c r="P32" s="81">
        <f t="shared" si="5"/>
        <v>120</v>
      </c>
      <c r="Q32" s="81">
        <f t="shared" si="1"/>
        <v>235</v>
      </c>
      <c r="R32" s="81">
        <f t="shared" si="2"/>
        <v>100</v>
      </c>
      <c r="S32" s="79">
        <f t="shared" si="3"/>
        <v>695</v>
      </c>
      <c r="T32" s="79">
        <f>0</f>
        <v>0</v>
      </c>
      <c r="U32" s="77"/>
      <c r="V32" s="77"/>
      <c r="W32" s="77"/>
      <c r="X32" s="77"/>
      <c r="Y32" s="77"/>
      <c r="Z32" s="77"/>
      <c r="AA32" s="77"/>
      <c r="AB32" s="77"/>
      <c r="AC32" s="77"/>
      <c r="AD32" s="77"/>
    </row>
    <row r="33" spans="1:30" ht="15.75" x14ac:dyDescent="0.25">
      <c r="A33" s="16">
        <v>41913</v>
      </c>
      <c r="B33" s="92">
        <v>31</v>
      </c>
      <c r="C33" s="79">
        <f>131.881</f>
        <v>131.881</v>
      </c>
      <c r="D33" s="79">
        <f>277.167</f>
        <v>277.16699999999997</v>
      </c>
      <c r="E33" s="87">
        <f>79.08</f>
        <v>79.08</v>
      </c>
      <c r="F33" s="79">
        <f>350.872-40-25</f>
        <v>285.87200000000001</v>
      </c>
      <c r="G33" s="81">
        <v>40</v>
      </c>
      <c r="H33" s="79">
        <v>25</v>
      </c>
      <c r="I33" s="79">
        <v>0</v>
      </c>
      <c r="J33" s="81">
        <v>100</v>
      </c>
      <c r="K33" s="81">
        <v>300</v>
      </c>
      <c r="L33" s="79">
        <f t="shared" si="0"/>
        <v>1239</v>
      </c>
      <c r="M33" s="89"/>
      <c r="N33" s="79">
        <f>75</f>
        <v>75</v>
      </c>
      <c r="O33" s="81">
        <v>240</v>
      </c>
      <c r="P33" s="81">
        <f t="shared" si="5"/>
        <v>120</v>
      </c>
      <c r="Q33" s="81">
        <f t="shared" si="1"/>
        <v>235</v>
      </c>
      <c r="R33" s="81">
        <f t="shared" si="2"/>
        <v>100</v>
      </c>
      <c r="S33" s="79">
        <f t="shared" si="3"/>
        <v>695</v>
      </c>
      <c r="T33" s="79">
        <f>0</f>
        <v>0</v>
      </c>
      <c r="U33" s="77"/>
      <c r="V33" s="77"/>
      <c r="W33" s="77"/>
      <c r="X33" s="77"/>
      <c r="Y33" s="77"/>
      <c r="Z33" s="77"/>
      <c r="AA33" s="77"/>
      <c r="AB33" s="77"/>
      <c r="AC33" s="77"/>
      <c r="AD33" s="77"/>
    </row>
    <row r="34" spans="1:30" ht="15.75" x14ac:dyDescent="0.25">
      <c r="A34" s="16">
        <v>41944</v>
      </c>
      <c r="B34" s="92">
        <v>30</v>
      </c>
      <c r="C34" s="79">
        <f>122.58</f>
        <v>122.58</v>
      </c>
      <c r="D34" s="79">
        <f>297.941</f>
        <v>297.94099999999997</v>
      </c>
      <c r="E34" s="87">
        <f>89.177</f>
        <v>89.177000000000007</v>
      </c>
      <c r="F34" s="79">
        <f>240.302-40</f>
        <v>200.30199999999999</v>
      </c>
      <c r="G34" s="81">
        <v>40</v>
      </c>
      <c r="H34" s="79">
        <v>0</v>
      </c>
      <c r="I34" s="79">
        <v>0</v>
      </c>
      <c r="J34" s="81">
        <v>100</v>
      </c>
      <c r="K34" s="81">
        <v>300</v>
      </c>
      <c r="L34" s="79">
        <f t="shared" si="0"/>
        <v>1150</v>
      </c>
      <c r="M34" s="89"/>
      <c r="N34" s="79">
        <f>100</f>
        <v>100</v>
      </c>
      <c r="O34" s="81">
        <v>240</v>
      </c>
      <c r="P34" s="81">
        <v>0</v>
      </c>
      <c r="Q34" s="81">
        <f t="shared" si="1"/>
        <v>355</v>
      </c>
      <c r="R34" s="81">
        <f t="shared" si="2"/>
        <v>100</v>
      </c>
      <c r="S34" s="79">
        <f t="shared" si="3"/>
        <v>695</v>
      </c>
      <c r="T34" s="79">
        <f>50</f>
        <v>50</v>
      </c>
      <c r="U34" s="77"/>
      <c r="V34" s="77"/>
      <c r="W34" s="77"/>
      <c r="X34" s="77"/>
      <c r="Y34" s="77"/>
      <c r="Z34" s="77"/>
      <c r="AA34" s="77"/>
      <c r="AB34" s="77"/>
      <c r="AC34" s="77"/>
      <c r="AD34" s="77"/>
    </row>
    <row r="35" spans="1:30" ht="15.75" x14ac:dyDescent="0.25">
      <c r="A35" s="16">
        <v>41974</v>
      </c>
      <c r="B35" s="92">
        <v>31</v>
      </c>
      <c r="C35" s="79">
        <f>122.58</f>
        <v>122.58</v>
      </c>
      <c r="D35" s="79">
        <f>297.941</f>
        <v>297.94099999999997</v>
      </c>
      <c r="E35" s="87">
        <f>89.177</f>
        <v>89.177000000000007</v>
      </c>
      <c r="F35" s="79">
        <f>240.302-40</f>
        <v>200.30199999999999</v>
      </c>
      <c r="G35" s="81">
        <v>40</v>
      </c>
      <c r="H35" s="79">
        <v>0</v>
      </c>
      <c r="I35" s="79">
        <v>0</v>
      </c>
      <c r="J35" s="81">
        <v>100</v>
      </c>
      <c r="K35" s="81">
        <v>300</v>
      </c>
      <c r="L35" s="79">
        <f t="shared" si="0"/>
        <v>1150</v>
      </c>
      <c r="M35" s="89"/>
      <c r="N35" s="79">
        <f>100</f>
        <v>100</v>
      </c>
      <c r="O35" s="81">
        <v>240</v>
      </c>
      <c r="P35" s="81">
        <v>0</v>
      </c>
      <c r="Q35" s="81">
        <f t="shared" si="1"/>
        <v>355</v>
      </c>
      <c r="R35" s="81">
        <f t="shared" si="2"/>
        <v>100</v>
      </c>
      <c r="S35" s="79">
        <f t="shared" si="3"/>
        <v>695</v>
      </c>
      <c r="T35" s="79">
        <f>50</f>
        <v>50</v>
      </c>
      <c r="U35" s="77"/>
      <c r="V35" s="77"/>
      <c r="W35" s="77"/>
      <c r="X35" s="77"/>
      <c r="Y35" s="77"/>
      <c r="Z35" s="77"/>
      <c r="AA35" s="77"/>
      <c r="AB35" s="77"/>
      <c r="AC35" s="77"/>
      <c r="AD35" s="77"/>
    </row>
    <row r="36" spans="1:30" ht="15.75" x14ac:dyDescent="0.25">
      <c r="A36" s="16">
        <v>42005</v>
      </c>
      <c r="B36" s="92">
        <v>31</v>
      </c>
      <c r="C36" s="79">
        <f>122.58</f>
        <v>122.58</v>
      </c>
      <c r="D36" s="79">
        <f>297.941</f>
        <v>297.94099999999997</v>
      </c>
      <c r="E36" s="87">
        <f>89.177</f>
        <v>89.177000000000007</v>
      </c>
      <c r="F36" s="79">
        <f>240.302-40</f>
        <v>200.30199999999999</v>
      </c>
      <c r="G36" s="81">
        <v>40</v>
      </c>
      <c r="H36" s="79">
        <v>0</v>
      </c>
      <c r="I36" s="79">
        <v>0</v>
      </c>
      <c r="J36" s="81">
        <v>100</v>
      </c>
      <c r="K36" s="81">
        <v>300</v>
      </c>
      <c r="L36" s="79">
        <f t="shared" si="0"/>
        <v>1150</v>
      </c>
      <c r="M36" s="89"/>
      <c r="N36" s="79">
        <f>100</f>
        <v>100</v>
      </c>
      <c r="O36" s="81">
        <v>240</v>
      </c>
      <c r="P36" s="81">
        <v>0</v>
      </c>
      <c r="Q36" s="81">
        <f t="shared" si="1"/>
        <v>355</v>
      </c>
      <c r="R36" s="81">
        <f t="shared" si="2"/>
        <v>100</v>
      </c>
      <c r="S36" s="79">
        <f t="shared" si="3"/>
        <v>695</v>
      </c>
      <c r="T36" s="79">
        <f>50</f>
        <v>50</v>
      </c>
      <c r="U36" s="77"/>
      <c r="V36" s="77"/>
      <c r="W36" s="77"/>
      <c r="X36" s="77"/>
      <c r="Y36" s="77"/>
      <c r="Z36" s="77"/>
      <c r="AA36" s="77"/>
      <c r="AB36" s="77"/>
      <c r="AC36" s="77"/>
      <c r="AD36" s="77"/>
    </row>
    <row r="37" spans="1:30" ht="15.75" x14ac:dyDescent="0.25">
      <c r="A37" s="16">
        <v>42036</v>
      </c>
      <c r="B37" s="92">
        <v>28</v>
      </c>
      <c r="C37" s="79">
        <f>122.58</f>
        <v>122.58</v>
      </c>
      <c r="D37" s="79">
        <f>297.941</f>
        <v>297.94099999999997</v>
      </c>
      <c r="E37" s="87">
        <f>89.177</f>
        <v>89.177000000000007</v>
      </c>
      <c r="F37" s="79">
        <f>240.302-40</f>
        <v>200.30199999999999</v>
      </c>
      <c r="G37" s="81">
        <v>40</v>
      </c>
      <c r="H37" s="79">
        <v>0</v>
      </c>
      <c r="I37" s="79">
        <v>0</v>
      </c>
      <c r="J37" s="81">
        <v>100</v>
      </c>
      <c r="K37" s="81">
        <v>300</v>
      </c>
      <c r="L37" s="79">
        <f t="shared" si="0"/>
        <v>1150</v>
      </c>
      <c r="M37" s="89"/>
      <c r="N37" s="79">
        <f>100</f>
        <v>100</v>
      </c>
      <c r="O37" s="81">
        <v>240</v>
      </c>
      <c r="P37" s="81">
        <v>0</v>
      </c>
      <c r="Q37" s="81">
        <f t="shared" si="1"/>
        <v>355</v>
      </c>
      <c r="R37" s="81">
        <f t="shared" si="2"/>
        <v>100</v>
      </c>
      <c r="S37" s="79">
        <f t="shared" si="3"/>
        <v>695</v>
      </c>
      <c r="T37" s="79">
        <f>50</f>
        <v>50</v>
      </c>
      <c r="U37" s="77"/>
      <c r="V37" s="77"/>
      <c r="W37" s="77"/>
      <c r="X37" s="77"/>
      <c r="Y37" s="77"/>
      <c r="Z37" s="77"/>
      <c r="AA37" s="77"/>
      <c r="AB37" s="77"/>
      <c r="AC37" s="77"/>
      <c r="AD37" s="77"/>
    </row>
    <row r="38" spans="1:30" ht="15.75" x14ac:dyDescent="0.25">
      <c r="A38" s="16">
        <v>42064</v>
      </c>
      <c r="B38" s="92">
        <v>31</v>
      </c>
      <c r="C38" s="79">
        <f>122.58</f>
        <v>122.58</v>
      </c>
      <c r="D38" s="79">
        <f>297.941</f>
        <v>297.94099999999997</v>
      </c>
      <c r="E38" s="87">
        <f>89.177</f>
        <v>89.177000000000007</v>
      </c>
      <c r="F38" s="79">
        <f>240.302-40</f>
        <v>200.30199999999999</v>
      </c>
      <c r="G38" s="81">
        <v>40</v>
      </c>
      <c r="H38" s="79">
        <v>0</v>
      </c>
      <c r="I38" s="79">
        <v>0</v>
      </c>
      <c r="J38" s="81">
        <v>100</v>
      </c>
      <c r="K38" s="81">
        <v>300</v>
      </c>
      <c r="L38" s="79">
        <f t="shared" si="0"/>
        <v>1150</v>
      </c>
      <c r="M38" s="89"/>
      <c r="N38" s="79">
        <f>100</f>
        <v>100</v>
      </c>
      <c r="O38" s="81">
        <v>240</v>
      </c>
      <c r="P38" s="81">
        <v>0</v>
      </c>
      <c r="Q38" s="81">
        <f t="shared" si="1"/>
        <v>355</v>
      </c>
      <c r="R38" s="81">
        <f t="shared" si="2"/>
        <v>100</v>
      </c>
      <c r="S38" s="79">
        <f t="shared" si="3"/>
        <v>695</v>
      </c>
      <c r="T38" s="79">
        <f>50</f>
        <v>50</v>
      </c>
      <c r="U38" s="77"/>
      <c r="V38" s="77"/>
      <c r="W38" s="77"/>
      <c r="X38" s="77"/>
      <c r="Y38" s="77"/>
      <c r="Z38" s="77"/>
      <c r="AA38" s="77"/>
      <c r="AB38" s="77"/>
      <c r="AC38" s="77"/>
      <c r="AD38" s="77"/>
    </row>
    <row r="39" spans="1:30" ht="15.75" x14ac:dyDescent="0.25">
      <c r="A39" s="16">
        <v>42095</v>
      </c>
      <c r="B39" s="92">
        <v>30</v>
      </c>
      <c r="C39" s="79">
        <f>141.293</f>
        <v>141.29300000000001</v>
      </c>
      <c r="D39" s="79">
        <f>267.993</f>
        <v>267.99299999999999</v>
      </c>
      <c r="E39" s="87">
        <f>115.016</f>
        <v>115.01600000000001</v>
      </c>
      <c r="F39" s="79">
        <f>314.698-40-25-60</f>
        <v>189.69799999999998</v>
      </c>
      <c r="G39" s="81">
        <v>40</v>
      </c>
      <c r="H39" s="79">
        <f t="shared" ref="H39:H45" si="6">25+60</f>
        <v>85</v>
      </c>
      <c r="I39" s="79">
        <v>0</v>
      </c>
      <c r="J39" s="81">
        <v>100</v>
      </c>
      <c r="K39" s="81">
        <v>300</v>
      </c>
      <c r="L39" s="79">
        <f t="shared" si="0"/>
        <v>1239</v>
      </c>
      <c r="M39" s="89"/>
      <c r="N39" s="79">
        <f>100</f>
        <v>100</v>
      </c>
      <c r="O39" s="81">
        <v>240</v>
      </c>
      <c r="P39" s="81">
        <f t="shared" ref="P39:P45" si="7">120+40</f>
        <v>160</v>
      </c>
      <c r="Q39" s="81">
        <f t="shared" si="1"/>
        <v>195</v>
      </c>
      <c r="R39" s="81">
        <f t="shared" si="2"/>
        <v>100</v>
      </c>
      <c r="S39" s="79">
        <f t="shared" si="3"/>
        <v>695</v>
      </c>
      <c r="T39" s="79">
        <f>50</f>
        <v>50</v>
      </c>
      <c r="U39" s="77"/>
      <c r="V39" s="77"/>
      <c r="W39" s="77"/>
      <c r="X39" s="77"/>
      <c r="Y39" s="77"/>
      <c r="Z39" s="77"/>
      <c r="AA39" s="77"/>
      <c r="AB39" s="77"/>
      <c r="AC39" s="77"/>
      <c r="AD39" s="77"/>
    </row>
    <row r="40" spans="1:30" ht="15.75" x14ac:dyDescent="0.25">
      <c r="A40" s="16">
        <v>42125</v>
      </c>
      <c r="B40" s="92">
        <v>31</v>
      </c>
      <c r="C40" s="79">
        <f>194.205</f>
        <v>194.20500000000001</v>
      </c>
      <c r="D40" s="79">
        <f>267.466</f>
        <v>267.46600000000001</v>
      </c>
      <c r="E40" s="87">
        <f>133.845</f>
        <v>133.845</v>
      </c>
      <c r="F40" s="79">
        <f>278.484-40-25-60</f>
        <v>153.48399999999998</v>
      </c>
      <c r="G40" s="81">
        <v>40</v>
      </c>
      <c r="H40" s="79">
        <f t="shared" si="6"/>
        <v>85</v>
      </c>
      <c r="I40" s="93">
        <v>50</v>
      </c>
      <c r="J40" s="81">
        <v>100</v>
      </c>
      <c r="K40" s="81">
        <v>300</v>
      </c>
      <c r="L40" s="79">
        <f t="shared" si="0"/>
        <v>1324</v>
      </c>
      <c r="M40" s="89"/>
      <c r="N40" s="79">
        <f>75</f>
        <v>75</v>
      </c>
      <c r="O40" s="81">
        <v>240</v>
      </c>
      <c r="P40" s="81">
        <f t="shared" si="7"/>
        <v>160</v>
      </c>
      <c r="Q40" s="81">
        <f t="shared" si="1"/>
        <v>195</v>
      </c>
      <c r="R40" s="81">
        <f t="shared" si="2"/>
        <v>100</v>
      </c>
      <c r="S40" s="79">
        <f t="shared" si="3"/>
        <v>695</v>
      </c>
      <c r="T40" s="79">
        <f>50</f>
        <v>50</v>
      </c>
      <c r="U40" s="77"/>
      <c r="V40" s="77"/>
      <c r="W40" s="77"/>
      <c r="X40" s="77"/>
      <c r="Y40" s="77"/>
      <c r="Z40" s="77"/>
      <c r="AA40" s="77"/>
      <c r="AB40" s="77"/>
      <c r="AC40" s="77"/>
      <c r="AD40" s="77"/>
    </row>
    <row r="41" spans="1:30" ht="15.75" x14ac:dyDescent="0.25">
      <c r="A41" s="16">
        <v>42156</v>
      </c>
      <c r="B41" s="92">
        <v>30</v>
      </c>
      <c r="C41" s="79">
        <f>194.205</f>
        <v>194.20500000000001</v>
      </c>
      <c r="D41" s="79">
        <f>267.466</f>
        <v>267.46600000000001</v>
      </c>
      <c r="E41" s="87">
        <f>133.845</f>
        <v>133.845</v>
      </c>
      <c r="F41" s="79">
        <f>278.484-40-25-60</f>
        <v>153.48399999999998</v>
      </c>
      <c r="G41" s="81">
        <v>40</v>
      </c>
      <c r="H41" s="79">
        <f t="shared" si="6"/>
        <v>85</v>
      </c>
      <c r="I41" s="93">
        <v>50</v>
      </c>
      <c r="J41" s="81">
        <v>100</v>
      </c>
      <c r="K41" s="81">
        <v>300</v>
      </c>
      <c r="L41" s="79">
        <f t="shared" si="0"/>
        <v>1324</v>
      </c>
      <c r="M41" s="89"/>
      <c r="N41" s="79">
        <f>30</f>
        <v>30</v>
      </c>
      <c r="O41" s="81">
        <v>240</v>
      </c>
      <c r="P41" s="81">
        <f t="shared" si="7"/>
        <v>160</v>
      </c>
      <c r="Q41" s="81">
        <f t="shared" si="1"/>
        <v>195</v>
      </c>
      <c r="R41" s="81">
        <f t="shared" si="2"/>
        <v>100</v>
      </c>
      <c r="S41" s="79">
        <f t="shared" si="3"/>
        <v>695</v>
      </c>
      <c r="T41" s="79">
        <f>50</f>
        <v>50</v>
      </c>
      <c r="U41" s="77"/>
      <c r="V41" s="77"/>
      <c r="W41" s="77"/>
      <c r="X41" s="77"/>
      <c r="Y41" s="77"/>
      <c r="Z41" s="77"/>
      <c r="AA41" s="77"/>
      <c r="AB41" s="77"/>
      <c r="AC41" s="77"/>
      <c r="AD41" s="77"/>
    </row>
    <row r="42" spans="1:30" ht="15.75" x14ac:dyDescent="0.25">
      <c r="A42" s="16">
        <v>42186</v>
      </c>
      <c r="B42" s="92">
        <v>31</v>
      </c>
      <c r="C42" s="79">
        <f>194.205</f>
        <v>194.20500000000001</v>
      </c>
      <c r="D42" s="79">
        <f>267.466</f>
        <v>267.46600000000001</v>
      </c>
      <c r="E42" s="87">
        <f>133.845</f>
        <v>133.845</v>
      </c>
      <c r="F42" s="79">
        <f>278.484-40-25-60</f>
        <v>153.48399999999998</v>
      </c>
      <c r="G42" s="81">
        <v>40</v>
      </c>
      <c r="H42" s="79">
        <f t="shared" si="6"/>
        <v>85</v>
      </c>
      <c r="I42" s="93">
        <v>50</v>
      </c>
      <c r="J42" s="81">
        <v>100</v>
      </c>
      <c r="K42" s="81">
        <v>300</v>
      </c>
      <c r="L42" s="79">
        <f t="shared" si="0"/>
        <v>1324</v>
      </c>
      <c r="M42" s="89"/>
      <c r="N42" s="79">
        <f>30</f>
        <v>30</v>
      </c>
      <c r="O42" s="81">
        <v>240</v>
      </c>
      <c r="P42" s="81">
        <f t="shared" si="7"/>
        <v>160</v>
      </c>
      <c r="Q42" s="81">
        <f t="shared" si="1"/>
        <v>195</v>
      </c>
      <c r="R42" s="81">
        <f t="shared" si="2"/>
        <v>100</v>
      </c>
      <c r="S42" s="79">
        <f t="shared" si="3"/>
        <v>695</v>
      </c>
      <c r="T42" s="79">
        <f>0</f>
        <v>0</v>
      </c>
      <c r="U42" s="77"/>
      <c r="V42" s="77"/>
      <c r="W42" s="77"/>
      <c r="X42" s="77"/>
      <c r="Y42" s="77"/>
      <c r="Z42" s="77"/>
      <c r="AA42" s="77"/>
      <c r="AB42" s="77"/>
      <c r="AC42" s="77"/>
      <c r="AD42" s="77"/>
    </row>
    <row r="43" spans="1:30" ht="15.75" x14ac:dyDescent="0.25">
      <c r="A43" s="16">
        <v>42217</v>
      </c>
      <c r="B43" s="92">
        <v>31</v>
      </c>
      <c r="C43" s="79">
        <f>194.205</f>
        <v>194.20500000000001</v>
      </c>
      <c r="D43" s="79">
        <f>267.466</f>
        <v>267.46600000000001</v>
      </c>
      <c r="E43" s="87">
        <f>133.845</f>
        <v>133.845</v>
      </c>
      <c r="F43" s="79">
        <f>278.484-40-25-60</f>
        <v>153.48399999999998</v>
      </c>
      <c r="G43" s="81">
        <v>40</v>
      </c>
      <c r="H43" s="79">
        <f t="shared" si="6"/>
        <v>85</v>
      </c>
      <c r="I43" s="93">
        <v>50</v>
      </c>
      <c r="J43" s="81">
        <v>100</v>
      </c>
      <c r="K43" s="81">
        <v>300</v>
      </c>
      <c r="L43" s="79">
        <f t="shared" si="0"/>
        <v>1324</v>
      </c>
      <c r="M43" s="89"/>
      <c r="N43" s="79">
        <f>30</f>
        <v>30</v>
      </c>
      <c r="O43" s="81">
        <v>240</v>
      </c>
      <c r="P43" s="81">
        <f t="shared" si="7"/>
        <v>160</v>
      </c>
      <c r="Q43" s="81">
        <f t="shared" si="1"/>
        <v>195</v>
      </c>
      <c r="R43" s="81">
        <f t="shared" si="2"/>
        <v>100</v>
      </c>
      <c r="S43" s="79">
        <f t="shared" si="3"/>
        <v>695</v>
      </c>
      <c r="T43" s="79">
        <f>0</f>
        <v>0</v>
      </c>
      <c r="U43" s="77"/>
      <c r="V43" s="77"/>
      <c r="W43" s="77"/>
      <c r="X43" s="77"/>
      <c r="Y43" s="77"/>
      <c r="Z43" s="77"/>
      <c r="AA43" s="77"/>
      <c r="AB43" s="77"/>
      <c r="AC43" s="77"/>
      <c r="AD43" s="77"/>
    </row>
    <row r="44" spans="1:30" ht="15.75" x14ac:dyDescent="0.25">
      <c r="A44" s="16">
        <v>42248</v>
      </c>
      <c r="B44" s="92">
        <v>30</v>
      </c>
      <c r="C44" s="79">
        <f>194.205</f>
        <v>194.20500000000001</v>
      </c>
      <c r="D44" s="79">
        <f>267.466</f>
        <v>267.46600000000001</v>
      </c>
      <c r="E44" s="87">
        <f>133.845</f>
        <v>133.845</v>
      </c>
      <c r="F44" s="79">
        <f>278.484-40-25-60</f>
        <v>153.48399999999998</v>
      </c>
      <c r="G44" s="81">
        <v>40</v>
      </c>
      <c r="H44" s="79">
        <f t="shared" si="6"/>
        <v>85</v>
      </c>
      <c r="I44" s="93">
        <v>50</v>
      </c>
      <c r="J44" s="81">
        <v>100</v>
      </c>
      <c r="K44" s="81">
        <v>300</v>
      </c>
      <c r="L44" s="79">
        <f t="shared" si="0"/>
        <v>1324</v>
      </c>
      <c r="M44" s="89"/>
      <c r="N44" s="79">
        <f>30</f>
        <v>30</v>
      </c>
      <c r="O44" s="81">
        <v>240</v>
      </c>
      <c r="P44" s="81">
        <f t="shared" si="7"/>
        <v>160</v>
      </c>
      <c r="Q44" s="81">
        <f t="shared" si="1"/>
        <v>195</v>
      </c>
      <c r="R44" s="81">
        <f t="shared" si="2"/>
        <v>100</v>
      </c>
      <c r="S44" s="79">
        <f t="shared" si="3"/>
        <v>695</v>
      </c>
      <c r="T44" s="79">
        <f>0</f>
        <v>0</v>
      </c>
      <c r="U44" s="77"/>
      <c r="V44" s="77"/>
      <c r="W44" s="77"/>
      <c r="X44" s="77"/>
      <c r="Y44" s="77"/>
      <c r="Z44" s="77"/>
      <c r="AA44" s="77"/>
      <c r="AB44" s="77"/>
      <c r="AC44" s="77"/>
      <c r="AD44" s="77"/>
    </row>
    <row r="45" spans="1:30" ht="15.75" x14ac:dyDescent="0.25">
      <c r="A45" s="16">
        <v>42278</v>
      </c>
      <c r="B45" s="92">
        <v>31</v>
      </c>
      <c r="C45" s="79">
        <f>131.881</f>
        <v>131.881</v>
      </c>
      <c r="D45" s="79">
        <f>277.167</f>
        <v>277.16699999999997</v>
      </c>
      <c r="E45" s="87">
        <f>79.08</f>
        <v>79.08</v>
      </c>
      <c r="F45" s="79">
        <f>350.872-40-25-60</f>
        <v>225.87200000000001</v>
      </c>
      <c r="G45" s="81">
        <v>40</v>
      </c>
      <c r="H45" s="79">
        <f t="shared" si="6"/>
        <v>85</v>
      </c>
      <c r="I45" s="79">
        <v>0</v>
      </c>
      <c r="J45" s="81">
        <v>100</v>
      </c>
      <c r="K45" s="81">
        <v>300</v>
      </c>
      <c r="L45" s="79">
        <f t="shared" si="0"/>
        <v>1239</v>
      </c>
      <c r="M45" s="89"/>
      <c r="N45" s="79">
        <f>75</f>
        <v>75</v>
      </c>
      <c r="O45" s="81">
        <v>240</v>
      </c>
      <c r="P45" s="81">
        <f t="shared" si="7"/>
        <v>160</v>
      </c>
      <c r="Q45" s="81">
        <f t="shared" si="1"/>
        <v>195</v>
      </c>
      <c r="R45" s="81">
        <f t="shared" si="2"/>
        <v>100</v>
      </c>
      <c r="S45" s="79">
        <f t="shared" si="3"/>
        <v>695</v>
      </c>
      <c r="T45" s="79">
        <f>0</f>
        <v>0</v>
      </c>
      <c r="U45" s="77"/>
      <c r="V45" s="77"/>
      <c r="W45" s="77"/>
      <c r="X45" s="77"/>
      <c r="Y45" s="77"/>
      <c r="Z45" s="77"/>
      <c r="AA45" s="77"/>
      <c r="AB45" s="77"/>
      <c r="AC45" s="77"/>
      <c r="AD45" s="77"/>
    </row>
    <row r="46" spans="1:30" ht="15.75" x14ac:dyDescent="0.25">
      <c r="A46" s="16">
        <v>42309</v>
      </c>
      <c r="B46" s="92">
        <v>30</v>
      </c>
      <c r="C46" s="79">
        <f>122.58</f>
        <v>122.58</v>
      </c>
      <c r="D46" s="79">
        <f>297.941</f>
        <v>297.94099999999997</v>
      </c>
      <c r="E46" s="87">
        <f>89.177</f>
        <v>89.177000000000007</v>
      </c>
      <c r="F46" s="79">
        <f>240.302-40-60</f>
        <v>140.30199999999999</v>
      </c>
      <c r="G46" s="81">
        <v>40</v>
      </c>
      <c r="H46" s="79">
        <v>60</v>
      </c>
      <c r="I46" s="79">
        <v>0</v>
      </c>
      <c r="J46" s="81">
        <v>100</v>
      </c>
      <c r="K46" s="81">
        <v>300</v>
      </c>
      <c r="L46" s="79">
        <f t="shared" si="0"/>
        <v>1150</v>
      </c>
      <c r="M46" s="89"/>
      <c r="N46" s="79">
        <f>100</f>
        <v>100</v>
      </c>
      <c r="O46" s="81">
        <v>240</v>
      </c>
      <c r="P46" s="81">
        <v>40</v>
      </c>
      <c r="Q46" s="81">
        <f t="shared" si="1"/>
        <v>315</v>
      </c>
      <c r="R46" s="81">
        <f t="shared" si="2"/>
        <v>100</v>
      </c>
      <c r="S46" s="79">
        <f t="shared" si="3"/>
        <v>695</v>
      </c>
      <c r="T46" s="79">
        <f>50</f>
        <v>50</v>
      </c>
      <c r="U46" s="77"/>
      <c r="V46" s="77"/>
      <c r="W46" s="77"/>
      <c r="X46" s="77"/>
      <c r="Y46" s="77"/>
      <c r="Z46" s="77"/>
      <c r="AA46" s="77"/>
      <c r="AB46" s="77"/>
      <c r="AC46" s="77"/>
      <c r="AD46" s="77"/>
    </row>
    <row r="47" spans="1:30" ht="15.75" x14ac:dyDescent="0.25">
      <c r="A47" s="16">
        <v>42339</v>
      </c>
      <c r="B47" s="92">
        <v>31</v>
      </c>
      <c r="C47" s="79">
        <f>122.58</f>
        <v>122.58</v>
      </c>
      <c r="D47" s="79">
        <f>297.941</f>
        <v>297.94099999999997</v>
      </c>
      <c r="E47" s="87">
        <f>89.177</f>
        <v>89.177000000000007</v>
      </c>
      <c r="F47" s="79">
        <f>240.302-40-60</f>
        <v>140.30199999999999</v>
      </c>
      <c r="G47" s="81">
        <v>40</v>
      </c>
      <c r="H47" s="79">
        <v>60</v>
      </c>
      <c r="I47" s="79">
        <v>0</v>
      </c>
      <c r="J47" s="81">
        <v>100</v>
      </c>
      <c r="K47" s="81">
        <v>300</v>
      </c>
      <c r="L47" s="79">
        <f t="shared" si="0"/>
        <v>1150</v>
      </c>
      <c r="M47" s="89"/>
      <c r="N47" s="79">
        <f>100</f>
        <v>100</v>
      </c>
      <c r="O47" s="81">
        <v>240</v>
      </c>
      <c r="P47" s="81">
        <v>40</v>
      </c>
      <c r="Q47" s="81">
        <f t="shared" si="1"/>
        <v>315</v>
      </c>
      <c r="R47" s="81">
        <f t="shared" si="2"/>
        <v>100</v>
      </c>
      <c r="S47" s="79">
        <f t="shared" si="3"/>
        <v>695</v>
      </c>
      <c r="T47" s="79">
        <f>50</f>
        <v>50</v>
      </c>
      <c r="U47" s="77"/>
      <c r="V47" s="77"/>
      <c r="W47" s="77"/>
      <c r="X47" s="77"/>
      <c r="Y47" s="77"/>
      <c r="Z47" s="77"/>
      <c r="AA47" s="77"/>
      <c r="AB47" s="77"/>
      <c r="AC47" s="77"/>
      <c r="AD47" s="77"/>
    </row>
    <row r="48" spans="1:30" ht="15.75" x14ac:dyDescent="0.25">
      <c r="A48" s="16">
        <v>42370</v>
      </c>
      <c r="B48" s="92">
        <v>31</v>
      </c>
      <c r="C48" s="79">
        <f>122.58</f>
        <v>122.58</v>
      </c>
      <c r="D48" s="79">
        <f>297.941</f>
        <v>297.94099999999997</v>
      </c>
      <c r="E48" s="87">
        <f>89.177</f>
        <v>89.177000000000007</v>
      </c>
      <c r="F48" s="79">
        <f>240.302-40-60</f>
        <v>140.30199999999999</v>
      </c>
      <c r="G48" s="81">
        <v>40</v>
      </c>
      <c r="H48" s="79">
        <v>60</v>
      </c>
      <c r="I48" s="79">
        <v>0</v>
      </c>
      <c r="J48" s="81">
        <v>100</v>
      </c>
      <c r="K48" s="81">
        <v>300</v>
      </c>
      <c r="L48" s="79">
        <f t="shared" si="0"/>
        <v>1150</v>
      </c>
      <c r="M48" s="89"/>
      <c r="N48" s="79">
        <f>100</f>
        <v>100</v>
      </c>
      <c r="O48" s="81">
        <v>240</v>
      </c>
      <c r="P48" s="81">
        <v>40</v>
      </c>
      <c r="Q48" s="81">
        <f t="shared" si="1"/>
        <v>315</v>
      </c>
      <c r="R48" s="81">
        <f t="shared" si="2"/>
        <v>100</v>
      </c>
      <c r="S48" s="79">
        <f t="shared" si="3"/>
        <v>695</v>
      </c>
      <c r="T48" s="79">
        <f>50</f>
        <v>50</v>
      </c>
      <c r="U48" s="77"/>
      <c r="V48" s="77"/>
      <c r="W48" s="77"/>
      <c r="X48" s="77"/>
      <c r="Y48" s="77"/>
      <c r="Z48" s="77"/>
      <c r="AA48" s="77"/>
      <c r="AB48" s="77"/>
      <c r="AC48" s="77"/>
      <c r="AD48" s="77"/>
    </row>
    <row r="49" spans="1:30" ht="15.75" x14ac:dyDescent="0.25">
      <c r="A49" s="16">
        <v>42401</v>
      </c>
      <c r="B49" s="92">
        <v>29</v>
      </c>
      <c r="C49" s="79">
        <f>122.58</f>
        <v>122.58</v>
      </c>
      <c r="D49" s="79">
        <f>297.941</f>
        <v>297.94099999999997</v>
      </c>
      <c r="E49" s="87">
        <f>89.177</f>
        <v>89.177000000000007</v>
      </c>
      <c r="F49" s="79">
        <f>240.302-40-60</f>
        <v>140.30199999999999</v>
      </c>
      <c r="G49" s="81">
        <v>40</v>
      </c>
      <c r="H49" s="79">
        <v>60</v>
      </c>
      <c r="I49" s="79">
        <v>0</v>
      </c>
      <c r="J49" s="81">
        <v>100</v>
      </c>
      <c r="K49" s="81">
        <v>300</v>
      </c>
      <c r="L49" s="79">
        <f t="shared" si="0"/>
        <v>1150</v>
      </c>
      <c r="M49" s="89"/>
      <c r="N49" s="79">
        <f>100</f>
        <v>100</v>
      </c>
      <c r="O49" s="81">
        <v>240</v>
      </c>
      <c r="P49" s="81">
        <v>40</v>
      </c>
      <c r="Q49" s="81">
        <f t="shared" si="1"/>
        <v>315</v>
      </c>
      <c r="R49" s="81">
        <f t="shared" si="2"/>
        <v>100</v>
      </c>
      <c r="S49" s="79">
        <f t="shared" si="3"/>
        <v>695</v>
      </c>
      <c r="T49" s="79">
        <f>50</f>
        <v>50</v>
      </c>
      <c r="U49" s="77"/>
      <c r="V49" s="77"/>
      <c r="W49" s="77"/>
      <c r="X49" s="77"/>
      <c r="Y49" s="77"/>
      <c r="Z49" s="77"/>
      <c r="AA49" s="77"/>
      <c r="AB49" s="77"/>
      <c r="AC49" s="77"/>
      <c r="AD49" s="77"/>
    </row>
    <row r="50" spans="1:30" ht="15.75" x14ac:dyDescent="0.25">
      <c r="A50" s="16">
        <v>42430</v>
      </c>
      <c r="B50" s="92">
        <v>31</v>
      </c>
      <c r="C50" s="79">
        <f>122.58</f>
        <v>122.58</v>
      </c>
      <c r="D50" s="79">
        <f>297.941</f>
        <v>297.94099999999997</v>
      </c>
      <c r="E50" s="87">
        <f>89.177</f>
        <v>89.177000000000007</v>
      </c>
      <c r="F50" s="79">
        <f>240.302-40-60</f>
        <v>140.30199999999999</v>
      </c>
      <c r="G50" s="81">
        <v>40</v>
      </c>
      <c r="H50" s="79">
        <v>60</v>
      </c>
      <c r="I50" s="79">
        <v>0</v>
      </c>
      <c r="J50" s="81">
        <v>100</v>
      </c>
      <c r="K50" s="81">
        <v>300</v>
      </c>
      <c r="L50" s="79">
        <f t="shared" si="0"/>
        <v>1150</v>
      </c>
      <c r="M50" s="89"/>
      <c r="N50" s="79">
        <f>100</f>
        <v>100</v>
      </c>
      <c r="O50" s="81">
        <v>240</v>
      </c>
      <c r="P50" s="81">
        <v>40</v>
      </c>
      <c r="Q50" s="81">
        <f t="shared" si="1"/>
        <v>315</v>
      </c>
      <c r="R50" s="81">
        <f t="shared" si="2"/>
        <v>100</v>
      </c>
      <c r="S50" s="79">
        <f t="shared" si="3"/>
        <v>695</v>
      </c>
      <c r="T50" s="79">
        <f>50</f>
        <v>50</v>
      </c>
      <c r="U50" s="77"/>
      <c r="V50" s="77"/>
      <c r="W50" s="77"/>
      <c r="X50" s="77"/>
      <c r="Y50" s="77"/>
      <c r="Z50" s="77"/>
      <c r="AA50" s="77"/>
      <c r="AB50" s="77"/>
      <c r="AC50" s="77"/>
      <c r="AD50" s="77"/>
    </row>
    <row r="51" spans="1:30" ht="15.75" x14ac:dyDescent="0.25">
      <c r="A51" s="16">
        <v>42461</v>
      </c>
      <c r="B51" s="92">
        <v>30</v>
      </c>
      <c r="C51" s="79">
        <f>141.293</f>
        <v>141.29300000000001</v>
      </c>
      <c r="D51" s="79">
        <f>267.993</f>
        <v>267.99299999999999</v>
      </c>
      <c r="E51" s="87">
        <f>115.016</f>
        <v>115.01600000000001</v>
      </c>
      <c r="F51" s="79">
        <f>314.698-40-25-60</f>
        <v>189.69799999999998</v>
      </c>
      <c r="G51" s="81">
        <v>40</v>
      </c>
      <c r="H51" s="79">
        <f t="shared" ref="H51:H57" si="8">25+60</f>
        <v>85</v>
      </c>
      <c r="I51" s="79">
        <v>0</v>
      </c>
      <c r="J51" s="81">
        <v>100</v>
      </c>
      <c r="K51" s="81">
        <v>300</v>
      </c>
      <c r="L51" s="79">
        <f t="shared" si="0"/>
        <v>1239</v>
      </c>
      <c r="M51" s="89"/>
      <c r="N51" s="79">
        <f>100</f>
        <v>100</v>
      </c>
      <c r="O51" s="81">
        <v>240</v>
      </c>
      <c r="P51" s="81">
        <v>160</v>
      </c>
      <c r="Q51" s="81">
        <f t="shared" si="1"/>
        <v>195</v>
      </c>
      <c r="R51" s="81">
        <f t="shared" si="2"/>
        <v>100</v>
      </c>
      <c r="S51" s="79">
        <f t="shared" si="3"/>
        <v>695</v>
      </c>
      <c r="T51" s="79">
        <f>50</f>
        <v>50</v>
      </c>
      <c r="U51" s="77"/>
      <c r="V51" s="77"/>
      <c r="W51" s="77"/>
      <c r="X51" s="77"/>
      <c r="Y51" s="77"/>
      <c r="Z51" s="77"/>
      <c r="AA51" s="77"/>
      <c r="AB51" s="77"/>
      <c r="AC51" s="77"/>
      <c r="AD51" s="77"/>
    </row>
    <row r="52" spans="1:30" ht="15.75" x14ac:dyDescent="0.25">
      <c r="A52" s="16">
        <v>42491</v>
      </c>
      <c r="B52" s="92">
        <v>31</v>
      </c>
      <c r="C52" s="79">
        <f>194.205</f>
        <v>194.20500000000001</v>
      </c>
      <c r="D52" s="79">
        <f>267.466</f>
        <v>267.46600000000001</v>
      </c>
      <c r="E52" s="87">
        <f>133.845</f>
        <v>133.845</v>
      </c>
      <c r="F52" s="79">
        <f>278.484-40-25-60</f>
        <v>153.48399999999998</v>
      </c>
      <c r="G52" s="81">
        <v>40</v>
      </c>
      <c r="H52" s="79">
        <f t="shared" si="8"/>
        <v>85</v>
      </c>
      <c r="I52" s="79">
        <f t="shared" ref="I52:I115" si="9">400-J52-K52</f>
        <v>0</v>
      </c>
      <c r="J52" s="81">
        <v>100</v>
      </c>
      <c r="K52" s="81">
        <v>300</v>
      </c>
      <c r="L52" s="79">
        <f t="shared" si="0"/>
        <v>1274</v>
      </c>
      <c r="M52" s="89"/>
      <c r="N52" s="79">
        <f>75</f>
        <v>75</v>
      </c>
      <c r="O52" s="81">
        <v>240</v>
      </c>
      <c r="P52" s="81">
        <v>160</v>
      </c>
      <c r="Q52" s="81">
        <f t="shared" si="1"/>
        <v>195</v>
      </c>
      <c r="R52" s="81">
        <f t="shared" si="2"/>
        <v>100</v>
      </c>
      <c r="S52" s="79">
        <f t="shared" si="3"/>
        <v>695</v>
      </c>
      <c r="T52" s="79">
        <f>50</f>
        <v>50</v>
      </c>
      <c r="U52" s="77"/>
      <c r="V52" s="77"/>
      <c r="W52" s="77"/>
      <c r="X52" s="77"/>
      <c r="Y52" s="77"/>
      <c r="Z52" s="77"/>
      <c r="AA52" s="77"/>
      <c r="AB52" s="77"/>
      <c r="AC52" s="77"/>
      <c r="AD52" s="77"/>
    </row>
    <row r="53" spans="1:30" ht="15.75" x14ac:dyDescent="0.25">
      <c r="A53" s="16">
        <v>42522</v>
      </c>
      <c r="B53" s="92">
        <v>30</v>
      </c>
      <c r="C53" s="79">
        <f>194.205</f>
        <v>194.20500000000001</v>
      </c>
      <c r="D53" s="79">
        <f>267.466</f>
        <v>267.46600000000001</v>
      </c>
      <c r="E53" s="87">
        <f>133.845</f>
        <v>133.845</v>
      </c>
      <c r="F53" s="79">
        <f>278.484-40-25-60</f>
        <v>153.48399999999998</v>
      </c>
      <c r="G53" s="81">
        <v>40</v>
      </c>
      <c r="H53" s="79">
        <f t="shared" si="8"/>
        <v>85</v>
      </c>
      <c r="I53" s="79">
        <f t="shared" si="9"/>
        <v>0</v>
      </c>
      <c r="J53" s="81">
        <v>100</v>
      </c>
      <c r="K53" s="81">
        <v>300</v>
      </c>
      <c r="L53" s="79">
        <f t="shared" si="0"/>
        <v>1274</v>
      </c>
      <c r="M53" s="89"/>
      <c r="N53" s="79">
        <f>30</f>
        <v>30</v>
      </c>
      <c r="O53" s="81">
        <v>240</v>
      </c>
      <c r="P53" s="81">
        <v>160</v>
      </c>
      <c r="Q53" s="81">
        <f t="shared" si="1"/>
        <v>195</v>
      </c>
      <c r="R53" s="81">
        <f t="shared" si="2"/>
        <v>100</v>
      </c>
      <c r="S53" s="79">
        <f t="shared" si="3"/>
        <v>695</v>
      </c>
      <c r="T53" s="79">
        <f>50</f>
        <v>50</v>
      </c>
      <c r="U53" s="77"/>
      <c r="V53" s="77"/>
      <c r="W53" s="77"/>
      <c r="X53" s="77"/>
      <c r="Y53" s="77"/>
      <c r="Z53" s="77"/>
      <c r="AA53" s="77"/>
      <c r="AB53" s="77"/>
      <c r="AC53" s="77"/>
      <c r="AD53" s="77"/>
    </row>
    <row r="54" spans="1:30" ht="15.75" x14ac:dyDescent="0.25">
      <c r="A54" s="16">
        <v>42552</v>
      </c>
      <c r="B54" s="92">
        <v>31</v>
      </c>
      <c r="C54" s="79">
        <f>194.205</f>
        <v>194.20500000000001</v>
      </c>
      <c r="D54" s="79">
        <f>267.466</f>
        <v>267.46600000000001</v>
      </c>
      <c r="E54" s="87">
        <f>133.845</f>
        <v>133.845</v>
      </c>
      <c r="F54" s="79">
        <f>278.484-40-25-60</f>
        <v>153.48399999999998</v>
      </c>
      <c r="G54" s="81">
        <v>40</v>
      </c>
      <c r="H54" s="79">
        <f t="shared" si="8"/>
        <v>85</v>
      </c>
      <c r="I54" s="79">
        <f t="shared" si="9"/>
        <v>0</v>
      </c>
      <c r="J54" s="81">
        <v>100</v>
      </c>
      <c r="K54" s="81">
        <v>300</v>
      </c>
      <c r="L54" s="79">
        <f t="shared" si="0"/>
        <v>1274</v>
      </c>
      <c r="M54" s="89"/>
      <c r="N54" s="79">
        <f>30</f>
        <v>30</v>
      </c>
      <c r="O54" s="81">
        <v>240</v>
      </c>
      <c r="P54" s="81">
        <v>160</v>
      </c>
      <c r="Q54" s="81">
        <f t="shared" si="1"/>
        <v>195</v>
      </c>
      <c r="R54" s="81">
        <f t="shared" si="2"/>
        <v>100</v>
      </c>
      <c r="S54" s="79">
        <f t="shared" si="3"/>
        <v>695</v>
      </c>
      <c r="T54" s="79">
        <f>0</f>
        <v>0</v>
      </c>
      <c r="U54" s="77"/>
      <c r="V54" s="77"/>
      <c r="W54" s="77"/>
      <c r="X54" s="77"/>
      <c r="Y54" s="77"/>
      <c r="Z54" s="77"/>
      <c r="AA54" s="77"/>
      <c r="AB54" s="77"/>
      <c r="AC54" s="77"/>
      <c r="AD54" s="77"/>
    </row>
    <row r="55" spans="1:30" ht="15.75" x14ac:dyDescent="0.25">
      <c r="A55" s="16">
        <v>42583</v>
      </c>
      <c r="B55" s="92">
        <v>31</v>
      </c>
      <c r="C55" s="79">
        <f>194.205</f>
        <v>194.20500000000001</v>
      </c>
      <c r="D55" s="79">
        <f>267.466</f>
        <v>267.46600000000001</v>
      </c>
      <c r="E55" s="87">
        <f>133.845</f>
        <v>133.845</v>
      </c>
      <c r="F55" s="79">
        <f>278.484-40-25-60</f>
        <v>153.48399999999998</v>
      </c>
      <c r="G55" s="81">
        <v>40</v>
      </c>
      <c r="H55" s="79">
        <f t="shared" si="8"/>
        <v>85</v>
      </c>
      <c r="I55" s="79">
        <f t="shared" si="9"/>
        <v>0</v>
      </c>
      <c r="J55" s="81">
        <v>100</v>
      </c>
      <c r="K55" s="81">
        <v>300</v>
      </c>
      <c r="L55" s="79">
        <f t="shared" si="0"/>
        <v>1274</v>
      </c>
      <c r="M55" s="89"/>
      <c r="N55" s="79">
        <f>30</f>
        <v>30</v>
      </c>
      <c r="O55" s="81">
        <v>240</v>
      </c>
      <c r="P55" s="81">
        <v>160</v>
      </c>
      <c r="Q55" s="81">
        <f t="shared" si="1"/>
        <v>195</v>
      </c>
      <c r="R55" s="81">
        <f t="shared" si="2"/>
        <v>100</v>
      </c>
      <c r="S55" s="79">
        <f t="shared" si="3"/>
        <v>695</v>
      </c>
      <c r="T55" s="79">
        <f>0</f>
        <v>0</v>
      </c>
      <c r="U55" s="77"/>
      <c r="V55" s="77"/>
      <c r="W55" s="77"/>
      <c r="X55" s="77"/>
      <c r="Y55" s="77"/>
      <c r="Z55" s="77"/>
      <c r="AA55" s="77"/>
      <c r="AB55" s="77"/>
      <c r="AC55" s="77"/>
      <c r="AD55" s="77"/>
    </row>
    <row r="56" spans="1:30" ht="15.75" x14ac:dyDescent="0.25">
      <c r="A56" s="16">
        <v>42614</v>
      </c>
      <c r="B56" s="92">
        <v>30</v>
      </c>
      <c r="C56" s="79">
        <f>194.205</f>
        <v>194.20500000000001</v>
      </c>
      <c r="D56" s="79">
        <f>267.466</f>
        <v>267.46600000000001</v>
      </c>
      <c r="E56" s="87">
        <f>133.845</f>
        <v>133.845</v>
      </c>
      <c r="F56" s="79">
        <f>278.484-40-25-60</f>
        <v>153.48399999999998</v>
      </c>
      <c r="G56" s="81">
        <v>40</v>
      </c>
      <c r="H56" s="79">
        <f t="shared" si="8"/>
        <v>85</v>
      </c>
      <c r="I56" s="79">
        <f t="shared" si="9"/>
        <v>0</v>
      </c>
      <c r="J56" s="81">
        <v>100</v>
      </c>
      <c r="K56" s="81">
        <v>300</v>
      </c>
      <c r="L56" s="79">
        <f t="shared" si="0"/>
        <v>1274</v>
      </c>
      <c r="M56" s="89"/>
      <c r="N56" s="79">
        <f>30</f>
        <v>30</v>
      </c>
      <c r="O56" s="81">
        <v>240</v>
      </c>
      <c r="P56" s="81">
        <v>160</v>
      </c>
      <c r="Q56" s="81">
        <f t="shared" si="1"/>
        <v>195</v>
      </c>
      <c r="R56" s="81">
        <f t="shared" si="2"/>
        <v>100</v>
      </c>
      <c r="S56" s="79">
        <f t="shared" si="3"/>
        <v>695</v>
      </c>
      <c r="T56" s="79">
        <f>0</f>
        <v>0</v>
      </c>
      <c r="U56" s="77"/>
      <c r="V56" s="77"/>
      <c r="W56" s="77"/>
      <c r="X56" s="77"/>
      <c r="Y56" s="77"/>
      <c r="Z56" s="77"/>
      <c r="AA56" s="77"/>
      <c r="AB56" s="77"/>
      <c r="AC56" s="77"/>
      <c r="AD56" s="77"/>
    </row>
    <row r="57" spans="1:30" ht="15.75" x14ac:dyDescent="0.25">
      <c r="A57" s="16">
        <v>42644</v>
      </c>
      <c r="B57" s="92">
        <v>31</v>
      </c>
      <c r="C57" s="79">
        <f>131.881</f>
        <v>131.881</v>
      </c>
      <c r="D57" s="79">
        <f>277.167</f>
        <v>277.16699999999997</v>
      </c>
      <c r="E57" s="87">
        <f>79.08</f>
        <v>79.08</v>
      </c>
      <c r="F57" s="79">
        <f>350.872-40-25-60</f>
        <v>225.87200000000001</v>
      </c>
      <c r="G57" s="81">
        <v>40</v>
      </c>
      <c r="H57" s="79">
        <f t="shared" si="8"/>
        <v>85</v>
      </c>
      <c r="I57" s="79">
        <f t="shared" si="9"/>
        <v>0</v>
      </c>
      <c r="J57" s="81">
        <v>100</v>
      </c>
      <c r="K57" s="81">
        <v>300</v>
      </c>
      <c r="L57" s="79">
        <f t="shared" si="0"/>
        <v>1239</v>
      </c>
      <c r="M57" s="89"/>
      <c r="N57" s="79">
        <f>75</f>
        <v>75</v>
      </c>
      <c r="O57" s="81">
        <v>240</v>
      </c>
      <c r="P57" s="81">
        <v>160</v>
      </c>
      <c r="Q57" s="81">
        <f t="shared" si="1"/>
        <v>195</v>
      </c>
      <c r="R57" s="81">
        <f t="shared" si="2"/>
        <v>100</v>
      </c>
      <c r="S57" s="79">
        <f t="shared" si="3"/>
        <v>695</v>
      </c>
      <c r="T57" s="79">
        <f>0</f>
        <v>0</v>
      </c>
      <c r="U57" s="77"/>
      <c r="V57" s="77"/>
      <c r="W57" s="77"/>
      <c r="X57" s="77"/>
      <c r="Y57" s="77"/>
      <c r="Z57" s="77"/>
      <c r="AA57" s="77"/>
      <c r="AB57" s="77"/>
      <c r="AC57" s="77"/>
      <c r="AD57" s="77"/>
    </row>
    <row r="58" spans="1:30" ht="15.75" x14ac:dyDescent="0.25">
      <c r="A58" s="16">
        <v>42675</v>
      </c>
      <c r="B58" s="92">
        <v>30</v>
      </c>
      <c r="C58" s="79">
        <f>122.58</f>
        <v>122.58</v>
      </c>
      <c r="D58" s="79">
        <f>297.941</f>
        <v>297.94099999999997</v>
      </c>
      <c r="E58" s="87">
        <f>89.177</f>
        <v>89.177000000000007</v>
      </c>
      <c r="F58" s="79">
        <f>240.302-40-60</f>
        <v>140.30199999999999</v>
      </c>
      <c r="G58" s="81">
        <v>40</v>
      </c>
      <c r="H58" s="79">
        <v>60</v>
      </c>
      <c r="I58" s="79">
        <f t="shared" si="9"/>
        <v>0</v>
      </c>
      <c r="J58" s="81">
        <v>100</v>
      </c>
      <c r="K58" s="81">
        <v>300</v>
      </c>
      <c r="L58" s="79">
        <f t="shared" si="0"/>
        <v>1150</v>
      </c>
      <c r="M58" s="89"/>
      <c r="N58" s="79">
        <f>100</f>
        <v>100</v>
      </c>
      <c r="O58" s="81">
        <v>240</v>
      </c>
      <c r="P58" s="81">
        <v>40</v>
      </c>
      <c r="Q58" s="81">
        <f t="shared" si="1"/>
        <v>315</v>
      </c>
      <c r="R58" s="81">
        <f t="shared" si="2"/>
        <v>100</v>
      </c>
      <c r="S58" s="79">
        <f t="shared" si="3"/>
        <v>695</v>
      </c>
      <c r="T58" s="79">
        <f>50</f>
        <v>50</v>
      </c>
      <c r="U58" s="77"/>
      <c r="V58" s="77"/>
      <c r="W58" s="77"/>
      <c r="X58" s="77"/>
      <c r="Y58" s="77"/>
      <c r="Z58" s="77"/>
      <c r="AA58" s="77"/>
      <c r="AB58" s="77"/>
      <c r="AC58" s="77"/>
      <c r="AD58" s="77"/>
    </row>
    <row r="59" spans="1:30" ht="15.75" x14ac:dyDescent="0.25">
      <c r="A59" s="16">
        <v>42705</v>
      </c>
      <c r="B59" s="92">
        <v>31</v>
      </c>
      <c r="C59" s="79">
        <f>122.58</f>
        <v>122.58</v>
      </c>
      <c r="D59" s="79">
        <f>297.941</f>
        <v>297.94099999999997</v>
      </c>
      <c r="E59" s="87">
        <f>89.177</f>
        <v>89.177000000000007</v>
      </c>
      <c r="F59" s="79">
        <f>240.302-40-60</f>
        <v>140.30199999999999</v>
      </c>
      <c r="G59" s="81">
        <v>40</v>
      </c>
      <c r="H59" s="79">
        <v>60</v>
      </c>
      <c r="I59" s="79">
        <f t="shared" si="9"/>
        <v>0</v>
      </c>
      <c r="J59" s="81">
        <v>100</v>
      </c>
      <c r="K59" s="81">
        <v>300</v>
      </c>
      <c r="L59" s="79">
        <f t="shared" si="0"/>
        <v>1150</v>
      </c>
      <c r="M59" s="89"/>
      <c r="N59" s="79">
        <f>100</f>
        <v>100</v>
      </c>
      <c r="O59" s="81">
        <v>240</v>
      </c>
      <c r="P59" s="81">
        <v>40</v>
      </c>
      <c r="Q59" s="81">
        <f t="shared" si="1"/>
        <v>315</v>
      </c>
      <c r="R59" s="81">
        <f t="shared" si="2"/>
        <v>100</v>
      </c>
      <c r="S59" s="79">
        <f t="shared" si="3"/>
        <v>695</v>
      </c>
      <c r="T59" s="79">
        <f>50</f>
        <v>50</v>
      </c>
      <c r="U59" s="77"/>
      <c r="V59" s="77"/>
      <c r="W59" s="77"/>
      <c r="X59" s="77"/>
      <c r="Y59" s="77"/>
      <c r="Z59" s="77"/>
      <c r="AA59" s="77"/>
      <c r="AB59" s="77"/>
      <c r="AC59" s="77"/>
      <c r="AD59" s="77"/>
    </row>
    <row r="60" spans="1:30" ht="15.75" x14ac:dyDescent="0.25">
      <c r="A60" s="16">
        <v>42736</v>
      </c>
      <c r="B60" s="92">
        <v>31</v>
      </c>
      <c r="C60" s="79">
        <f>122.58</f>
        <v>122.58</v>
      </c>
      <c r="D60" s="79">
        <f>297.941</f>
        <v>297.94099999999997</v>
      </c>
      <c r="E60" s="87">
        <f>89.177</f>
        <v>89.177000000000007</v>
      </c>
      <c r="F60" s="79">
        <f>240.302-40-60</f>
        <v>140.30199999999999</v>
      </c>
      <c r="G60" s="81">
        <v>40</v>
      </c>
      <c r="H60" s="79">
        <v>60</v>
      </c>
      <c r="I60" s="79">
        <f t="shared" si="9"/>
        <v>0</v>
      </c>
      <c r="J60" s="81">
        <v>100</v>
      </c>
      <c r="K60" s="81">
        <v>300</v>
      </c>
      <c r="L60" s="79">
        <f t="shared" si="0"/>
        <v>1150</v>
      </c>
      <c r="M60" s="89"/>
      <c r="N60" s="79">
        <f>100</f>
        <v>100</v>
      </c>
      <c r="O60" s="81">
        <v>240</v>
      </c>
      <c r="P60" s="81">
        <v>40</v>
      </c>
      <c r="Q60" s="81">
        <f t="shared" si="1"/>
        <v>315</v>
      </c>
      <c r="R60" s="81">
        <f t="shared" si="2"/>
        <v>100</v>
      </c>
      <c r="S60" s="79">
        <f t="shared" si="3"/>
        <v>695</v>
      </c>
      <c r="T60" s="79">
        <f>50</f>
        <v>50</v>
      </c>
      <c r="U60" s="77"/>
      <c r="V60" s="77"/>
      <c r="W60" s="77"/>
      <c r="X60" s="77"/>
      <c r="Y60" s="77"/>
      <c r="Z60" s="77"/>
      <c r="AA60" s="77"/>
      <c r="AB60" s="77"/>
      <c r="AC60" s="77"/>
      <c r="AD60" s="77"/>
    </row>
    <row r="61" spans="1:30" ht="15.75" x14ac:dyDescent="0.25">
      <c r="A61" s="16">
        <v>42767</v>
      </c>
      <c r="B61" s="92">
        <v>28</v>
      </c>
      <c r="C61" s="79">
        <f>122.58</f>
        <v>122.58</v>
      </c>
      <c r="D61" s="79">
        <f>297.941</f>
        <v>297.94099999999997</v>
      </c>
      <c r="E61" s="87">
        <f>89.177</f>
        <v>89.177000000000007</v>
      </c>
      <c r="F61" s="79">
        <f>240.302-40-60</f>
        <v>140.30199999999999</v>
      </c>
      <c r="G61" s="81">
        <v>40</v>
      </c>
      <c r="H61" s="79">
        <v>60</v>
      </c>
      <c r="I61" s="79">
        <f t="shared" si="9"/>
        <v>0</v>
      </c>
      <c r="J61" s="81">
        <v>100</v>
      </c>
      <c r="K61" s="81">
        <v>300</v>
      </c>
      <c r="L61" s="79">
        <f t="shared" si="0"/>
        <v>1150</v>
      </c>
      <c r="M61" s="89"/>
      <c r="N61" s="79">
        <f>100</f>
        <v>100</v>
      </c>
      <c r="O61" s="81">
        <v>240</v>
      </c>
      <c r="P61" s="81">
        <v>40</v>
      </c>
      <c r="Q61" s="81">
        <f t="shared" si="1"/>
        <v>315</v>
      </c>
      <c r="R61" s="81">
        <f t="shared" si="2"/>
        <v>100</v>
      </c>
      <c r="S61" s="79">
        <f t="shared" si="3"/>
        <v>695</v>
      </c>
      <c r="T61" s="79">
        <f>50</f>
        <v>50</v>
      </c>
      <c r="U61" s="77"/>
      <c r="V61" s="77"/>
      <c r="W61" s="77"/>
      <c r="X61" s="77"/>
      <c r="Y61" s="77"/>
      <c r="Z61" s="77"/>
      <c r="AA61" s="77"/>
      <c r="AB61" s="77"/>
      <c r="AC61" s="77"/>
      <c r="AD61" s="77"/>
    </row>
    <row r="62" spans="1:30" ht="15.75" x14ac:dyDescent="0.25">
      <c r="A62" s="16">
        <v>42795</v>
      </c>
      <c r="B62" s="92">
        <v>31</v>
      </c>
      <c r="C62" s="79">
        <f>122.58</f>
        <v>122.58</v>
      </c>
      <c r="D62" s="79">
        <f>297.941</f>
        <v>297.94099999999997</v>
      </c>
      <c r="E62" s="87">
        <f>89.177</f>
        <v>89.177000000000007</v>
      </c>
      <c r="F62" s="79">
        <f>240.302-40-60</f>
        <v>140.30199999999999</v>
      </c>
      <c r="G62" s="81">
        <v>40</v>
      </c>
      <c r="H62" s="79">
        <v>60</v>
      </c>
      <c r="I62" s="79">
        <f t="shared" si="9"/>
        <v>0</v>
      </c>
      <c r="J62" s="81">
        <v>100</v>
      </c>
      <c r="K62" s="81">
        <v>300</v>
      </c>
      <c r="L62" s="79">
        <f t="shared" si="0"/>
        <v>1150</v>
      </c>
      <c r="M62" s="89"/>
      <c r="N62" s="79">
        <f>100</f>
        <v>100</v>
      </c>
      <c r="O62" s="81">
        <v>240</v>
      </c>
      <c r="P62" s="81">
        <v>40</v>
      </c>
      <c r="Q62" s="81">
        <f t="shared" si="1"/>
        <v>315</v>
      </c>
      <c r="R62" s="81">
        <f t="shared" si="2"/>
        <v>100</v>
      </c>
      <c r="S62" s="79">
        <f t="shared" si="3"/>
        <v>695</v>
      </c>
      <c r="T62" s="79">
        <f>50</f>
        <v>50</v>
      </c>
      <c r="U62" s="77"/>
      <c r="V62" s="77"/>
      <c r="W62" s="77"/>
      <c r="X62" s="77"/>
      <c r="Y62" s="77"/>
      <c r="Z62" s="77"/>
      <c r="AA62" s="77"/>
      <c r="AB62" s="77"/>
      <c r="AC62" s="77"/>
      <c r="AD62" s="77"/>
    </row>
    <row r="63" spans="1:30" ht="15.75" x14ac:dyDescent="0.25">
      <c r="A63" s="16">
        <v>42826</v>
      </c>
      <c r="B63" s="92">
        <v>30</v>
      </c>
      <c r="C63" s="79">
        <f>141.293</f>
        <v>141.29300000000001</v>
      </c>
      <c r="D63" s="79">
        <f>267.993</f>
        <v>267.99299999999999</v>
      </c>
      <c r="E63" s="87">
        <f>115.016</f>
        <v>115.01600000000001</v>
      </c>
      <c r="F63" s="79">
        <f>314.698-40-25-60</f>
        <v>189.69799999999998</v>
      </c>
      <c r="G63" s="81">
        <v>40</v>
      </c>
      <c r="H63" s="79">
        <f t="shared" ref="H63:H69" si="10">25+60</f>
        <v>85</v>
      </c>
      <c r="I63" s="79">
        <f t="shared" si="9"/>
        <v>0</v>
      </c>
      <c r="J63" s="81">
        <v>100</v>
      </c>
      <c r="K63" s="81">
        <v>300</v>
      </c>
      <c r="L63" s="79">
        <f t="shared" si="0"/>
        <v>1239</v>
      </c>
      <c r="M63" s="89"/>
      <c r="N63" s="79">
        <f>100</f>
        <v>100</v>
      </c>
      <c r="O63" s="81">
        <v>240</v>
      </c>
      <c r="P63" s="81">
        <v>160</v>
      </c>
      <c r="Q63" s="81">
        <f t="shared" si="1"/>
        <v>195</v>
      </c>
      <c r="R63" s="81">
        <f t="shared" si="2"/>
        <v>100</v>
      </c>
      <c r="S63" s="79">
        <f t="shared" si="3"/>
        <v>695</v>
      </c>
      <c r="T63" s="79">
        <f>50</f>
        <v>50</v>
      </c>
      <c r="U63" s="77"/>
      <c r="V63" s="77"/>
      <c r="W63" s="77"/>
      <c r="X63" s="77"/>
      <c r="Y63" s="77"/>
      <c r="Z63" s="77"/>
      <c r="AA63" s="77"/>
      <c r="AB63" s="77"/>
      <c r="AC63" s="77"/>
      <c r="AD63" s="77"/>
    </row>
    <row r="64" spans="1:30" ht="15.75" x14ac:dyDescent="0.25">
      <c r="A64" s="16">
        <v>42856</v>
      </c>
      <c r="B64" s="92">
        <v>31</v>
      </c>
      <c r="C64" s="79">
        <f>194.205</f>
        <v>194.20500000000001</v>
      </c>
      <c r="D64" s="79">
        <f>267.466</f>
        <v>267.46600000000001</v>
      </c>
      <c r="E64" s="87">
        <f>133.845</f>
        <v>133.845</v>
      </c>
      <c r="F64" s="79">
        <f>278.484-40-25-60</f>
        <v>153.48399999999998</v>
      </c>
      <c r="G64" s="81">
        <v>40</v>
      </c>
      <c r="H64" s="79">
        <f t="shared" si="10"/>
        <v>85</v>
      </c>
      <c r="I64" s="79">
        <f t="shared" si="9"/>
        <v>0</v>
      </c>
      <c r="J64" s="81">
        <v>100</v>
      </c>
      <c r="K64" s="81">
        <v>300</v>
      </c>
      <c r="L64" s="79">
        <f t="shared" si="0"/>
        <v>1274</v>
      </c>
      <c r="M64" s="89">
        <v>400</v>
      </c>
      <c r="N64" s="79">
        <f>75</f>
        <v>75</v>
      </c>
      <c r="O64" s="81">
        <v>240</v>
      </c>
      <c r="P64" s="81">
        <v>160</v>
      </c>
      <c r="Q64" s="81">
        <f t="shared" si="1"/>
        <v>195</v>
      </c>
      <c r="R64" s="81">
        <f t="shared" si="2"/>
        <v>100</v>
      </c>
      <c r="S64" s="79">
        <f t="shared" si="3"/>
        <v>695</v>
      </c>
      <c r="T64" s="79">
        <f>50</f>
        <v>50</v>
      </c>
      <c r="U64" s="77"/>
      <c r="V64" s="77"/>
      <c r="W64" s="77"/>
      <c r="X64" s="77"/>
      <c r="Y64" s="77"/>
      <c r="Z64" s="77"/>
      <c r="AA64" s="77"/>
      <c r="AB64" s="77"/>
      <c r="AC64" s="77"/>
      <c r="AD64" s="77"/>
    </row>
    <row r="65" spans="1:30" ht="15.75" x14ac:dyDescent="0.25">
      <c r="A65" s="16">
        <v>42887</v>
      </c>
      <c r="B65" s="92">
        <v>30</v>
      </c>
      <c r="C65" s="79">
        <f>194.205</f>
        <v>194.20500000000001</v>
      </c>
      <c r="D65" s="79">
        <f>267.466</f>
        <v>267.46600000000001</v>
      </c>
      <c r="E65" s="87">
        <f>133.845</f>
        <v>133.845</v>
      </c>
      <c r="F65" s="79">
        <f>278.484-40-25-60</f>
        <v>153.48399999999998</v>
      </c>
      <c r="G65" s="81">
        <v>40</v>
      </c>
      <c r="H65" s="79">
        <f t="shared" si="10"/>
        <v>85</v>
      </c>
      <c r="I65" s="79">
        <f t="shared" si="9"/>
        <v>0</v>
      </c>
      <c r="J65" s="81">
        <v>100</v>
      </c>
      <c r="K65" s="81">
        <v>300</v>
      </c>
      <c r="L65" s="79">
        <f t="shared" si="0"/>
        <v>1274</v>
      </c>
      <c r="M65" s="89">
        <v>400</v>
      </c>
      <c r="N65" s="79">
        <f>30</f>
        <v>30</v>
      </c>
      <c r="O65" s="81">
        <v>240</v>
      </c>
      <c r="P65" s="81">
        <v>160</v>
      </c>
      <c r="Q65" s="81">
        <f t="shared" si="1"/>
        <v>195</v>
      </c>
      <c r="R65" s="81">
        <f t="shared" si="2"/>
        <v>100</v>
      </c>
      <c r="S65" s="79">
        <f t="shared" si="3"/>
        <v>695</v>
      </c>
      <c r="T65" s="79">
        <f>50</f>
        <v>50</v>
      </c>
      <c r="U65" s="77"/>
      <c r="V65" s="77"/>
      <c r="W65" s="77"/>
      <c r="X65" s="77"/>
      <c r="Y65" s="77"/>
      <c r="Z65" s="77"/>
      <c r="AA65" s="77"/>
      <c r="AB65" s="77"/>
      <c r="AC65" s="77"/>
      <c r="AD65" s="77"/>
    </row>
    <row r="66" spans="1:30" ht="15.75" x14ac:dyDescent="0.25">
      <c r="A66" s="16">
        <v>42917</v>
      </c>
      <c r="B66" s="92">
        <v>31</v>
      </c>
      <c r="C66" s="79">
        <f>194.205</f>
        <v>194.20500000000001</v>
      </c>
      <c r="D66" s="79">
        <f>267.466</f>
        <v>267.46600000000001</v>
      </c>
      <c r="E66" s="87">
        <f>133.845</f>
        <v>133.845</v>
      </c>
      <c r="F66" s="79">
        <f>278.484-40-25-60</f>
        <v>153.48399999999998</v>
      </c>
      <c r="G66" s="81">
        <v>40</v>
      </c>
      <c r="H66" s="79">
        <f t="shared" si="10"/>
        <v>85</v>
      </c>
      <c r="I66" s="79">
        <f t="shared" si="9"/>
        <v>0</v>
      </c>
      <c r="J66" s="81">
        <v>100</v>
      </c>
      <c r="K66" s="81">
        <v>300</v>
      </c>
      <c r="L66" s="79">
        <f t="shared" si="0"/>
        <v>1274</v>
      </c>
      <c r="M66" s="89">
        <v>400</v>
      </c>
      <c r="N66" s="79">
        <f>30</f>
        <v>30</v>
      </c>
      <c r="O66" s="81">
        <v>240</v>
      </c>
      <c r="P66" s="81">
        <v>160</v>
      </c>
      <c r="Q66" s="81">
        <f t="shared" si="1"/>
        <v>195</v>
      </c>
      <c r="R66" s="81">
        <f t="shared" si="2"/>
        <v>100</v>
      </c>
      <c r="S66" s="79">
        <f t="shared" si="3"/>
        <v>695</v>
      </c>
      <c r="T66" s="79">
        <f>0</f>
        <v>0</v>
      </c>
      <c r="U66" s="77"/>
      <c r="V66" s="77"/>
      <c r="W66" s="77"/>
      <c r="X66" s="77"/>
      <c r="Y66" s="77"/>
      <c r="Z66" s="77"/>
      <c r="AA66" s="77"/>
      <c r="AB66" s="77"/>
      <c r="AC66" s="77"/>
      <c r="AD66" s="77"/>
    </row>
    <row r="67" spans="1:30" ht="15.75" x14ac:dyDescent="0.25">
      <c r="A67" s="16">
        <v>42948</v>
      </c>
      <c r="B67" s="92">
        <v>31</v>
      </c>
      <c r="C67" s="79">
        <f>194.205</f>
        <v>194.20500000000001</v>
      </c>
      <c r="D67" s="79">
        <f>267.466</f>
        <v>267.46600000000001</v>
      </c>
      <c r="E67" s="87">
        <f>133.845</f>
        <v>133.845</v>
      </c>
      <c r="F67" s="79">
        <f>278.484-40-25-60</f>
        <v>153.48399999999998</v>
      </c>
      <c r="G67" s="81">
        <v>40</v>
      </c>
      <c r="H67" s="79">
        <f t="shared" si="10"/>
        <v>85</v>
      </c>
      <c r="I67" s="79">
        <f t="shared" si="9"/>
        <v>0</v>
      </c>
      <c r="J67" s="81">
        <v>100</v>
      </c>
      <c r="K67" s="81">
        <v>300</v>
      </c>
      <c r="L67" s="79">
        <f t="shared" si="0"/>
        <v>1274</v>
      </c>
      <c r="M67" s="89">
        <v>400</v>
      </c>
      <c r="N67" s="79">
        <f>30</f>
        <v>30</v>
      </c>
      <c r="O67" s="81">
        <v>240</v>
      </c>
      <c r="P67" s="81">
        <v>160</v>
      </c>
      <c r="Q67" s="81">
        <f t="shared" si="1"/>
        <v>195</v>
      </c>
      <c r="R67" s="81">
        <f t="shared" si="2"/>
        <v>100</v>
      </c>
      <c r="S67" s="79">
        <f t="shared" si="3"/>
        <v>695</v>
      </c>
      <c r="T67" s="79">
        <f>0</f>
        <v>0</v>
      </c>
      <c r="U67" s="77"/>
      <c r="V67" s="77"/>
      <c r="W67" s="77"/>
      <c r="X67" s="77"/>
      <c r="Y67" s="77"/>
      <c r="Z67" s="77"/>
      <c r="AA67" s="77"/>
      <c r="AB67" s="77"/>
      <c r="AC67" s="77"/>
      <c r="AD67" s="77"/>
    </row>
    <row r="68" spans="1:30" ht="15.75" x14ac:dyDescent="0.25">
      <c r="A68" s="16">
        <v>42979</v>
      </c>
      <c r="B68" s="92">
        <v>30</v>
      </c>
      <c r="C68" s="79">
        <f>194.205</f>
        <v>194.20500000000001</v>
      </c>
      <c r="D68" s="79">
        <f>267.466</f>
        <v>267.46600000000001</v>
      </c>
      <c r="E68" s="87">
        <f>133.845</f>
        <v>133.845</v>
      </c>
      <c r="F68" s="79">
        <f>278.484-40-25-60</f>
        <v>153.48399999999998</v>
      </c>
      <c r="G68" s="81">
        <v>40</v>
      </c>
      <c r="H68" s="79">
        <f t="shared" si="10"/>
        <v>85</v>
      </c>
      <c r="I68" s="79">
        <f t="shared" si="9"/>
        <v>0</v>
      </c>
      <c r="J68" s="81">
        <v>100</v>
      </c>
      <c r="K68" s="81">
        <v>300</v>
      </c>
      <c r="L68" s="79">
        <f t="shared" si="0"/>
        <v>1274</v>
      </c>
      <c r="M68" s="89">
        <v>400</v>
      </c>
      <c r="N68" s="79">
        <f>30</f>
        <v>30</v>
      </c>
      <c r="O68" s="81">
        <v>240</v>
      </c>
      <c r="P68" s="81">
        <v>160</v>
      </c>
      <c r="Q68" s="81">
        <f t="shared" si="1"/>
        <v>195</v>
      </c>
      <c r="R68" s="81">
        <f t="shared" si="2"/>
        <v>100</v>
      </c>
      <c r="S68" s="79">
        <f t="shared" si="3"/>
        <v>695</v>
      </c>
      <c r="T68" s="79">
        <f>0</f>
        <v>0</v>
      </c>
      <c r="U68" s="77"/>
      <c r="V68" s="77"/>
      <c r="W68" s="77"/>
      <c r="X68" s="77"/>
      <c r="Y68" s="77"/>
      <c r="Z68" s="77"/>
      <c r="AA68" s="77"/>
      <c r="AB68" s="77"/>
      <c r="AC68" s="77"/>
      <c r="AD68" s="77"/>
    </row>
    <row r="69" spans="1:30" ht="15.75" x14ac:dyDescent="0.25">
      <c r="A69" s="16">
        <v>43009</v>
      </c>
      <c r="B69" s="92">
        <v>31</v>
      </c>
      <c r="C69" s="79">
        <f>131.881</f>
        <v>131.881</v>
      </c>
      <c r="D69" s="79">
        <f>277.167</f>
        <v>277.16699999999997</v>
      </c>
      <c r="E69" s="87">
        <f>79.08</f>
        <v>79.08</v>
      </c>
      <c r="F69" s="79">
        <f>350.872-40-25-60</f>
        <v>225.87200000000001</v>
      </c>
      <c r="G69" s="81">
        <v>40</v>
      </c>
      <c r="H69" s="79">
        <f t="shared" si="10"/>
        <v>85</v>
      </c>
      <c r="I69" s="79">
        <f t="shared" si="9"/>
        <v>0</v>
      </c>
      <c r="J69" s="81">
        <v>100</v>
      </c>
      <c r="K69" s="81">
        <v>300</v>
      </c>
      <c r="L69" s="79">
        <f t="shared" si="0"/>
        <v>1239</v>
      </c>
      <c r="M69" s="89">
        <v>400</v>
      </c>
      <c r="N69" s="79">
        <f>75</f>
        <v>75</v>
      </c>
      <c r="O69" s="81">
        <v>240</v>
      </c>
      <c r="P69" s="81">
        <v>160</v>
      </c>
      <c r="Q69" s="81">
        <f t="shared" si="1"/>
        <v>195</v>
      </c>
      <c r="R69" s="81">
        <f t="shared" si="2"/>
        <v>100</v>
      </c>
      <c r="S69" s="79">
        <f t="shared" si="3"/>
        <v>695</v>
      </c>
      <c r="T69" s="79">
        <f>0</f>
        <v>0</v>
      </c>
      <c r="U69" s="77"/>
      <c r="V69" s="77"/>
      <c r="W69" s="77"/>
      <c r="X69" s="77"/>
      <c r="Y69" s="77"/>
      <c r="Z69" s="77"/>
      <c r="AA69" s="77"/>
      <c r="AB69" s="77"/>
      <c r="AC69" s="77"/>
      <c r="AD69" s="77"/>
    </row>
    <row r="70" spans="1:30" ht="15.75" x14ac:dyDescent="0.25">
      <c r="A70" s="16">
        <v>43040</v>
      </c>
      <c r="B70" s="92">
        <v>30</v>
      </c>
      <c r="C70" s="79">
        <f>122.58</f>
        <v>122.58</v>
      </c>
      <c r="D70" s="79">
        <f>297.941</f>
        <v>297.94099999999997</v>
      </c>
      <c r="E70" s="87">
        <f>89.177</f>
        <v>89.177000000000007</v>
      </c>
      <c r="F70" s="79">
        <f>240.302-40-60</f>
        <v>140.30199999999999</v>
      </c>
      <c r="G70" s="81">
        <v>40</v>
      </c>
      <c r="H70" s="79">
        <v>60</v>
      </c>
      <c r="I70" s="79">
        <f t="shared" si="9"/>
        <v>0</v>
      </c>
      <c r="J70" s="81">
        <v>100</v>
      </c>
      <c r="K70" s="81">
        <v>300</v>
      </c>
      <c r="L70" s="79">
        <f t="shared" si="0"/>
        <v>1150</v>
      </c>
      <c r="M70" s="89">
        <v>400</v>
      </c>
      <c r="N70" s="79">
        <f>100</f>
        <v>100</v>
      </c>
      <c r="O70" s="81">
        <v>240</v>
      </c>
      <c r="P70" s="81">
        <v>40</v>
      </c>
      <c r="Q70" s="81">
        <f t="shared" si="1"/>
        <v>315</v>
      </c>
      <c r="R70" s="81">
        <f t="shared" si="2"/>
        <v>100</v>
      </c>
      <c r="S70" s="79">
        <f t="shared" si="3"/>
        <v>695</v>
      </c>
      <c r="T70" s="79">
        <f>50</f>
        <v>50</v>
      </c>
      <c r="U70" s="77"/>
      <c r="V70" s="77"/>
      <c r="W70" s="77"/>
      <c r="X70" s="77"/>
      <c r="Y70" s="77"/>
      <c r="Z70" s="77"/>
      <c r="AA70" s="77"/>
      <c r="AB70" s="77"/>
      <c r="AC70" s="77"/>
      <c r="AD70" s="77"/>
    </row>
    <row r="71" spans="1:30" ht="15.75" x14ac:dyDescent="0.25">
      <c r="A71" s="16">
        <v>43070</v>
      </c>
      <c r="B71" s="92">
        <v>31</v>
      </c>
      <c r="C71" s="79">
        <f>122.58</f>
        <v>122.58</v>
      </c>
      <c r="D71" s="79">
        <f>297.941</f>
        <v>297.94099999999997</v>
      </c>
      <c r="E71" s="87">
        <f>89.177</f>
        <v>89.177000000000007</v>
      </c>
      <c r="F71" s="79">
        <f>240.302-40-60</f>
        <v>140.30199999999999</v>
      </c>
      <c r="G71" s="81">
        <v>40</v>
      </c>
      <c r="H71" s="79">
        <v>60</v>
      </c>
      <c r="I71" s="79">
        <f t="shared" si="9"/>
        <v>0</v>
      </c>
      <c r="J71" s="81">
        <v>100</v>
      </c>
      <c r="K71" s="81">
        <v>300</v>
      </c>
      <c r="L71" s="79">
        <f t="shared" si="0"/>
        <v>1150</v>
      </c>
      <c r="M71" s="89">
        <v>400</v>
      </c>
      <c r="N71" s="79">
        <f>100</f>
        <v>100</v>
      </c>
      <c r="O71" s="81">
        <v>240</v>
      </c>
      <c r="P71" s="81">
        <v>40</v>
      </c>
      <c r="Q71" s="81">
        <f t="shared" si="1"/>
        <v>315</v>
      </c>
      <c r="R71" s="81">
        <f t="shared" si="2"/>
        <v>100</v>
      </c>
      <c r="S71" s="79">
        <f t="shared" si="3"/>
        <v>695</v>
      </c>
      <c r="T71" s="79">
        <f>50</f>
        <v>50</v>
      </c>
      <c r="U71" s="77"/>
      <c r="V71" s="77"/>
      <c r="W71" s="77"/>
      <c r="X71" s="77"/>
      <c r="Y71" s="77"/>
      <c r="Z71" s="77"/>
      <c r="AA71" s="77"/>
      <c r="AB71" s="77"/>
      <c r="AC71" s="77"/>
      <c r="AD71" s="77"/>
    </row>
    <row r="72" spans="1:30" ht="15.75" x14ac:dyDescent="0.25">
      <c r="A72" s="16">
        <v>43101</v>
      </c>
      <c r="B72" s="92">
        <v>31</v>
      </c>
      <c r="C72" s="79">
        <f>122.58</f>
        <v>122.58</v>
      </c>
      <c r="D72" s="79">
        <f>297.941</f>
        <v>297.94099999999997</v>
      </c>
      <c r="E72" s="87">
        <f>89.177</f>
        <v>89.177000000000007</v>
      </c>
      <c r="F72" s="79">
        <f>240.302-40-60</f>
        <v>140.30199999999999</v>
      </c>
      <c r="G72" s="81">
        <v>40</v>
      </c>
      <c r="H72" s="79">
        <v>60</v>
      </c>
      <c r="I72" s="79">
        <f t="shared" si="9"/>
        <v>0</v>
      </c>
      <c r="J72" s="81">
        <v>100</v>
      </c>
      <c r="K72" s="81">
        <v>300</v>
      </c>
      <c r="L72" s="79">
        <f t="shared" si="0"/>
        <v>1150</v>
      </c>
      <c r="M72" s="89">
        <v>400</v>
      </c>
      <c r="N72" s="79">
        <f>100</f>
        <v>100</v>
      </c>
      <c r="O72" s="81">
        <v>240</v>
      </c>
      <c r="P72" s="81">
        <v>40</v>
      </c>
      <c r="Q72" s="81">
        <f t="shared" si="1"/>
        <v>315</v>
      </c>
      <c r="R72" s="81">
        <f t="shared" si="2"/>
        <v>100</v>
      </c>
      <c r="S72" s="79">
        <f t="shared" si="3"/>
        <v>695</v>
      </c>
      <c r="T72" s="79">
        <f>50</f>
        <v>50</v>
      </c>
      <c r="U72" s="77"/>
      <c r="V72" s="77"/>
      <c r="W72" s="77"/>
      <c r="X72" s="77"/>
      <c r="Y72" s="77"/>
      <c r="Z72" s="77"/>
      <c r="AA72" s="77"/>
      <c r="AB72" s="77"/>
      <c r="AC72" s="77"/>
      <c r="AD72" s="77"/>
    </row>
    <row r="73" spans="1:30" ht="15.75" x14ac:dyDescent="0.25">
      <c r="A73" s="16">
        <v>43132</v>
      </c>
      <c r="B73" s="92">
        <v>28</v>
      </c>
      <c r="C73" s="79">
        <f>122.58</f>
        <v>122.58</v>
      </c>
      <c r="D73" s="79">
        <f>297.941</f>
        <v>297.94099999999997</v>
      </c>
      <c r="E73" s="87">
        <f>89.177</f>
        <v>89.177000000000007</v>
      </c>
      <c r="F73" s="79">
        <f>240.302-40-60</f>
        <v>140.30199999999999</v>
      </c>
      <c r="G73" s="81">
        <v>40</v>
      </c>
      <c r="H73" s="79">
        <v>60</v>
      </c>
      <c r="I73" s="79">
        <f t="shared" si="9"/>
        <v>0</v>
      </c>
      <c r="J73" s="81">
        <v>100</v>
      </c>
      <c r="K73" s="81">
        <v>300</v>
      </c>
      <c r="L73" s="79">
        <f t="shared" si="0"/>
        <v>1150</v>
      </c>
      <c r="M73" s="89">
        <v>400</v>
      </c>
      <c r="N73" s="79">
        <f>100</f>
        <v>100</v>
      </c>
      <c r="O73" s="81">
        <v>240</v>
      </c>
      <c r="P73" s="81">
        <v>40</v>
      </c>
      <c r="Q73" s="81">
        <f t="shared" si="1"/>
        <v>315</v>
      </c>
      <c r="R73" s="81">
        <f t="shared" si="2"/>
        <v>100</v>
      </c>
      <c r="S73" s="79">
        <f t="shared" si="3"/>
        <v>695</v>
      </c>
      <c r="T73" s="79">
        <f>50</f>
        <v>50</v>
      </c>
      <c r="U73" s="77"/>
      <c r="V73" s="77"/>
      <c r="W73" s="77"/>
      <c r="X73" s="77"/>
      <c r="Y73" s="77"/>
      <c r="Z73" s="77"/>
      <c r="AA73" s="77"/>
      <c r="AB73" s="77"/>
      <c r="AC73" s="77"/>
      <c r="AD73" s="77"/>
    </row>
    <row r="74" spans="1:30" ht="15.75" x14ac:dyDescent="0.25">
      <c r="A74" s="16">
        <v>43160</v>
      </c>
      <c r="B74" s="92">
        <v>31</v>
      </c>
      <c r="C74" s="79">
        <f>122.58</f>
        <v>122.58</v>
      </c>
      <c r="D74" s="79">
        <f>297.941</f>
        <v>297.94099999999997</v>
      </c>
      <c r="E74" s="87">
        <f>89.177</f>
        <v>89.177000000000007</v>
      </c>
      <c r="F74" s="79">
        <f>240.302-40-60</f>
        <v>140.30199999999999</v>
      </c>
      <c r="G74" s="81">
        <v>40</v>
      </c>
      <c r="H74" s="79">
        <v>60</v>
      </c>
      <c r="I74" s="79">
        <f t="shared" si="9"/>
        <v>0</v>
      </c>
      <c r="J74" s="81">
        <v>100</v>
      </c>
      <c r="K74" s="81">
        <v>300</v>
      </c>
      <c r="L74" s="79">
        <f t="shared" si="0"/>
        <v>1150</v>
      </c>
      <c r="M74" s="89">
        <v>400</v>
      </c>
      <c r="N74" s="79">
        <f>100</f>
        <v>100</v>
      </c>
      <c r="O74" s="81">
        <v>240</v>
      </c>
      <c r="P74" s="81">
        <v>40</v>
      </c>
      <c r="Q74" s="81">
        <f t="shared" si="1"/>
        <v>315</v>
      </c>
      <c r="R74" s="81">
        <f t="shared" si="2"/>
        <v>100</v>
      </c>
      <c r="S74" s="79">
        <f t="shared" si="3"/>
        <v>695</v>
      </c>
      <c r="T74" s="79">
        <f>50</f>
        <v>50</v>
      </c>
      <c r="U74" s="77"/>
      <c r="V74" s="77"/>
      <c r="W74" s="77"/>
      <c r="X74" s="77"/>
      <c r="Y74" s="77"/>
      <c r="Z74" s="77"/>
      <c r="AA74" s="77"/>
      <c r="AB74" s="77"/>
      <c r="AC74" s="77"/>
      <c r="AD74" s="77"/>
    </row>
    <row r="75" spans="1:30" ht="15.75" x14ac:dyDescent="0.25">
      <c r="A75" s="16">
        <v>43191</v>
      </c>
      <c r="B75" s="92">
        <v>30</v>
      </c>
      <c r="C75" s="79">
        <f>141.293</f>
        <v>141.29300000000001</v>
      </c>
      <c r="D75" s="79">
        <f>267.993</f>
        <v>267.99299999999999</v>
      </c>
      <c r="E75" s="87">
        <f>115.016</f>
        <v>115.01600000000001</v>
      </c>
      <c r="F75" s="79">
        <f>314.698-40-25-60</f>
        <v>189.69799999999998</v>
      </c>
      <c r="G75" s="81">
        <v>40</v>
      </c>
      <c r="H75" s="79">
        <f t="shared" ref="H75:H81" si="11">25+60</f>
        <v>85</v>
      </c>
      <c r="I75" s="79">
        <f t="shared" si="9"/>
        <v>0</v>
      </c>
      <c r="J75" s="81">
        <v>100</v>
      </c>
      <c r="K75" s="81">
        <v>300</v>
      </c>
      <c r="L75" s="79">
        <f t="shared" si="0"/>
        <v>1239</v>
      </c>
      <c r="M75" s="89">
        <v>400</v>
      </c>
      <c r="N75" s="79">
        <f>100</f>
        <v>100</v>
      </c>
      <c r="O75" s="81">
        <v>240</v>
      </c>
      <c r="P75" s="81">
        <v>160</v>
      </c>
      <c r="Q75" s="81">
        <f t="shared" si="1"/>
        <v>195</v>
      </c>
      <c r="R75" s="81">
        <f t="shared" si="2"/>
        <v>100</v>
      </c>
      <c r="S75" s="79">
        <f t="shared" si="3"/>
        <v>695</v>
      </c>
      <c r="T75" s="79">
        <f>50</f>
        <v>50</v>
      </c>
      <c r="U75" s="77"/>
      <c r="V75" s="77"/>
      <c r="W75" s="77"/>
      <c r="X75" s="77"/>
      <c r="Y75" s="77"/>
      <c r="Z75" s="77"/>
      <c r="AA75" s="77"/>
      <c r="AB75" s="77"/>
      <c r="AC75" s="77"/>
      <c r="AD75" s="77"/>
    </row>
    <row r="76" spans="1:30" ht="15.75" x14ac:dyDescent="0.25">
      <c r="A76" s="16">
        <v>43221</v>
      </c>
      <c r="B76" s="92">
        <v>31</v>
      </c>
      <c r="C76" s="79">
        <f>194.205</f>
        <v>194.20500000000001</v>
      </c>
      <c r="D76" s="79">
        <f>267.466</f>
        <v>267.46600000000001</v>
      </c>
      <c r="E76" s="87">
        <f>133.845</f>
        <v>133.845</v>
      </c>
      <c r="F76" s="79">
        <f>278.484-40-25-60</f>
        <v>153.48399999999998</v>
      </c>
      <c r="G76" s="81">
        <v>40</v>
      </c>
      <c r="H76" s="79">
        <f t="shared" si="11"/>
        <v>85</v>
      </c>
      <c r="I76" s="79">
        <f t="shared" si="9"/>
        <v>0</v>
      </c>
      <c r="J76" s="81">
        <v>100</v>
      </c>
      <c r="K76" s="81">
        <v>300</v>
      </c>
      <c r="L76" s="79">
        <f t="shared" si="0"/>
        <v>1274</v>
      </c>
      <c r="M76" s="89">
        <v>400</v>
      </c>
      <c r="N76" s="79">
        <f>75</f>
        <v>75</v>
      </c>
      <c r="O76" s="81">
        <v>240</v>
      </c>
      <c r="P76" s="81">
        <v>160</v>
      </c>
      <c r="Q76" s="81">
        <f t="shared" si="1"/>
        <v>195</v>
      </c>
      <c r="R76" s="81">
        <f t="shared" si="2"/>
        <v>100</v>
      </c>
      <c r="S76" s="79">
        <f t="shared" si="3"/>
        <v>695</v>
      </c>
      <c r="T76" s="79">
        <f>50</f>
        <v>50</v>
      </c>
      <c r="U76" s="77"/>
      <c r="V76" s="77"/>
      <c r="W76" s="77"/>
      <c r="X76" s="77"/>
      <c r="Y76" s="77"/>
      <c r="Z76" s="77"/>
      <c r="AA76" s="77"/>
      <c r="AB76" s="77"/>
      <c r="AC76" s="77"/>
      <c r="AD76" s="77"/>
    </row>
    <row r="77" spans="1:30" ht="15.75" x14ac:dyDescent="0.25">
      <c r="A77" s="16">
        <v>43252</v>
      </c>
      <c r="B77" s="92">
        <v>30</v>
      </c>
      <c r="C77" s="79">
        <f>194.205</f>
        <v>194.20500000000001</v>
      </c>
      <c r="D77" s="79">
        <f>267.466</f>
        <v>267.46600000000001</v>
      </c>
      <c r="E77" s="87">
        <f>133.845</f>
        <v>133.845</v>
      </c>
      <c r="F77" s="79">
        <f>278.484-40-25-60</f>
        <v>153.48399999999998</v>
      </c>
      <c r="G77" s="81">
        <v>40</v>
      </c>
      <c r="H77" s="79">
        <f t="shared" si="11"/>
        <v>85</v>
      </c>
      <c r="I77" s="79">
        <f t="shared" si="9"/>
        <v>0</v>
      </c>
      <c r="J77" s="81">
        <v>100</v>
      </c>
      <c r="K77" s="81">
        <v>300</v>
      </c>
      <c r="L77" s="79">
        <f t="shared" ref="L77:L140" si="12">SUM(C77:K77)</f>
        <v>1274</v>
      </c>
      <c r="M77" s="89">
        <v>400</v>
      </c>
      <c r="N77" s="79">
        <f>30</f>
        <v>30</v>
      </c>
      <c r="O77" s="81">
        <v>240</v>
      </c>
      <c r="P77" s="81">
        <v>160</v>
      </c>
      <c r="Q77" s="81">
        <f t="shared" ref="Q77:Q140" si="13">695-R77-O77-P77</f>
        <v>195</v>
      </c>
      <c r="R77" s="81">
        <f t="shared" ref="R77:R140" si="14">200-J77</f>
        <v>100</v>
      </c>
      <c r="S77" s="79">
        <f t="shared" ref="S77:S140" si="15">SUM(O77:R77)</f>
        <v>695</v>
      </c>
      <c r="T77" s="79">
        <f>50</f>
        <v>50</v>
      </c>
      <c r="U77" s="77"/>
      <c r="V77" s="77"/>
      <c r="W77" s="77"/>
      <c r="X77" s="77"/>
      <c r="Y77" s="77"/>
      <c r="Z77" s="77"/>
      <c r="AA77" s="77"/>
      <c r="AB77" s="77"/>
      <c r="AC77" s="77"/>
      <c r="AD77" s="77"/>
    </row>
    <row r="78" spans="1:30" ht="15.75" x14ac:dyDescent="0.25">
      <c r="A78" s="16">
        <v>43282</v>
      </c>
      <c r="B78" s="92">
        <v>31</v>
      </c>
      <c r="C78" s="79">
        <f>194.205</f>
        <v>194.20500000000001</v>
      </c>
      <c r="D78" s="79">
        <f>267.466</f>
        <v>267.46600000000001</v>
      </c>
      <c r="E78" s="87">
        <f>133.845</f>
        <v>133.845</v>
      </c>
      <c r="F78" s="79">
        <f>278.484-40-25-60</f>
        <v>153.48399999999998</v>
      </c>
      <c r="G78" s="81">
        <v>40</v>
      </c>
      <c r="H78" s="79">
        <f t="shared" si="11"/>
        <v>85</v>
      </c>
      <c r="I78" s="79">
        <f t="shared" si="9"/>
        <v>0</v>
      </c>
      <c r="J78" s="81">
        <v>100</v>
      </c>
      <c r="K78" s="81">
        <v>300</v>
      </c>
      <c r="L78" s="79">
        <f t="shared" si="12"/>
        <v>1274</v>
      </c>
      <c r="M78" s="89">
        <v>400</v>
      </c>
      <c r="N78" s="79">
        <f>30</f>
        <v>30</v>
      </c>
      <c r="O78" s="81">
        <v>240</v>
      </c>
      <c r="P78" s="81">
        <v>160</v>
      </c>
      <c r="Q78" s="81">
        <f t="shared" si="13"/>
        <v>195</v>
      </c>
      <c r="R78" s="81">
        <f t="shared" si="14"/>
        <v>100</v>
      </c>
      <c r="S78" s="79">
        <f t="shared" si="15"/>
        <v>695</v>
      </c>
      <c r="T78" s="79">
        <f>0</f>
        <v>0</v>
      </c>
      <c r="U78" s="77"/>
      <c r="V78" s="77"/>
      <c r="W78" s="77"/>
      <c r="X78" s="77"/>
      <c r="Y78" s="77"/>
      <c r="Z78" s="77"/>
      <c r="AA78" s="77"/>
      <c r="AB78" s="77"/>
      <c r="AC78" s="77"/>
      <c r="AD78" s="77"/>
    </row>
    <row r="79" spans="1:30" ht="15.75" x14ac:dyDescent="0.25">
      <c r="A79" s="16">
        <v>43313</v>
      </c>
      <c r="B79" s="92">
        <v>31</v>
      </c>
      <c r="C79" s="79">
        <f>194.205</f>
        <v>194.20500000000001</v>
      </c>
      <c r="D79" s="79">
        <f>267.466</f>
        <v>267.46600000000001</v>
      </c>
      <c r="E79" s="87">
        <f>133.845</f>
        <v>133.845</v>
      </c>
      <c r="F79" s="79">
        <f>278.484-40-25-60</f>
        <v>153.48399999999998</v>
      </c>
      <c r="G79" s="81">
        <v>40</v>
      </c>
      <c r="H79" s="79">
        <f t="shared" si="11"/>
        <v>85</v>
      </c>
      <c r="I79" s="79">
        <f t="shared" si="9"/>
        <v>0</v>
      </c>
      <c r="J79" s="81">
        <v>100</v>
      </c>
      <c r="K79" s="81">
        <v>300</v>
      </c>
      <c r="L79" s="79">
        <f t="shared" si="12"/>
        <v>1274</v>
      </c>
      <c r="M79" s="89">
        <v>400</v>
      </c>
      <c r="N79" s="79">
        <f>30</f>
        <v>30</v>
      </c>
      <c r="O79" s="81">
        <v>240</v>
      </c>
      <c r="P79" s="81">
        <v>160</v>
      </c>
      <c r="Q79" s="81">
        <f t="shared" si="13"/>
        <v>195</v>
      </c>
      <c r="R79" s="81">
        <f t="shared" si="14"/>
        <v>100</v>
      </c>
      <c r="S79" s="79">
        <f t="shared" si="15"/>
        <v>695</v>
      </c>
      <c r="T79" s="79">
        <f>0</f>
        <v>0</v>
      </c>
      <c r="U79" s="77"/>
      <c r="V79" s="77"/>
      <c r="W79" s="77"/>
      <c r="X79" s="77"/>
      <c r="Y79" s="77"/>
      <c r="Z79" s="77"/>
      <c r="AA79" s="77"/>
      <c r="AB79" s="77"/>
      <c r="AC79" s="77"/>
      <c r="AD79" s="77"/>
    </row>
    <row r="80" spans="1:30" ht="15.75" x14ac:dyDescent="0.25">
      <c r="A80" s="16">
        <v>43344</v>
      </c>
      <c r="B80" s="92">
        <v>30</v>
      </c>
      <c r="C80" s="79">
        <f>194.205</f>
        <v>194.20500000000001</v>
      </c>
      <c r="D80" s="79">
        <f>267.466</f>
        <v>267.46600000000001</v>
      </c>
      <c r="E80" s="87">
        <f>133.845</f>
        <v>133.845</v>
      </c>
      <c r="F80" s="79">
        <f>278.484-40-25-60</f>
        <v>153.48399999999998</v>
      </c>
      <c r="G80" s="81">
        <v>40</v>
      </c>
      <c r="H80" s="79">
        <f t="shared" si="11"/>
        <v>85</v>
      </c>
      <c r="I80" s="79">
        <f t="shared" si="9"/>
        <v>0</v>
      </c>
      <c r="J80" s="81">
        <v>100</v>
      </c>
      <c r="K80" s="81">
        <v>300</v>
      </c>
      <c r="L80" s="79">
        <f t="shared" si="12"/>
        <v>1274</v>
      </c>
      <c r="M80" s="89">
        <v>400</v>
      </c>
      <c r="N80" s="79">
        <f>30</f>
        <v>30</v>
      </c>
      <c r="O80" s="81">
        <v>240</v>
      </c>
      <c r="P80" s="81">
        <v>160</v>
      </c>
      <c r="Q80" s="81">
        <f t="shared" si="13"/>
        <v>195</v>
      </c>
      <c r="R80" s="81">
        <f t="shared" si="14"/>
        <v>100</v>
      </c>
      <c r="S80" s="79">
        <f t="shared" si="15"/>
        <v>695</v>
      </c>
      <c r="T80" s="79">
        <f>0</f>
        <v>0</v>
      </c>
      <c r="U80" s="77"/>
      <c r="V80" s="77"/>
      <c r="W80" s="77"/>
      <c r="X80" s="77"/>
      <c r="Y80" s="77"/>
      <c r="Z80" s="77"/>
      <c r="AA80" s="77"/>
      <c r="AB80" s="77"/>
      <c r="AC80" s="77"/>
      <c r="AD80" s="77"/>
    </row>
    <row r="81" spans="1:30" ht="15.75" x14ac:dyDescent="0.25">
      <c r="A81" s="16">
        <v>43374</v>
      </c>
      <c r="B81" s="92">
        <v>31</v>
      </c>
      <c r="C81" s="79">
        <f>131.881</f>
        <v>131.881</v>
      </c>
      <c r="D81" s="79">
        <f>277.167</f>
        <v>277.16699999999997</v>
      </c>
      <c r="E81" s="87">
        <f>79.08</f>
        <v>79.08</v>
      </c>
      <c r="F81" s="79">
        <f>350.872-40-25-60</f>
        <v>225.87200000000001</v>
      </c>
      <c r="G81" s="81">
        <v>40</v>
      </c>
      <c r="H81" s="79">
        <f t="shared" si="11"/>
        <v>85</v>
      </c>
      <c r="I81" s="79">
        <f t="shared" si="9"/>
        <v>0</v>
      </c>
      <c r="J81" s="81">
        <v>100</v>
      </c>
      <c r="K81" s="81">
        <v>300</v>
      </c>
      <c r="L81" s="79">
        <f t="shared" si="12"/>
        <v>1239</v>
      </c>
      <c r="M81" s="89">
        <v>400</v>
      </c>
      <c r="N81" s="79">
        <f>75</f>
        <v>75</v>
      </c>
      <c r="O81" s="81">
        <v>240</v>
      </c>
      <c r="P81" s="81">
        <v>160</v>
      </c>
      <c r="Q81" s="81">
        <f t="shared" si="13"/>
        <v>195</v>
      </c>
      <c r="R81" s="81">
        <f t="shared" si="14"/>
        <v>100</v>
      </c>
      <c r="S81" s="79">
        <f t="shared" si="15"/>
        <v>695</v>
      </c>
      <c r="T81" s="79">
        <f>0</f>
        <v>0</v>
      </c>
      <c r="U81" s="77"/>
      <c r="V81" s="77"/>
      <c r="W81" s="77"/>
      <c r="X81" s="77"/>
      <c r="Y81" s="77"/>
      <c r="Z81" s="77"/>
      <c r="AA81" s="77"/>
      <c r="AB81" s="77"/>
      <c r="AC81" s="77"/>
      <c r="AD81" s="77"/>
    </row>
    <row r="82" spans="1:30" ht="15.75" x14ac:dyDescent="0.25">
      <c r="A82" s="16">
        <v>43405</v>
      </c>
      <c r="B82" s="92">
        <v>30</v>
      </c>
      <c r="C82" s="79">
        <f>122.58</f>
        <v>122.58</v>
      </c>
      <c r="D82" s="79">
        <f>297.941</f>
        <v>297.94099999999997</v>
      </c>
      <c r="E82" s="87">
        <f>89.177</f>
        <v>89.177000000000007</v>
      </c>
      <c r="F82" s="79">
        <f>240.302-40-60</f>
        <v>140.30199999999999</v>
      </c>
      <c r="G82" s="81">
        <v>40</v>
      </c>
      <c r="H82" s="79">
        <v>60</v>
      </c>
      <c r="I82" s="79">
        <f t="shared" si="9"/>
        <v>0</v>
      </c>
      <c r="J82" s="81">
        <v>100</v>
      </c>
      <c r="K82" s="81">
        <v>300</v>
      </c>
      <c r="L82" s="79">
        <f t="shared" si="12"/>
        <v>1150</v>
      </c>
      <c r="M82" s="89">
        <v>400</v>
      </c>
      <c r="N82" s="79">
        <f>100</f>
        <v>100</v>
      </c>
      <c r="O82" s="81">
        <v>240</v>
      </c>
      <c r="P82" s="81">
        <v>40</v>
      </c>
      <c r="Q82" s="81">
        <f t="shared" si="13"/>
        <v>315</v>
      </c>
      <c r="R82" s="81">
        <f t="shared" si="14"/>
        <v>100</v>
      </c>
      <c r="S82" s="79">
        <f t="shared" si="15"/>
        <v>695</v>
      </c>
      <c r="T82" s="79">
        <f>50</f>
        <v>50</v>
      </c>
      <c r="U82" s="77"/>
      <c r="V82" s="77"/>
      <c r="W82" s="77"/>
      <c r="X82" s="77"/>
      <c r="Y82" s="77"/>
      <c r="Z82" s="77"/>
      <c r="AA82" s="77"/>
      <c r="AB82" s="77"/>
      <c r="AC82" s="77"/>
      <c r="AD82" s="77"/>
    </row>
    <row r="83" spans="1:30" ht="15.75" x14ac:dyDescent="0.25">
      <c r="A83" s="16">
        <v>43435</v>
      </c>
      <c r="B83" s="92">
        <v>31</v>
      </c>
      <c r="C83" s="79">
        <f>122.58</f>
        <v>122.58</v>
      </c>
      <c r="D83" s="79">
        <f>297.941</f>
        <v>297.94099999999997</v>
      </c>
      <c r="E83" s="87">
        <f>89.177</f>
        <v>89.177000000000007</v>
      </c>
      <c r="F83" s="79">
        <f>240.302-40-60</f>
        <v>140.30199999999999</v>
      </c>
      <c r="G83" s="81">
        <v>40</v>
      </c>
      <c r="H83" s="79">
        <v>60</v>
      </c>
      <c r="I83" s="79">
        <f t="shared" si="9"/>
        <v>0</v>
      </c>
      <c r="J83" s="81">
        <v>100</v>
      </c>
      <c r="K83" s="81">
        <v>300</v>
      </c>
      <c r="L83" s="79">
        <f t="shared" si="12"/>
        <v>1150</v>
      </c>
      <c r="M83" s="89">
        <v>400</v>
      </c>
      <c r="N83" s="79">
        <f>100</f>
        <v>100</v>
      </c>
      <c r="O83" s="81">
        <v>240</v>
      </c>
      <c r="P83" s="81">
        <v>40</v>
      </c>
      <c r="Q83" s="81">
        <f t="shared" si="13"/>
        <v>315</v>
      </c>
      <c r="R83" s="81">
        <f t="shared" si="14"/>
        <v>100</v>
      </c>
      <c r="S83" s="79">
        <f t="shared" si="15"/>
        <v>695</v>
      </c>
      <c r="T83" s="79">
        <f>50</f>
        <v>50</v>
      </c>
      <c r="U83" s="77"/>
      <c r="V83" s="77"/>
      <c r="W83" s="77"/>
      <c r="X83" s="77"/>
      <c r="Y83" s="77"/>
      <c r="Z83" s="77"/>
      <c r="AA83" s="77"/>
      <c r="AB83" s="77"/>
      <c r="AC83" s="77"/>
      <c r="AD83" s="77"/>
    </row>
    <row r="84" spans="1:30" ht="15.75" x14ac:dyDescent="0.25">
      <c r="A84" s="16">
        <v>43466</v>
      </c>
      <c r="B84" s="92">
        <v>31</v>
      </c>
      <c r="C84" s="79">
        <f>122.58</f>
        <v>122.58</v>
      </c>
      <c r="D84" s="79">
        <f>297.941</f>
        <v>297.94099999999997</v>
      </c>
      <c r="E84" s="87">
        <f>89.177</f>
        <v>89.177000000000007</v>
      </c>
      <c r="F84" s="79">
        <f>240.302-40-60</f>
        <v>140.30199999999999</v>
      </c>
      <c r="G84" s="81">
        <v>40</v>
      </c>
      <c r="H84" s="79">
        <v>60</v>
      </c>
      <c r="I84" s="79">
        <f t="shared" si="9"/>
        <v>0</v>
      </c>
      <c r="J84" s="81">
        <v>100</v>
      </c>
      <c r="K84" s="81">
        <v>300</v>
      </c>
      <c r="L84" s="79">
        <f t="shared" si="12"/>
        <v>1150</v>
      </c>
      <c r="M84" s="89">
        <v>400</v>
      </c>
      <c r="N84" s="79">
        <f>100</f>
        <v>100</v>
      </c>
      <c r="O84" s="81">
        <v>240</v>
      </c>
      <c r="P84" s="81">
        <v>40</v>
      </c>
      <c r="Q84" s="81">
        <f t="shared" si="13"/>
        <v>315</v>
      </c>
      <c r="R84" s="81">
        <f t="shared" si="14"/>
        <v>100</v>
      </c>
      <c r="S84" s="79">
        <f t="shared" si="15"/>
        <v>695</v>
      </c>
      <c r="T84" s="79">
        <f>50</f>
        <v>50</v>
      </c>
      <c r="U84" s="77"/>
      <c r="V84" s="77"/>
      <c r="W84" s="77"/>
      <c r="X84" s="77"/>
      <c r="Y84" s="77"/>
      <c r="Z84" s="77"/>
      <c r="AA84" s="77"/>
      <c r="AB84" s="77"/>
      <c r="AC84" s="77"/>
      <c r="AD84" s="77"/>
    </row>
    <row r="85" spans="1:30" ht="15.75" x14ac:dyDescent="0.25">
      <c r="A85" s="16">
        <v>43497</v>
      </c>
      <c r="B85" s="92">
        <v>28</v>
      </c>
      <c r="C85" s="79">
        <f>122.58</f>
        <v>122.58</v>
      </c>
      <c r="D85" s="79">
        <f>297.941</f>
        <v>297.94099999999997</v>
      </c>
      <c r="E85" s="87">
        <f>89.177</f>
        <v>89.177000000000007</v>
      </c>
      <c r="F85" s="79">
        <f>240.302-40-60</f>
        <v>140.30199999999999</v>
      </c>
      <c r="G85" s="81">
        <v>40</v>
      </c>
      <c r="H85" s="79">
        <v>60</v>
      </c>
      <c r="I85" s="79">
        <f t="shared" si="9"/>
        <v>0</v>
      </c>
      <c r="J85" s="81">
        <v>100</v>
      </c>
      <c r="K85" s="81">
        <v>300</v>
      </c>
      <c r="L85" s="79">
        <f t="shared" si="12"/>
        <v>1150</v>
      </c>
      <c r="M85" s="89">
        <v>400</v>
      </c>
      <c r="N85" s="79">
        <f>100</f>
        <v>100</v>
      </c>
      <c r="O85" s="81">
        <v>240</v>
      </c>
      <c r="P85" s="81">
        <v>40</v>
      </c>
      <c r="Q85" s="81">
        <f t="shared" si="13"/>
        <v>315</v>
      </c>
      <c r="R85" s="81">
        <f t="shared" si="14"/>
        <v>100</v>
      </c>
      <c r="S85" s="79">
        <f t="shared" si="15"/>
        <v>695</v>
      </c>
      <c r="T85" s="79">
        <f>50</f>
        <v>50</v>
      </c>
      <c r="U85" s="77"/>
      <c r="V85" s="77"/>
      <c r="W85" s="77"/>
      <c r="X85" s="77"/>
      <c r="Y85" s="77"/>
      <c r="Z85" s="77"/>
      <c r="AA85" s="77"/>
      <c r="AB85" s="77"/>
      <c r="AC85" s="77"/>
      <c r="AD85" s="77"/>
    </row>
    <row r="86" spans="1:30" ht="15.75" x14ac:dyDescent="0.25">
      <c r="A86" s="16">
        <v>43525</v>
      </c>
      <c r="B86" s="92">
        <v>31</v>
      </c>
      <c r="C86" s="79">
        <f>122.58</f>
        <v>122.58</v>
      </c>
      <c r="D86" s="79">
        <f>297.941</f>
        <v>297.94099999999997</v>
      </c>
      <c r="E86" s="87">
        <f>89.177</f>
        <v>89.177000000000007</v>
      </c>
      <c r="F86" s="79">
        <f>240.302-40-60</f>
        <v>140.30199999999999</v>
      </c>
      <c r="G86" s="81">
        <v>40</v>
      </c>
      <c r="H86" s="79">
        <v>60</v>
      </c>
      <c r="I86" s="79">
        <f t="shared" si="9"/>
        <v>0</v>
      </c>
      <c r="J86" s="81">
        <v>100</v>
      </c>
      <c r="K86" s="81">
        <v>300</v>
      </c>
      <c r="L86" s="79">
        <f t="shared" si="12"/>
        <v>1150</v>
      </c>
      <c r="M86" s="89">
        <v>400</v>
      </c>
      <c r="N86" s="79">
        <f>100</f>
        <v>100</v>
      </c>
      <c r="O86" s="81">
        <v>240</v>
      </c>
      <c r="P86" s="81">
        <v>40</v>
      </c>
      <c r="Q86" s="81">
        <f t="shared" si="13"/>
        <v>315</v>
      </c>
      <c r="R86" s="81">
        <f t="shared" si="14"/>
        <v>100</v>
      </c>
      <c r="S86" s="79">
        <f t="shared" si="15"/>
        <v>695</v>
      </c>
      <c r="T86" s="79">
        <f>50</f>
        <v>50</v>
      </c>
      <c r="U86" s="77"/>
      <c r="V86" s="77"/>
      <c r="W86" s="77"/>
      <c r="X86" s="77"/>
      <c r="Y86" s="77"/>
      <c r="Z86" s="77"/>
      <c r="AA86" s="77"/>
      <c r="AB86" s="77"/>
      <c r="AC86" s="77"/>
      <c r="AD86" s="77"/>
    </row>
    <row r="87" spans="1:30" ht="15.75" x14ac:dyDescent="0.25">
      <c r="A87" s="16">
        <v>43556</v>
      </c>
      <c r="B87" s="92">
        <v>30</v>
      </c>
      <c r="C87" s="79">
        <f>141.293</f>
        <v>141.29300000000001</v>
      </c>
      <c r="D87" s="79">
        <f>267.993</f>
        <v>267.99299999999999</v>
      </c>
      <c r="E87" s="87">
        <f>115.016</f>
        <v>115.01600000000001</v>
      </c>
      <c r="F87" s="79">
        <f>314.698-40-25-60</f>
        <v>189.69799999999998</v>
      </c>
      <c r="G87" s="81">
        <v>40</v>
      </c>
      <c r="H87" s="79">
        <f t="shared" ref="H87:H93" si="16">25+60</f>
        <v>85</v>
      </c>
      <c r="I87" s="79">
        <f t="shared" si="9"/>
        <v>0</v>
      </c>
      <c r="J87" s="81">
        <v>100</v>
      </c>
      <c r="K87" s="81">
        <v>300</v>
      </c>
      <c r="L87" s="79">
        <f t="shared" si="12"/>
        <v>1239</v>
      </c>
      <c r="M87" s="89">
        <v>400</v>
      </c>
      <c r="N87" s="79">
        <f>100</f>
        <v>100</v>
      </c>
      <c r="O87" s="81">
        <v>240</v>
      </c>
      <c r="P87" s="81">
        <v>160</v>
      </c>
      <c r="Q87" s="81">
        <f t="shared" si="13"/>
        <v>195</v>
      </c>
      <c r="R87" s="81">
        <f t="shared" si="14"/>
        <v>100</v>
      </c>
      <c r="S87" s="79">
        <f t="shared" si="15"/>
        <v>695</v>
      </c>
      <c r="T87" s="79">
        <f>50</f>
        <v>50</v>
      </c>
      <c r="U87" s="77"/>
      <c r="V87" s="77"/>
      <c r="W87" s="77"/>
      <c r="X87" s="77"/>
      <c r="Y87" s="77"/>
      <c r="Z87" s="77"/>
      <c r="AA87" s="77"/>
      <c r="AB87" s="77"/>
      <c r="AC87" s="77"/>
      <c r="AD87" s="77"/>
    </row>
    <row r="88" spans="1:30" ht="15.75" x14ac:dyDescent="0.25">
      <c r="A88" s="16">
        <v>43586</v>
      </c>
      <c r="B88" s="92">
        <v>31</v>
      </c>
      <c r="C88" s="79">
        <f>194.205</f>
        <v>194.20500000000001</v>
      </c>
      <c r="D88" s="79">
        <f>267.466</f>
        <v>267.46600000000001</v>
      </c>
      <c r="E88" s="87">
        <f>133.845</f>
        <v>133.845</v>
      </c>
      <c r="F88" s="79">
        <f>278.484-40-25-60</f>
        <v>153.48399999999998</v>
      </c>
      <c r="G88" s="81">
        <v>40</v>
      </c>
      <c r="H88" s="79">
        <f t="shared" si="16"/>
        <v>85</v>
      </c>
      <c r="I88" s="79">
        <f t="shared" si="9"/>
        <v>0</v>
      </c>
      <c r="J88" s="81">
        <v>100</v>
      </c>
      <c r="K88" s="81">
        <v>300</v>
      </c>
      <c r="L88" s="79">
        <f t="shared" si="12"/>
        <v>1274</v>
      </c>
      <c r="M88" s="89">
        <v>400</v>
      </c>
      <c r="N88" s="79">
        <f>75</f>
        <v>75</v>
      </c>
      <c r="O88" s="81">
        <v>240</v>
      </c>
      <c r="P88" s="81">
        <v>160</v>
      </c>
      <c r="Q88" s="81">
        <f t="shared" si="13"/>
        <v>195</v>
      </c>
      <c r="R88" s="81">
        <f t="shared" si="14"/>
        <v>100</v>
      </c>
      <c r="S88" s="79">
        <f t="shared" si="15"/>
        <v>695</v>
      </c>
      <c r="T88" s="79">
        <f>50</f>
        <v>50</v>
      </c>
      <c r="U88" s="77"/>
      <c r="V88" s="77"/>
      <c r="W88" s="77"/>
      <c r="X88" s="77"/>
      <c r="Y88" s="77"/>
      <c r="Z88" s="77"/>
      <c r="AA88" s="77"/>
      <c r="AB88" s="77"/>
      <c r="AC88" s="77"/>
      <c r="AD88" s="77"/>
    </row>
    <row r="89" spans="1:30" ht="15.75" x14ac:dyDescent="0.25">
      <c r="A89" s="16">
        <v>43617</v>
      </c>
      <c r="B89" s="92">
        <v>30</v>
      </c>
      <c r="C89" s="79">
        <f>194.205</f>
        <v>194.20500000000001</v>
      </c>
      <c r="D89" s="79">
        <f>267.466</f>
        <v>267.46600000000001</v>
      </c>
      <c r="E89" s="87">
        <f>133.845</f>
        <v>133.845</v>
      </c>
      <c r="F89" s="79">
        <f>278.484-40-25-60</f>
        <v>153.48399999999998</v>
      </c>
      <c r="G89" s="81">
        <v>40</v>
      </c>
      <c r="H89" s="79">
        <f t="shared" si="16"/>
        <v>85</v>
      </c>
      <c r="I89" s="79">
        <f t="shared" si="9"/>
        <v>0</v>
      </c>
      <c r="J89" s="81">
        <v>100</v>
      </c>
      <c r="K89" s="81">
        <v>300</v>
      </c>
      <c r="L89" s="79">
        <f t="shared" si="12"/>
        <v>1274</v>
      </c>
      <c r="M89" s="89">
        <v>400</v>
      </c>
      <c r="N89" s="79">
        <f>30</f>
        <v>30</v>
      </c>
      <c r="O89" s="81">
        <v>240</v>
      </c>
      <c r="P89" s="81">
        <v>160</v>
      </c>
      <c r="Q89" s="81">
        <f t="shared" si="13"/>
        <v>195</v>
      </c>
      <c r="R89" s="81">
        <f t="shared" si="14"/>
        <v>100</v>
      </c>
      <c r="S89" s="79">
        <f t="shared" si="15"/>
        <v>695</v>
      </c>
      <c r="T89" s="79">
        <f>50</f>
        <v>50</v>
      </c>
      <c r="U89" s="77"/>
      <c r="V89" s="77"/>
      <c r="W89" s="77"/>
      <c r="X89" s="77"/>
      <c r="Y89" s="77"/>
      <c r="Z89" s="77"/>
      <c r="AA89" s="77"/>
      <c r="AB89" s="77"/>
      <c r="AC89" s="77"/>
      <c r="AD89" s="77"/>
    </row>
    <row r="90" spans="1:30" ht="15.75" x14ac:dyDescent="0.25">
      <c r="A90" s="16">
        <v>43647</v>
      </c>
      <c r="B90" s="92">
        <v>31</v>
      </c>
      <c r="C90" s="79">
        <f>194.205</f>
        <v>194.20500000000001</v>
      </c>
      <c r="D90" s="79">
        <f>267.466</f>
        <v>267.46600000000001</v>
      </c>
      <c r="E90" s="87">
        <f>133.845</f>
        <v>133.845</v>
      </c>
      <c r="F90" s="79">
        <f>278.484-40-25-60</f>
        <v>153.48399999999998</v>
      </c>
      <c r="G90" s="81">
        <v>40</v>
      </c>
      <c r="H90" s="79">
        <f t="shared" si="16"/>
        <v>85</v>
      </c>
      <c r="I90" s="79">
        <f t="shared" si="9"/>
        <v>0</v>
      </c>
      <c r="J90" s="81">
        <v>100</v>
      </c>
      <c r="K90" s="81">
        <v>300</v>
      </c>
      <c r="L90" s="79">
        <f t="shared" si="12"/>
        <v>1274</v>
      </c>
      <c r="M90" s="89">
        <v>400</v>
      </c>
      <c r="N90" s="79">
        <f>30</f>
        <v>30</v>
      </c>
      <c r="O90" s="81">
        <v>240</v>
      </c>
      <c r="P90" s="81">
        <v>160</v>
      </c>
      <c r="Q90" s="81">
        <f t="shared" si="13"/>
        <v>195</v>
      </c>
      <c r="R90" s="81">
        <f t="shared" si="14"/>
        <v>100</v>
      </c>
      <c r="S90" s="79">
        <f t="shared" si="15"/>
        <v>695</v>
      </c>
      <c r="T90" s="79">
        <f>0</f>
        <v>0</v>
      </c>
      <c r="U90" s="77"/>
      <c r="V90" s="77"/>
      <c r="W90" s="77"/>
      <c r="X90" s="77"/>
      <c r="Y90" s="77"/>
      <c r="Z90" s="77"/>
      <c r="AA90" s="77"/>
      <c r="AB90" s="77"/>
      <c r="AC90" s="77"/>
      <c r="AD90" s="77"/>
    </row>
    <row r="91" spans="1:30" ht="15.75" x14ac:dyDescent="0.25">
      <c r="A91" s="16">
        <v>43678</v>
      </c>
      <c r="B91" s="92">
        <v>31</v>
      </c>
      <c r="C91" s="79">
        <f>194.205</f>
        <v>194.20500000000001</v>
      </c>
      <c r="D91" s="79">
        <f>267.466</f>
        <v>267.46600000000001</v>
      </c>
      <c r="E91" s="87">
        <f>133.845</f>
        <v>133.845</v>
      </c>
      <c r="F91" s="79">
        <f>278.484-40-25-60</f>
        <v>153.48399999999998</v>
      </c>
      <c r="G91" s="81">
        <v>40</v>
      </c>
      <c r="H91" s="79">
        <f t="shared" si="16"/>
        <v>85</v>
      </c>
      <c r="I91" s="79">
        <f t="shared" si="9"/>
        <v>0</v>
      </c>
      <c r="J91" s="81">
        <v>100</v>
      </c>
      <c r="K91" s="81">
        <v>300</v>
      </c>
      <c r="L91" s="79">
        <f t="shared" si="12"/>
        <v>1274</v>
      </c>
      <c r="M91" s="89">
        <v>400</v>
      </c>
      <c r="N91" s="79">
        <f>30</f>
        <v>30</v>
      </c>
      <c r="O91" s="81">
        <v>240</v>
      </c>
      <c r="P91" s="81">
        <v>160</v>
      </c>
      <c r="Q91" s="81">
        <f t="shared" si="13"/>
        <v>195</v>
      </c>
      <c r="R91" s="81">
        <f t="shared" si="14"/>
        <v>100</v>
      </c>
      <c r="S91" s="79">
        <f t="shared" si="15"/>
        <v>695</v>
      </c>
      <c r="T91" s="79">
        <f>0</f>
        <v>0</v>
      </c>
      <c r="U91" s="77"/>
      <c r="V91" s="77"/>
      <c r="W91" s="77"/>
      <c r="X91" s="77"/>
      <c r="Y91" s="77"/>
      <c r="Z91" s="77"/>
      <c r="AA91" s="77"/>
      <c r="AB91" s="77"/>
      <c r="AC91" s="77"/>
      <c r="AD91" s="77"/>
    </row>
    <row r="92" spans="1:30" ht="15.75" x14ac:dyDescent="0.25">
      <c r="A92" s="16">
        <v>43709</v>
      </c>
      <c r="B92" s="92">
        <v>30</v>
      </c>
      <c r="C92" s="79">
        <f>194.205</f>
        <v>194.20500000000001</v>
      </c>
      <c r="D92" s="79">
        <f>267.466</f>
        <v>267.46600000000001</v>
      </c>
      <c r="E92" s="87">
        <f>133.845</f>
        <v>133.845</v>
      </c>
      <c r="F92" s="79">
        <f>278.484-40-25-60</f>
        <v>153.48399999999998</v>
      </c>
      <c r="G92" s="81">
        <v>40</v>
      </c>
      <c r="H92" s="79">
        <f t="shared" si="16"/>
        <v>85</v>
      </c>
      <c r="I92" s="79">
        <f t="shared" si="9"/>
        <v>0</v>
      </c>
      <c r="J92" s="81">
        <v>100</v>
      </c>
      <c r="K92" s="81">
        <v>300</v>
      </c>
      <c r="L92" s="79">
        <f t="shared" si="12"/>
        <v>1274</v>
      </c>
      <c r="M92" s="89">
        <v>400</v>
      </c>
      <c r="N92" s="79">
        <f>30</f>
        <v>30</v>
      </c>
      <c r="O92" s="81">
        <v>240</v>
      </c>
      <c r="P92" s="81">
        <v>160</v>
      </c>
      <c r="Q92" s="81">
        <f t="shared" si="13"/>
        <v>195</v>
      </c>
      <c r="R92" s="81">
        <f t="shared" si="14"/>
        <v>100</v>
      </c>
      <c r="S92" s="79">
        <f t="shared" si="15"/>
        <v>695</v>
      </c>
      <c r="T92" s="79">
        <f>0</f>
        <v>0</v>
      </c>
      <c r="U92" s="77"/>
      <c r="V92" s="77"/>
      <c r="W92" s="77"/>
      <c r="X92" s="77"/>
      <c r="Y92" s="77"/>
      <c r="Z92" s="77"/>
      <c r="AA92" s="77"/>
      <c r="AB92" s="77"/>
      <c r="AC92" s="77"/>
      <c r="AD92" s="77"/>
    </row>
    <row r="93" spans="1:30" ht="15.75" x14ac:dyDescent="0.25">
      <c r="A93" s="16">
        <v>43739</v>
      </c>
      <c r="B93" s="92">
        <v>31</v>
      </c>
      <c r="C93" s="79">
        <f>131.881</f>
        <v>131.881</v>
      </c>
      <c r="D93" s="79">
        <f>277.167</f>
        <v>277.16699999999997</v>
      </c>
      <c r="E93" s="87">
        <f>79.08</f>
        <v>79.08</v>
      </c>
      <c r="F93" s="79">
        <f>350.872-40-25-60</f>
        <v>225.87200000000001</v>
      </c>
      <c r="G93" s="81">
        <v>40</v>
      </c>
      <c r="H93" s="79">
        <f t="shared" si="16"/>
        <v>85</v>
      </c>
      <c r="I93" s="79">
        <f t="shared" si="9"/>
        <v>0</v>
      </c>
      <c r="J93" s="81">
        <v>100</v>
      </c>
      <c r="K93" s="81">
        <v>300</v>
      </c>
      <c r="L93" s="79">
        <f t="shared" si="12"/>
        <v>1239</v>
      </c>
      <c r="M93" s="89">
        <v>400</v>
      </c>
      <c r="N93" s="79">
        <f>75</f>
        <v>75</v>
      </c>
      <c r="O93" s="81">
        <v>240</v>
      </c>
      <c r="P93" s="81">
        <v>160</v>
      </c>
      <c r="Q93" s="81">
        <f t="shared" si="13"/>
        <v>195</v>
      </c>
      <c r="R93" s="81">
        <f t="shared" si="14"/>
        <v>100</v>
      </c>
      <c r="S93" s="79">
        <f t="shared" si="15"/>
        <v>695</v>
      </c>
      <c r="T93" s="79">
        <f>0</f>
        <v>0</v>
      </c>
      <c r="U93" s="77"/>
      <c r="V93" s="77"/>
      <c r="W93" s="77"/>
      <c r="X93" s="77"/>
      <c r="Y93" s="77"/>
      <c r="Z93" s="77"/>
      <c r="AA93" s="77"/>
      <c r="AB93" s="77"/>
      <c r="AC93" s="77"/>
      <c r="AD93" s="77"/>
    </row>
    <row r="94" spans="1:30" ht="15.75" x14ac:dyDescent="0.25">
      <c r="A94" s="16">
        <v>43770</v>
      </c>
      <c r="B94" s="92">
        <v>30</v>
      </c>
      <c r="C94" s="79">
        <f>122.58</f>
        <v>122.58</v>
      </c>
      <c r="D94" s="79">
        <f>297.941</f>
        <v>297.94099999999997</v>
      </c>
      <c r="E94" s="87">
        <f>89.177</f>
        <v>89.177000000000007</v>
      </c>
      <c r="F94" s="79">
        <f>240.302-40-60</f>
        <v>140.30199999999999</v>
      </c>
      <c r="G94" s="81">
        <v>40</v>
      </c>
      <c r="H94" s="79">
        <v>60</v>
      </c>
      <c r="I94" s="79">
        <f t="shared" si="9"/>
        <v>0</v>
      </c>
      <c r="J94" s="81">
        <v>100</v>
      </c>
      <c r="K94" s="81">
        <v>300</v>
      </c>
      <c r="L94" s="79">
        <f t="shared" si="12"/>
        <v>1150</v>
      </c>
      <c r="M94" s="89">
        <v>400</v>
      </c>
      <c r="N94" s="79">
        <f>100</f>
        <v>100</v>
      </c>
      <c r="O94" s="81">
        <v>240</v>
      </c>
      <c r="P94" s="81">
        <v>40</v>
      </c>
      <c r="Q94" s="81">
        <f t="shared" si="13"/>
        <v>315</v>
      </c>
      <c r="R94" s="81">
        <f t="shared" si="14"/>
        <v>100</v>
      </c>
      <c r="S94" s="79">
        <f t="shared" si="15"/>
        <v>695</v>
      </c>
      <c r="T94" s="79">
        <f>50</f>
        <v>50</v>
      </c>
      <c r="U94" s="77"/>
      <c r="V94" s="77"/>
      <c r="W94" s="77"/>
      <c r="X94" s="77"/>
      <c r="Y94" s="77"/>
      <c r="Z94" s="77"/>
      <c r="AA94" s="77"/>
      <c r="AB94" s="77"/>
      <c r="AC94" s="77"/>
      <c r="AD94" s="77"/>
    </row>
    <row r="95" spans="1:30" ht="15.75" x14ac:dyDescent="0.25">
      <c r="A95" s="16">
        <v>43800</v>
      </c>
      <c r="B95" s="92">
        <v>31</v>
      </c>
      <c r="C95" s="79">
        <f>122.58</f>
        <v>122.58</v>
      </c>
      <c r="D95" s="79">
        <f>297.941</f>
        <v>297.94099999999997</v>
      </c>
      <c r="E95" s="87">
        <f>89.177</f>
        <v>89.177000000000007</v>
      </c>
      <c r="F95" s="79">
        <f>240.302-40-60</f>
        <v>140.30199999999999</v>
      </c>
      <c r="G95" s="81">
        <v>40</v>
      </c>
      <c r="H95" s="79">
        <v>60</v>
      </c>
      <c r="I95" s="79">
        <f t="shared" si="9"/>
        <v>0</v>
      </c>
      <c r="J95" s="81">
        <v>100</v>
      </c>
      <c r="K95" s="81">
        <v>300</v>
      </c>
      <c r="L95" s="79">
        <f t="shared" si="12"/>
        <v>1150</v>
      </c>
      <c r="M95" s="89">
        <v>400</v>
      </c>
      <c r="N95" s="79">
        <f>100</f>
        <v>100</v>
      </c>
      <c r="O95" s="81">
        <v>240</v>
      </c>
      <c r="P95" s="81">
        <v>40</v>
      </c>
      <c r="Q95" s="81">
        <f t="shared" si="13"/>
        <v>315</v>
      </c>
      <c r="R95" s="81">
        <f t="shared" si="14"/>
        <v>100</v>
      </c>
      <c r="S95" s="79">
        <f t="shared" si="15"/>
        <v>695</v>
      </c>
      <c r="T95" s="79">
        <f>50</f>
        <v>50</v>
      </c>
      <c r="U95" s="77"/>
      <c r="V95" s="77"/>
      <c r="W95" s="77"/>
      <c r="X95" s="77"/>
      <c r="Y95" s="77"/>
      <c r="Z95" s="77"/>
      <c r="AA95" s="77"/>
      <c r="AB95" s="77"/>
      <c r="AC95" s="77"/>
      <c r="AD95" s="77"/>
    </row>
    <row r="96" spans="1:30" ht="15.75" x14ac:dyDescent="0.25">
      <c r="A96" s="16">
        <v>43831</v>
      </c>
      <c r="B96" s="92">
        <v>31</v>
      </c>
      <c r="C96" s="79">
        <f>122.58</f>
        <v>122.58</v>
      </c>
      <c r="D96" s="79">
        <f>297.941</f>
        <v>297.94099999999997</v>
      </c>
      <c r="E96" s="87">
        <f>89.177</f>
        <v>89.177000000000007</v>
      </c>
      <c r="F96" s="79">
        <f>240.302-40-60</f>
        <v>140.30199999999999</v>
      </c>
      <c r="G96" s="81">
        <v>40</v>
      </c>
      <c r="H96" s="79">
        <v>60</v>
      </c>
      <c r="I96" s="79">
        <f t="shared" si="9"/>
        <v>0</v>
      </c>
      <c r="J96" s="81">
        <v>100</v>
      </c>
      <c r="K96" s="81">
        <v>300</v>
      </c>
      <c r="L96" s="79">
        <f t="shared" si="12"/>
        <v>1150</v>
      </c>
      <c r="M96" s="89">
        <v>400</v>
      </c>
      <c r="N96" s="79">
        <f>100</f>
        <v>100</v>
      </c>
      <c r="O96" s="81">
        <v>240</v>
      </c>
      <c r="P96" s="81">
        <v>40</v>
      </c>
      <c r="Q96" s="81">
        <f t="shared" si="13"/>
        <v>315</v>
      </c>
      <c r="R96" s="81">
        <f t="shared" si="14"/>
        <v>100</v>
      </c>
      <c r="S96" s="79">
        <f t="shared" si="15"/>
        <v>695</v>
      </c>
      <c r="T96" s="79">
        <f>50</f>
        <v>50</v>
      </c>
      <c r="U96" s="77"/>
      <c r="V96" s="77"/>
      <c r="W96" s="77"/>
      <c r="X96" s="77"/>
      <c r="Y96" s="77"/>
      <c r="Z96" s="77"/>
      <c r="AA96" s="77"/>
      <c r="AB96" s="77"/>
      <c r="AC96" s="77"/>
      <c r="AD96" s="77"/>
    </row>
    <row r="97" spans="1:30" ht="15.75" x14ac:dyDescent="0.25">
      <c r="A97" s="16">
        <v>43862</v>
      </c>
      <c r="B97" s="92">
        <v>29</v>
      </c>
      <c r="C97" s="79">
        <f>122.58</f>
        <v>122.58</v>
      </c>
      <c r="D97" s="79">
        <f>297.941</f>
        <v>297.94099999999997</v>
      </c>
      <c r="E97" s="87">
        <f>89.177</f>
        <v>89.177000000000007</v>
      </c>
      <c r="F97" s="79">
        <f>240.302-40-60</f>
        <v>140.30199999999999</v>
      </c>
      <c r="G97" s="81">
        <v>40</v>
      </c>
      <c r="H97" s="79">
        <v>60</v>
      </c>
      <c r="I97" s="79">
        <f t="shared" si="9"/>
        <v>0</v>
      </c>
      <c r="J97" s="81">
        <v>100</v>
      </c>
      <c r="K97" s="81">
        <v>300</v>
      </c>
      <c r="L97" s="79">
        <f t="shared" si="12"/>
        <v>1150</v>
      </c>
      <c r="M97" s="89">
        <v>400</v>
      </c>
      <c r="N97" s="79">
        <f>100</f>
        <v>100</v>
      </c>
      <c r="O97" s="81">
        <v>240</v>
      </c>
      <c r="P97" s="81">
        <v>40</v>
      </c>
      <c r="Q97" s="81">
        <f t="shared" si="13"/>
        <v>315</v>
      </c>
      <c r="R97" s="81">
        <f t="shared" si="14"/>
        <v>100</v>
      </c>
      <c r="S97" s="79">
        <f t="shared" si="15"/>
        <v>695</v>
      </c>
      <c r="T97" s="79">
        <f>50</f>
        <v>50</v>
      </c>
      <c r="U97" s="77"/>
      <c r="V97" s="77"/>
      <c r="W97" s="77"/>
      <c r="X97" s="77"/>
      <c r="Y97" s="77"/>
      <c r="Z97" s="77"/>
      <c r="AA97" s="77"/>
      <c r="AB97" s="77"/>
      <c r="AC97" s="77"/>
      <c r="AD97" s="77"/>
    </row>
    <row r="98" spans="1:30" ht="15.75" x14ac:dyDescent="0.25">
      <c r="A98" s="16">
        <v>43891</v>
      </c>
      <c r="B98" s="92">
        <v>31</v>
      </c>
      <c r="C98" s="79">
        <f>122.58</f>
        <v>122.58</v>
      </c>
      <c r="D98" s="79">
        <f>297.941</f>
        <v>297.94099999999997</v>
      </c>
      <c r="E98" s="87">
        <f>89.177</f>
        <v>89.177000000000007</v>
      </c>
      <c r="F98" s="79">
        <f>240.302-40-60</f>
        <v>140.30199999999999</v>
      </c>
      <c r="G98" s="81">
        <v>40</v>
      </c>
      <c r="H98" s="79">
        <v>60</v>
      </c>
      <c r="I98" s="79">
        <f t="shared" si="9"/>
        <v>0</v>
      </c>
      <c r="J98" s="81">
        <v>100</v>
      </c>
      <c r="K98" s="81">
        <v>300</v>
      </c>
      <c r="L98" s="79">
        <f t="shared" si="12"/>
        <v>1150</v>
      </c>
      <c r="M98" s="89">
        <v>400</v>
      </c>
      <c r="N98" s="79">
        <f>100</f>
        <v>100</v>
      </c>
      <c r="O98" s="81">
        <v>240</v>
      </c>
      <c r="P98" s="81">
        <v>40</v>
      </c>
      <c r="Q98" s="81">
        <f t="shared" si="13"/>
        <v>315</v>
      </c>
      <c r="R98" s="81">
        <f t="shared" si="14"/>
        <v>100</v>
      </c>
      <c r="S98" s="79">
        <f t="shared" si="15"/>
        <v>695</v>
      </c>
      <c r="T98" s="79">
        <f>50</f>
        <v>50</v>
      </c>
      <c r="U98" s="77"/>
      <c r="V98" s="77"/>
      <c r="W98" s="77"/>
      <c r="X98" s="77"/>
      <c r="Y98" s="77"/>
      <c r="Z98" s="77"/>
      <c r="AA98" s="77"/>
      <c r="AB98" s="77"/>
      <c r="AC98" s="77"/>
      <c r="AD98" s="77"/>
    </row>
    <row r="99" spans="1:30" ht="15.75" x14ac:dyDescent="0.25">
      <c r="A99" s="16">
        <v>43922</v>
      </c>
      <c r="B99" s="92">
        <v>30</v>
      </c>
      <c r="C99" s="79">
        <f>141.293</f>
        <v>141.29300000000001</v>
      </c>
      <c r="D99" s="79">
        <f>267.993</f>
        <v>267.99299999999999</v>
      </c>
      <c r="E99" s="87">
        <f>115.016</f>
        <v>115.01600000000001</v>
      </c>
      <c r="F99" s="79">
        <f>314.698-40-25-60</f>
        <v>189.69799999999998</v>
      </c>
      <c r="G99" s="81">
        <v>40</v>
      </c>
      <c r="H99" s="79">
        <f t="shared" ref="H99:H105" si="17">25+60</f>
        <v>85</v>
      </c>
      <c r="I99" s="79">
        <f t="shared" si="9"/>
        <v>0</v>
      </c>
      <c r="J99" s="81">
        <v>100</v>
      </c>
      <c r="K99" s="81">
        <v>300</v>
      </c>
      <c r="L99" s="79">
        <f t="shared" si="12"/>
        <v>1239</v>
      </c>
      <c r="M99" s="89">
        <v>400</v>
      </c>
      <c r="N99" s="79">
        <f>100</f>
        <v>100</v>
      </c>
      <c r="O99" s="81">
        <v>240</v>
      </c>
      <c r="P99" s="81">
        <v>160</v>
      </c>
      <c r="Q99" s="81">
        <f t="shared" si="13"/>
        <v>195</v>
      </c>
      <c r="R99" s="81">
        <f t="shared" si="14"/>
        <v>100</v>
      </c>
      <c r="S99" s="79">
        <f t="shared" si="15"/>
        <v>695</v>
      </c>
      <c r="T99" s="79">
        <f>50</f>
        <v>50</v>
      </c>
      <c r="U99" s="77"/>
      <c r="V99" s="77"/>
      <c r="W99" s="77"/>
      <c r="X99" s="77"/>
      <c r="Y99" s="77"/>
      <c r="Z99" s="77"/>
      <c r="AA99" s="77"/>
      <c r="AB99" s="77"/>
      <c r="AC99" s="77"/>
      <c r="AD99" s="77"/>
    </row>
    <row r="100" spans="1:30" ht="15.75" x14ac:dyDescent="0.25">
      <c r="A100" s="16">
        <v>43952</v>
      </c>
      <c r="B100" s="92">
        <v>31</v>
      </c>
      <c r="C100" s="79">
        <f>194.205</f>
        <v>194.20500000000001</v>
      </c>
      <c r="D100" s="79">
        <f>267.466</f>
        <v>267.46600000000001</v>
      </c>
      <c r="E100" s="87">
        <f>133.845</f>
        <v>133.845</v>
      </c>
      <c r="F100" s="79">
        <f>278.484-40-25-60</f>
        <v>153.48399999999998</v>
      </c>
      <c r="G100" s="81">
        <v>40</v>
      </c>
      <c r="H100" s="79">
        <f t="shared" si="17"/>
        <v>85</v>
      </c>
      <c r="I100" s="79">
        <f t="shared" si="9"/>
        <v>0</v>
      </c>
      <c r="J100" s="81">
        <v>100</v>
      </c>
      <c r="K100" s="81">
        <v>300</v>
      </c>
      <c r="L100" s="79">
        <f t="shared" si="12"/>
        <v>1274</v>
      </c>
      <c r="M100" s="89">
        <v>600</v>
      </c>
      <c r="N100" s="79">
        <f>75</f>
        <v>75</v>
      </c>
      <c r="O100" s="81">
        <v>240</v>
      </c>
      <c r="P100" s="81">
        <v>160</v>
      </c>
      <c r="Q100" s="81">
        <f t="shared" si="13"/>
        <v>195</v>
      </c>
      <c r="R100" s="81">
        <f t="shared" si="14"/>
        <v>100</v>
      </c>
      <c r="S100" s="79">
        <f t="shared" si="15"/>
        <v>695</v>
      </c>
      <c r="T100" s="79">
        <f>50</f>
        <v>50</v>
      </c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</row>
    <row r="101" spans="1:30" ht="15.75" x14ac:dyDescent="0.25">
      <c r="A101" s="16">
        <v>43983</v>
      </c>
      <c r="B101" s="92">
        <v>30</v>
      </c>
      <c r="C101" s="79">
        <f>194.205</f>
        <v>194.20500000000001</v>
      </c>
      <c r="D101" s="79">
        <f>267.466</f>
        <v>267.46600000000001</v>
      </c>
      <c r="E101" s="87">
        <f>133.845</f>
        <v>133.845</v>
      </c>
      <c r="F101" s="79">
        <f>278.484-40-25-60</f>
        <v>153.48399999999998</v>
      </c>
      <c r="G101" s="81">
        <v>40</v>
      </c>
      <c r="H101" s="79">
        <f t="shared" si="17"/>
        <v>85</v>
      </c>
      <c r="I101" s="79">
        <f t="shared" si="9"/>
        <v>0</v>
      </c>
      <c r="J101" s="81">
        <v>100</v>
      </c>
      <c r="K101" s="81">
        <v>300</v>
      </c>
      <c r="L101" s="79">
        <f t="shared" si="12"/>
        <v>1274</v>
      </c>
      <c r="M101" s="89">
        <v>600</v>
      </c>
      <c r="N101" s="79">
        <f>30</f>
        <v>30</v>
      </c>
      <c r="O101" s="81">
        <v>240</v>
      </c>
      <c r="P101" s="81">
        <v>160</v>
      </c>
      <c r="Q101" s="81">
        <f t="shared" si="13"/>
        <v>195</v>
      </c>
      <c r="R101" s="81">
        <f t="shared" si="14"/>
        <v>100</v>
      </c>
      <c r="S101" s="79">
        <f t="shared" si="15"/>
        <v>695</v>
      </c>
      <c r="T101" s="79">
        <f>50</f>
        <v>50</v>
      </c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</row>
    <row r="102" spans="1:30" ht="15.75" x14ac:dyDescent="0.25">
      <c r="A102" s="16">
        <v>44013</v>
      </c>
      <c r="B102" s="92">
        <v>31</v>
      </c>
      <c r="C102" s="79">
        <f>194.205</f>
        <v>194.20500000000001</v>
      </c>
      <c r="D102" s="79">
        <f>267.466</f>
        <v>267.46600000000001</v>
      </c>
      <c r="E102" s="87">
        <f>133.845</f>
        <v>133.845</v>
      </c>
      <c r="F102" s="79">
        <f>278.484-40-25-60</f>
        <v>153.48399999999998</v>
      </c>
      <c r="G102" s="81">
        <v>40</v>
      </c>
      <c r="H102" s="79">
        <f t="shared" si="17"/>
        <v>85</v>
      </c>
      <c r="I102" s="79">
        <f t="shared" si="9"/>
        <v>0</v>
      </c>
      <c r="J102" s="81">
        <v>100</v>
      </c>
      <c r="K102" s="81">
        <v>300</v>
      </c>
      <c r="L102" s="79">
        <f t="shared" si="12"/>
        <v>1274</v>
      </c>
      <c r="M102" s="89">
        <v>600</v>
      </c>
      <c r="N102" s="79">
        <f>30</f>
        <v>30</v>
      </c>
      <c r="O102" s="81">
        <v>240</v>
      </c>
      <c r="P102" s="81">
        <v>160</v>
      </c>
      <c r="Q102" s="81">
        <f t="shared" si="13"/>
        <v>195</v>
      </c>
      <c r="R102" s="81">
        <f t="shared" si="14"/>
        <v>100</v>
      </c>
      <c r="S102" s="79">
        <f t="shared" si="15"/>
        <v>695</v>
      </c>
      <c r="T102" s="79">
        <f>0</f>
        <v>0</v>
      </c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</row>
    <row r="103" spans="1:30" ht="15.75" x14ac:dyDescent="0.25">
      <c r="A103" s="16">
        <v>44044</v>
      </c>
      <c r="B103" s="92">
        <v>31</v>
      </c>
      <c r="C103" s="79">
        <f>194.205</f>
        <v>194.20500000000001</v>
      </c>
      <c r="D103" s="79">
        <f>267.466</f>
        <v>267.46600000000001</v>
      </c>
      <c r="E103" s="87">
        <f>133.845</f>
        <v>133.845</v>
      </c>
      <c r="F103" s="79">
        <f>278.484-40-25-60</f>
        <v>153.48399999999998</v>
      </c>
      <c r="G103" s="81">
        <v>40</v>
      </c>
      <c r="H103" s="79">
        <f t="shared" si="17"/>
        <v>85</v>
      </c>
      <c r="I103" s="79">
        <f t="shared" si="9"/>
        <v>0</v>
      </c>
      <c r="J103" s="81">
        <v>100</v>
      </c>
      <c r="K103" s="81">
        <v>300</v>
      </c>
      <c r="L103" s="79">
        <f t="shared" si="12"/>
        <v>1274</v>
      </c>
      <c r="M103" s="89">
        <v>600</v>
      </c>
      <c r="N103" s="79">
        <f>30</f>
        <v>30</v>
      </c>
      <c r="O103" s="81">
        <v>240</v>
      </c>
      <c r="P103" s="81">
        <v>160</v>
      </c>
      <c r="Q103" s="81">
        <f t="shared" si="13"/>
        <v>195</v>
      </c>
      <c r="R103" s="81">
        <f t="shared" si="14"/>
        <v>100</v>
      </c>
      <c r="S103" s="79">
        <f t="shared" si="15"/>
        <v>695</v>
      </c>
      <c r="T103" s="79">
        <f>0</f>
        <v>0</v>
      </c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</row>
    <row r="104" spans="1:30" ht="15.75" x14ac:dyDescent="0.25">
      <c r="A104" s="16">
        <v>44075</v>
      </c>
      <c r="B104" s="92">
        <v>30</v>
      </c>
      <c r="C104" s="79">
        <f>194.205</f>
        <v>194.20500000000001</v>
      </c>
      <c r="D104" s="79">
        <f>267.466</f>
        <v>267.46600000000001</v>
      </c>
      <c r="E104" s="87">
        <f>133.845</f>
        <v>133.845</v>
      </c>
      <c r="F104" s="79">
        <f>278.484-40-25-60</f>
        <v>153.48399999999998</v>
      </c>
      <c r="G104" s="81">
        <v>40</v>
      </c>
      <c r="H104" s="79">
        <f t="shared" si="17"/>
        <v>85</v>
      </c>
      <c r="I104" s="79">
        <f t="shared" si="9"/>
        <v>0</v>
      </c>
      <c r="J104" s="81">
        <v>100</v>
      </c>
      <c r="K104" s="81">
        <v>300</v>
      </c>
      <c r="L104" s="79">
        <f t="shared" si="12"/>
        <v>1274</v>
      </c>
      <c r="M104" s="89">
        <v>600</v>
      </c>
      <c r="N104" s="79">
        <f>30</f>
        <v>30</v>
      </c>
      <c r="O104" s="81">
        <v>240</v>
      </c>
      <c r="P104" s="81">
        <v>160</v>
      </c>
      <c r="Q104" s="81">
        <f t="shared" si="13"/>
        <v>195</v>
      </c>
      <c r="R104" s="81">
        <f t="shared" si="14"/>
        <v>100</v>
      </c>
      <c r="S104" s="79">
        <f t="shared" si="15"/>
        <v>695</v>
      </c>
      <c r="T104" s="79">
        <f>0</f>
        <v>0</v>
      </c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</row>
    <row r="105" spans="1:30" ht="15.75" x14ac:dyDescent="0.25">
      <c r="A105" s="16">
        <v>44105</v>
      </c>
      <c r="B105" s="92">
        <v>31</v>
      </c>
      <c r="C105" s="79">
        <f>131.881</f>
        <v>131.881</v>
      </c>
      <c r="D105" s="79">
        <f>277.167</f>
        <v>277.16699999999997</v>
      </c>
      <c r="E105" s="87">
        <f>79.08</f>
        <v>79.08</v>
      </c>
      <c r="F105" s="79">
        <f>350.872-40-25-60</f>
        <v>225.87200000000001</v>
      </c>
      <c r="G105" s="81">
        <v>40</v>
      </c>
      <c r="H105" s="79">
        <f t="shared" si="17"/>
        <v>85</v>
      </c>
      <c r="I105" s="79">
        <f t="shared" si="9"/>
        <v>0</v>
      </c>
      <c r="J105" s="81">
        <v>100</v>
      </c>
      <c r="K105" s="81">
        <v>300</v>
      </c>
      <c r="L105" s="79">
        <f t="shared" si="12"/>
        <v>1239</v>
      </c>
      <c r="M105" s="89">
        <v>600</v>
      </c>
      <c r="N105" s="79">
        <f>75</f>
        <v>75</v>
      </c>
      <c r="O105" s="81">
        <v>240</v>
      </c>
      <c r="P105" s="81">
        <v>160</v>
      </c>
      <c r="Q105" s="81">
        <f t="shared" si="13"/>
        <v>195</v>
      </c>
      <c r="R105" s="81">
        <f t="shared" si="14"/>
        <v>100</v>
      </c>
      <c r="S105" s="79">
        <f t="shared" si="15"/>
        <v>695</v>
      </c>
      <c r="T105" s="79">
        <f>0</f>
        <v>0</v>
      </c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</row>
    <row r="106" spans="1:30" ht="15.75" x14ac:dyDescent="0.25">
      <c r="A106" s="16">
        <v>44136</v>
      </c>
      <c r="B106" s="92">
        <v>30</v>
      </c>
      <c r="C106" s="79">
        <f>122.58</f>
        <v>122.58</v>
      </c>
      <c r="D106" s="79">
        <f>297.941</f>
        <v>297.94099999999997</v>
      </c>
      <c r="E106" s="87">
        <f>89.177</f>
        <v>89.177000000000007</v>
      </c>
      <c r="F106" s="79">
        <f>240.302-40-60</f>
        <v>140.30199999999999</v>
      </c>
      <c r="G106" s="81">
        <v>40</v>
      </c>
      <c r="H106" s="79">
        <v>60</v>
      </c>
      <c r="I106" s="79">
        <f t="shared" si="9"/>
        <v>0</v>
      </c>
      <c r="J106" s="81">
        <v>100</v>
      </c>
      <c r="K106" s="81">
        <v>300</v>
      </c>
      <c r="L106" s="79">
        <f t="shared" si="12"/>
        <v>1150</v>
      </c>
      <c r="M106" s="89">
        <v>600</v>
      </c>
      <c r="N106" s="79">
        <f>100</f>
        <v>100</v>
      </c>
      <c r="O106" s="81">
        <v>240</v>
      </c>
      <c r="P106" s="81">
        <v>40</v>
      </c>
      <c r="Q106" s="81">
        <f t="shared" si="13"/>
        <v>315</v>
      </c>
      <c r="R106" s="81">
        <f t="shared" si="14"/>
        <v>100</v>
      </c>
      <c r="S106" s="79">
        <f t="shared" si="15"/>
        <v>695</v>
      </c>
      <c r="T106" s="79">
        <f>50</f>
        <v>50</v>
      </c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</row>
    <row r="107" spans="1:30" ht="15.75" x14ac:dyDescent="0.25">
      <c r="A107" s="16">
        <v>44166</v>
      </c>
      <c r="B107" s="92">
        <v>31</v>
      </c>
      <c r="C107" s="79">
        <f>122.58</f>
        <v>122.58</v>
      </c>
      <c r="D107" s="79">
        <f>297.941</f>
        <v>297.94099999999997</v>
      </c>
      <c r="E107" s="87">
        <f>89.177</f>
        <v>89.177000000000007</v>
      </c>
      <c r="F107" s="79">
        <f>240.302-40-60</f>
        <v>140.30199999999999</v>
      </c>
      <c r="G107" s="81">
        <v>40</v>
      </c>
      <c r="H107" s="79">
        <v>60</v>
      </c>
      <c r="I107" s="79">
        <f t="shared" si="9"/>
        <v>0</v>
      </c>
      <c r="J107" s="81">
        <v>100</v>
      </c>
      <c r="K107" s="81">
        <v>300</v>
      </c>
      <c r="L107" s="79">
        <f t="shared" si="12"/>
        <v>1150</v>
      </c>
      <c r="M107" s="89">
        <v>600</v>
      </c>
      <c r="N107" s="79">
        <f>100</f>
        <v>100</v>
      </c>
      <c r="O107" s="81">
        <v>240</v>
      </c>
      <c r="P107" s="81">
        <v>40</v>
      </c>
      <c r="Q107" s="81">
        <f t="shared" si="13"/>
        <v>315</v>
      </c>
      <c r="R107" s="81">
        <f t="shared" si="14"/>
        <v>100</v>
      </c>
      <c r="S107" s="79">
        <f t="shared" si="15"/>
        <v>695</v>
      </c>
      <c r="T107" s="79">
        <f>50</f>
        <v>50</v>
      </c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</row>
    <row r="108" spans="1:30" ht="15.75" x14ac:dyDescent="0.25">
      <c r="A108" s="16">
        <v>44197</v>
      </c>
      <c r="B108" s="92">
        <v>31</v>
      </c>
      <c r="C108" s="79">
        <f>122.58</f>
        <v>122.58</v>
      </c>
      <c r="D108" s="79">
        <f>297.941</f>
        <v>297.94099999999997</v>
      </c>
      <c r="E108" s="87">
        <f>89.177</f>
        <v>89.177000000000007</v>
      </c>
      <c r="F108" s="79">
        <f>240.302-40-60</f>
        <v>140.30199999999999</v>
      </c>
      <c r="G108" s="81">
        <v>40</v>
      </c>
      <c r="H108" s="79">
        <v>60</v>
      </c>
      <c r="I108" s="79">
        <f t="shared" si="9"/>
        <v>0</v>
      </c>
      <c r="J108" s="81">
        <v>100</v>
      </c>
      <c r="K108" s="81">
        <v>300</v>
      </c>
      <c r="L108" s="79">
        <f t="shared" si="12"/>
        <v>1150</v>
      </c>
      <c r="M108" s="89">
        <v>600</v>
      </c>
      <c r="N108" s="79">
        <f>100</f>
        <v>100</v>
      </c>
      <c r="O108" s="81">
        <v>240</v>
      </c>
      <c r="P108" s="81">
        <v>40</v>
      </c>
      <c r="Q108" s="81">
        <f t="shared" si="13"/>
        <v>315</v>
      </c>
      <c r="R108" s="81">
        <f t="shared" si="14"/>
        <v>100</v>
      </c>
      <c r="S108" s="79">
        <f t="shared" si="15"/>
        <v>695</v>
      </c>
      <c r="T108" s="79">
        <f>50</f>
        <v>50</v>
      </c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</row>
    <row r="109" spans="1:30" ht="15.75" x14ac:dyDescent="0.25">
      <c r="A109" s="16">
        <v>44228</v>
      </c>
      <c r="B109" s="92">
        <v>28</v>
      </c>
      <c r="C109" s="79">
        <f>122.58</f>
        <v>122.58</v>
      </c>
      <c r="D109" s="79">
        <f>297.941</f>
        <v>297.94099999999997</v>
      </c>
      <c r="E109" s="87">
        <f>89.177</f>
        <v>89.177000000000007</v>
      </c>
      <c r="F109" s="79">
        <f>240.302-40-60</f>
        <v>140.30199999999999</v>
      </c>
      <c r="G109" s="81">
        <v>40</v>
      </c>
      <c r="H109" s="79">
        <v>60</v>
      </c>
      <c r="I109" s="79">
        <f t="shared" si="9"/>
        <v>0</v>
      </c>
      <c r="J109" s="81">
        <v>100</v>
      </c>
      <c r="K109" s="81">
        <v>300</v>
      </c>
      <c r="L109" s="79">
        <f t="shared" si="12"/>
        <v>1150</v>
      </c>
      <c r="M109" s="89">
        <v>600</v>
      </c>
      <c r="N109" s="79">
        <f>100</f>
        <v>100</v>
      </c>
      <c r="O109" s="81">
        <v>240</v>
      </c>
      <c r="P109" s="81">
        <v>40</v>
      </c>
      <c r="Q109" s="81">
        <f t="shared" si="13"/>
        <v>315</v>
      </c>
      <c r="R109" s="81">
        <f t="shared" si="14"/>
        <v>100</v>
      </c>
      <c r="S109" s="79">
        <f t="shared" si="15"/>
        <v>695</v>
      </c>
      <c r="T109" s="79">
        <f>50</f>
        <v>50</v>
      </c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</row>
    <row r="110" spans="1:30" ht="15.75" x14ac:dyDescent="0.25">
      <c r="A110" s="16">
        <v>44256</v>
      </c>
      <c r="B110" s="92">
        <v>31</v>
      </c>
      <c r="C110" s="79">
        <f>122.58</f>
        <v>122.58</v>
      </c>
      <c r="D110" s="79">
        <f>297.941</f>
        <v>297.94099999999997</v>
      </c>
      <c r="E110" s="87">
        <f>89.177</f>
        <v>89.177000000000007</v>
      </c>
      <c r="F110" s="79">
        <f>240.302-40-60</f>
        <v>140.30199999999999</v>
      </c>
      <c r="G110" s="81">
        <v>40</v>
      </c>
      <c r="H110" s="79">
        <v>60</v>
      </c>
      <c r="I110" s="79">
        <f t="shared" si="9"/>
        <v>0</v>
      </c>
      <c r="J110" s="81">
        <v>100</v>
      </c>
      <c r="K110" s="81">
        <v>300</v>
      </c>
      <c r="L110" s="79">
        <f t="shared" si="12"/>
        <v>1150</v>
      </c>
      <c r="M110" s="89">
        <v>600</v>
      </c>
      <c r="N110" s="79">
        <f>100</f>
        <v>100</v>
      </c>
      <c r="O110" s="81">
        <v>240</v>
      </c>
      <c r="P110" s="81">
        <v>40</v>
      </c>
      <c r="Q110" s="81">
        <f t="shared" si="13"/>
        <v>315</v>
      </c>
      <c r="R110" s="81">
        <f t="shared" si="14"/>
        <v>100</v>
      </c>
      <c r="S110" s="79">
        <f t="shared" si="15"/>
        <v>695</v>
      </c>
      <c r="T110" s="79">
        <f>50</f>
        <v>50</v>
      </c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</row>
    <row r="111" spans="1:30" ht="15.75" x14ac:dyDescent="0.25">
      <c r="A111" s="16">
        <v>44287</v>
      </c>
      <c r="B111" s="92">
        <v>30</v>
      </c>
      <c r="C111" s="79">
        <f>141.293</f>
        <v>141.29300000000001</v>
      </c>
      <c r="D111" s="79">
        <f>267.993</f>
        <v>267.99299999999999</v>
      </c>
      <c r="E111" s="87">
        <f>115.016</f>
        <v>115.01600000000001</v>
      </c>
      <c r="F111" s="79">
        <f>314.698-40-25-60</f>
        <v>189.69799999999998</v>
      </c>
      <c r="G111" s="81">
        <v>40</v>
      </c>
      <c r="H111" s="79">
        <f t="shared" ref="H111:H117" si="18">25+60</f>
        <v>85</v>
      </c>
      <c r="I111" s="79">
        <f t="shared" si="9"/>
        <v>0</v>
      </c>
      <c r="J111" s="81">
        <v>100</v>
      </c>
      <c r="K111" s="81">
        <v>300</v>
      </c>
      <c r="L111" s="79">
        <f t="shared" si="12"/>
        <v>1239</v>
      </c>
      <c r="M111" s="89">
        <v>600</v>
      </c>
      <c r="N111" s="79">
        <f>100</f>
        <v>100</v>
      </c>
      <c r="O111" s="81">
        <v>240</v>
      </c>
      <c r="P111" s="81">
        <v>160</v>
      </c>
      <c r="Q111" s="81">
        <f t="shared" si="13"/>
        <v>195</v>
      </c>
      <c r="R111" s="81">
        <f t="shared" si="14"/>
        <v>100</v>
      </c>
      <c r="S111" s="79">
        <f t="shared" si="15"/>
        <v>695</v>
      </c>
      <c r="T111" s="79">
        <f>50</f>
        <v>50</v>
      </c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</row>
    <row r="112" spans="1:30" ht="15.75" x14ac:dyDescent="0.25">
      <c r="A112" s="16">
        <v>44317</v>
      </c>
      <c r="B112" s="92">
        <v>31</v>
      </c>
      <c r="C112" s="79">
        <f>194.205</f>
        <v>194.20500000000001</v>
      </c>
      <c r="D112" s="79">
        <f>267.466</f>
        <v>267.46600000000001</v>
      </c>
      <c r="E112" s="87">
        <f>133.845</f>
        <v>133.845</v>
      </c>
      <c r="F112" s="79">
        <f>278.484-40-25-60</f>
        <v>153.48399999999998</v>
      </c>
      <c r="G112" s="81">
        <v>40</v>
      </c>
      <c r="H112" s="79">
        <f t="shared" si="18"/>
        <v>85</v>
      </c>
      <c r="I112" s="79">
        <f t="shared" si="9"/>
        <v>0</v>
      </c>
      <c r="J112" s="81">
        <v>100</v>
      </c>
      <c r="K112" s="81">
        <v>300</v>
      </c>
      <c r="L112" s="79">
        <f t="shared" si="12"/>
        <v>1274</v>
      </c>
      <c r="M112" s="89">
        <v>600</v>
      </c>
      <c r="N112" s="79">
        <f>75</f>
        <v>75</v>
      </c>
      <c r="O112" s="81">
        <v>240</v>
      </c>
      <c r="P112" s="81">
        <v>160</v>
      </c>
      <c r="Q112" s="81">
        <f t="shared" si="13"/>
        <v>195</v>
      </c>
      <c r="R112" s="81">
        <f t="shared" si="14"/>
        <v>100</v>
      </c>
      <c r="S112" s="79">
        <f t="shared" si="15"/>
        <v>695</v>
      </c>
      <c r="T112" s="79">
        <f>50</f>
        <v>50</v>
      </c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</row>
    <row r="113" spans="1:30" ht="15.75" x14ac:dyDescent="0.25">
      <c r="A113" s="16">
        <v>44348</v>
      </c>
      <c r="B113" s="92">
        <v>30</v>
      </c>
      <c r="C113" s="79">
        <f>194.205</f>
        <v>194.20500000000001</v>
      </c>
      <c r="D113" s="79">
        <f>267.466</f>
        <v>267.46600000000001</v>
      </c>
      <c r="E113" s="87">
        <f>133.845</f>
        <v>133.845</v>
      </c>
      <c r="F113" s="79">
        <f>278.484-40-25-60</f>
        <v>153.48399999999998</v>
      </c>
      <c r="G113" s="81">
        <v>40</v>
      </c>
      <c r="H113" s="79">
        <f t="shared" si="18"/>
        <v>85</v>
      </c>
      <c r="I113" s="79">
        <f t="shared" si="9"/>
        <v>0</v>
      </c>
      <c r="J113" s="81">
        <v>100</v>
      </c>
      <c r="K113" s="81">
        <v>300</v>
      </c>
      <c r="L113" s="79">
        <f t="shared" si="12"/>
        <v>1274</v>
      </c>
      <c r="M113" s="89">
        <v>600</v>
      </c>
      <c r="N113" s="79">
        <f>30</f>
        <v>30</v>
      </c>
      <c r="O113" s="81">
        <v>240</v>
      </c>
      <c r="P113" s="81">
        <v>160</v>
      </c>
      <c r="Q113" s="81">
        <f t="shared" si="13"/>
        <v>195</v>
      </c>
      <c r="R113" s="81">
        <f t="shared" si="14"/>
        <v>100</v>
      </c>
      <c r="S113" s="79">
        <f t="shared" si="15"/>
        <v>695</v>
      </c>
      <c r="T113" s="79">
        <f>50</f>
        <v>50</v>
      </c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</row>
    <row r="114" spans="1:30" ht="15.75" x14ac:dyDescent="0.25">
      <c r="A114" s="16">
        <v>44378</v>
      </c>
      <c r="B114" s="92">
        <v>31</v>
      </c>
      <c r="C114" s="79">
        <f>194.205</f>
        <v>194.20500000000001</v>
      </c>
      <c r="D114" s="79">
        <f>267.466</f>
        <v>267.46600000000001</v>
      </c>
      <c r="E114" s="87">
        <f>133.845</f>
        <v>133.845</v>
      </c>
      <c r="F114" s="79">
        <f>278.484-40-25-60</f>
        <v>153.48399999999998</v>
      </c>
      <c r="G114" s="81">
        <v>40</v>
      </c>
      <c r="H114" s="79">
        <f t="shared" si="18"/>
        <v>85</v>
      </c>
      <c r="I114" s="79">
        <f t="shared" si="9"/>
        <v>0</v>
      </c>
      <c r="J114" s="81">
        <v>100</v>
      </c>
      <c r="K114" s="81">
        <v>300</v>
      </c>
      <c r="L114" s="79">
        <f t="shared" si="12"/>
        <v>1274</v>
      </c>
      <c r="M114" s="89">
        <v>600</v>
      </c>
      <c r="N114" s="79">
        <f>30</f>
        <v>30</v>
      </c>
      <c r="O114" s="81">
        <v>240</v>
      </c>
      <c r="P114" s="81">
        <v>160</v>
      </c>
      <c r="Q114" s="81">
        <f t="shared" si="13"/>
        <v>195</v>
      </c>
      <c r="R114" s="81">
        <f t="shared" si="14"/>
        <v>100</v>
      </c>
      <c r="S114" s="79">
        <f t="shared" si="15"/>
        <v>695</v>
      </c>
      <c r="T114" s="79">
        <f>0</f>
        <v>0</v>
      </c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</row>
    <row r="115" spans="1:30" ht="15.75" x14ac:dyDescent="0.25">
      <c r="A115" s="16">
        <v>44409</v>
      </c>
      <c r="B115" s="92">
        <v>31</v>
      </c>
      <c r="C115" s="79">
        <f>194.205</f>
        <v>194.20500000000001</v>
      </c>
      <c r="D115" s="79">
        <f>267.466</f>
        <v>267.46600000000001</v>
      </c>
      <c r="E115" s="87">
        <f>133.845</f>
        <v>133.845</v>
      </c>
      <c r="F115" s="79">
        <f>278.484-40-25-60</f>
        <v>153.48399999999998</v>
      </c>
      <c r="G115" s="81">
        <v>40</v>
      </c>
      <c r="H115" s="79">
        <f t="shared" si="18"/>
        <v>85</v>
      </c>
      <c r="I115" s="79">
        <f t="shared" si="9"/>
        <v>0</v>
      </c>
      <c r="J115" s="81">
        <v>100</v>
      </c>
      <c r="K115" s="81">
        <v>300</v>
      </c>
      <c r="L115" s="79">
        <f t="shared" si="12"/>
        <v>1274</v>
      </c>
      <c r="M115" s="89">
        <v>600</v>
      </c>
      <c r="N115" s="79">
        <f>30</f>
        <v>30</v>
      </c>
      <c r="O115" s="81">
        <v>240</v>
      </c>
      <c r="P115" s="81">
        <v>160</v>
      </c>
      <c r="Q115" s="81">
        <f t="shared" si="13"/>
        <v>195</v>
      </c>
      <c r="R115" s="81">
        <f t="shared" si="14"/>
        <v>100</v>
      </c>
      <c r="S115" s="79">
        <f t="shared" si="15"/>
        <v>695</v>
      </c>
      <c r="T115" s="79">
        <f>0</f>
        <v>0</v>
      </c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</row>
    <row r="116" spans="1:30" ht="15.75" x14ac:dyDescent="0.25">
      <c r="A116" s="16">
        <v>44440</v>
      </c>
      <c r="B116" s="92">
        <v>30</v>
      </c>
      <c r="C116" s="79">
        <f>194.205</f>
        <v>194.20500000000001</v>
      </c>
      <c r="D116" s="79">
        <f>267.466</f>
        <v>267.46600000000001</v>
      </c>
      <c r="E116" s="87">
        <f>133.845</f>
        <v>133.845</v>
      </c>
      <c r="F116" s="79">
        <f>278.484-40-25-60</f>
        <v>153.48399999999998</v>
      </c>
      <c r="G116" s="81">
        <v>40</v>
      </c>
      <c r="H116" s="79">
        <f t="shared" si="18"/>
        <v>85</v>
      </c>
      <c r="I116" s="79">
        <f t="shared" ref="I116:I179" si="19">400-J116-K116</f>
        <v>0</v>
      </c>
      <c r="J116" s="81">
        <v>100</v>
      </c>
      <c r="K116" s="81">
        <v>300</v>
      </c>
      <c r="L116" s="79">
        <f t="shared" si="12"/>
        <v>1274</v>
      </c>
      <c r="M116" s="89">
        <v>600</v>
      </c>
      <c r="N116" s="79">
        <f>30</f>
        <v>30</v>
      </c>
      <c r="O116" s="81">
        <v>240</v>
      </c>
      <c r="P116" s="81">
        <v>160</v>
      </c>
      <c r="Q116" s="81">
        <f t="shared" si="13"/>
        <v>195</v>
      </c>
      <c r="R116" s="81">
        <f t="shared" si="14"/>
        <v>100</v>
      </c>
      <c r="S116" s="79">
        <f t="shared" si="15"/>
        <v>695</v>
      </c>
      <c r="T116" s="79">
        <f>0</f>
        <v>0</v>
      </c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</row>
    <row r="117" spans="1:30" ht="15.75" x14ac:dyDescent="0.25">
      <c r="A117" s="16">
        <v>44470</v>
      </c>
      <c r="B117" s="92">
        <v>31</v>
      </c>
      <c r="C117" s="79">
        <f>131.881</f>
        <v>131.881</v>
      </c>
      <c r="D117" s="79">
        <f>277.167</f>
        <v>277.16699999999997</v>
      </c>
      <c r="E117" s="87">
        <f>79.08</f>
        <v>79.08</v>
      </c>
      <c r="F117" s="79">
        <f>350.872-40-25-60</f>
        <v>225.87200000000001</v>
      </c>
      <c r="G117" s="81">
        <v>40</v>
      </c>
      <c r="H117" s="79">
        <f t="shared" si="18"/>
        <v>85</v>
      </c>
      <c r="I117" s="79">
        <f t="shared" si="19"/>
        <v>0</v>
      </c>
      <c r="J117" s="81">
        <v>100</v>
      </c>
      <c r="K117" s="81">
        <v>300</v>
      </c>
      <c r="L117" s="79">
        <f t="shared" si="12"/>
        <v>1239</v>
      </c>
      <c r="M117" s="89">
        <v>600</v>
      </c>
      <c r="N117" s="79">
        <f>75</f>
        <v>75</v>
      </c>
      <c r="O117" s="81">
        <v>240</v>
      </c>
      <c r="P117" s="81">
        <v>160</v>
      </c>
      <c r="Q117" s="81">
        <f t="shared" si="13"/>
        <v>195</v>
      </c>
      <c r="R117" s="81">
        <f t="shared" si="14"/>
        <v>100</v>
      </c>
      <c r="S117" s="79">
        <f t="shared" si="15"/>
        <v>695</v>
      </c>
      <c r="T117" s="79">
        <f>0</f>
        <v>0</v>
      </c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</row>
    <row r="118" spans="1:30" ht="15.75" x14ac:dyDescent="0.25">
      <c r="A118" s="16">
        <v>44501</v>
      </c>
      <c r="B118" s="92">
        <v>30</v>
      </c>
      <c r="C118" s="79">
        <f>122.58</f>
        <v>122.58</v>
      </c>
      <c r="D118" s="79">
        <f>297.941</f>
        <v>297.94099999999997</v>
      </c>
      <c r="E118" s="87">
        <f>89.177</f>
        <v>89.177000000000007</v>
      </c>
      <c r="F118" s="79">
        <f>240.302-40-60</f>
        <v>140.30199999999999</v>
      </c>
      <c r="G118" s="81">
        <v>40</v>
      </c>
      <c r="H118" s="79">
        <v>60</v>
      </c>
      <c r="I118" s="79">
        <f t="shared" si="19"/>
        <v>0</v>
      </c>
      <c r="J118" s="81">
        <v>100</v>
      </c>
      <c r="K118" s="81">
        <v>300</v>
      </c>
      <c r="L118" s="79">
        <f t="shared" si="12"/>
        <v>1150</v>
      </c>
      <c r="M118" s="89">
        <v>600</v>
      </c>
      <c r="N118" s="79">
        <f>100</f>
        <v>100</v>
      </c>
      <c r="O118" s="81">
        <v>240</v>
      </c>
      <c r="P118" s="81">
        <v>40</v>
      </c>
      <c r="Q118" s="81">
        <f t="shared" si="13"/>
        <v>315</v>
      </c>
      <c r="R118" s="81">
        <f t="shared" si="14"/>
        <v>100</v>
      </c>
      <c r="S118" s="79">
        <f t="shared" si="15"/>
        <v>695</v>
      </c>
      <c r="T118" s="79">
        <f>50</f>
        <v>50</v>
      </c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</row>
    <row r="119" spans="1:30" ht="15.75" x14ac:dyDescent="0.25">
      <c r="A119" s="16">
        <v>44531</v>
      </c>
      <c r="B119" s="92">
        <v>31</v>
      </c>
      <c r="C119" s="79">
        <f>122.58</f>
        <v>122.58</v>
      </c>
      <c r="D119" s="79">
        <f>297.941</f>
        <v>297.94099999999997</v>
      </c>
      <c r="E119" s="87">
        <f>89.177</f>
        <v>89.177000000000007</v>
      </c>
      <c r="F119" s="79">
        <f>240.302-40-60</f>
        <v>140.30199999999999</v>
      </c>
      <c r="G119" s="81">
        <v>40</v>
      </c>
      <c r="H119" s="79">
        <v>60</v>
      </c>
      <c r="I119" s="79">
        <f t="shared" si="19"/>
        <v>0</v>
      </c>
      <c r="J119" s="81">
        <v>100</v>
      </c>
      <c r="K119" s="81">
        <v>300</v>
      </c>
      <c r="L119" s="79">
        <f t="shared" si="12"/>
        <v>1150</v>
      </c>
      <c r="M119" s="89">
        <v>600</v>
      </c>
      <c r="N119" s="79">
        <f>100</f>
        <v>100</v>
      </c>
      <c r="O119" s="81">
        <v>240</v>
      </c>
      <c r="P119" s="81">
        <v>40</v>
      </c>
      <c r="Q119" s="81">
        <f t="shared" si="13"/>
        <v>315</v>
      </c>
      <c r="R119" s="81">
        <f t="shared" si="14"/>
        <v>100</v>
      </c>
      <c r="S119" s="79">
        <f t="shared" si="15"/>
        <v>695</v>
      </c>
      <c r="T119" s="79">
        <f>50</f>
        <v>50</v>
      </c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</row>
    <row r="120" spans="1:30" ht="15.75" x14ac:dyDescent="0.25">
      <c r="A120" s="16">
        <v>44562</v>
      </c>
      <c r="B120" s="92">
        <v>31</v>
      </c>
      <c r="C120" s="79">
        <f>122.58</f>
        <v>122.58</v>
      </c>
      <c r="D120" s="79">
        <f>297.941</f>
        <v>297.94099999999997</v>
      </c>
      <c r="E120" s="87">
        <f>89.177</f>
        <v>89.177000000000007</v>
      </c>
      <c r="F120" s="79">
        <f>240.302-40-60</f>
        <v>140.30199999999999</v>
      </c>
      <c r="G120" s="81">
        <v>40</v>
      </c>
      <c r="H120" s="79">
        <v>60</v>
      </c>
      <c r="I120" s="79">
        <f t="shared" si="19"/>
        <v>0</v>
      </c>
      <c r="J120" s="81">
        <v>100</v>
      </c>
      <c r="K120" s="81">
        <v>300</v>
      </c>
      <c r="L120" s="79">
        <f t="shared" si="12"/>
        <v>1150</v>
      </c>
      <c r="M120" s="89">
        <v>600</v>
      </c>
      <c r="N120" s="79">
        <f>100</f>
        <v>100</v>
      </c>
      <c r="O120" s="81">
        <v>240</v>
      </c>
      <c r="P120" s="81">
        <v>40</v>
      </c>
      <c r="Q120" s="81">
        <f t="shared" si="13"/>
        <v>315</v>
      </c>
      <c r="R120" s="81">
        <f t="shared" si="14"/>
        <v>100</v>
      </c>
      <c r="S120" s="79">
        <f t="shared" si="15"/>
        <v>695</v>
      </c>
      <c r="T120" s="79">
        <f>50</f>
        <v>50</v>
      </c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</row>
    <row r="121" spans="1:30" ht="15.75" x14ac:dyDescent="0.25">
      <c r="A121" s="16">
        <v>44593</v>
      </c>
      <c r="B121" s="92">
        <v>28</v>
      </c>
      <c r="C121" s="79">
        <f>122.58</f>
        <v>122.58</v>
      </c>
      <c r="D121" s="79">
        <f>297.941</f>
        <v>297.94099999999997</v>
      </c>
      <c r="E121" s="87">
        <f>89.177</f>
        <v>89.177000000000007</v>
      </c>
      <c r="F121" s="79">
        <f>240.302-40-60</f>
        <v>140.30199999999999</v>
      </c>
      <c r="G121" s="81">
        <v>40</v>
      </c>
      <c r="H121" s="79">
        <v>60</v>
      </c>
      <c r="I121" s="79">
        <f t="shared" si="19"/>
        <v>0</v>
      </c>
      <c r="J121" s="81">
        <v>100</v>
      </c>
      <c r="K121" s="81">
        <v>300</v>
      </c>
      <c r="L121" s="79">
        <f t="shared" si="12"/>
        <v>1150</v>
      </c>
      <c r="M121" s="89">
        <v>600</v>
      </c>
      <c r="N121" s="79">
        <f>100</f>
        <v>100</v>
      </c>
      <c r="O121" s="81">
        <v>240</v>
      </c>
      <c r="P121" s="81">
        <v>40</v>
      </c>
      <c r="Q121" s="81">
        <f t="shared" si="13"/>
        <v>315</v>
      </c>
      <c r="R121" s="81">
        <f t="shared" si="14"/>
        <v>100</v>
      </c>
      <c r="S121" s="79">
        <f t="shared" si="15"/>
        <v>695</v>
      </c>
      <c r="T121" s="79">
        <f>50</f>
        <v>50</v>
      </c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</row>
    <row r="122" spans="1:30" ht="15.75" x14ac:dyDescent="0.25">
      <c r="A122" s="16">
        <v>44621</v>
      </c>
      <c r="B122" s="92">
        <v>31</v>
      </c>
      <c r="C122" s="79">
        <f>122.58</f>
        <v>122.58</v>
      </c>
      <c r="D122" s="79">
        <f>297.941</f>
        <v>297.94099999999997</v>
      </c>
      <c r="E122" s="87">
        <f>89.177</f>
        <v>89.177000000000007</v>
      </c>
      <c r="F122" s="79">
        <f>240.302-40-60</f>
        <v>140.30199999999999</v>
      </c>
      <c r="G122" s="81">
        <v>40</v>
      </c>
      <c r="H122" s="79">
        <v>60</v>
      </c>
      <c r="I122" s="79">
        <f t="shared" si="19"/>
        <v>0</v>
      </c>
      <c r="J122" s="81">
        <v>100</v>
      </c>
      <c r="K122" s="81">
        <v>300</v>
      </c>
      <c r="L122" s="79">
        <f t="shared" si="12"/>
        <v>1150</v>
      </c>
      <c r="M122" s="89">
        <v>600</v>
      </c>
      <c r="N122" s="79">
        <f>100</f>
        <v>100</v>
      </c>
      <c r="O122" s="81">
        <v>240</v>
      </c>
      <c r="P122" s="81">
        <v>40</v>
      </c>
      <c r="Q122" s="81">
        <f t="shared" si="13"/>
        <v>315</v>
      </c>
      <c r="R122" s="81">
        <f t="shared" si="14"/>
        <v>100</v>
      </c>
      <c r="S122" s="79">
        <f t="shared" si="15"/>
        <v>695</v>
      </c>
      <c r="T122" s="79">
        <f>50</f>
        <v>50</v>
      </c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</row>
    <row r="123" spans="1:30" ht="15.75" x14ac:dyDescent="0.25">
      <c r="A123" s="16">
        <v>44652</v>
      </c>
      <c r="B123" s="92">
        <v>30</v>
      </c>
      <c r="C123" s="79">
        <f>141.293</f>
        <v>141.29300000000001</v>
      </c>
      <c r="D123" s="79">
        <f>267.993</f>
        <v>267.99299999999999</v>
      </c>
      <c r="E123" s="87">
        <f>115.016</f>
        <v>115.01600000000001</v>
      </c>
      <c r="F123" s="79">
        <f>314.698-40-25-60</f>
        <v>189.69799999999998</v>
      </c>
      <c r="G123" s="81">
        <v>40</v>
      </c>
      <c r="H123" s="79">
        <f t="shared" ref="H123:H129" si="20">25+60</f>
        <v>85</v>
      </c>
      <c r="I123" s="79">
        <f t="shared" si="19"/>
        <v>0</v>
      </c>
      <c r="J123" s="81">
        <v>100</v>
      </c>
      <c r="K123" s="81">
        <v>300</v>
      </c>
      <c r="L123" s="79">
        <f t="shared" si="12"/>
        <v>1239</v>
      </c>
      <c r="M123" s="89">
        <v>600</v>
      </c>
      <c r="N123" s="79">
        <f>100</f>
        <v>100</v>
      </c>
      <c r="O123" s="81">
        <v>240</v>
      </c>
      <c r="P123" s="81">
        <v>160</v>
      </c>
      <c r="Q123" s="81">
        <f t="shared" si="13"/>
        <v>195</v>
      </c>
      <c r="R123" s="81">
        <f t="shared" si="14"/>
        <v>100</v>
      </c>
      <c r="S123" s="79">
        <f t="shared" si="15"/>
        <v>695</v>
      </c>
      <c r="T123" s="79">
        <f>50</f>
        <v>50</v>
      </c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</row>
    <row r="124" spans="1:30" ht="15.75" x14ac:dyDescent="0.25">
      <c r="A124" s="16">
        <v>44682</v>
      </c>
      <c r="B124" s="92">
        <v>31</v>
      </c>
      <c r="C124" s="79">
        <f>194.205</f>
        <v>194.20500000000001</v>
      </c>
      <c r="D124" s="79">
        <f>267.466</f>
        <v>267.46600000000001</v>
      </c>
      <c r="E124" s="87">
        <f>133.845</f>
        <v>133.845</v>
      </c>
      <c r="F124" s="79">
        <f>278.484-40-25-60</f>
        <v>153.48399999999998</v>
      </c>
      <c r="G124" s="81">
        <v>40</v>
      </c>
      <c r="H124" s="79">
        <f t="shared" si="20"/>
        <v>85</v>
      </c>
      <c r="I124" s="79">
        <f t="shared" si="19"/>
        <v>0</v>
      </c>
      <c r="J124" s="81">
        <v>100</v>
      </c>
      <c r="K124" s="81">
        <v>300</v>
      </c>
      <c r="L124" s="79">
        <f t="shared" si="12"/>
        <v>1274</v>
      </c>
      <c r="M124" s="89">
        <v>600</v>
      </c>
      <c r="N124" s="79">
        <f>75</f>
        <v>75</v>
      </c>
      <c r="O124" s="81">
        <v>240</v>
      </c>
      <c r="P124" s="81">
        <v>160</v>
      </c>
      <c r="Q124" s="81">
        <f t="shared" si="13"/>
        <v>195</v>
      </c>
      <c r="R124" s="81">
        <f t="shared" si="14"/>
        <v>100</v>
      </c>
      <c r="S124" s="79">
        <f t="shared" si="15"/>
        <v>695</v>
      </c>
      <c r="T124" s="79">
        <f>50</f>
        <v>50</v>
      </c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</row>
    <row r="125" spans="1:30" ht="15.75" x14ac:dyDescent="0.25">
      <c r="A125" s="16">
        <v>44713</v>
      </c>
      <c r="B125" s="92">
        <v>30</v>
      </c>
      <c r="C125" s="79">
        <f>194.205</f>
        <v>194.20500000000001</v>
      </c>
      <c r="D125" s="79">
        <f>267.466</f>
        <v>267.46600000000001</v>
      </c>
      <c r="E125" s="87">
        <f>133.845</f>
        <v>133.845</v>
      </c>
      <c r="F125" s="79">
        <f>278.484-40-25-60</f>
        <v>153.48399999999998</v>
      </c>
      <c r="G125" s="81">
        <v>40</v>
      </c>
      <c r="H125" s="79">
        <f t="shared" si="20"/>
        <v>85</v>
      </c>
      <c r="I125" s="79">
        <f t="shared" si="19"/>
        <v>0</v>
      </c>
      <c r="J125" s="81">
        <v>100</v>
      </c>
      <c r="K125" s="81">
        <v>300</v>
      </c>
      <c r="L125" s="79">
        <f t="shared" si="12"/>
        <v>1274</v>
      </c>
      <c r="M125" s="89">
        <v>600</v>
      </c>
      <c r="N125" s="79">
        <f>30</f>
        <v>30</v>
      </c>
      <c r="O125" s="81">
        <v>240</v>
      </c>
      <c r="P125" s="81">
        <v>160</v>
      </c>
      <c r="Q125" s="81">
        <f t="shared" si="13"/>
        <v>195</v>
      </c>
      <c r="R125" s="81">
        <f t="shared" si="14"/>
        <v>100</v>
      </c>
      <c r="S125" s="79">
        <f t="shared" si="15"/>
        <v>695</v>
      </c>
      <c r="T125" s="79">
        <f>50</f>
        <v>50</v>
      </c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</row>
    <row r="126" spans="1:30" ht="15.75" x14ac:dyDescent="0.25">
      <c r="A126" s="16">
        <v>44743</v>
      </c>
      <c r="B126" s="92">
        <v>31</v>
      </c>
      <c r="C126" s="79">
        <f>194.205</f>
        <v>194.20500000000001</v>
      </c>
      <c r="D126" s="79">
        <f>267.466</f>
        <v>267.46600000000001</v>
      </c>
      <c r="E126" s="87">
        <f>133.845</f>
        <v>133.845</v>
      </c>
      <c r="F126" s="79">
        <f>278.484-40-25-60</f>
        <v>153.48399999999998</v>
      </c>
      <c r="G126" s="81">
        <v>40</v>
      </c>
      <c r="H126" s="79">
        <f t="shared" si="20"/>
        <v>85</v>
      </c>
      <c r="I126" s="79">
        <f t="shared" si="19"/>
        <v>0</v>
      </c>
      <c r="J126" s="81">
        <v>100</v>
      </c>
      <c r="K126" s="81">
        <v>300</v>
      </c>
      <c r="L126" s="79">
        <f t="shared" si="12"/>
        <v>1274</v>
      </c>
      <c r="M126" s="89">
        <v>600</v>
      </c>
      <c r="N126" s="79">
        <f>30</f>
        <v>30</v>
      </c>
      <c r="O126" s="81">
        <v>240</v>
      </c>
      <c r="P126" s="81">
        <v>160</v>
      </c>
      <c r="Q126" s="81">
        <f t="shared" si="13"/>
        <v>195</v>
      </c>
      <c r="R126" s="81">
        <f t="shared" si="14"/>
        <v>100</v>
      </c>
      <c r="S126" s="79">
        <f t="shared" si="15"/>
        <v>695</v>
      </c>
      <c r="T126" s="79">
        <f>0</f>
        <v>0</v>
      </c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</row>
    <row r="127" spans="1:30" ht="15.75" x14ac:dyDescent="0.25">
      <c r="A127" s="16">
        <v>44774</v>
      </c>
      <c r="B127" s="92">
        <v>31</v>
      </c>
      <c r="C127" s="79">
        <f>194.205</f>
        <v>194.20500000000001</v>
      </c>
      <c r="D127" s="79">
        <f>267.466</f>
        <v>267.46600000000001</v>
      </c>
      <c r="E127" s="87">
        <f>133.845</f>
        <v>133.845</v>
      </c>
      <c r="F127" s="79">
        <f>278.484-40-25-60</f>
        <v>153.48399999999998</v>
      </c>
      <c r="G127" s="81">
        <v>40</v>
      </c>
      <c r="H127" s="79">
        <f t="shared" si="20"/>
        <v>85</v>
      </c>
      <c r="I127" s="79">
        <f t="shared" si="19"/>
        <v>0</v>
      </c>
      <c r="J127" s="81">
        <v>100</v>
      </c>
      <c r="K127" s="81">
        <v>300</v>
      </c>
      <c r="L127" s="79">
        <f t="shared" si="12"/>
        <v>1274</v>
      </c>
      <c r="M127" s="89">
        <v>600</v>
      </c>
      <c r="N127" s="79">
        <f>30</f>
        <v>30</v>
      </c>
      <c r="O127" s="81">
        <v>240</v>
      </c>
      <c r="P127" s="81">
        <v>160</v>
      </c>
      <c r="Q127" s="81">
        <f t="shared" si="13"/>
        <v>195</v>
      </c>
      <c r="R127" s="81">
        <f t="shared" si="14"/>
        <v>100</v>
      </c>
      <c r="S127" s="79">
        <f t="shared" si="15"/>
        <v>695</v>
      </c>
      <c r="T127" s="79">
        <f>0</f>
        <v>0</v>
      </c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</row>
    <row r="128" spans="1:30" ht="15.75" x14ac:dyDescent="0.25">
      <c r="A128" s="16">
        <v>44805</v>
      </c>
      <c r="B128" s="92">
        <v>30</v>
      </c>
      <c r="C128" s="79">
        <f>194.205</f>
        <v>194.20500000000001</v>
      </c>
      <c r="D128" s="79">
        <f>267.466</f>
        <v>267.46600000000001</v>
      </c>
      <c r="E128" s="87">
        <f>133.845</f>
        <v>133.845</v>
      </c>
      <c r="F128" s="79">
        <f>278.484-40-25-60</f>
        <v>153.48399999999998</v>
      </c>
      <c r="G128" s="81">
        <v>40</v>
      </c>
      <c r="H128" s="79">
        <f t="shared" si="20"/>
        <v>85</v>
      </c>
      <c r="I128" s="79">
        <f t="shared" si="19"/>
        <v>0</v>
      </c>
      <c r="J128" s="81">
        <v>100</v>
      </c>
      <c r="K128" s="81">
        <v>300</v>
      </c>
      <c r="L128" s="79">
        <f t="shared" si="12"/>
        <v>1274</v>
      </c>
      <c r="M128" s="89">
        <v>600</v>
      </c>
      <c r="N128" s="79">
        <f>30</f>
        <v>30</v>
      </c>
      <c r="O128" s="81">
        <v>240</v>
      </c>
      <c r="P128" s="81">
        <v>160</v>
      </c>
      <c r="Q128" s="81">
        <f t="shared" si="13"/>
        <v>195</v>
      </c>
      <c r="R128" s="81">
        <f t="shared" si="14"/>
        <v>100</v>
      </c>
      <c r="S128" s="79">
        <f t="shared" si="15"/>
        <v>695</v>
      </c>
      <c r="T128" s="79">
        <f>0</f>
        <v>0</v>
      </c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</row>
    <row r="129" spans="1:30" ht="15.75" x14ac:dyDescent="0.25">
      <c r="A129" s="16">
        <v>44835</v>
      </c>
      <c r="B129" s="92">
        <v>31</v>
      </c>
      <c r="C129" s="79">
        <f>131.881</f>
        <v>131.881</v>
      </c>
      <c r="D129" s="79">
        <f>277.167</f>
        <v>277.16699999999997</v>
      </c>
      <c r="E129" s="87">
        <f>79.08</f>
        <v>79.08</v>
      </c>
      <c r="F129" s="79">
        <f>350.872-40-25-60</f>
        <v>225.87200000000001</v>
      </c>
      <c r="G129" s="81">
        <v>40</v>
      </c>
      <c r="H129" s="79">
        <f t="shared" si="20"/>
        <v>85</v>
      </c>
      <c r="I129" s="79">
        <f t="shared" si="19"/>
        <v>0</v>
      </c>
      <c r="J129" s="81">
        <v>100</v>
      </c>
      <c r="K129" s="81">
        <v>300</v>
      </c>
      <c r="L129" s="79">
        <f t="shared" si="12"/>
        <v>1239</v>
      </c>
      <c r="M129" s="89">
        <v>600</v>
      </c>
      <c r="N129" s="79">
        <f>75</f>
        <v>75</v>
      </c>
      <c r="O129" s="81">
        <v>240</v>
      </c>
      <c r="P129" s="81">
        <v>160</v>
      </c>
      <c r="Q129" s="81">
        <f t="shared" si="13"/>
        <v>195</v>
      </c>
      <c r="R129" s="81">
        <f t="shared" si="14"/>
        <v>100</v>
      </c>
      <c r="S129" s="79">
        <f t="shared" si="15"/>
        <v>695</v>
      </c>
      <c r="T129" s="79">
        <f>0</f>
        <v>0</v>
      </c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</row>
    <row r="130" spans="1:30" ht="15.75" x14ac:dyDescent="0.25">
      <c r="A130" s="16">
        <v>44866</v>
      </c>
      <c r="B130" s="92">
        <v>30</v>
      </c>
      <c r="C130" s="79">
        <f>122.58</f>
        <v>122.58</v>
      </c>
      <c r="D130" s="79">
        <f>297.941</f>
        <v>297.94099999999997</v>
      </c>
      <c r="E130" s="87">
        <f>89.177</f>
        <v>89.177000000000007</v>
      </c>
      <c r="F130" s="79">
        <f>240.302-40-60</f>
        <v>140.30199999999999</v>
      </c>
      <c r="G130" s="81">
        <v>40</v>
      </c>
      <c r="H130" s="79">
        <v>60</v>
      </c>
      <c r="I130" s="79">
        <f t="shared" si="19"/>
        <v>0</v>
      </c>
      <c r="J130" s="81">
        <v>100</v>
      </c>
      <c r="K130" s="81">
        <v>300</v>
      </c>
      <c r="L130" s="79">
        <f t="shared" si="12"/>
        <v>1150</v>
      </c>
      <c r="M130" s="89">
        <v>600</v>
      </c>
      <c r="N130" s="79">
        <f>100</f>
        <v>100</v>
      </c>
      <c r="O130" s="81">
        <v>240</v>
      </c>
      <c r="P130" s="81">
        <v>40</v>
      </c>
      <c r="Q130" s="81">
        <f t="shared" si="13"/>
        <v>315</v>
      </c>
      <c r="R130" s="81">
        <f t="shared" si="14"/>
        <v>100</v>
      </c>
      <c r="S130" s="79">
        <f t="shared" si="15"/>
        <v>695</v>
      </c>
      <c r="T130" s="79">
        <f>50</f>
        <v>50</v>
      </c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</row>
    <row r="131" spans="1:30" ht="15.75" x14ac:dyDescent="0.25">
      <c r="A131" s="16">
        <v>44896</v>
      </c>
      <c r="B131" s="92">
        <v>31</v>
      </c>
      <c r="C131" s="79">
        <f>122.58</f>
        <v>122.58</v>
      </c>
      <c r="D131" s="79">
        <f>297.941</f>
        <v>297.94099999999997</v>
      </c>
      <c r="E131" s="87">
        <f>89.177</f>
        <v>89.177000000000007</v>
      </c>
      <c r="F131" s="79">
        <f>240.302-40-60</f>
        <v>140.30199999999999</v>
      </c>
      <c r="G131" s="81">
        <v>40</v>
      </c>
      <c r="H131" s="79">
        <v>60</v>
      </c>
      <c r="I131" s="79">
        <f t="shared" si="19"/>
        <v>0</v>
      </c>
      <c r="J131" s="81">
        <v>100</v>
      </c>
      <c r="K131" s="81">
        <v>300</v>
      </c>
      <c r="L131" s="79">
        <f t="shared" si="12"/>
        <v>1150</v>
      </c>
      <c r="M131" s="89">
        <v>600</v>
      </c>
      <c r="N131" s="79">
        <f>100</f>
        <v>100</v>
      </c>
      <c r="O131" s="81">
        <v>240</v>
      </c>
      <c r="P131" s="81">
        <v>40</v>
      </c>
      <c r="Q131" s="81">
        <f t="shared" si="13"/>
        <v>315</v>
      </c>
      <c r="R131" s="81">
        <f t="shared" si="14"/>
        <v>100</v>
      </c>
      <c r="S131" s="79">
        <f t="shared" si="15"/>
        <v>695</v>
      </c>
      <c r="T131" s="79">
        <f>50</f>
        <v>50</v>
      </c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</row>
    <row r="132" spans="1:30" ht="15.75" x14ac:dyDescent="0.25">
      <c r="A132" s="16">
        <v>44927</v>
      </c>
      <c r="B132" s="92">
        <v>31</v>
      </c>
      <c r="C132" s="79">
        <f>122.58</f>
        <v>122.58</v>
      </c>
      <c r="D132" s="79">
        <f>297.941</f>
        <v>297.94099999999997</v>
      </c>
      <c r="E132" s="87">
        <f>89.177</f>
        <v>89.177000000000007</v>
      </c>
      <c r="F132" s="79">
        <f>240.302-40-60</f>
        <v>140.30199999999999</v>
      </c>
      <c r="G132" s="81">
        <v>40</v>
      </c>
      <c r="H132" s="79">
        <v>60</v>
      </c>
      <c r="I132" s="79">
        <f t="shared" si="19"/>
        <v>0</v>
      </c>
      <c r="J132" s="81">
        <v>100</v>
      </c>
      <c r="K132" s="81">
        <v>300</v>
      </c>
      <c r="L132" s="79">
        <f t="shared" si="12"/>
        <v>1150</v>
      </c>
      <c r="M132" s="89">
        <v>600</v>
      </c>
      <c r="N132" s="79">
        <f>100</f>
        <v>100</v>
      </c>
      <c r="O132" s="81">
        <v>240</v>
      </c>
      <c r="P132" s="81">
        <v>40</v>
      </c>
      <c r="Q132" s="81">
        <f t="shared" si="13"/>
        <v>315</v>
      </c>
      <c r="R132" s="81">
        <f t="shared" si="14"/>
        <v>100</v>
      </c>
      <c r="S132" s="79">
        <f t="shared" si="15"/>
        <v>695</v>
      </c>
      <c r="T132" s="79">
        <f>50</f>
        <v>50</v>
      </c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</row>
    <row r="133" spans="1:30" ht="15.75" x14ac:dyDescent="0.25">
      <c r="A133" s="16">
        <v>44958</v>
      </c>
      <c r="B133" s="92">
        <v>28</v>
      </c>
      <c r="C133" s="79">
        <f>122.58</f>
        <v>122.58</v>
      </c>
      <c r="D133" s="79">
        <f>297.941</f>
        <v>297.94099999999997</v>
      </c>
      <c r="E133" s="87">
        <f>89.177</f>
        <v>89.177000000000007</v>
      </c>
      <c r="F133" s="79">
        <f>240.302-40-60</f>
        <v>140.30199999999999</v>
      </c>
      <c r="G133" s="81">
        <v>40</v>
      </c>
      <c r="H133" s="79">
        <v>60</v>
      </c>
      <c r="I133" s="79">
        <f t="shared" si="19"/>
        <v>0</v>
      </c>
      <c r="J133" s="81">
        <v>100</v>
      </c>
      <c r="K133" s="81">
        <v>300</v>
      </c>
      <c r="L133" s="79">
        <f t="shared" si="12"/>
        <v>1150</v>
      </c>
      <c r="M133" s="89">
        <v>600</v>
      </c>
      <c r="N133" s="79">
        <f>100</f>
        <v>100</v>
      </c>
      <c r="O133" s="81">
        <v>240</v>
      </c>
      <c r="P133" s="81">
        <v>40</v>
      </c>
      <c r="Q133" s="81">
        <f t="shared" si="13"/>
        <v>315</v>
      </c>
      <c r="R133" s="81">
        <f t="shared" si="14"/>
        <v>100</v>
      </c>
      <c r="S133" s="79">
        <f t="shared" si="15"/>
        <v>695</v>
      </c>
      <c r="T133" s="79">
        <f>50</f>
        <v>50</v>
      </c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</row>
    <row r="134" spans="1:30" ht="15.75" x14ac:dyDescent="0.25">
      <c r="A134" s="16">
        <v>44986</v>
      </c>
      <c r="B134" s="92">
        <v>31</v>
      </c>
      <c r="C134" s="79">
        <f>122.58</f>
        <v>122.58</v>
      </c>
      <c r="D134" s="79">
        <f>297.941</f>
        <v>297.94099999999997</v>
      </c>
      <c r="E134" s="87">
        <f>89.177</f>
        <v>89.177000000000007</v>
      </c>
      <c r="F134" s="79">
        <f>240.302-40-60</f>
        <v>140.30199999999999</v>
      </c>
      <c r="G134" s="81">
        <v>40</v>
      </c>
      <c r="H134" s="79">
        <v>60</v>
      </c>
      <c r="I134" s="79">
        <f t="shared" si="19"/>
        <v>0</v>
      </c>
      <c r="J134" s="81">
        <v>100</v>
      </c>
      <c r="K134" s="81">
        <v>300</v>
      </c>
      <c r="L134" s="79">
        <f t="shared" si="12"/>
        <v>1150</v>
      </c>
      <c r="M134" s="89">
        <v>600</v>
      </c>
      <c r="N134" s="79">
        <f>100</f>
        <v>100</v>
      </c>
      <c r="O134" s="81">
        <v>240</v>
      </c>
      <c r="P134" s="81">
        <v>40</v>
      </c>
      <c r="Q134" s="81">
        <f t="shared" si="13"/>
        <v>315</v>
      </c>
      <c r="R134" s="81">
        <f t="shared" si="14"/>
        <v>100</v>
      </c>
      <c r="S134" s="79">
        <f t="shared" si="15"/>
        <v>695</v>
      </c>
      <c r="T134" s="79">
        <f>50</f>
        <v>50</v>
      </c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</row>
    <row r="135" spans="1:30" ht="15.75" x14ac:dyDescent="0.25">
      <c r="A135" s="16">
        <v>45017</v>
      </c>
      <c r="B135" s="92">
        <v>30</v>
      </c>
      <c r="C135" s="79">
        <f>141.293</f>
        <v>141.29300000000001</v>
      </c>
      <c r="D135" s="79">
        <f>267.993</f>
        <v>267.99299999999999</v>
      </c>
      <c r="E135" s="87">
        <f>115.016</f>
        <v>115.01600000000001</v>
      </c>
      <c r="F135" s="79">
        <f>314.698-40-25-60</f>
        <v>189.69799999999998</v>
      </c>
      <c r="G135" s="81">
        <v>40</v>
      </c>
      <c r="H135" s="79">
        <f t="shared" ref="H135:H141" si="21">25+60</f>
        <v>85</v>
      </c>
      <c r="I135" s="79">
        <f t="shared" si="19"/>
        <v>0</v>
      </c>
      <c r="J135" s="81">
        <v>100</v>
      </c>
      <c r="K135" s="81">
        <v>300</v>
      </c>
      <c r="L135" s="79">
        <f t="shared" si="12"/>
        <v>1239</v>
      </c>
      <c r="M135" s="89">
        <v>600</v>
      </c>
      <c r="N135" s="79">
        <f>100</f>
        <v>100</v>
      </c>
      <c r="O135" s="81">
        <v>240</v>
      </c>
      <c r="P135" s="81">
        <v>160</v>
      </c>
      <c r="Q135" s="81">
        <f t="shared" si="13"/>
        <v>195</v>
      </c>
      <c r="R135" s="81">
        <f t="shared" si="14"/>
        <v>100</v>
      </c>
      <c r="S135" s="79">
        <f t="shared" si="15"/>
        <v>695</v>
      </c>
      <c r="T135" s="79">
        <f>50</f>
        <v>50</v>
      </c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</row>
    <row r="136" spans="1:30" ht="15.75" x14ac:dyDescent="0.25">
      <c r="A136" s="16">
        <v>45047</v>
      </c>
      <c r="B136" s="92">
        <v>31</v>
      </c>
      <c r="C136" s="79">
        <f>194.205</f>
        <v>194.20500000000001</v>
      </c>
      <c r="D136" s="79">
        <f>267.466</f>
        <v>267.46600000000001</v>
      </c>
      <c r="E136" s="87">
        <f>133.845</f>
        <v>133.845</v>
      </c>
      <c r="F136" s="79">
        <f>278.484-40-25-60</f>
        <v>153.48399999999998</v>
      </c>
      <c r="G136" s="81">
        <v>40</v>
      </c>
      <c r="H136" s="79">
        <f t="shared" si="21"/>
        <v>85</v>
      </c>
      <c r="I136" s="79">
        <f t="shared" si="19"/>
        <v>0</v>
      </c>
      <c r="J136" s="81">
        <v>100</v>
      </c>
      <c r="K136" s="81">
        <v>300</v>
      </c>
      <c r="L136" s="79">
        <f t="shared" si="12"/>
        <v>1274</v>
      </c>
      <c r="M136" s="89">
        <v>600</v>
      </c>
      <c r="N136" s="79">
        <f>75</f>
        <v>75</v>
      </c>
      <c r="O136" s="81">
        <v>240</v>
      </c>
      <c r="P136" s="81">
        <v>160</v>
      </c>
      <c r="Q136" s="81">
        <f t="shared" si="13"/>
        <v>195</v>
      </c>
      <c r="R136" s="81">
        <f t="shared" si="14"/>
        <v>100</v>
      </c>
      <c r="S136" s="79">
        <f t="shared" si="15"/>
        <v>695</v>
      </c>
      <c r="T136" s="79">
        <f>50</f>
        <v>50</v>
      </c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</row>
    <row r="137" spans="1:30" ht="15.75" x14ac:dyDescent="0.25">
      <c r="A137" s="16">
        <v>45078</v>
      </c>
      <c r="B137" s="92">
        <v>30</v>
      </c>
      <c r="C137" s="79">
        <f>194.205</f>
        <v>194.20500000000001</v>
      </c>
      <c r="D137" s="79">
        <f>267.466</f>
        <v>267.46600000000001</v>
      </c>
      <c r="E137" s="87">
        <f>133.845</f>
        <v>133.845</v>
      </c>
      <c r="F137" s="79">
        <f>278.484-40-25-60</f>
        <v>153.48399999999998</v>
      </c>
      <c r="G137" s="81">
        <v>40</v>
      </c>
      <c r="H137" s="79">
        <f t="shared" si="21"/>
        <v>85</v>
      </c>
      <c r="I137" s="79">
        <f t="shared" si="19"/>
        <v>0</v>
      </c>
      <c r="J137" s="81">
        <v>100</v>
      </c>
      <c r="K137" s="81">
        <v>300</v>
      </c>
      <c r="L137" s="79">
        <f t="shared" si="12"/>
        <v>1274</v>
      </c>
      <c r="M137" s="89">
        <v>600</v>
      </c>
      <c r="N137" s="79">
        <f>30</f>
        <v>30</v>
      </c>
      <c r="O137" s="81">
        <v>240</v>
      </c>
      <c r="P137" s="81">
        <v>160</v>
      </c>
      <c r="Q137" s="81">
        <f t="shared" si="13"/>
        <v>195</v>
      </c>
      <c r="R137" s="81">
        <f t="shared" si="14"/>
        <v>100</v>
      </c>
      <c r="S137" s="79">
        <f t="shared" si="15"/>
        <v>695</v>
      </c>
      <c r="T137" s="79">
        <f>50</f>
        <v>50</v>
      </c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</row>
    <row r="138" spans="1:30" ht="15.75" x14ac:dyDescent="0.25">
      <c r="A138" s="16">
        <v>45108</v>
      </c>
      <c r="B138" s="92">
        <v>31</v>
      </c>
      <c r="C138" s="79">
        <f>194.205</f>
        <v>194.20500000000001</v>
      </c>
      <c r="D138" s="79">
        <f>267.466</f>
        <v>267.46600000000001</v>
      </c>
      <c r="E138" s="87">
        <f>133.845</f>
        <v>133.845</v>
      </c>
      <c r="F138" s="79">
        <f>278.484-40-25-60</f>
        <v>153.48399999999998</v>
      </c>
      <c r="G138" s="81">
        <v>40</v>
      </c>
      <c r="H138" s="79">
        <f t="shared" si="21"/>
        <v>85</v>
      </c>
      <c r="I138" s="79">
        <f t="shared" si="19"/>
        <v>0</v>
      </c>
      <c r="J138" s="81">
        <v>100</v>
      </c>
      <c r="K138" s="81">
        <v>300</v>
      </c>
      <c r="L138" s="79">
        <f t="shared" si="12"/>
        <v>1274</v>
      </c>
      <c r="M138" s="89">
        <v>600</v>
      </c>
      <c r="N138" s="79">
        <f>30</f>
        <v>30</v>
      </c>
      <c r="O138" s="81">
        <v>240</v>
      </c>
      <c r="P138" s="81">
        <v>160</v>
      </c>
      <c r="Q138" s="81">
        <f t="shared" si="13"/>
        <v>195</v>
      </c>
      <c r="R138" s="81">
        <f t="shared" si="14"/>
        <v>100</v>
      </c>
      <c r="S138" s="79">
        <f t="shared" si="15"/>
        <v>695</v>
      </c>
      <c r="T138" s="79">
        <f>0</f>
        <v>0</v>
      </c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</row>
    <row r="139" spans="1:30" ht="15.75" x14ac:dyDescent="0.25">
      <c r="A139" s="16">
        <v>45139</v>
      </c>
      <c r="B139" s="92">
        <v>31</v>
      </c>
      <c r="C139" s="79">
        <f>194.205</f>
        <v>194.20500000000001</v>
      </c>
      <c r="D139" s="79">
        <f>267.466</f>
        <v>267.46600000000001</v>
      </c>
      <c r="E139" s="87">
        <f>133.845</f>
        <v>133.845</v>
      </c>
      <c r="F139" s="79">
        <f>278.484-40-25-60</f>
        <v>153.48399999999998</v>
      </c>
      <c r="G139" s="81">
        <v>40</v>
      </c>
      <c r="H139" s="79">
        <f t="shared" si="21"/>
        <v>85</v>
      </c>
      <c r="I139" s="79">
        <f t="shared" si="19"/>
        <v>0</v>
      </c>
      <c r="J139" s="81">
        <v>100</v>
      </c>
      <c r="K139" s="81">
        <v>300</v>
      </c>
      <c r="L139" s="79">
        <f t="shared" si="12"/>
        <v>1274</v>
      </c>
      <c r="M139" s="89">
        <v>600</v>
      </c>
      <c r="N139" s="79">
        <f>30</f>
        <v>30</v>
      </c>
      <c r="O139" s="81">
        <v>240</v>
      </c>
      <c r="P139" s="81">
        <v>160</v>
      </c>
      <c r="Q139" s="81">
        <f t="shared" si="13"/>
        <v>195</v>
      </c>
      <c r="R139" s="81">
        <f t="shared" si="14"/>
        <v>100</v>
      </c>
      <c r="S139" s="79">
        <f t="shared" si="15"/>
        <v>695</v>
      </c>
      <c r="T139" s="79">
        <f>0</f>
        <v>0</v>
      </c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</row>
    <row r="140" spans="1:30" ht="15.75" x14ac:dyDescent="0.25">
      <c r="A140" s="16">
        <v>45170</v>
      </c>
      <c r="B140" s="92">
        <v>30</v>
      </c>
      <c r="C140" s="79">
        <f>194.205</f>
        <v>194.20500000000001</v>
      </c>
      <c r="D140" s="79">
        <f>267.466</f>
        <v>267.46600000000001</v>
      </c>
      <c r="E140" s="87">
        <f>133.845</f>
        <v>133.845</v>
      </c>
      <c r="F140" s="79">
        <f>278.484-40-25-60</f>
        <v>153.48399999999998</v>
      </c>
      <c r="G140" s="81">
        <v>40</v>
      </c>
      <c r="H140" s="79">
        <f t="shared" si="21"/>
        <v>85</v>
      </c>
      <c r="I140" s="79">
        <f t="shared" si="19"/>
        <v>0</v>
      </c>
      <c r="J140" s="81">
        <v>100</v>
      </c>
      <c r="K140" s="81">
        <v>300</v>
      </c>
      <c r="L140" s="79">
        <f t="shared" si="12"/>
        <v>1274</v>
      </c>
      <c r="M140" s="89">
        <v>600</v>
      </c>
      <c r="N140" s="79">
        <f>30</f>
        <v>30</v>
      </c>
      <c r="O140" s="81">
        <v>240</v>
      </c>
      <c r="P140" s="81">
        <v>160</v>
      </c>
      <c r="Q140" s="81">
        <f t="shared" si="13"/>
        <v>195</v>
      </c>
      <c r="R140" s="81">
        <f t="shared" si="14"/>
        <v>100</v>
      </c>
      <c r="S140" s="79">
        <f t="shared" si="15"/>
        <v>695</v>
      </c>
      <c r="T140" s="79">
        <f>0</f>
        <v>0</v>
      </c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</row>
    <row r="141" spans="1:30" ht="15.75" x14ac:dyDescent="0.25">
      <c r="A141" s="16">
        <v>45200</v>
      </c>
      <c r="B141" s="92">
        <v>31</v>
      </c>
      <c r="C141" s="79">
        <f>131.881</f>
        <v>131.881</v>
      </c>
      <c r="D141" s="79">
        <f>277.167</f>
        <v>277.16699999999997</v>
      </c>
      <c r="E141" s="87">
        <f>79.08</f>
        <v>79.08</v>
      </c>
      <c r="F141" s="79">
        <f>350.872-40-25-60</f>
        <v>225.87200000000001</v>
      </c>
      <c r="G141" s="81">
        <v>40</v>
      </c>
      <c r="H141" s="79">
        <f t="shared" si="21"/>
        <v>85</v>
      </c>
      <c r="I141" s="79">
        <f t="shared" si="19"/>
        <v>0</v>
      </c>
      <c r="J141" s="81">
        <v>100</v>
      </c>
      <c r="K141" s="81">
        <v>300</v>
      </c>
      <c r="L141" s="79">
        <f t="shared" ref="L141:L204" si="22">SUM(C141:K141)</f>
        <v>1239</v>
      </c>
      <c r="M141" s="89">
        <v>600</v>
      </c>
      <c r="N141" s="79">
        <f>75</f>
        <v>75</v>
      </c>
      <c r="O141" s="81">
        <v>240</v>
      </c>
      <c r="P141" s="81">
        <v>160</v>
      </c>
      <c r="Q141" s="81">
        <f t="shared" ref="Q141:Q204" si="23">695-R141-O141-P141</f>
        <v>195</v>
      </c>
      <c r="R141" s="81">
        <f t="shared" ref="R141:R204" si="24">200-J141</f>
        <v>100</v>
      </c>
      <c r="S141" s="79">
        <f t="shared" ref="S141:S204" si="25">SUM(O141:R141)</f>
        <v>695</v>
      </c>
      <c r="T141" s="79">
        <f>0</f>
        <v>0</v>
      </c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</row>
    <row r="142" spans="1:30" ht="15.75" x14ac:dyDescent="0.25">
      <c r="A142" s="16">
        <v>45231</v>
      </c>
      <c r="B142" s="92">
        <v>30</v>
      </c>
      <c r="C142" s="79">
        <f>122.58</f>
        <v>122.58</v>
      </c>
      <c r="D142" s="79">
        <f>297.941</f>
        <v>297.94099999999997</v>
      </c>
      <c r="E142" s="87">
        <f>89.177</f>
        <v>89.177000000000007</v>
      </c>
      <c r="F142" s="79">
        <f>240.302-40-60</f>
        <v>140.30199999999999</v>
      </c>
      <c r="G142" s="81">
        <v>40</v>
      </c>
      <c r="H142" s="79">
        <v>60</v>
      </c>
      <c r="I142" s="79">
        <f t="shared" si="19"/>
        <v>0</v>
      </c>
      <c r="J142" s="81">
        <v>100</v>
      </c>
      <c r="K142" s="81">
        <v>300</v>
      </c>
      <c r="L142" s="79">
        <f t="shared" si="22"/>
        <v>1150</v>
      </c>
      <c r="M142" s="89">
        <v>600</v>
      </c>
      <c r="N142" s="79">
        <f>100</f>
        <v>100</v>
      </c>
      <c r="O142" s="81">
        <v>240</v>
      </c>
      <c r="P142" s="81">
        <v>40</v>
      </c>
      <c r="Q142" s="81">
        <f t="shared" si="23"/>
        <v>315</v>
      </c>
      <c r="R142" s="81">
        <f t="shared" si="24"/>
        <v>100</v>
      </c>
      <c r="S142" s="79">
        <f t="shared" si="25"/>
        <v>695</v>
      </c>
      <c r="T142" s="79">
        <f>50</f>
        <v>50</v>
      </c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</row>
    <row r="143" spans="1:30" ht="15.75" x14ac:dyDescent="0.25">
      <c r="A143" s="16">
        <v>45261</v>
      </c>
      <c r="B143" s="92">
        <v>31</v>
      </c>
      <c r="C143" s="79">
        <f>122.58</f>
        <v>122.58</v>
      </c>
      <c r="D143" s="79">
        <f>297.941</f>
        <v>297.94099999999997</v>
      </c>
      <c r="E143" s="87">
        <f>89.177</f>
        <v>89.177000000000007</v>
      </c>
      <c r="F143" s="79">
        <f>240.302-40-60</f>
        <v>140.30199999999999</v>
      </c>
      <c r="G143" s="81">
        <v>40</v>
      </c>
      <c r="H143" s="79">
        <v>60</v>
      </c>
      <c r="I143" s="79">
        <f t="shared" si="19"/>
        <v>0</v>
      </c>
      <c r="J143" s="81">
        <v>100</v>
      </c>
      <c r="K143" s="81">
        <v>300</v>
      </c>
      <c r="L143" s="79">
        <f t="shared" si="22"/>
        <v>1150</v>
      </c>
      <c r="M143" s="89">
        <v>600</v>
      </c>
      <c r="N143" s="79">
        <f>100</f>
        <v>100</v>
      </c>
      <c r="O143" s="81">
        <v>240</v>
      </c>
      <c r="P143" s="81">
        <v>40</v>
      </c>
      <c r="Q143" s="81">
        <f t="shared" si="23"/>
        <v>315</v>
      </c>
      <c r="R143" s="81">
        <f t="shared" si="24"/>
        <v>100</v>
      </c>
      <c r="S143" s="79">
        <f t="shared" si="25"/>
        <v>695</v>
      </c>
      <c r="T143" s="79">
        <f>50</f>
        <v>50</v>
      </c>
      <c r="U143" s="77"/>
      <c r="V143" s="77"/>
      <c r="W143" s="77"/>
      <c r="X143" s="77"/>
      <c r="Y143" s="77"/>
      <c r="Z143" s="77"/>
      <c r="AA143" s="77"/>
      <c r="AB143" s="77"/>
      <c r="AC143" s="77"/>
      <c r="AD143" s="77"/>
    </row>
    <row r="144" spans="1:30" ht="15.75" x14ac:dyDescent="0.25">
      <c r="A144" s="16">
        <v>45292</v>
      </c>
      <c r="B144" s="92">
        <v>31</v>
      </c>
      <c r="C144" s="79">
        <f>122.58</f>
        <v>122.58</v>
      </c>
      <c r="D144" s="79">
        <f>297.941</f>
        <v>297.94099999999997</v>
      </c>
      <c r="E144" s="87">
        <f>89.177</f>
        <v>89.177000000000007</v>
      </c>
      <c r="F144" s="79">
        <f>240.302-40-60</f>
        <v>140.30199999999999</v>
      </c>
      <c r="G144" s="81">
        <v>40</v>
      </c>
      <c r="H144" s="79">
        <v>60</v>
      </c>
      <c r="I144" s="79">
        <f t="shared" si="19"/>
        <v>0</v>
      </c>
      <c r="J144" s="81">
        <v>100</v>
      </c>
      <c r="K144" s="81">
        <v>300</v>
      </c>
      <c r="L144" s="79">
        <f t="shared" si="22"/>
        <v>1150</v>
      </c>
      <c r="M144" s="89">
        <v>600</v>
      </c>
      <c r="N144" s="79">
        <f>100</f>
        <v>100</v>
      </c>
      <c r="O144" s="81">
        <v>240</v>
      </c>
      <c r="P144" s="81">
        <v>40</v>
      </c>
      <c r="Q144" s="81">
        <f t="shared" si="23"/>
        <v>315</v>
      </c>
      <c r="R144" s="81">
        <f t="shared" si="24"/>
        <v>100</v>
      </c>
      <c r="S144" s="79">
        <f t="shared" si="25"/>
        <v>695</v>
      </c>
      <c r="T144" s="79">
        <f>50</f>
        <v>50</v>
      </c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</row>
    <row r="145" spans="1:30" ht="15.75" x14ac:dyDescent="0.25">
      <c r="A145" s="16">
        <v>45323</v>
      </c>
      <c r="B145" s="92">
        <v>29</v>
      </c>
      <c r="C145" s="79">
        <f>122.58</f>
        <v>122.58</v>
      </c>
      <c r="D145" s="79">
        <f>297.941</f>
        <v>297.94099999999997</v>
      </c>
      <c r="E145" s="87">
        <f>89.177</f>
        <v>89.177000000000007</v>
      </c>
      <c r="F145" s="79">
        <f>240.302-40-60</f>
        <v>140.30199999999999</v>
      </c>
      <c r="G145" s="81">
        <v>40</v>
      </c>
      <c r="H145" s="79">
        <v>60</v>
      </c>
      <c r="I145" s="79">
        <f t="shared" si="19"/>
        <v>0</v>
      </c>
      <c r="J145" s="81">
        <v>100</v>
      </c>
      <c r="K145" s="81">
        <v>300</v>
      </c>
      <c r="L145" s="79">
        <f t="shared" si="22"/>
        <v>1150</v>
      </c>
      <c r="M145" s="89">
        <v>600</v>
      </c>
      <c r="N145" s="79">
        <f>100</f>
        <v>100</v>
      </c>
      <c r="O145" s="81">
        <v>240</v>
      </c>
      <c r="P145" s="81">
        <v>40</v>
      </c>
      <c r="Q145" s="81">
        <f t="shared" si="23"/>
        <v>315</v>
      </c>
      <c r="R145" s="81">
        <f t="shared" si="24"/>
        <v>100</v>
      </c>
      <c r="S145" s="79">
        <f t="shared" si="25"/>
        <v>695</v>
      </c>
      <c r="T145" s="79">
        <f>50</f>
        <v>50</v>
      </c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</row>
    <row r="146" spans="1:30" ht="15.75" x14ac:dyDescent="0.25">
      <c r="A146" s="16">
        <v>45352</v>
      </c>
      <c r="B146" s="92">
        <v>31</v>
      </c>
      <c r="C146" s="79">
        <f>122.58</f>
        <v>122.58</v>
      </c>
      <c r="D146" s="79">
        <f>297.941</f>
        <v>297.94099999999997</v>
      </c>
      <c r="E146" s="87">
        <f>89.177</f>
        <v>89.177000000000007</v>
      </c>
      <c r="F146" s="79">
        <f>240.302-40-60</f>
        <v>140.30199999999999</v>
      </c>
      <c r="G146" s="81">
        <v>40</v>
      </c>
      <c r="H146" s="79">
        <v>60</v>
      </c>
      <c r="I146" s="79">
        <f t="shared" si="19"/>
        <v>0</v>
      </c>
      <c r="J146" s="81">
        <v>100</v>
      </c>
      <c r="K146" s="81">
        <v>300</v>
      </c>
      <c r="L146" s="79">
        <f t="shared" si="22"/>
        <v>1150</v>
      </c>
      <c r="M146" s="89">
        <v>600</v>
      </c>
      <c r="N146" s="79">
        <f>100</f>
        <v>100</v>
      </c>
      <c r="O146" s="81">
        <v>240</v>
      </c>
      <c r="P146" s="81">
        <v>40</v>
      </c>
      <c r="Q146" s="81">
        <f t="shared" si="23"/>
        <v>315</v>
      </c>
      <c r="R146" s="81">
        <f t="shared" si="24"/>
        <v>100</v>
      </c>
      <c r="S146" s="79">
        <f t="shared" si="25"/>
        <v>695</v>
      </c>
      <c r="T146" s="79">
        <f>50</f>
        <v>50</v>
      </c>
      <c r="U146" s="77"/>
      <c r="V146" s="77"/>
      <c r="W146" s="77"/>
      <c r="X146" s="77"/>
      <c r="Y146" s="77"/>
      <c r="Z146" s="77"/>
      <c r="AA146" s="77"/>
      <c r="AB146" s="77"/>
      <c r="AC146" s="77"/>
      <c r="AD146" s="77"/>
    </row>
    <row r="147" spans="1:30" ht="15.75" x14ac:dyDescent="0.25">
      <c r="A147" s="16">
        <v>45383</v>
      </c>
      <c r="B147" s="92">
        <v>30</v>
      </c>
      <c r="C147" s="79">
        <f>141.293</f>
        <v>141.29300000000001</v>
      </c>
      <c r="D147" s="79">
        <f>267.993</f>
        <v>267.99299999999999</v>
      </c>
      <c r="E147" s="87">
        <f>115.016</f>
        <v>115.01600000000001</v>
      </c>
      <c r="F147" s="79">
        <f>314.698-40-25-60</f>
        <v>189.69799999999998</v>
      </c>
      <c r="G147" s="81">
        <v>40</v>
      </c>
      <c r="H147" s="79">
        <f t="shared" ref="H147:H153" si="26">25+60</f>
        <v>85</v>
      </c>
      <c r="I147" s="79">
        <f t="shared" si="19"/>
        <v>0</v>
      </c>
      <c r="J147" s="81">
        <v>100</v>
      </c>
      <c r="K147" s="81">
        <v>300</v>
      </c>
      <c r="L147" s="79">
        <f t="shared" si="22"/>
        <v>1239</v>
      </c>
      <c r="M147" s="89">
        <v>600</v>
      </c>
      <c r="N147" s="79">
        <f>100</f>
        <v>100</v>
      </c>
      <c r="O147" s="81">
        <v>240</v>
      </c>
      <c r="P147" s="81">
        <v>160</v>
      </c>
      <c r="Q147" s="81">
        <f t="shared" si="23"/>
        <v>195</v>
      </c>
      <c r="R147" s="81">
        <f t="shared" si="24"/>
        <v>100</v>
      </c>
      <c r="S147" s="79">
        <f t="shared" si="25"/>
        <v>695</v>
      </c>
      <c r="T147" s="79">
        <f>50</f>
        <v>50</v>
      </c>
      <c r="U147" s="77"/>
      <c r="V147" s="77"/>
      <c r="W147" s="77"/>
      <c r="X147" s="77"/>
      <c r="Y147" s="77"/>
      <c r="Z147" s="77"/>
      <c r="AA147" s="77"/>
      <c r="AB147" s="77"/>
      <c r="AC147" s="77"/>
      <c r="AD147" s="77"/>
    </row>
    <row r="148" spans="1:30" ht="15.75" x14ac:dyDescent="0.25">
      <c r="A148" s="16">
        <v>45413</v>
      </c>
      <c r="B148" s="92">
        <v>31</v>
      </c>
      <c r="C148" s="79">
        <f>194.205</f>
        <v>194.20500000000001</v>
      </c>
      <c r="D148" s="79">
        <f>267.466</f>
        <v>267.46600000000001</v>
      </c>
      <c r="E148" s="87">
        <f>133.845</f>
        <v>133.845</v>
      </c>
      <c r="F148" s="79">
        <f>278.484-40-25-60</f>
        <v>153.48399999999998</v>
      </c>
      <c r="G148" s="81">
        <v>40</v>
      </c>
      <c r="H148" s="79">
        <f t="shared" si="26"/>
        <v>85</v>
      </c>
      <c r="I148" s="79">
        <f t="shared" si="19"/>
        <v>0</v>
      </c>
      <c r="J148" s="81">
        <v>100</v>
      </c>
      <c r="K148" s="81">
        <v>300</v>
      </c>
      <c r="L148" s="79">
        <f t="shared" si="22"/>
        <v>1274</v>
      </c>
      <c r="M148" s="89">
        <v>600</v>
      </c>
      <c r="N148" s="79">
        <f>75</f>
        <v>75</v>
      </c>
      <c r="O148" s="81">
        <v>240</v>
      </c>
      <c r="P148" s="81">
        <v>160</v>
      </c>
      <c r="Q148" s="81">
        <f t="shared" si="23"/>
        <v>195</v>
      </c>
      <c r="R148" s="81">
        <f t="shared" si="24"/>
        <v>100</v>
      </c>
      <c r="S148" s="79">
        <f t="shared" si="25"/>
        <v>695</v>
      </c>
      <c r="T148" s="79">
        <f>50</f>
        <v>50</v>
      </c>
      <c r="U148" s="77"/>
      <c r="V148" s="77"/>
      <c r="W148" s="77"/>
      <c r="X148" s="77"/>
      <c r="Y148" s="77"/>
      <c r="Z148" s="77"/>
      <c r="AA148" s="77"/>
      <c r="AB148" s="77"/>
      <c r="AC148" s="77"/>
      <c r="AD148" s="77"/>
    </row>
    <row r="149" spans="1:30" ht="15.75" x14ac:dyDescent="0.25">
      <c r="A149" s="16">
        <v>45444</v>
      </c>
      <c r="B149" s="92">
        <v>30</v>
      </c>
      <c r="C149" s="79">
        <f>194.205</f>
        <v>194.20500000000001</v>
      </c>
      <c r="D149" s="79">
        <f>267.466</f>
        <v>267.46600000000001</v>
      </c>
      <c r="E149" s="87">
        <f>133.845</f>
        <v>133.845</v>
      </c>
      <c r="F149" s="79">
        <f>278.484-40-25-60</f>
        <v>153.48399999999998</v>
      </c>
      <c r="G149" s="81">
        <v>40</v>
      </c>
      <c r="H149" s="79">
        <f t="shared" si="26"/>
        <v>85</v>
      </c>
      <c r="I149" s="79">
        <f t="shared" si="19"/>
        <v>0</v>
      </c>
      <c r="J149" s="81">
        <v>100</v>
      </c>
      <c r="K149" s="81">
        <v>300</v>
      </c>
      <c r="L149" s="79">
        <f t="shared" si="22"/>
        <v>1274</v>
      </c>
      <c r="M149" s="89">
        <v>600</v>
      </c>
      <c r="N149" s="79">
        <f>30</f>
        <v>30</v>
      </c>
      <c r="O149" s="81">
        <v>240</v>
      </c>
      <c r="P149" s="81">
        <v>160</v>
      </c>
      <c r="Q149" s="81">
        <f t="shared" si="23"/>
        <v>195</v>
      </c>
      <c r="R149" s="81">
        <f t="shared" si="24"/>
        <v>100</v>
      </c>
      <c r="S149" s="79">
        <f t="shared" si="25"/>
        <v>695</v>
      </c>
      <c r="T149" s="79">
        <f>50</f>
        <v>50</v>
      </c>
      <c r="U149" s="77"/>
      <c r="V149" s="77"/>
      <c r="W149" s="77"/>
      <c r="X149" s="77"/>
      <c r="Y149" s="77"/>
      <c r="Z149" s="77"/>
      <c r="AA149" s="77"/>
      <c r="AB149" s="77"/>
      <c r="AC149" s="77"/>
      <c r="AD149" s="77"/>
    </row>
    <row r="150" spans="1:30" ht="15.75" x14ac:dyDescent="0.25">
      <c r="A150" s="16">
        <v>45474</v>
      </c>
      <c r="B150" s="92">
        <v>31</v>
      </c>
      <c r="C150" s="79">
        <f>194.205</f>
        <v>194.20500000000001</v>
      </c>
      <c r="D150" s="79">
        <f>267.466</f>
        <v>267.46600000000001</v>
      </c>
      <c r="E150" s="87">
        <f>133.845</f>
        <v>133.845</v>
      </c>
      <c r="F150" s="79">
        <f>278.484-40-25-60</f>
        <v>153.48399999999998</v>
      </c>
      <c r="G150" s="81">
        <v>40</v>
      </c>
      <c r="H150" s="79">
        <f t="shared" si="26"/>
        <v>85</v>
      </c>
      <c r="I150" s="79">
        <f t="shared" si="19"/>
        <v>0</v>
      </c>
      <c r="J150" s="81">
        <v>100</v>
      </c>
      <c r="K150" s="81">
        <v>300</v>
      </c>
      <c r="L150" s="79">
        <f t="shared" si="22"/>
        <v>1274</v>
      </c>
      <c r="M150" s="89">
        <v>600</v>
      </c>
      <c r="N150" s="79">
        <f>30</f>
        <v>30</v>
      </c>
      <c r="O150" s="81">
        <v>240</v>
      </c>
      <c r="P150" s="81">
        <v>160</v>
      </c>
      <c r="Q150" s="81">
        <f t="shared" si="23"/>
        <v>195</v>
      </c>
      <c r="R150" s="81">
        <f t="shared" si="24"/>
        <v>100</v>
      </c>
      <c r="S150" s="79">
        <f t="shared" si="25"/>
        <v>695</v>
      </c>
      <c r="T150" s="79">
        <f>0</f>
        <v>0</v>
      </c>
      <c r="U150" s="77"/>
      <c r="V150" s="77"/>
      <c r="W150" s="77"/>
      <c r="X150" s="77"/>
      <c r="Y150" s="77"/>
      <c r="Z150" s="77"/>
      <c r="AA150" s="77"/>
      <c r="AB150" s="77"/>
      <c r="AC150" s="77"/>
      <c r="AD150" s="77"/>
    </row>
    <row r="151" spans="1:30" ht="15.75" x14ac:dyDescent="0.25">
      <c r="A151" s="16">
        <v>45505</v>
      </c>
      <c r="B151" s="92">
        <v>31</v>
      </c>
      <c r="C151" s="79">
        <f>194.205</f>
        <v>194.20500000000001</v>
      </c>
      <c r="D151" s="79">
        <f>267.466</f>
        <v>267.46600000000001</v>
      </c>
      <c r="E151" s="87">
        <f>133.845</f>
        <v>133.845</v>
      </c>
      <c r="F151" s="79">
        <f>278.484-40-25-60</f>
        <v>153.48399999999998</v>
      </c>
      <c r="G151" s="81">
        <v>40</v>
      </c>
      <c r="H151" s="79">
        <f t="shared" si="26"/>
        <v>85</v>
      </c>
      <c r="I151" s="79">
        <f t="shared" si="19"/>
        <v>0</v>
      </c>
      <c r="J151" s="81">
        <v>100</v>
      </c>
      <c r="K151" s="81">
        <v>300</v>
      </c>
      <c r="L151" s="79">
        <f t="shared" si="22"/>
        <v>1274</v>
      </c>
      <c r="M151" s="89">
        <v>600</v>
      </c>
      <c r="N151" s="79">
        <f>30</f>
        <v>30</v>
      </c>
      <c r="O151" s="81">
        <v>240</v>
      </c>
      <c r="P151" s="81">
        <v>160</v>
      </c>
      <c r="Q151" s="81">
        <f t="shared" si="23"/>
        <v>195</v>
      </c>
      <c r="R151" s="81">
        <f t="shared" si="24"/>
        <v>100</v>
      </c>
      <c r="S151" s="79">
        <f t="shared" si="25"/>
        <v>695</v>
      </c>
      <c r="T151" s="79">
        <f>0</f>
        <v>0</v>
      </c>
      <c r="U151" s="77"/>
      <c r="V151" s="77"/>
      <c r="W151" s="77"/>
      <c r="X151" s="77"/>
      <c r="Y151" s="77"/>
      <c r="Z151" s="77"/>
      <c r="AA151" s="77"/>
      <c r="AB151" s="77"/>
      <c r="AC151" s="77"/>
      <c r="AD151" s="77"/>
    </row>
    <row r="152" spans="1:30" ht="15.75" x14ac:dyDescent="0.25">
      <c r="A152" s="16">
        <v>45536</v>
      </c>
      <c r="B152" s="92">
        <v>30</v>
      </c>
      <c r="C152" s="79">
        <f>194.205</f>
        <v>194.20500000000001</v>
      </c>
      <c r="D152" s="79">
        <f>267.466</f>
        <v>267.46600000000001</v>
      </c>
      <c r="E152" s="87">
        <f>133.845</f>
        <v>133.845</v>
      </c>
      <c r="F152" s="79">
        <f>278.484-40-25-60</f>
        <v>153.48399999999998</v>
      </c>
      <c r="G152" s="81">
        <v>40</v>
      </c>
      <c r="H152" s="79">
        <f t="shared" si="26"/>
        <v>85</v>
      </c>
      <c r="I152" s="79">
        <f t="shared" si="19"/>
        <v>0</v>
      </c>
      <c r="J152" s="81">
        <v>100</v>
      </c>
      <c r="K152" s="81">
        <v>300</v>
      </c>
      <c r="L152" s="79">
        <f t="shared" si="22"/>
        <v>1274</v>
      </c>
      <c r="M152" s="89">
        <v>600</v>
      </c>
      <c r="N152" s="79">
        <f>30</f>
        <v>30</v>
      </c>
      <c r="O152" s="81">
        <v>240</v>
      </c>
      <c r="P152" s="81">
        <v>160</v>
      </c>
      <c r="Q152" s="81">
        <f t="shared" si="23"/>
        <v>195</v>
      </c>
      <c r="R152" s="81">
        <f t="shared" si="24"/>
        <v>100</v>
      </c>
      <c r="S152" s="79">
        <f t="shared" si="25"/>
        <v>695</v>
      </c>
      <c r="T152" s="79">
        <f>0</f>
        <v>0</v>
      </c>
      <c r="U152" s="77"/>
      <c r="V152" s="77"/>
      <c r="W152" s="77"/>
      <c r="X152" s="77"/>
      <c r="Y152" s="77"/>
      <c r="Z152" s="77"/>
      <c r="AA152" s="77"/>
      <c r="AB152" s="77"/>
      <c r="AC152" s="77"/>
      <c r="AD152" s="77"/>
    </row>
    <row r="153" spans="1:30" ht="15.75" x14ac:dyDescent="0.25">
      <c r="A153" s="16">
        <v>45566</v>
      </c>
      <c r="B153" s="92">
        <v>31</v>
      </c>
      <c r="C153" s="79">
        <f>131.881</f>
        <v>131.881</v>
      </c>
      <c r="D153" s="79">
        <f>277.167</f>
        <v>277.16699999999997</v>
      </c>
      <c r="E153" s="87">
        <f>79.08</f>
        <v>79.08</v>
      </c>
      <c r="F153" s="79">
        <f>350.872-40-25-60</f>
        <v>225.87200000000001</v>
      </c>
      <c r="G153" s="81">
        <v>40</v>
      </c>
      <c r="H153" s="79">
        <f t="shared" si="26"/>
        <v>85</v>
      </c>
      <c r="I153" s="79">
        <f t="shared" si="19"/>
        <v>0</v>
      </c>
      <c r="J153" s="81">
        <v>100</v>
      </c>
      <c r="K153" s="81">
        <v>300</v>
      </c>
      <c r="L153" s="79">
        <f t="shared" si="22"/>
        <v>1239</v>
      </c>
      <c r="M153" s="89">
        <v>600</v>
      </c>
      <c r="N153" s="79">
        <f>75</f>
        <v>75</v>
      </c>
      <c r="O153" s="81">
        <v>240</v>
      </c>
      <c r="P153" s="81">
        <v>160</v>
      </c>
      <c r="Q153" s="81">
        <f t="shared" si="23"/>
        <v>195</v>
      </c>
      <c r="R153" s="81">
        <f t="shared" si="24"/>
        <v>100</v>
      </c>
      <c r="S153" s="79">
        <f t="shared" si="25"/>
        <v>695</v>
      </c>
      <c r="T153" s="79">
        <f>0</f>
        <v>0</v>
      </c>
      <c r="U153" s="77"/>
      <c r="V153" s="77"/>
      <c r="W153" s="77"/>
      <c r="X153" s="77"/>
      <c r="Y153" s="77"/>
      <c r="Z153" s="77"/>
      <c r="AA153" s="77"/>
      <c r="AB153" s="77"/>
      <c r="AC153" s="77"/>
      <c r="AD153" s="77"/>
    </row>
    <row r="154" spans="1:30" ht="15.75" x14ac:dyDescent="0.25">
      <c r="A154" s="16">
        <v>45597</v>
      </c>
      <c r="B154" s="92">
        <v>30</v>
      </c>
      <c r="C154" s="79">
        <f>122.58</f>
        <v>122.58</v>
      </c>
      <c r="D154" s="79">
        <f>297.941</f>
        <v>297.94099999999997</v>
      </c>
      <c r="E154" s="87">
        <f>89.177</f>
        <v>89.177000000000007</v>
      </c>
      <c r="F154" s="79">
        <f>240.302-40-60</f>
        <v>140.30199999999999</v>
      </c>
      <c r="G154" s="81">
        <v>40</v>
      </c>
      <c r="H154" s="79">
        <v>60</v>
      </c>
      <c r="I154" s="79">
        <f t="shared" si="19"/>
        <v>0</v>
      </c>
      <c r="J154" s="81">
        <v>100</v>
      </c>
      <c r="K154" s="81">
        <v>300</v>
      </c>
      <c r="L154" s="79">
        <f t="shared" si="22"/>
        <v>1150</v>
      </c>
      <c r="M154" s="89">
        <v>600</v>
      </c>
      <c r="N154" s="79">
        <f>100</f>
        <v>100</v>
      </c>
      <c r="O154" s="81">
        <v>240</v>
      </c>
      <c r="P154" s="81">
        <v>40</v>
      </c>
      <c r="Q154" s="81">
        <f t="shared" si="23"/>
        <v>315</v>
      </c>
      <c r="R154" s="81">
        <f t="shared" si="24"/>
        <v>100</v>
      </c>
      <c r="S154" s="79">
        <f t="shared" si="25"/>
        <v>695</v>
      </c>
      <c r="T154" s="79">
        <f>50</f>
        <v>50</v>
      </c>
      <c r="U154" s="77"/>
      <c r="V154" s="77"/>
      <c r="W154" s="77"/>
      <c r="X154" s="77"/>
      <c r="Y154" s="77"/>
      <c r="Z154" s="77"/>
      <c r="AA154" s="77"/>
      <c r="AB154" s="77"/>
      <c r="AC154" s="77"/>
      <c r="AD154" s="77"/>
    </row>
    <row r="155" spans="1:30" ht="15.75" x14ac:dyDescent="0.25">
      <c r="A155" s="16">
        <v>45627</v>
      </c>
      <c r="B155" s="92">
        <v>31</v>
      </c>
      <c r="C155" s="79">
        <f>122.58</f>
        <v>122.58</v>
      </c>
      <c r="D155" s="79">
        <f>297.941</f>
        <v>297.94099999999997</v>
      </c>
      <c r="E155" s="87">
        <f>89.177</f>
        <v>89.177000000000007</v>
      </c>
      <c r="F155" s="79">
        <f>240.302-40-60</f>
        <v>140.30199999999999</v>
      </c>
      <c r="G155" s="81">
        <v>40</v>
      </c>
      <c r="H155" s="79">
        <v>60</v>
      </c>
      <c r="I155" s="79">
        <f t="shared" si="19"/>
        <v>0</v>
      </c>
      <c r="J155" s="81">
        <v>100</v>
      </c>
      <c r="K155" s="81">
        <v>300</v>
      </c>
      <c r="L155" s="79">
        <f t="shared" si="22"/>
        <v>1150</v>
      </c>
      <c r="M155" s="89">
        <v>600</v>
      </c>
      <c r="N155" s="79">
        <f>100</f>
        <v>100</v>
      </c>
      <c r="O155" s="81">
        <v>240</v>
      </c>
      <c r="P155" s="81">
        <v>40</v>
      </c>
      <c r="Q155" s="81">
        <f t="shared" si="23"/>
        <v>315</v>
      </c>
      <c r="R155" s="81">
        <f t="shared" si="24"/>
        <v>100</v>
      </c>
      <c r="S155" s="79">
        <f t="shared" si="25"/>
        <v>695</v>
      </c>
      <c r="T155" s="79">
        <f>50</f>
        <v>50</v>
      </c>
      <c r="U155" s="77"/>
      <c r="V155" s="77"/>
      <c r="W155" s="77"/>
      <c r="X155" s="77"/>
      <c r="Y155" s="77"/>
      <c r="Z155" s="77"/>
      <c r="AA155" s="77"/>
      <c r="AB155" s="77"/>
      <c r="AC155" s="77"/>
      <c r="AD155" s="77"/>
    </row>
    <row r="156" spans="1:30" ht="15.75" x14ac:dyDescent="0.25">
      <c r="A156" s="16">
        <v>45658</v>
      </c>
      <c r="B156" s="92">
        <v>31</v>
      </c>
      <c r="C156" s="79">
        <f>122.58</f>
        <v>122.58</v>
      </c>
      <c r="D156" s="79">
        <f>297.941</f>
        <v>297.94099999999997</v>
      </c>
      <c r="E156" s="87">
        <f>89.177</f>
        <v>89.177000000000007</v>
      </c>
      <c r="F156" s="79">
        <f>240.302-40-60</f>
        <v>140.30199999999999</v>
      </c>
      <c r="G156" s="81">
        <v>40</v>
      </c>
      <c r="H156" s="79">
        <v>60</v>
      </c>
      <c r="I156" s="79">
        <f t="shared" si="19"/>
        <v>0</v>
      </c>
      <c r="J156" s="81">
        <v>100</v>
      </c>
      <c r="K156" s="81">
        <v>300</v>
      </c>
      <c r="L156" s="79">
        <f t="shared" si="22"/>
        <v>1150</v>
      </c>
      <c r="M156" s="89">
        <v>600</v>
      </c>
      <c r="N156" s="79">
        <f>100</f>
        <v>100</v>
      </c>
      <c r="O156" s="81">
        <v>240</v>
      </c>
      <c r="P156" s="81">
        <v>40</v>
      </c>
      <c r="Q156" s="81">
        <f t="shared" si="23"/>
        <v>315</v>
      </c>
      <c r="R156" s="81">
        <f t="shared" si="24"/>
        <v>100</v>
      </c>
      <c r="S156" s="79">
        <f t="shared" si="25"/>
        <v>695</v>
      </c>
      <c r="T156" s="79">
        <f>50</f>
        <v>50</v>
      </c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</row>
    <row r="157" spans="1:30" ht="15.75" x14ac:dyDescent="0.25">
      <c r="A157" s="16">
        <v>45689</v>
      </c>
      <c r="B157" s="92">
        <v>28</v>
      </c>
      <c r="C157" s="79">
        <f>122.58</f>
        <v>122.58</v>
      </c>
      <c r="D157" s="79">
        <f>297.941</f>
        <v>297.94099999999997</v>
      </c>
      <c r="E157" s="87">
        <f>89.177</f>
        <v>89.177000000000007</v>
      </c>
      <c r="F157" s="79">
        <f>240.302-40-60</f>
        <v>140.30199999999999</v>
      </c>
      <c r="G157" s="81">
        <v>40</v>
      </c>
      <c r="H157" s="79">
        <v>60</v>
      </c>
      <c r="I157" s="79">
        <f t="shared" si="19"/>
        <v>0</v>
      </c>
      <c r="J157" s="81">
        <v>100</v>
      </c>
      <c r="K157" s="81">
        <v>300</v>
      </c>
      <c r="L157" s="79">
        <f t="shared" si="22"/>
        <v>1150</v>
      </c>
      <c r="M157" s="89">
        <v>600</v>
      </c>
      <c r="N157" s="79">
        <f>100</f>
        <v>100</v>
      </c>
      <c r="O157" s="81">
        <v>240</v>
      </c>
      <c r="P157" s="81">
        <v>40</v>
      </c>
      <c r="Q157" s="81">
        <f t="shared" si="23"/>
        <v>315</v>
      </c>
      <c r="R157" s="81">
        <f t="shared" si="24"/>
        <v>100</v>
      </c>
      <c r="S157" s="79">
        <f t="shared" si="25"/>
        <v>695</v>
      </c>
      <c r="T157" s="79">
        <f>50</f>
        <v>50</v>
      </c>
      <c r="U157" s="77"/>
      <c r="V157" s="77"/>
      <c r="W157" s="77"/>
      <c r="X157" s="77"/>
      <c r="Y157" s="77"/>
      <c r="Z157" s="77"/>
      <c r="AA157" s="77"/>
      <c r="AB157" s="77"/>
      <c r="AC157" s="77"/>
      <c r="AD157" s="77"/>
    </row>
    <row r="158" spans="1:30" ht="15.75" x14ac:dyDescent="0.25">
      <c r="A158" s="16">
        <v>45717</v>
      </c>
      <c r="B158" s="92">
        <v>31</v>
      </c>
      <c r="C158" s="79">
        <f>122.58</f>
        <v>122.58</v>
      </c>
      <c r="D158" s="79">
        <f>297.941</f>
        <v>297.94099999999997</v>
      </c>
      <c r="E158" s="87">
        <f>89.177</f>
        <v>89.177000000000007</v>
      </c>
      <c r="F158" s="79">
        <f>240.302-40-60</f>
        <v>140.30199999999999</v>
      </c>
      <c r="G158" s="81">
        <v>40</v>
      </c>
      <c r="H158" s="79">
        <v>60</v>
      </c>
      <c r="I158" s="79">
        <f t="shared" si="19"/>
        <v>0</v>
      </c>
      <c r="J158" s="81">
        <v>100</v>
      </c>
      <c r="K158" s="81">
        <v>300</v>
      </c>
      <c r="L158" s="79">
        <f t="shared" si="22"/>
        <v>1150</v>
      </c>
      <c r="M158" s="89">
        <v>600</v>
      </c>
      <c r="N158" s="79">
        <f>100</f>
        <v>100</v>
      </c>
      <c r="O158" s="81">
        <v>240</v>
      </c>
      <c r="P158" s="81">
        <v>40</v>
      </c>
      <c r="Q158" s="81">
        <f t="shared" si="23"/>
        <v>315</v>
      </c>
      <c r="R158" s="81">
        <f t="shared" si="24"/>
        <v>100</v>
      </c>
      <c r="S158" s="79">
        <f t="shared" si="25"/>
        <v>695</v>
      </c>
      <c r="T158" s="79">
        <f>50</f>
        <v>50</v>
      </c>
      <c r="U158" s="77"/>
      <c r="V158" s="77"/>
      <c r="W158" s="77"/>
      <c r="X158" s="77"/>
      <c r="Y158" s="77"/>
      <c r="Z158" s="77"/>
      <c r="AA158" s="77"/>
      <c r="AB158" s="77"/>
      <c r="AC158" s="77"/>
      <c r="AD158" s="77"/>
    </row>
    <row r="159" spans="1:30" ht="15.75" x14ac:dyDescent="0.25">
      <c r="A159" s="16">
        <v>45748</v>
      </c>
      <c r="B159" s="92">
        <v>30</v>
      </c>
      <c r="C159" s="79">
        <f>141.293</f>
        <v>141.29300000000001</v>
      </c>
      <c r="D159" s="79">
        <f>267.993</f>
        <v>267.99299999999999</v>
      </c>
      <c r="E159" s="87">
        <f>115.016</f>
        <v>115.01600000000001</v>
      </c>
      <c r="F159" s="79">
        <f>314.698-40-25-60</f>
        <v>189.69799999999998</v>
      </c>
      <c r="G159" s="81">
        <v>40</v>
      </c>
      <c r="H159" s="79">
        <f t="shared" ref="H159:H165" si="27">25+60</f>
        <v>85</v>
      </c>
      <c r="I159" s="79">
        <f t="shared" si="19"/>
        <v>0</v>
      </c>
      <c r="J159" s="81">
        <v>100</v>
      </c>
      <c r="K159" s="81">
        <v>300</v>
      </c>
      <c r="L159" s="79">
        <f t="shared" si="22"/>
        <v>1239</v>
      </c>
      <c r="M159" s="89">
        <v>600</v>
      </c>
      <c r="N159" s="79">
        <f>100</f>
        <v>100</v>
      </c>
      <c r="O159" s="81">
        <v>240</v>
      </c>
      <c r="P159" s="81">
        <v>160</v>
      </c>
      <c r="Q159" s="81">
        <f t="shared" si="23"/>
        <v>195</v>
      </c>
      <c r="R159" s="81">
        <f t="shared" si="24"/>
        <v>100</v>
      </c>
      <c r="S159" s="79">
        <f t="shared" si="25"/>
        <v>695</v>
      </c>
      <c r="T159" s="79">
        <f>50</f>
        <v>50</v>
      </c>
      <c r="U159" s="77"/>
      <c r="V159" s="77"/>
      <c r="W159" s="77"/>
      <c r="X159" s="77"/>
      <c r="Y159" s="77"/>
      <c r="Z159" s="77"/>
      <c r="AA159" s="77"/>
      <c r="AB159" s="77"/>
      <c r="AC159" s="77"/>
      <c r="AD159" s="77"/>
    </row>
    <row r="160" spans="1:30" ht="15.75" x14ac:dyDescent="0.25">
      <c r="A160" s="16">
        <v>45778</v>
      </c>
      <c r="B160" s="92">
        <v>31</v>
      </c>
      <c r="C160" s="79">
        <f>194.205</f>
        <v>194.20500000000001</v>
      </c>
      <c r="D160" s="79">
        <f>267.466</f>
        <v>267.46600000000001</v>
      </c>
      <c r="E160" s="87">
        <f>133.845</f>
        <v>133.845</v>
      </c>
      <c r="F160" s="79">
        <f>278.484-40-25-60</f>
        <v>153.48399999999998</v>
      </c>
      <c r="G160" s="81">
        <v>40</v>
      </c>
      <c r="H160" s="79">
        <f t="shared" si="27"/>
        <v>85</v>
      </c>
      <c r="I160" s="79">
        <f t="shared" si="19"/>
        <v>0</v>
      </c>
      <c r="J160" s="81">
        <v>100</v>
      </c>
      <c r="K160" s="81">
        <v>300</v>
      </c>
      <c r="L160" s="79">
        <f t="shared" si="22"/>
        <v>1274</v>
      </c>
      <c r="M160" s="89">
        <v>600</v>
      </c>
      <c r="N160" s="79">
        <f>75</f>
        <v>75</v>
      </c>
      <c r="O160" s="81">
        <v>240</v>
      </c>
      <c r="P160" s="81">
        <v>160</v>
      </c>
      <c r="Q160" s="81">
        <f t="shared" si="23"/>
        <v>195</v>
      </c>
      <c r="R160" s="81">
        <f t="shared" si="24"/>
        <v>100</v>
      </c>
      <c r="S160" s="79">
        <f t="shared" si="25"/>
        <v>695</v>
      </c>
      <c r="T160" s="79">
        <f>50</f>
        <v>50</v>
      </c>
      <c r="U160" s="77"/>
      <c r="V160" s="77"/>
      <c r="W160" s="77"/>
      <c r="X160" s="77"/>
      <c r="Y160" s="77"/>
      <c r="Z160" s="77"/>
      <c r="AA160" s="77"/>
      <c r="AB160" s="77"/>
      <c r="AC160" s="77"/>
      <c r="AD160" s="77"/>
    </row>
    <row r="161" spans="1:30" ht="15.75" x14ac:dyDescent="0.25">
      <c r="A161" s="16">
        <v>45809</v>
      </c>
      <c r="B161" s="92">
        <v>30</v>
      </c>
      <c r="C161" s="79">
        <f>194.205</f>
        <v>194.20500000000001</v>
      </c>
      <c r="D161" s="79">
        <f>267.466</f>
        <v>267.46600000000001</v>
      </c>
      <c r="E161" s="87">
        <f>133.845</f>
        <v>133.845</v>
      </c>
      <c r="F161" s="79">
        <f>278.484-40-25-60</f>
        <v>153.48399999999998</v>
      </c>
      <c r="G161" s="81">
        <v>40</v>
      </c>
      <c r="H161" s="79">
        <f t="shared" si="27"/>
        <v>85</v>
      </c>
      <c r="I161" s="79">
        <f t="shared" si="19"/>
        <v>0</v>
      </c>
      <c r="J161" s="81">
        <v>100</v>
      </c>
      <c r="K161" s="81">
        <v>300</v>
      </c>
      <c r="L161" s="79">
        <f t="shared" si="22"/>
        <v>1274</v>
      </c>
      <c r="M161" s="89">
        <v>600</v>
      </c>
      <c r="N161" s="79">
        <f>30</f>
        <v>30</v>
      </c>
      <c r="O161" s="81">
        <v>240</v>
      </c>
      <c r="P161" s="81">
        <v>160</v>
      </c>
      <c r="Q161" s="81">
        <f t="shared" si="23"/>
        <v>195</v>
      </c>
      <c r="R161" s="81">
        <f t="shared" si="24"/>
        <v>100</v>
      </c>
      <c r="S161" s="79">
        <f t="shared" si="25"/>
        <v>695</v>
      </c>
      <c r="T161" s="79">
        <f>50</f>
        <v>50</v>
      </c>
      <c r="U161" s="77"/>
      <c r="V161" s="77"/>
      <c r="W161" s="77"/>
      <c r="X161" s="77"/>
      <c r="Y161" s="77"/>
      <c r="Z161" s="77"/>
      <c r="AA161" s="77"/>
      <c r="AB161" s="77"/>
      <c r="AC161" s="77"/>
      <c r="AD161" s="77"/>
    </row>
    <row r="162" spans="1:30" ht="15.75" x14ac:dyDescent="0.25">
      <c r="A162" s="16">
        <v>45839</v>
      </c>
      <c r="B162" s="92">
        <v>31</v>
      </c>
      <c r="C162" s="79">
        <f>194.205</f>
        <v>194.20500000000001</v>
      </c>
      <c r="D162" s="79">
        <f>267.466</f>
        <v>267.46600000000001</v>
      </c>
      <c r="E162" s="87">
        <f>133.845</f>
        <v>133.845</v>
      </c>
      <c r="F162" s="79">
        <f>278.484-40-25-60</f>
        <v>153.48399999999998</v>
      </c>
      <c r="G162" s="81">
        <v>40</v>
      </c>
      <c r="H162" s="79">
        <f t="shared" si="27"/>
        <v>85</v>
      </c>
      <c r="I162" s="79">
        <f t="shared" si="19"/>
        <v>0</v>
      </c>
      <c r="J162" s="81">
        <v>100</v>
      </c>
      <c r="K162" s="81">
        <v>300</v>
      </c>
      <c r="L162" s="79">
        <f t="shared" si="22"/>
        <v>1274</v>
      </c>
      <c r="M162" s="89">
        <v>600</v>
      </c>
      <c r="N162" s="79">
        <f>30</f>
        <v>30</v>
      </c>
      <c r="O162" s="81">
        <v>240</v>
      </c>
      <c r="P162" s="81">
        <v>160</v>
      </c>
      <c r="Q162" s="81">
        <f t="shared" si="23"/>
        <v>195</v>
      </c>
      <c r="R162" s="81">
        <f t="shared" si="24"/>
        <v>100</v>
      </c>
      <c r="S162" s="79">
        <f t="shared" si="25"/>
        <v>695</v>
      </c>
      <c r="T162" s="79">
        <f>0</f>
        <v>0</v>
      </c>
      <c r="U162" s="77"/>
      <c r="V162" s="77"/>
      <c r="W162" s="77"/>
      <c r="X162" s="77"/>
      <c r="Y162" s="77"/>
      <c r="Z162" s="77"/>
      <c r="AA162" s="77"/>
      <c r="AB162" s="77"/>
      <c r="AC162" s="77"/>
      <c r="AD162" s="77"/>
    </row>
    <row r="163" spans="1:30" ht="15.75" x14ac:dyDescent="0.25">
      <c r="A163" s="16">
        <v>45870</v>
      </c>
      <c r="B163" s="92">
        <v>31</v>
      </c>
      <c r="C163" s="79">
        <f>194.205</f>
        <v>194.20500000000001</v>
      </c>
      <c r="D163" s="79">
        <f>267.466</f>
        <v>267.46600000000001</v>
      </c>
      <c r="E163" s="87">
        <f>133.845</f>
        <v>133.845</v>
      </c>
      <c r="F163" s="79">
        <f>278.484-40-25-60</f>
        <v>153.48399999999998</v>
      </c>
      <c r="G163" s="81">
        <v>40</v>
      </c>
      <c r="H163" s="79">
        <f t="shared" si="27"/>
        <v>85</v>
      </c>
      <c r="I163" s="79">
        <f t="shared" si="19"/>
        <v>0</v>
      </c>
      <c r="J163" s="81">
        <v>100</v>
      </c>
      <c r="K163" s="81">
        <v>300</v>
      </c>
      <c r="L163" s="79">
        <f t="shared" si="22"/>
        <v>1274</v>
      </c>
      <c r="M163" s="89">
        <v>600</v>
      </c>
      <c r="N163" s="79">
        <f>30</f>
        <v>30</v>
      </c>
      <c r="O163" s="81">
        <v>240</v>
      </c>
      <c r="P163" s="81">
        <v>160</v>
      </c>
      <c r="Q163" s="81">
        <f t="shared" si="23"/>
        <v>195</v>
      </c>
      <c r="R163" s="81">
        <f t="shared" si="24"/>
        <v>100</v>
      </c>
      <c r="S163" s="79">
        <f t="shared" si="25"/>
        <v>695</v>
      </c>
      <c r="T163" s="79">
        <f>0</f>
        <v>0</v>
      </c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</row>
    <row r="164" spans="1:30" ht="15.75" x14ac:dyDescent="0.25">
      <c r="A164" s="16">
        <v>45901</v>
      </c>
      <c r="B164" s="92">
        <v>30</v>
      </c>
      <c r="C164" s="79">
        <f>194.205</f>
        <v>194.20500000000001</v>
      </c>
      <c r="D164" s="79">
        <f>267.466</f>
        <v>267.46600000000001</v>
      </c>
      <c r="E164" s="87">
        <f>133.845</f>
        <v>133.845</v>
      </c>
      <c r="F164" s="79">
        <f>278.484-40-25-60</f>
        <v>153.48399999999998</v>
      </c>
      <c r="G164" s="81">
        <v>40</v>
      </c>
      <c r="H164" s="79">
        <f t="shared" si="27"/>
        <v>85</v>
      </c>
      <c r="I164" s="79">
        <f t="shared" si="19"/>
        <v>0</v>
      </c>
      <c r="J164" s="81">
        <v>100</v>
      </c>
      <c r="K164" s="81">
        <v>300</v>
      </c>
      <c r="L164" s="79">
        <f t="shared" si="22"/>
        <v>1274</v>
      </c>
      <c r="M164" s="89">
        <v>600</v>
      </c>
      <c r="N164" s="79">
        <f>30</f>
        <v>30</v>
      </c>
      <c r="O164" s="81">
        <v>240</v>
      </c>
      <c r="P164" s="81">
        <v>160</v>
      </c>
      <c r="Q164" s="81">
        <f t="shared" si="23"/>
        <v>195</v>
      </c>
      <c r="R164" s="81">
        <f t="shared" si="24"/>
        <v>100</v>
      </c>
      <c r="S164" s="79">
        <f t="shared" si="25"/>
        <v>695</v>
      </c>
      <c r="T164" s="79">
        <f>0</f>
        <v>0</v>
      </c>
      <c r="U164" s="77"/>
      <c r="V164" s="77"/>
      <c r="W164" s="77"/>
      <c r="X164" s="77"/>
      <c r="Y164" s="77"/>
      <c r="Z164" s="77"/>
      <c r="AA164" s="77"/>
      <c r="AB164" s="77"/>
      <c r="AC164" s="77"/>
      <c r="AD164" s="77"/>
    </row>
    <row r="165" spans="1:30" ht="15.75" x14ac:dyDescent="0.25">
      <c r="A165" s="16">
        <v>45931</v>
      </c>
      <c r="B165" s="92">
        <v>31</v>
      </c>
      <c r="C165" s="79">
        <f>131.881</f>
        <v>131.881</v>
      </c>
      <c r="D165" s="79">
        <f>277.167</f>
        <v>277.16699999999997</v>
      </c>
      <c r="E165" s="87">
        <f>79.08</f>
        <v>79.08</v>
      </c>
      <c r="F165" s="79">
        <f>350.872-40-25-60</f>
        <v>225.87200000000001</v>
      </c>
      <c r="G165" s="81">
        <v>40</v>
      </c>
      <c r="H165" s="79">
        <f t="shared" si="27"/>
        <v>85</v>
      </c>
      <c r="I165" s="79">
        <f t="shared" si="19"/>
        <v>0</v>
      </c>
      <c r="J165" s="81">
        <v>100</v>
      </c>
      <c r="K165" s="81">
        <v>300</v>
      </c>
      <c r="L165" s="79">
        <f t="shared" si="22"/>
        <v>1239</v>
      </c>
      <c r="M165" s="89">
        <v>600</v>
      </c>
      <c r="N165" s="79">
        <f>75</f>
        <v>75</v>
      </c>
      <c r="O165" s="81">
        <v>240</v>
      </c>
      <c r="P165" s="81">
        <v>160</v>
      </c>
      <c r="Q165" s="81">
        <f t="shared" si="23"/>
        <v>195</v>
      </c>
      <c r="R165" s="81">
        <f t="shared" si="24"/>
        <v>100</v>
      </c>
      <c r="S165" s="79">
        <f t="shared" si="25"/>
        <v>695</v>
      </c>
      <c r="T165" s="79">
        <f>0</f>
        <v>0</v>
      </c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</row>
    <row r="166" spans="1:30" ht="15.75" x14ac:dyDescent="0.25">
      <c r="A166" s="16">
        <v>45962</v>
      </c>
      <c r="B166" s="92">
        <v>30</v>
      </c>
      <c r="C166" s="79">
        <f>122.58</f>
        <v>122.58</v>
      </c>
      <c r="D166" s="79">
        <f>297.941</f>
        <v>297.94099999999997</v>
      </c>
      <c r="E166" s="87">
        <f>89.177</f>
        <v>89.177000000000007</v>
      </c>
      <c r="F166" s="79">
        <f>240.302-40-60</f>
        <v>140.30199999999999</v>
      </c>
      <c r="G166" s="81">
        <v>40</v>
      </c>
      <c r="H166" s="79">
        <v>60</v>
      </c>
      <c r="I166" s="79">
        <f t="shared" si="19"/>
        <v>0</v>
      </c>
      <c r="J166" s="81">
        <v>100</v>
      </c>
      <c r="K166" s="81">
        <v>300</v>
      </c>
      <c r="L166" s="79">
        <f t="shared" si="22"/>
        <v>1150</v>
      </c>
      <c r="M166" s="89">
        <v>600</v>
      </c>
      <c r="N166" s="79">
        <f>100</f>
        <v>100</v>
      </c>
      <c r="O166" s="81">
        <v>240</v>
      </c>
      <c r="P166" s="81">
        <v>40</v>
      </c>
      <c r="Q166" s="81">
        <f t="shared" si="23"/>
        <v>315</v>
      </c>
      <c r="R166" s="81">
        <f t="shared" si="24"/>
        <v>100</v>
      </c>
      <c r="S166" s="79">
        <f t="shared" si="25"/>
        <v>695</v>
      </c>
      <c r="T166" s="79">
        <f>50</f>
        <v>50</v>
      </c>
      <c r="U166" s="77"/>
      <c r="V166" s="77"/>
      <c r="W166" s="77"/>
      <c r="X166" s="77"/>
      <c r="Y166" s="77"/>
      <c r="Z166" s="77"/>
      <c r="AA166" s="77"/>
      <c r="AB166" s="77"/>
      <c r="AC166" s="77"/>
      <c r="AD166" s="77"/>
    </row>
    <row r="167" spans="1:30" ht="15.75" x14ac:dyDescent="0.25">
      <c r="A167" s="16">
        <v>45992</v>
      </c>
      <c r="B167" s="92">
        <v>31</v>
      </c>
      <c r="C167" s="79">
        <f>122.58</f>
        <v>122.58</v>
      </c>
      <c r="D167" s="79">
        <f>297.941</f>
        <v>297.94099999999997</v>
      </c>
      <c r="E167" s="87">
        <f>89.177</f>
        <v>89.177000000000007</v>
      </c>
      <c r="F167" s="79">
        <f>240.302-40-60</f>
        <v>140.30199999999999</v>
      </c>
      <c r="G167" s="81">
        <v>40</v>
      </c>
      <c r="H167" s="79">
        <v>60</v>
      </c>
      <c r="I167" s="79">
        <f t="shared" si="19"/>
        <v>0</v>
      </c>
      <c r="J167" s="81">
        <v>100</v>
      </c>
      <c r="K167" s="81">
        <v>300</v>
      </c>
      <c r="L167" s="79">
        <f t="shared" si="22"/>
        <v>1150</v>
      </c>
      <c r="M167" s="89">
        <v>600</v>
      </c>
      <c r="N167" s="79">
        <f>100</f>
        <v>100</v>
      </c>
      <c r="O167" s="81">
        <v>240</v>
      </c>
      <c r="P167" s="81">
        <v>40</v>
      </c>
      <c r="Q167" s="81">
        <f t="shared" si="23"/>
        <v>315</v>
      </c>
      <c r="R167" s="81">
        <f t="shared" si="24"/>
        <v>100</v>
      </c>
      <c r="S167" s="79">
        <f t="shared" si="25"/>
        <v>695</v>
      </c>
      <c r="T167" s="79">
        <f>50</f>
        <v>50</v>
      </c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</row>
    <row r="168" spans="1:30" ht="15.75" x14ac:dyDescent="0.25">
      <c r="A168" s="16">
        <v>46023</v>
      </c>
      <c r="B168" s="92">
        <v>31</v>
      </c>
      <c r="C168" s="79">
        <f>122.58</f>
        <v>122.58</v>
      </c>
      <c r="D168" s="79">
        <f>297.941</f>
        <v>297.94099999999997</v>
      </c>
      <c r="E168" s="87">
        <f>89.177</f>
        <v>89.177000000000007</v>
      </c>
      <c r="F168" s="79">
        <f>240.302-40-60</f>
        <v>140.30199999999999</v>
      </c>
      <c r="G168" s="81">
        <v>40</v>
      </c>
      <c r="H168" s="79">
        <v>60</v>
      </c>
      <c r="I168" s="79">
        <f t="shared" si="19"/>
        <v>0</v>
      </c>
      <c r="J168" s="81">
        <v>100</v>
      </c>
      <c r="K168" s="81">
        <v>300</v>
      </c>
      <c r="L168" s="79">
        <f t="shared" si="22"/>
        <v>1150</v>
      </c>
      <c r="M168" s="89">
        <v>600</v>
      </c>
      <c r="N168" s="79">
        <f>100</f>
        <v>100</v>
      </c>
      <c r="O168" s="81">
        <v>240</v>
      </c>
      <c r="P168" s="81">
        <v>40</v>
      </c>
      <c r="Q168" s="81">
        <f t="shared" si="23"/>
        <v>315</v>
      </c>
      <c r="R168" s="81">
        <f t="shared" si="24"/>
        <v>100</v>
      </c>
      <c r="S168" s="79">
        <f t="shared" si="25"/>
        <v>695</v>
      </c>
      <c r="T168" s="79">
        <f>50</f>
        <v>50</v>
      </c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</row>
    <row r="169" spans="1:30" ht="15.75" x14ac:dyDescent="0.25">
      <c r="A169" s="16">
        <v>46054</v>
      </c>
      <c r="B169" s="92">
        <v>28</v>
      </c>
      <c r="C169" s="79">
        <f>122.58</f>
        <v>122.58</v>
      </c>
      <c r="D169" s="79">
        <f>297.941</f>
        <v>297.94099999999997</v>
      </c>
      <c r="E169" s="87">
        <f>89.177</f>
        <v>89.177000000000007</v>
      </c>
      <c r="F169" s="79">
        <f>240.302-40-60</f>
        <v>140.30199999999999</v>
      </c>
      <c r="G169" s="81">
        <v>40</v>
      </c>
      <c r="H169" s="79">
        <v>60</v>
      </c>
      <c r="I169" s="79">
        <f t="shared" si="19"/>
        <v>0</v>
      </c>
      <c r="J169" s="81">
        <v>100</v>
      </c>
      <c r="K169" s="81">
        <v>300</v>
      </c>
      <c r="L169" s="79">
        <f t="shared" si="22"/>
        <v>1150</v>
      </c>
      <c r="M169" s="89">
        <v>600</v>
      </c>
      <c r="N169" s="79">
        <f>100</f>
        <v>100</v>
      </c>
      <c r="O169" s="81">
        <v>240</v>
      </c>
      <c r="P169" s="81">
        <v>40</v>
      </c>
      <c r="Q169" s="81">
        <f t="shared" si="23"/>
        <v>315</v>
      </c>
      <c r="R169" s="81">
        <f t="shared" si="24"/>
        <v>100</v>
      </c>
      <c r="S169" s="79">
        <f t="shared" si="25"/>
        <v>695</v>
      </c>
      <c r="T169" s="79">
        <f>50</f>
        <v>50</v>
      </c>
      <c r="U169" s="77"/>
      <c r="V169" s="77"/>
      <c r="W169" s="77"/>
      <c r="X169" s="77"/>
      <c r="Y169" s="77"/>
      <c r="Z169" s="77"/>
      <c r="AA169" s="77"/>
      <c r="AB169" s="77"/>
      <c r="AC169" s="77"/>
      <c r="AD169" s="77"/>
    </row>
    <row r="170" spans="1:30" ht="15.75" x14ac:dyDescent="0.25">
      <c r="A170" s="16">
        <v>46082</v>
      </c>
      <c r="B170" s="92">
        <v>31</v>
      </c>
      <c r="C170" s="79">
        <f>122.58</f>
        <v>122.58</v>
      </c>
      <c r="D170" s="79">
        <f>297.941</f>
        <v>297.94099999999997</v>
      </c>
      <c r="E170" s="87">
        <f>89.177</f>
        <v>89.177000000000007</v>
      </c>
      <c r="F170" s="79">
        <f>240.302-40-60</f>
        <v>140.30199999999999</v>
      </c>
      <c r="G170" s="81">
        <v>40</v>
      </c>
      <c r="H170" s="79">
        <v>60</v>
      </c>
      <c r="I170" s="79">
        <f t="shared" si="19"/>
        <v>0</v>
      </c>
      <c r="J170" s="81">
        <v>100</v>
      </c>
      <c r="K170" s="81">
        <v>300</v>
      </c>
      <c r="L170" s="79">
        <f t="shared" si="22"/>
        <v>1150</v>
      </c>
      <c r="M170" s="89">
        <v>600</v>
      </c>
      <c r="N170" s="79">
        <f>100</f>
        <v>100</v>
      </c>
      <c r="O170" s="81">
        <v>240</v>
      </c>
      <c r="P170" s="81">
        <v>40</v>
      </c>
      <c r="Q170" s="81">
        <f t="shared" si="23"/>
        <v>315</v>
      </c>
      <c r="R170" s="81">
        <f t="shared" si="24"/>
        <v>100</v>
      </c>
      <c r="S170" s="79">
        <f t="shared" si="25"/>
        <v>695</v>
      </c>
      <c r="T170" s="79">
        <f>50</f>
        <v>50</v>
      </c>
      <c r="U170" s="77"/>
      <c r="V170" s="77"/>
      <c r="W170" s="77"/>
      <c r="X170" s="77"/>
      <c r="Y170" s="77"/>
      <c r="Z170" s="77"/>
      <c r="AA170" s="77"/>
      <c r="AB170" s="77"/>
      <c r="AC170" s="77"/>
      <c r="AD170" s="77"/>
    </row>
    <row r="171" spans="1:30" ht="15.75" x14ac:dyDescent="0.25">
      <c r="A171" s="16">
        <v>46113</v>
      </c>
      <c r="B171" s="92">
        <v>30</v>
      </c>
      <c r="C171" s="79">
        <f>141.293</f>
        <v>141.29300000000001</v>
      </c>
      <c r="D171" s="79">
        <f>267.993</f>
        <v>267.99299999999999</v>
      </c>
      <c r="E171" s="87">
        <f>115.016</f>
        <v>115.01600000000001</v>
      </c>
      <c r="F171" s="79">
        <f>314.698-40-25-60</f>
        <v>189.69799999999998</v>
      </c>
      <c r="G171" s="81">
        <v>40</v>
      </c>
      <c r="H171" s="79">
        <f t="shared" ref="H171:H177" si="28">25+60</f>
        <v>85</v>
      </c>
      <c r="I171" s="79">
        <f t="shared" si="19"/>
        <v>0</v>
      </c>
      <c r="J171" s="81">
        <v>100</v>
      </c>
      <c r="K171" s="81">
        <v>300</v>
      </c>
      <c r="L171" s="79">
        <f t="shared" si="22"/>
        <v>1239</v>
      </c>
      <c r="M171" s="89">
        <v>600</v>
      </c>
      <c r="N171" s="79">
        <f>100</f>
        <v>100</v>
      </c>
      <c r="O171" s="81">
        <v>240</v>
      </c>
      <c r="P171" s="81">
        <v>160</v>
      </c>
      <c r="Q171" s="81">
        <f t="shared" si="23"/>
        <v>195</v>
      </c>
      <c r="R171" s="81">
        <f t="shared" si="24"/>
        <v>100</v>
      </c>
      <c r="S171" s="79">
        <f t="shared" si="25"/>
        <v>695</v>
      </c>
      <c r="T171" s="79">
        <f>50</f>
        <v>50</v>
      </c>
      <c r="U171" s="77"/>
      <c r="V171" s="77"/>
      <c r="W171" s="77"/>
      <c r="X171" s="77"/>
      <c r="Y171" s="77"/>
      <c r="Z171" s="77"/>
      <c r="AA171" s="77"/>
      <c r="AB171" s="77"/>
      <c r="AC171" s="77"/>
      <c r="AD171" s="77"/>
    </row>
    <row r="172" spans="1:30" ht="15.75" x14ac:dyDescent="0.25">
      <c r="A172" s="16">
        <v>46143</v>
      </c>
      <c r="B172" s="92">
        <v>31</v>
      </c>
      <c r="C172" s="79">
        <f>194.205</f>
        <v>194.20500000000001</v>
      </c>
      <c r="D172" s="79">
        <f>267.466</f>
        <v>267.46600000000001</v>
      </c>
      <c r="E172" s="87">
        <f>133.845</f>
        <v>133.845</v>
      </c>
      <c r="F172" s="79">
        <f>278.484-40-25-60</f>
        <v>153.48399999999998</v>
      </c>
      <c r="G172" s="81">
        <v>40</v>
      </c>
      <c r="H172" s="79">
        <f t="shared" si="28"/>
        <v>85</v>
      </c>
      <c r="I172" s="79">
        <f t="shared" si="19"/>
        <v>0</v>
      </c>
      <c r="J172" s="81">
        <v>100</v>
      </c>
      <c r="K172" s="81">
        <v>300</v>
      </c>
      <c r="L172" s="79">
        <f t="shared" si="22"/>
        <v>1274</v>
      </c>
      <c r="M172" s="89">
        <v>600</v>
      </c>
      <c r="N172" s="79">
        <f>75</f>
        <v>75</v>
      </c>
      <c r="O172" s="81">
        <v>240</v>
      </c>
      <c r="P172" s="81">
        <v>160</v>
      </c>
      <c r="Q172" s="81">
        <f t="shared" si="23"/>
        <v>195</v>
      </c>
      <c r="R172" s="81">
        <f t="shared" si="24"/>
        <v>100</v>
      </c>
      <c r="S172" s="79">
        <f t="shared" si="25"/>
        <v>695</v>
      </c>
      <c r="T172" s="79">
        <f>50</f>
        <v>50</v>
      </c>
      <c r="U172" s="77"/>
      <c r="V172" s="77"/>
      <c r="W172" s="77"/>
      <c r="X172" s="77"/>
      <c r="Y172" s="77"/>
      <c r="Z172" s="77"/>
      <c r="AA172" s="77"/>
      <c r="AB172" s="77"/>
      <c r="AC172" s="77"/>
      <c r="AD172" s="77"/>
    </row>
    <row r="173" spans="1:30" ht="15.75" x14ac:dyDescent="0.25">
      <c r="A173" s="16">
        <v>46174</v>
      </c>
      <c r="B173" s="92">
        <v>30</v>
      </c>
      <c r="C173" s="79">
        <f>194.205</f>
        <v>194.20500000000001</v>
      </c>
      <c r="D173" s="79">
        <f>267.466</f>
        <v>267.46600000000001</v>
      </c>
      <c r="E173" s="87">
        <f>133.845</f>
        <v>133.845</v>
      </c>
      <c r="F173" s="79">
        <f>278.484-40-25-60</f>
        <v>153.48399999999998</v>
      </c>
      <c r="G173" s="81">
        <v>40</v>
      </c>
      <c r="H173" s="79">
        <f t="shared" si="28"/>
        <v>85</v>
      </c>
      <c r="I173" s="79">
        <f t="shared" si="19"/>
        <v>0</v>
      </c>
      <c r="J173" s="81">
        <v>100</v>
      </c>
      <c r="K173" s="81">
        <v>300</v>
      </c>
      <c r="L173" s="79">
        <f t="shared" si="22"/>
        <v>1274</v>
      </c>
      <c r="M173" s="89">
        <v>600</v>
      </c>
      <c r="N173" s="79">
        <f>30</f>
        <v>30</v>
      </c>
      <c r="O173" s="81">
        <v>240</v>
      </c>
      <c r="P173" s="81">
        <v>160</v>
      </c>
      <c r="Q173" s="81">
        <f t="shared" si="23"/>
        <v>195</v>
      </c>
      <c r="R173" s="81">
        <f t="shared" si="24"/>
        <v>100</v>
      </c>
      <c r="S173" s="79">
        <f t="shared" si="25"/>
        <v>695</v>
      </c>
      <c r="T173" s="79">
        <f>50</f>
        <v>50</v>
      </c>
      <c r="U173" s="77"/>
      <c r="V173" s="77"/>
      <c r="W173" s="77"/>
      <c r="X173" s="77"/>
      <c r="Y173" s="77"/>
      <c r="Z173" s="77"/>
      <c r="AA173" s="77"/>
      <c r="AB173" s="77"/>
      <c r="AC173" s="77"/>
      <c r="AD173" s="77"/>
    </row>
    <row r="174" spans="1:30" ht="15.75" x14ac:dyDescent="0.25">
      <c r="A174" s="16">
        <v>46204</v>
      </c>
      <c r="B174" s="92">
        <v>31</v>
      </c>
      <c r="C174" s="79">
        <f>194.205</f>
        <v>194.20500000000001</v>
      </c>
      <c r="D174" s="79">
        <f>267.466</f>
        <v>267.46600000000001</v>
      </c>
      <c r="E174" s="87">
        <f>133.845</f>
        <v>133.845</v>
      </c>
      <c r="F174" s="79">
        <f>278.484-40-25-60</f>
        <v>153.48399999999998</v>
      </c>
      <c r="G174" s="81">
        <v>40</v>
      </c>
      <c r="H174" s="79">
        <f t="shared" si="28"/>
        <v>85</v>
      </c>
      <c r="I174" s="79">
        <f t="shared" si="19"/>
        <v>0</v>
      </c>
      <c r="J174" s="81">
        <v>100</v>
      </c>
      <c r="K174" s="81">
        <v>300</v>
      </c>
      <c r="L174" s="79">
        <f t="shared" si="22"/>
        <v>1274</v>
      </c>
      <c r="M174" s="89">
        <v>600</v>
      </c>
      <c r="N174" s="79">
        <f>30</f>
        <v>30</v>
      </c>
      <c r="O174" s="81">
        <v>240</v>
      </c>
      <c r="P174" s="81">
        <v>160</v>
      </c>
      <c r="Q174" s="81">
        <f t="shared" si="23"/>
        <v>195</v>
      </c>
      <c r="R174" s="81">
        <f t="shared" si="24"/>
        <v>100</v>
      </c>
      <c r="S174" s="79">
        <f t="shared" si="25"/>
        <v>695</v>
      </c>
      <c r="T174" s="79">
        <f>0</f>
        <v>0</v>
      </c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</row>
    <row r="175" spans="1:30" ht="15.75" x14ac:dyDescent="0.25">
      <c r="A175" s="16">
        <v>46235</v>
      </c>
      <c r="B175" s="92">
        <v>31</v>
      </c>
      <c r="C175" s="79">
        <f>194.205</f>
        <v>194.20500000000001</v>
      </c>
      <c r="D175" s="79">
        <f>267.466</f>
        <v>267.46600000000001</v>
      </c>
      <c r="E175" s="87">
        <f>133.845</f>
        <v>133.845</v>
      </c>
      <c r="F175" s="79">
        <f>278.484-40-25-60</f>
        <v>153.48399999999998</v>
      </c>
      <c r="G175" s="81">
        <v>40</v>
      </c>
      <c r="H175" s="79">
        <f t="shared" si="28"/>
        <v>85</v>
      </c>
      <c r="I175" s="79">
        <f t="shared" si="19"/>
        <v>0</v>
      </c>
      <c r="J175" s="81">
        <v>100</v>
      </c>
      <c r="K175" s="81">
        <v>300</v>
      </c>
      <c r="L175" s="79">
        <f t="shared" si="22"/>
        <v>1274</v>
      </c>
      <c r="M175" s="89">
        <v>600</v>
      </c>
      <c r="N175" s="79">
        <f>30</f>
        <v>30</v>
      </c>
      <c r="O175" s="81">
        <v>240</v>
      </c>
      <c r="P175" s="81">
        <v>160</v>
      </c>
      <c r="Q175" s="81">
        <f t="shared" si="23"/>
        <v>195</v>
      </c>
      <c r="R175" s="81">
        <f t="shared" si="24"/>
        <v>100</v>
      </c>
      <c r="S175" s="79">
        <f t="shared" si="25"/>
        <v>695</v>
      </c>
      <c r="T175" s="79">
        <f>0</f>
        <v>0</v>
      </c>
      <c r="U175" s="77"/>
      <c r="V175" s="77"/>
      <c r="W175" s="77"/>
      <c r="X175" s="77"/>
      <c r="Y175" s="77"/>
      <c r="Z175" s="77"/>
      <c r="AA175" s="77"/>
      <c r="AB175" s="77"/>
      <c r="AC175" s="77"/>
      <c r="AD175" s="77"/>
    </row>
    <row r="176" spans="1:30" ht="15.75" x14ac:dyDescent="0.25">
      <c r="A176" s="16">
        <v>46266</v>
      </c>
      <c r="B176" s="92">
        <v>30</v>
      </c>
      <c r="C176" s="79">
        <f>194.205</f>
        <v>194.20500000000001</v>
      </c>
      <c r="D176" s="79">
        <f>267.466</f>
        <v>267.46600000000001</v>
      </c>
      <c r="E176" s="87">
        <f>133.845</f>
        <v>133.845</v>
      </c>
      <c r="F176" s="79">
        <f>278.484-40-25-60</f>
        <v>153.48399999999998</v>
      </c>
      <c r="G176" s="81">
        <v>40</v>
      </c>
      <c r="H176" s="79">
        <f t="shared" si="28"/>
        <v>85</v>
      </c>
      <c r="I176" s="79">
        <f t="shared" si="19"/>
        <v>0</v>
      </c>
      <c r="J176" s="81">
        <v>100</v>
      </c>
      <c r="K176" s="81">
        <v>300</v>
      </c>
      <c r="L176" s="79">
        <f t="shared" si="22"/>
        <v>1274</v>
      </c>
      <c r="M176" s="89">
        <v>600</v>
      </c>
      <c r="N176" s="79">
        <f>30</f>
        <v>30</v>
      </c>
      <c r="O176" s="81">
        <v>240</v>
      </c>
      <c r="P176" s="81">
        <v>160</v>
      </c>
      <c r="Q176" s="81">
        <f t="shared" si="23"/>
        <v>195</v>
      </c>
      <c r="R176" s="81">
        <f t="shared" si="24"/>
        <v>100</v>
      </c>
      <c r="S176" s="79">
        <f t="shared" si="25"/>
        <v>695</v>
      </c>
      <c r="T176" s="79">
        <f>0</f>
        <v>0</v>
      </c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</row>
    <row r="177" spans="1:30" ht="15.75" x14ac:dyDescent="0.25">
      <c r="A177" s="16">
        <v>46296</v>
      </c>
      <c r="B177" s="92">
        <v>31</v>
      </c>
      <c r="C177" s="79">
        <f>131.881</f>
        <v>131.881</v>
      </c>
      <c r="D177" s="79">
        <f>277.167</f>
        <v>277.16699999999997</v>
      </c>
      <c r="E177" s="87">
        <f>79.08</f>
        <v>79.08</v>
      </c>
      <c r="F177" s="79">
        <f>350.872-40-25-60</f>
        <v>225.87200000000001</v>
      </c>
      <c r="G177" s="81">
        <v>40</v>
      </c>
      <c r="H177" s="79">
        <f t="shared" si="28"/>
        <v>85</v>
      </c>
      <c r="I177" s="79">
        <f t="shared" si="19"/>
        <v>0</v>
      </c>
      <c r="J177" s="81">
        <v>100</v>
      </c>
      <c r="K177" s="81">
        <v>300</v>
      </c>
      <c r="L177" s="79">
        <f t="shared" si="22"/>
        <v>1239</v>
      </c>
      <c r="M177" s="89">
        <v>600</v>
      </c>
      <c r="N177" s="79">
        <f>75</f>
        <v>75</v>
      </c>
      <c r="O177" s="81">
        <v>240</v>
      </c>
      <c r="P177" s="81">
        <v>160</v>
      </c>
      <c r="Q177" s="81">
        <f t="shared" si="23"/>
        <v>195</v>
      </c>
      <c r="R177" s="81">
        <f t="shared" si="24"/>
        <v>100</v>
      </c>
      <c r="S177" s="79">
        <f t="shared" si="25"/>
        <v>695</v>
      </c>
      <c r="T177" s="79">
        <f>0</f>
        <v>0</v>
      </c>
      <c r="U177" s="77"/>
      <c r="V177" s="77"/>
      <c r="W177" s="77"/>
      <c r="X177" s="77"/>
      <c r="Y177" s="77"/>
      <c r="Z177" s="77"/>
      <c r="AA177" s="77"/>
      <c r="AB177" s="77"/>
      <c r="AC177" s="77"/>
      <c r="AD177" s="77"/>
    </row>
    <row r="178" spans="1:30" ht="15.75" x14ac:dyDescent="0.25">
      <c r="A178" s="16">
        <v>46327</v>
      </c>
      <c r="B178" s="92">
        <v>30</v>
      </c>
      <c r="C178" s="79">
        <f>122.58</f>
        <v>122.58</v>
      </c>
      <c r="D178" s="79">
        <f>297.941</f>
        <v>297.94099999999997</v>
      </c>
      <c r="E178" s="87">
        <f>89.177</f>
        <v>89.177000000000007</v>
      </c>
      <c r="F178" s="79">
        <f>240.302-40-60</f>
        <v>140.30199999999999</v>
      </c>
      <c r="G178" s="81">
        <v>40</v>
      </c>
      <c r="H178" s="79">
        <v>60</v>
      </c>
      <c r="I178" s="79">
        <f t="shared" si="19"/>
        <v>0</v>
      </c>
      <c r="J178" s="81">
        <v>100</v>
      </c>
      <c r="K178" s="81">
        <v>300</v>
      </c>
      <c r="L178" s="79">
        <f t="shared" si="22"/>
        <v>1150</v>
      </c>
      <c r="M178" s="89">
        <v>600</v>
      </c>
      <c r="N178" s="79">
        <f>100</f>
        <v>100</v>
      </c>
      <c r="O178" s="81">
        <v>240</v>
      </c>
      <c r="P178" s="81">
        <v>40</v>
      </c>
      <c r="Q178" s="81">
        <f t="shared" si="23"/>
        <v>315</v>
      </c>
      <c r="R178" s="81">
        <f t="shared" si="24"/>
        <v>100</v>
      </c>
      <c r="S178" s="79">
        <f t="shared" si="25"/>
        <v>695</v>
      </c>
      <c r="T178" s="79">
        <f>50</f>
        <v>50</v>
      </c>
      <c r="U178" s="77"/>
      <c r="V178" s="77"/>
      <c r="W178" s="77"/>
      <c r="X178" s="77"/>
      <c r="Y178" s="77"/>
      <c r="Z178" s="77"/>
      <c r="AA178" s="77"/>
      <c r="AB178" s="77"/>
      <c r="AC178" s="77"/>
      <c r="AD178" s="77"/>
    </row>
    <row r="179" spans="1:30" ht="15.75" x14ac:dyDescent="0.25">
      <c r="A179" s="16">
        <v>46357</v>
      </c>
      <c r="B179" s="92">
        <v>31</v>
      </c>
      <c r="C179" s="79">
        <f>122.58</f>
        <v>122.58</v>
      </c>
      <c r="D179" s="79">
        <f>297.941</f>
        <v>297.94099999999997</v>
      </c>
      <c r="E179" s="87">
        <f>89.177</f>
        <v>89.177000000000007</v>
      </c>
      <c r="F179" s="79">
        <f>240.302-40-60</f>
        <v>140.30199999999999</v>
      </c>
      <c r="G179" s="81">
        <v>40</v>
      </c>
      <c r="H179" s="79">
        <v>60</v>
      </c>
      <c r="I179" s="79">
        <f t="shared" si="19"/>
        <v>0</v>
      </c>
      <c r="J179" s="81">
        <v>100</v>
      </c>
      <c r="K179" s="81">
        <v>300</v>
      </c>
      <c r="L179" s="79">
        <f t="shared" si="22"/>
        <v>1150</v>
      </c>
      <c r="M179" s="89">
        <v>600</v>
      </c>
      <c r="N179" s="79">
        <f>100</f>
        <v>100</v>
      </c>
      <c r="O179" s="81">
        <v>240</v>
      </c>
      <c r="P179" s="81">
        <v>40</v>
      </c>
      <c r="Q179" s="81">
        <f t="shared" si="23"/>
        <v>315</v>
      </c>
      <c r="R179" s="81">
        <f t="shared" si="24"/>
        <v>100</v>
      </c>
      <c r="S179" s="79">
        <f t="shared" si="25"/>
        <v>695</v>
      </c>
      <c r="T179" s="79">
        <f>50</f>
        <v>50</v>
      </c>
      <c r="U179" s="77"/>
      <c r="V179" s="77"/>
      <c r="W179" s="77"/>
      <c r="X179" s="77"/>
      <c r="Y179" s="77"/>
      <c r="Z179" s="77"/>
      <c r="AA179" s="77"/>
      <c r="AB179" s="77"/>
      <c r="AC179" s="77"/>
      <c r="AD179" s="77"/>
    </row>
    <row r="180" spans="1:30" ht="15.75" x14ac:dyDescent="0.25">
      <c r="A180" s="16">
        <v>46388</v>
      </c>
      <c r="B180" s="92">
        <v>31</v>
      </c>
      <c r="C180" s="79">
        <f>122.58</f>
        <v>122.58</v>
      </c>
      <c r="D180" s="79">
        <f>297.941</f>
        <v>297.94099999999997</v>
      </c>
      <c r="E180" s="87">
        <f>89.177</f>
        <v>89.177000000000007</v>
      </c>
      <c r="F180" s="79">
        <f>240.302-40-60</f>
        <v>140.30199999999999</v>
      </c>
      <c r="G180" s="81">
        <v>40</v>
      </c>
      <c r="H180" s="79">
        <v>60</v>
      </c>
      <c r="I180" s="79">
        <f t="shared" ref="I180:I243" si="29">400-J180-K180</f>
        <v>0</v>
      </c>
      <c r="J180" s="81">
        <v>100</v>
      </c>
      <c r="K180" s="81">
        <v>300</v>
      </c>
      <c r="L180" s="79">
        <f t="shared" si="22"/>
        <v>1150</v>
      </c>
      <c r="M180" s="89">
        <v>600</v>
      </c>
      <c r="N180" s="79">
        <f>100</f>
        <v>100</v>
      </c>
      <c r="O180" s="81">
        <v>240</v>
      </c>
      <c r="P180" s="81">
        <v>40</v>
      </c>
      <c r="Q180" s="81">
        <f t="shared" si="23"/>
        <v>315</v>
      </c>
      <c r="R180" s="81">
        <f t="shared" si="24"/>
        <v>100</v>
      </c>
      <c r="S180" s="79">
        <f t="shared" si="25"/>
        <v>695</v>
      </c>
      <c r="T180" s="79">
        <f>50</f>
        <v>50</v>
      </c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</row>
    <row r="181" spans="1:30" ht="15.75" x14ac:dyDescent="0.25">
      <c r="A181" s="16">
        <v>46419</v>
      </c>
      <c r="B181" s="92">
        <v>28</v>
      </c>
      <c r="C181" s="79">
        <f>122.58</f>
        <v>122.58</v>
      </c>
      <c r="D181" s="79">
        <f>297.941</f>
        <v>297.94099999999997</v>
      </c>
      <c r="E181" s="87">
        <f>89.177</f>
        <v>89.177000000000007</v>
      </c>
      <c r="F181" s="79">
        <f>240.302-40-60</f>
        <v>140.30199999999999</v>
      </c>
      <c r="G181" s="81">
        <v>40</v>
      </c>
      <c r="H181" s="79">
        <v>60</v>
      </c>
      <c r="I181" s="79">
        <f t="shared" si="29"/>
        <v>0</v>
      </c>
      <c r="J181" s="81">
        <v>100</v>
      </c>
      <c r="K181" s="81">
        <v>300</v>
      </c>
      <c r="L181" s="79">
        <f t="shared" si="22"/>
        <v>1150</v>
      </c>
      <c r="M181" s="89">
        <v>600</v>
      </c>
      <c r="N181" s="79">
        <f>100</f>
        <v>100</v>
      </c>
      <c r="O181" s="81">
        <v>240</v>
      </c>
      <c r="P181" s="81">
        <v>40</v>
      </c>
      <c r="Q181" s="81">
        <f t="shared" si="23"/>
        <v>315</v>
      </c>
      <c r="R181" s="81">
        <f t="shared" si="24"/>
        <v>100</v>
      </c>
      <c r="S181" s="79">
        <f t="shared" si="25"/>
        <v>695</v>
      </c>
      <c r="T181" s="79">
        <f>50</f>
        <v>50</v>
      </c>
      <c r="U181" s="77"/>
      <c r="V181" s="77"/>
      <c r="W181" s="77"/>
      <c r="X181" s="77"/>
      <c r="Y181" s="77"/>
      <c r="Z181" s="77"/>
      <c r="AA181" s="77"/>
      <c r="AB181" s="77"/>
      <c r="AC181" s="77"/>
      <c r="AD181" s="77"/>
    </row>
    <row r="182" spans="1:30" ht="15.75" x14ac:dyDescent="0.25">
      <c r="A182" s="16">
        <v>46447</v>
      </c>
      <c r="B182" s="92">
        <v>31</v>
      </c>
      <c r="C182" s="79">
        <f>122.58</f>
        <v>122.58</v>
      </c>
      <c r="D182" s="79">
        <f>297.941</f>
        <v>297.94099999999997</v>
      </c>
      <c r="E182" s="87">
        <f>89.177</f>
        <v>89.177000000000007</v>
      </c>
      <c r="F182" s="79">
        <f>240.302-40-60</f>
        <v>140.30199999999999</v>
      </c>
      <c r="G182" s="81">
        <v>40</v>
      </c>
      <c r="H182" s="79">
        <v>60</v>
      </c>
      <c r="I182" s="79">
        <f t="shared" si="29"/>
        <v>0</v>
      </c>
      <c r="J182" s="81">
        <v>100</v>
      </c>
      <c r="K182" s="81">
        <v>300</v>
      </c>
      <c r="L182" s="79">
        <f t="shared" si="22"/>
        <v>1150</v>
      </c>
      <c r="M182" s="89">
        <v>600</v>
      </c>
      <c r="N182" s="79">
        <f>100</f>
        <v>100</v>
      </c>
      <c r="O182" s="81">
        <v>240</v>
      </c>
      <c r="P182" s="81">
        <v>40</v>
      </c>
      <c r="Q182" s="81">
        <f t="shared" si="23"/>
        <v>315</v>
      </c>
      <c r="R182" s="81">
        <f t="shared" si="24"/>
        <v>100</v>
      </c>
      <c r="S182" s="79">
        <f t="shared" si="25"/>
        <v>695</v>
      </c>
      <c r="T182" s="79">
        <f>50</f>
        <v>50</v>
      </c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</row>
    <row r="183" spans="1:30" ht="15.75" x14ac:dyDescent="0.25">
      <c r="A183" s="16">
        <v>46478</v>
      </c>
      <c r="B183" s="92">
        <v>30</v>
      </c>
      <c r="C183" s="79">
        <f>141.293</f>
        <v>141.29300000000001</v>
      </c>
      <c r="D183" s="79">
        <f>267.993</f>
        <v>267.99299999999999</v>
      </c>
      <c r="E183" s="87">
        <f>115.016</f>
        <v>115.01600000000001</v>
      </c>
      <c r="F183" s="79">
        <f>314.698-40-25-60</f>
        <v>189.69799999999998</v>
      </c>
      <c r="G183" s="81">
        <v>40</v>
      </c>
      <c r="H183" s="79">
        <f t="shared" ref="H183:H189" si="30">25+60</f>
        <v>85</v>
      </c>
      <c r="I183" s="79">
        <f t="shared" si="29"/>
        <v>0</v>
      </c>
      <c r="J183" s="81">
        <v>100</v>
      </c>
      <c r="K183" s="81">
        <v>300</v>
      </c>
      <c r="L183" s="79">
        <f t="shared" si="22"/>
        <v>1239</v>
      </c>
      <c r="M183" s="89">
        <v>600</v>
      </c>
      <c r="N183" s="79">
        <f>100</f>
        <v>100</v>
      </c>
      <c r="O183" s="81">
        <v>240</v>
      </c>
      <c r="P183" s="81">
        <v>160</v>
      </c>
      <c r="Q183" s="81">
        <f t="shared" si="23"/>
        <v>195</v>
      </c>
      <c r="R183" s="81">
        <f t="shared" si="24"/>
        <v>100</v>
      </c>
      <c r="S183" s="79">
        <f t="shared" si="25"/>
        <v>695</v>
      </c>
      <c r="T183" s="79">
        <f>50</f>
        <v>50</v>
      </c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</row>
    <row r="184" spans="1:30" ht="15.75" x14ac:dyDescent="0.25">
      <c r="A184" s="16">
        <v>46508</v>
      </c>
      <c r="B184" s="92">
        <v>31</v>
      </c>
      <c r="C184" s="79">
        <f>194.205</f>
        <v>194.20500000000001</v>
      </c>
      <c r="D184" s="79">
        <f>267.466</f>
        <v>267.46600000000001</v>
      </c>
      <c r="E184" s="87">
        <f>133.845</f>
        <v>133.845</v>
      </c>
      <c r="F184" s="79">
        <f>278.484-40-25-60</f>
        <v>153.48399999999998</v>
      </c>
      <c r="G184" s="81">
        <v>40</v>
      </c>
      <c r="H184" s="79">
        <f t="shared" si="30"/>
        <v>85</v>
      </c>
      <c r="I184" s="79">
        <f t="shared" si="29"/>
        <v>0</v>
      </c>
      <c r="J184" s="81">
        <v>100</v>
      </c>
      <c r="K184" s="81">
        <v>300</v>
      </c>
      <c r="L184" s="79">
        <f t="shared" si="22"/>
        <v>1274</v>
      </c>
      <c r="M184" s="89">
        <v>600</v>
      </c>
      <c r="N184" s="79">
        <f>75</f>
        <v>75</v>
      </c>
      <c r="O184" s="81">
        <v>240</v>
      </c>
      <c r="P184" s="81">
        <v>160</v>
      </c>
      <c r="Q184" s="81">
        <f t="shared" si="23"/>
        <v>195</v>
      </c>
      <c r="R184" s="81">
        <f t="shared" si="24"/>
        <v>100</v>
      </c>
      <c r="S184" s="79">
        <f t="shared" si="25"/>
        <v>695</v>
      </c>
      <c r="T184" s="79">
        <f>50</f>
        <v>50</v>
      </c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</row>
    <row r="185" spans="1:30" ht="15.75" x14ac:dyDescent="0.25">
      <c r="A185" s="16">
        <v>46539</v>
      </c>
      <c r="B185" s="92">
        <v>30</v>
      </c>
      <c r="C185" s="79">
        <f>194.205</f>
        <v>194.20500000000001</v>
      </c>
      <c r="D185" s="79">
        <f>267.466</f>
        <v>267.46600000000001</v>
      </c>
      <c r="E185" s="87">
        <f>133.845</f>
        <v>133.845</v>
      </c>
      <c r="F185" s="79">
        <f>278.484-40-25-60</f>
        <v>153.48399999999998</v>
      </c>
      <c r="G185" s="81">
        <v>40</v>
      </c>
      <c r="H185" s="79">
        <f t="shared" si="30"/>
        <v>85</v>
      </c>
      <c r="I185" s="79">
        <f t="shared" si="29"/>
        <v>0</v>
      </c>
      <c r="J185" s="81">
        <v>100</v>
      </c>
      <c r="K185" s="81">
        <v>300</v>
      </c>
      <c r="L185" s="79">
        <f t="shared" si="22"/>
        <v>1274</v>
      </c>
      <c r="M185" s="89">
        <v>600</v>
      </c>
      <c r="N185" s="79">
        <f>30</f>
        <v>30</v>
      </c>
      <c r="O185" s="81">
        <v>240</v>
      </c>
      <c r="P185" s="81">
        <v>160</v>
      </c>
      <c r="Q185" s="81">
        <f t="shared" si="23"/>
        <v>195</v>
      </c>
      <c r="R185" s="81">
        <f t="shared" si="24"/>
        <v>100</v>
      </c>
      <c r="S185" s="79">
        <f t="shared" si="25"/>
        <v>695</v>
      </c>
      <c r="T185" s="79">
        <f>50</f>
        <v>50</v>
      </c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</row>
    <row r="186" spans="1:30" ht="15.75" x14ac:dyDescent="0.25">
      <c r="A186" s="16">
        <v>46569</v>
      </c>
      <c r="B186" s="92">
        <v>31</v>
      </c>
      <c r="C186" s="79">
        <f>194.205</f>
        <v>194.20500000000001</v>
      </c>
      <c r="D186" s="79">
        <f>267.466</f>
        <v>267.46600000000001</v>
      </c>
      <c r="E186" s="87">
        <f>133.845</f>
        <v>133.845</v>
      </c>
      <c r="F186" s="79">
        <f>278.484-40-25-60</f>
        <v>153.48399999999998</v>
      </c>
      <c r="G186" s="81">
        <v>40</v>
      </c>
      <c r="H186" s="79">
        <f t="shared" si="30"/>
        <v>85</v>
      </c>
      <c r="I186" s="79">
        <f t="shared" si="29"/>
        <v>0</v>
      </c>
      <c r="J186" s="81">
        <v>100</v>
      </c>
      <c r="K186" s="81">
        <v>300</v>
      </c>
      <c r="L186" s="79">
        <f t="shared" si="22"/>
        <v>1274</v>
      </c>
      <c r="M186" s="89">
        <v>600</v>
      </c>
      <c r="N186" s="79">
        <f>30</f>
        <v>30</v>
      </c>
      <c r="O186" s="81">
        <v>240</v>
      </c>
      <c r="P186" s="81">
        <v>160</v>
      </c>
      <c r="Q186" s="81">
        <f t="shared" si="23"/>
        <v>195</v>
      </c>
      <c r="R186" s="81">
        <f t="shared" si="24"/>
        <v>100</v>
      </c>
      <c r="S186" s="79">
        <f t="shared" si="25"/>
        <v>695</v>
      </c>
      <c r="T186" s="79">
        <f>0</f>
        <v>0</v>
      </c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</row>
    <row r="187" spans="1:30" ht="15.75" x14ac:dyDescent="0.25">
      <c r="A187" s="16">
        <v>46600</v>
      </c>
      <c r="B187" s="92">
        <v>31</v>
      </c>
      <c r="C187" s="79">
        <f>194.205</f>
        <v>194.20500000000001</v>
      </c>
      <c r="D187" s="79">
        <f>267.466</f>
        <v>267.46600000000001</v>
      </c>
      <c r="E187" s="87">
        <f>133.845</f>
        <v>133.845</v>
      </c>
      <c r="F187" s="79">
        <f>278.484-40-25-60</f>
        <v>153.48399999999998</v>
      </c>
      <c r="G187" s="81">
        <v>40</v>
      </c>
      <c r="H187" s="79">
        <f t="shared" si="30"/>
        <v>85</v>
      </c>
      <c r="I187" s="79">
        <f t="shared" si="29"/>
        <v>0</v>
      </c>
      <c r="J187" s="81">
        <v>100</v>
      </c>
      <c r="K187" s="81">
        <v>300</v>
      </c>
      <c r="L187" s="79">
        <f t="shared" si="22"/>
        <v>1274</v>
      </c>
      <c r="M187" s="89">
        <v>600</v>
      </c>
      <c r="N187" s="79">
        <f>30</f>
        <v>30</v>
      </c>
      <c r="O187" s="81">
        <v>240</v>
      </c>
      <c r="P187" s="81">
        <v>160</v>
      </c>
      <c r="Q187" s="81">
        <f t="shared" si="23"/>
        <v>195</v>
      </c>
      <c r="R187" s="81">
        <f t="shared" si="24"/>
        <v>100</v>
      </c>
      <c r="S187" s="79">
        <f t="shared" si="25"/>
        <v>695</v>
      </c>
      <c r="T187" s="79">
        <f>0</f>
        <v>0</v>
      </c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</row>
    <row r="188" spans="1:30" ht="15.75" x14ac:dyDescent="0.25">
      <c r="A188" s="16">
        <v>46631</v>
      </c>
      <c r="B188" s="92">
        <v>30</v>
      </c>
      <c r="C188" s="79">
        <f>194.205</f>
        <v>194.20500000000001</v>
      </c>
      <c r="D188" s="79">
        <f>267.466</f>
        <v>267.46600000000001</v>
      </c>
      <c r="E188" s="87">
        <f>133.845</f>
        <v>133.845</v>
      </c>
      <c r="F188" s="79">
        <f>278.484-40-25-60</f>
        <v>153.48399999999998</v>
      </c>
      <c r="G188" s="81">
        <v>40</v>
      </c>
      <c r="H188" s="79">
        <f t="shared" si="30"/>
        <v>85</v>
      </c>
      <c r="I188" s="79">
        <f t="shared" si="29"/>
        <v>0</v>
      </c>
      <c r="J188" s="81">
        <v>100</v>
      </c>
      <c r="K188" s="81">
        <v>300</v>
      </c>
      <c r="L188" s="79">
        <f t="shared" si="22"/>
        <v>1274</v>
      </c>
      <c r="M188" s="89">
        <v>600</v>
      </c>
      <c r="N188" s="79">
        <f>30</f>
        <v>30</v>
      </c>
      <c r="O188" s="81">
        <v>240</v>
      </c>
      <c r="P188" s="81">
        <v>160</v>
      </c>
      <c r="Q188" s="81">
        <f t="shared" si="23"/>
        <v>195</v>
      </c>
      <c r="R188" s="81">
        <f t="shared" si="24"/>
        <v>100</v>
      </c>
      <c r="S188" s="79">
        <f t="shared" si="25"/>
        <v>695</v>
      </c>
      <c r="T188" s="79">
        <f>0</f>
        <v>0</v>
      </c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</row>
    <row r="189" spans="1:30" ht="15.75" x14ac:dyDescent="0.25">
      <c r="A189" s="16">
        <v>46661</v>
      </c>
      <c r="B189" s="92">
        <v>31</v>
      </c>
      <c r="C189" s="79">
        <f>131.881</f>
        <v>131.881</v>
      </c>
      <c r="D189" s="79">
        <f>277.167</f>
        <v>277.16699999999997</v>
      </c>
      <c r="E189" s="87">
        <f>79.08</f>
        <v>79.08</v>
      </c>
      <c r="F189" s="79">
        <f>350.872-40-25-60</f>
        <v>225.87200000000001</v>
      </c>
      <c r="G189" s="81">
        <v>40</v>
      </c>
      <c r="H189" s="79">
        <f t="shared" si="30"/>
        <v>85</v>
      </c>
      <c r="I189" s="79">
        <f t="shared" si="29"/>
        <v>0</v>
      </c>
      <c r="J189" s="81">
        <v>100</v>
      </c>
      <c r="K189" s="81">
        <v>300</v>
      </c>
      <c r="L189" s="79">
        <f t="shared" si="22"/>
        <v>1239</v>
      </c>
      <c r="M189" s="89">
        <v>600</v>
      </c>
      <c r="N189" s="79">
        <f>75</f>
        <v>75</v>
      </c>
      <c r="O189" s="81">
        <v>240</v>
      </c>
      <c r="P189" s="81">
        <v>160</v>
      </c>
      <c r="Q189" s="81">
        <f t="shared" si="23"/>
        <v>195</v>
      </c>
      <c r="R189" s="81">
        <f t="shared" si="24"/>
        <v>100</v>
      </c>
      <c r="S189" s="79">
        <f t="shared" si="25"/>
        <v>695</v>
      </c>
      <c r="T189" s="79">
        <f>0</f>
        <v>0</v>
      </c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</row>
    <row r="190" spans="1:30" ht="15.75" x14ac:dyDescent="0.25">
      <c r="A190" s="16">
        <v>46692</v>
      </c>
      <c r="B190" s="92">
        <v>30</v>
      </c>
      <c r="C190" s="79">
        <f>122.58</f>
        <v>122.58</v>
      </c>
      <c r="D190" s="79">
        <f>297.941</f>
        <v>297.94099999999997</v>
      </c>
      <c r="E190" s="87">
        <f>89.177</f>
        <v>89.177000000000007</v>
      </c>
      <c r="F190" s="79">
        <f>240.302-40-60</f>
        <v>140.30199999999999</v>
      </c>
      <c r="G190" s="81">
        <v>40</v>
      </c>
      <c r="H190" s="79">
        <v>60</v>
      </c>
      <c r="I190" s="79">
        <f t="shared" si="29"/>
        <v>0</v>
      </c>
      <c r="J190" s="81">
        <v>100</v>
      </c>
      <c r="K190" s="81">
        <v>300</v>
      </c>
      <c r="L190" s="79">
        <f t="shared" si="22"/>
        <v>1150</v>
      </c>
      <c r="M190" s="89">
        <v>600</v>
      </c>
      <c r="N190" s="79">
        <f>100</f>
        <v>100</v>
      </c>
      <c r="O190" s="81">
        <v>240</v>
      </c>
      <c r="P190" s="81">
        <v>40</v>
      </c>
      <c r="Q190" s="81">
        <f t="shared" si="23"/>
        <v>315</v>
      </c>
      <c r="R190" s="81">
        <f t="shared" si="24"/>
        <v>100</v>
      </c>
      <c r="S190" s="79">
        <f t="shared" si="25"/>
        <v>695</v>
      </c>
      <c r="T190" s="79">
        <f>50</f>
        <v>50</v>
      </c>
      <c r="U190" s="77"/>
      <c r="V190" s="77"/>
      <c r="W190" s="77"/>
      <c r="X190" s="77"/>
      <c r="Y190" s="77"/>
      <c r="Z190" s="77"/>
      <c r="AA190" s="77"/>
      <c r="AB190" s="77"/>
      <c r="AC190" s="77"/>
      <c r="AD190" s="77"/>
    </row>
    <row r="191" spans="1:30" ht="15.75" x14ac:dyDescent="0.25">
      <c r="A191" s="16">
        <v>46722</v>
      </c>
      <c r="B191" s="92">
        <v>31</v>
      </c>
      <c r="C191" s="79">
        <f>122.58</f>
        <v>122.58</v>
      </c>
      <c r="D191" s="79">
        <f>297.941</f>
        <v>297.94099999999997</v>
      </c>
      <c r="E191" s="87">
        <f>89.177</f>
        <v>89.177000000000007</v>
      </c>
      <c r="F191" s="79">
        <f>240.302-40-60</f>
        <v>140.30199999999999</v>
      </c>
      <c r="G191" s="81">
        <v>40</v>
      </c>
      <c r="H191" s="79">
        <v>60</v>
      </c>
      <c r="I191" s="79">
        <f t="shared" si="29"/>
        <v>0</v>
      </c>
      <c r="J191" s="81">
        <v>100</v>
      </c>
      <c r="K191" s="81">
        <v>300</v>
      </c>
      <c r="L191" s="79">
        <f t="shared" si="22"/>
        <v>1150</v>
      </c>
      <c r="M191" s="89">
        <v>600</v>
      </c>
      <c r="N191" s="79">
        <f>100</f>
        <v>100</v>
      </c>
      <c r="O191" s="81">
        <v>240</v>
      </c>
      <c r="P191" s="81">
        <v>40</v>
      </c>
      <c r="Q191" s="81">
        <f t="shared" si="23"/>
        <v>315</v>
      </c>
      <c r="R191" s="81">
        <f t="shared" si="24"/>
        <v>100</v>
      </c>
      <c r="S191" s="79">
        <f t="shared" si="25"/>
        <v>695</v>
      </c>
      <c r="T191" s="79">
        <f>50</f>
        <v>50</v>
      </c>
      <c r="U191" s="77"/>
      <c r="V191" s="77"/>
      <c r="W191" s="77"/>
      <c r="X191" s="77"/>
      <c r="Y191" s="77"/>
      <c r="Z191" s="77"/>
      <c r="AA191" s="77"/>
      <c r="AB191" s="77"/>
      <c r="AC191" s="77"/>
      <c r="AD191" s="77"/>
    </row>
    <row r="192" spans="1:30" ht="15.75" x14ac:dyDescent="0.25">
      <c r="A192" s="16">
        <v>46753</v>
      </c>
      <c r="B192" s="92">
        <v>31</v>
      </c>
      <c r="C192" s="79">
        <f>122.58</f>
        <v>122.58</v>
      </c>
      <c r="D192" s="79">
        <f>297.941</f>
        <v>297.94099999999997</v>
      </c>
      <c r="E192" s="87">
        <f>89.177</f>
        <v>89.177000000000007</v>
      </c>
      <c r="F192" s="79">
        <f>240.302-40-60</f>
        <v>140.30199999999999</v>
      </c>
      <c r="G192" s="81">
        <v>40</v>
      </c>
      <c r="H192" s="79">
        <v>60</v>
      </c>
      <c r="I192" s="79">
        <f t="shared" si="29"/>
        <v>0</v>
      </c>
      <c r="J192" s="81">
        <v>100</v>
      </c>
      <c r="K192" s="81">
        <v>300</v>
      </c>
      <c r="L192" s="79">
        <f t="shared" si="22"/>
        <v>1150</v>
      </c>
      <c r="M192" s="89">
        <v>600</v>
      </c>
      <c r="N192" s="79">
        <f>100</f>
        <v>100</v>
      </c>
      <c r="O192" s="81">
        <v>240</v>
      </c>
      <c r="P192" s="81">
        <v>40</v>
      </c>
      <c r="Q192" s="81">
        <f t="shared" si="23"/>
        <v>315</v>
      </c>
      <c r="R192" s="81">
        <f t="shared" si="24"/>
        <v>100</v>
      </c>
      <c r="S192" s="79">
        <f t="shared" si="25"/>
        <v>695</v>
      </c>
      <c r="T192" s="79">
        <f>50</f>
        <v>50</v>
      </c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</row>
    <row r="193" spans="1:30" ht="15.75" x14ac:dyDescent="0.25">
      <c r="A193" s="16">
        <v>46784</v>
      </c>
      <c r="B193" s="92">
        <v>29</v>
      </c>
      <c r="C193" s="79">
        <f>122.58</f>
        <v>122.58</v>
      </c>
      <c r="D193" s="79">
        <f>297.941</f>
        <v>297.94099999999997</v>
      </c>
      <c r="E193" s="87">
        <f>89.177</f>
        <v>89.177000000000007</v>
      </c>
      <c r="F193" s="79">
        <f>240.302-40-60</f>
        <v>140.30199999999999</v>
      </c>
      <c r="G193" s="81">
        <v>40</v>
      </c>
      <c r="H193" s="79">
        <v>60</v>
      </c>
      <c r="I193" s="79">
        <f t="shared" si="29"/>
        <v>0</v>
      </c>
      <c r="J193" s="81">
        <v>100</v>
      </c>
      <c r="K193" s="81">
        <v>300</v>
      </c>
      <c r="L193" s="79">
        <f t="shared" si="22"/>
        <v>1150</v>
      </c>
      <c r="M193" s="89">
        <v>600</v>
      </c>
      <c r="N193" s="79">
        <f>100</f>
        <v>100</v>
      </c>
      <c r="O193" s="81">
        <v>240</v>
      </c>
      <c r="P193" s="81">
        <v>40</v>
      </c>
      <c r="Q193" s="81">
        <f t="shared" si="23"/>
        <v>315</v>
      </c>
      <c r="R193" s="81">
        <f t="shared" si="24"/>
        <v>100</v>
      </c>
      <c r="S193" s="79">
        <f t="shared" si="25"/>
        <v>695</v>
      </c>
      <c r="T193" s="79">
        <f>50</f>
        <v>50</v>
      </c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</row>
    <row r="194" spans="1:30" ht="15.75" x14ac:dyDescent="0.25">
      <c r="A194" s="16">
        <v>46813</v>
      </c>
      <c r="B194" s="92">
        <v>31</v>
      </c>
      <c r="C194" s="79">
        <f>122.58</f>
        <v>122.58</v>
      </c>
      <c r="D194" s="79">
        <f>297.941</f>
        <v>297.94099999999997</v>
      </c>
      <c r="E194" s="87">
        <f>89.177</f>
        <v>89.177000000000007</v>
      </c>
      <c r="F194" s="79">
        <f>240.302-40-60</f>
        <v>140.30199999999999</v>
      </c>
      <c r="G194" s="81">
        <v>40</v>
      </c>
      <c r="H194" s="79">
        <v>60</v>
      </c>
      <c r="I194" s="79">
        <f t="shared" si="29"/>
        <v>0</v>
      </c>
      <c r="J194" s="81">
        <v>100</v>
      </c>
      <c r="K194" s="81">
        <v>300</v>
      </c>
      <c r="L194" s="79">
        <f t="shared" si="22"/>
        <v>1150</v>
      </c>
      <c r="M194" s="89">
        <v>600</v>
      </c>
      <c r="N194" s="79">
        <f>100</f>
        <v>100</v>
      </c>
      <c r="O194" s="81">
        <v>240</v>
      </c>
      <c r="P194" s="81">
        <v>40</v>
      </c>
      <c r="Q194" s="81">
        <f t="shared" si="23"/>
        <v>315</v>
      </c>
      <c r="R194" s="81">
        <f t="shared" si="24"/>
        <v>100</v>
      </c>
      <c r="S194" s="79">
        <f t="shared" si="25"/>
        <v>695</v>
      </c>
      <c r="T194" s="79">
        <f>50</f>
        <v>50</v>
      </c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</row>
    <row r="195" spans="1:30" ht="15.75" x14ac:dyDescent="0.25">
      <c r="A195" s="16">
        <v>46844</v>
      </c>
      <c r="B195" s="92">
        <v>30</v>
      </c>
      <c r="C195" s="79">
        <f>141.293</f>
        <v>141.29300000000001</v>
      </c>
      <c r="D195" s="79">
        <f>267.993</f>
        <v>267.99299999999999</v>
      </c>
      <c r="E195" s="87">
        <f>115.016</f>
        <v>115.01600000000001</v>
      </c>
      <c r="F195" s="79">
        <f>314.698-40-25-60</f>
        <v>189.69799999999998</v>
      </c>
      <c r="G195" s="81">
        <v>40</v>
      </c>
      <c r="H195" s="79">
        <f t="shared" ref="H195:H201" si="31">25+60</f>
        <v>85</v>
      </c>
      <c r="I195" s="79">
        <f t="shared" si="29"/>
        <v>0</v>
      </c>
      <c r="J195" s="81">
        <v>100</v>
      </c>
      <c r="K195" s="81">
        <v>300</v>
      </c>
      <c r="L195" s="79">
        <f t="shared" si="22"/>
        <v>1239</v>
      </c>
      <c r="M195" s="89">
        <v>600</v>
      </c>
      <c r="N195" s="79">
        <f>100</f>
        <v>100</v>
      </c>
      <c r="O195" s="81">
        <v>240</v>
      </c>
      <c r="P195" s="81">
        <v>160</v>
      </c>
      <c r="Q195" s="81">
        <f t="shared" si="23"/>
        <v>195</v>
      </c>
      <c r="R195" s="81">
        <f t="shared" si="24"/>
        <v>100</v>
      </c>
      <c r="S195" s="79">
        <f t="shared" si="25"/>
        <v>695</v>
      </c>
      <c r="T195" s="79">
        <f>50</f>
        <v>50</v>
      </c>
      <c r="U195" s="77"/>
      <c r="V195" s="77"/>
      <c r="W195" s="77"/>
      <c r="X195" s="77"/>
      <c r="Y195" s="77"/>
      <c r="Z195" s="77"/>
      <c r="AA195" s="77"/>
      <c r="AB195" s="77"/>
      <c r="AC195" s="77"/>
      <c r="AD195" s="77"/>
    </row>
    <row r="196" spans="1:30" ht="15.75" x14ac:dyDescent="0.25">
      <c r="A196" s="16">
        <v>46874</v>
      </c>
      <c r="B196" s="92">
        <v>31</v>
      </c>
      <c r="C196" s="79">
        <f>194.205</f>
        <v>194.20500000000001</v>
      </c>
      <c r="D196" s="79">
        <f>267.466</f>
        <v>267.46600000000001</v>
      </c>
      <c r="E196" s="87">
        <f>133.845</f>
        <v>133.845</v>
      </c>
      <c r="F196" s="79">
        <f>278.484-40-25-60</f>
        <v>153.48399999999998</v>
      </c>
      <c r="G196" s="81">
        <v>40</v>
      </c>
      <c r="H196" s="79">
        <f t="shared" si="31"/>
        <v>85</v>
      </c>
      <c r="I196" s="79">
        <f t="shared" si="29"/>
        <v>0</v>
      </c>
      <c r="J196" s="81">
        <v>100</v>
      </c>
      <c r="K196" s="81">
        <v>300</v>
      </c>
      <c r="L196" s="79">
        <f t="shared" si="22"/>
        <v>1274</v>
      </c>
      <c r="M196" s="89">
        <v>600</v>
      </c>
      <c r="N196" s="79">
        <f>75</f>
        <v>75</v>
      </c>
      <c r="O196" s="81">
        <v>240</v>
      </c>
      <c r="P196" s="81">
        <v>160</v>
      </c>
      <c r="Q196" s="81">
        <f t="shared" si="23"/>
        <v>195</v>
      </c>
      <c r="R196" s="81">
        <f t="shared" si="24"/>
        <v>100</v>
      </c>
      <c r="S196" s="79">
        <f t="shared" si="25"/>
        <v>695</v>
      </c>
      <c r="T196" s="79">
        <f>50</f>
        <v>50</v>
      </c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</row>
    <row r="197" spans="1:30" ht="15.75" x14ac:dyDescent="0.25">
      <c r="A197" s="16">
        <v>46905</v>
      </c>
      <c r="B197" s="92">
        <v>30</v>
      </c>
      <c r="C197" s="79">
        <f>194.205</f>
        <v>194.20500000000001</v>
      </c>
      <c r="D197" s="79">
        <f>267.466</f>
        <v>267.46600000000001</v>
      </c>
      <c r="E197" s="87">
        <f>133.845</f>
        <v>133.845</v>
      </c>
      <c r="F197" s="79">
        <f>278.484-40-25-60</f>
        <v>153.48399999999998</v>
      </c>
      <c r="G197" s="81">
        <v>40</v>
      </c>
      <c r="H197" s="79">
        <f t="shared" si="31"/>
        <v>85</v>
      </c>
      <c r="I197" s="79">
        <f t="shared" si="29"/>
        <v>0</v>
      </c>
      <c r="J197" s="81">
        <v>100</v>
      </c>
      <c r="K197" s="81">
        <v>300</v>
      </c>
      <c r="L197" s="79">
        <f t="shared" si="22"/>
        <v>1274</v>
      </c>
      <c r="M197" s="89">
        <v>600</v>
      </c>
      <c r="N197" s="79">
        <f>30</f>
        <v>30</v>
      </c>
      <c r="O197" s="81">
        <v>240</v>
      </c>
      <c r="P197" s="81">
        <v>160</v>
      </c>
      <c r="Q197" s="81">
        <f t="shared" si="23"/>
        <v>195</v>
      </c>
      <c r="R197" s="81">
        <f t="shared" si="24"/>
        <v>100</v>
      </c>
      <c r="S197" s="79">
        <f t="shared" si="25"/>
        <v>695</v>
      </c>
      <c r="T197" s="79">
        <f>50</f>
        <v>50</v>
      </c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</row>
    <row r="198" spans="1:30" ht="15.75" x14ac:dyDescent="0.25">
      <c r="A198" s="16">
        <v>46935</v>
      </c>
      <c r="B198" s="92">
        <v>31</v>
      </c>
      <c r="C198" s="79">
        <f>194.205</f>
        <v>194.20500000000001</v>
      </c>
      <c r="D198" s="79">
        <f>267.466</f>
        <v>267.46600000000001</v>
      </c>
      <c r="E198" s="87">
        <f>133.845</f>
        <v>133.845</v>
      </c>
      <c r="F198" s="79">
        <f>278.484-40-25-60</f>
        <v>153.48399999999998</v>
      </c>
      <c r="G198" s="81">
        <v>40</v>
      </c>
      <c r="H198" s="79">
        <f t="shared" si="31"/>
        <v>85</v>
      </c>
      <c r="I198" s="79">
        <f t="shared" si="29"/>
        <v>0</v>
      </c>
      <c r="J198" s="81">
        <v>100</v>
      </c>
      <c r="K198" s="81">
        <v>300</v>
      </c>
      <c r="L198" s="79">
        <f t="shared" si="22"/>
        <v>1274</v>
      </c>
      <c r="M198" s="89">
        <v>600</v>
      </c>
      <c r="N198" s="79">
        <f>30</f>
        <v>30</v>
      </c>
      <c r="O198" s="81">
        <v>240</v>
      </c>
      <c r="P198" s="81">
        <v>160</v>
      </c>
      <c r="Q198" s="81">
        <f t="shared" si="23"/>
        <v>195</v>
      </c>
      <c r="R198" s="81">
        <f t="shared" si="24"/>
        <v>100</v>
      </c>
      <c r="S198" s="79">
        <f t="shared" si="25"/>
        <v>695</v>
      </c>
      <c r="T198" s="79">
        <f>0</f>
        <v>0</v>
      </c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</row>
    <row r="199" spans="1:30" ht="15.75" x14ac:dyDescent="0.25">
      <c r="A199" s="16">
        <v>46966</v>
      </c>
      <c r="B199" s="92">
        <v>31</v>
      </c>
      <c r="C199" s="79">
        <f>194.205</f>
        <v>194.20500000000001</v>
      </c>
      <c r="D199" s="79">
        <f>267.466</f>
        <v>267.46600000000001</v>
      </c>
      <c r="E199" s="87">
        <f>133.845</f>
        <v>133.845</v>
      </c>
      <c r="F199" s="79">
        <f>278.484-40-25-60</f>
        <v>153.48399999999998</v>
      </c>
      <c r="G199" s="81">
        <v>40</v>
      </c>
      <c r="H199" s="79">
        <f t="shared" si="31"/>
        <v>85</v>
      </c>
      <c r="I199" s="79">
        <f t="shared" si="29"/>
        <v>0</v>
      </c>
      <c r="J199" s="81">
        <v>100</v>
      </c>
      <c r="K199" s="81">
        <v>300</v>
      </c>
      <c r="L199" s="79">
        <f t="shared" si="22"/>
        <v>1274</v>
      </c>
      <c r="M199" s="89">
        <v>600</v>
      </c>
      <c r="N199" s="79">
        <f>30</f>
        <v>30</v>
      </c>
      <c r="O199" s="81">
        <v>240</v>
      </c>
      <c r="P199" s="81">
        <v>160</v>
      </c>
      <c r="Q199" s="81">
        <f t="shared" si="23"/>
        <v>195</v>
      </c>
      <c r="R199" s="81">
        <f t="shared" si="24"/>
        <v>100</v>
      </c>
      <c r="S199" s="79">
        <f t="shared" si="25"/>
        <v>695</v>
      </c>
      <c r="T199" s="79">
        <f>0</f>
        <v>0</v>
      </c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</row>
    <row r="200" spans="1:30" ht="15.75" x14ac:dyDescent="0.25">
      <c r="A200" s="16">
        <v>46997</v>
      </c>
      <c r="B200" s="92">
        <v>30</v>
      </c>
      <c r="C200" s="79">
        <f>194.205</f>
        <v>194.20500000000001</v>
      </c>
      <c r="D200" s="79">
        <f>267.466</f>
        <v>267.46600000000001</v>
      </c>
      <c r="E200" s="87">
        <f>133.845</f>
        <v>133.845</v>
      </c>
      <c r="F200" s="79">
        <f>278.484-40-25-60</f>
        <v>153.48399999999998</v>
      </c>
      <c r="G200" s="81">
        <v>40</v>
      </c>
      <c r="H200" s="79">
        <f t="shared" si="31"/>
        <v>85</v>
      </c>
      <c r="I200" s="79">
        <f t="shared" si="29"/>
        <v>0</v>
      </c>
      <c r="J200" s="81">
        <v>100</v>
      </c>
      <c r="K200" s="81">
        <v>300</v>
      </c>
      <c r="L200" s="79">
        <f t="shared" si="22"/>
        <v>1274</v>
      </c>
      <c r="M200" s="89">
        <v>600</v>
      </c>
      <c r="N200" s="79">
        <f>30</f>
        <v>30</v>
      </c>
      <c r="O200" s="81">
        <v>240</v>
      </c>
      <c r="P200" s="81">
        <v>160</v>
      </c>
      <c r="Q200" s="81">
        <f t="shared" si="23"/>
        <v>195</v>
      </c>
      <c r="R200" s="81">
        <f t="shared" si="24"/>
        <v>100</v>
      </c>
      <c r="S200" s="79">
        <f t="shared" si="25"/>
        <v>695</v>
      </c>
      <c r="T200" s="79">
        <f>0</f>
        <v>0</v>
      </c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</row>
    <row r="201" spans="1:30" ht="15.75" x14ac:dyDescent="0.25">
      <c r="A201" s="16">
        <v>47027</v>
      </c>
      <c r="B201" s="92">
        <v>31</v>
      </c>
      <c r="C201" s="79">
        <f>131.881</f>
        <v>131.881</v>
      </c>
      <c r="D201" s="79">
        <f>277.167</f>
        <v>277.16699999999997</v>
      </c>
      <c r="E201" s="87">
        <f>79.08</f>
        <v>79.08</v>
      </c>
      <c r="F201" s="79">
        <f>350.872-40-25-60</f>
        <v>225.87200000000001</v>
      </c>
      <c r="G201" s="81">
        <v>40</v>
      </c>
      <c r="H201" s="79">
        <f t="shared" si="31"/>
        <v>85</v>
      </c>
      <c r="I201" s="79">
        <f t="shared" si="29"/>
        <v>0</v>
      </c>
      <c r="J201" s="81">
        <v>100</v>
      </c>
      <c r="K201" s="81">
        <v>300</v>
      </c>
      <c r="L201" s="79">
        <f t="shared" si="22"/>
        <v>1239</v>
      </c>
      <c r="M201" s="89">
        <v>600</v>
      </c>
      <c r="N201" s="79">
        <f>75</f>
        <v>75</v>
      </c>
      <c r="O201" s="81">
        <v>240</v>
      </c>
      <c r="P201" s="81">
        <v>160</v>
      </c>
      <c r="Q201" s="81">
        <f t="shared" si="23"/>
        <v>195</v>
      </c>
      <c r="R201" s="81">
        <f t="shared" si="24"/>
        <v>100</v>
      </c>
      <c r="S201" s="79">
        <f t="shared" si="25"/>
        <v>695</v>
      </c>
      <c r="T201" s="79">
        <f>0</f>
        <v>0</v>
      </c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</row>
    <row r="202" spans="1:30" ht="15.75" x14ac:dyDescent="0.25">
      <c r="A202" s="16">
        <v>47058</v>
      </c>
      <c r="B202" s="92">
        <v>30</v>
      </c>
      <c r="C202" s="79">
        <f>122.58</f>
        <v>122.58</v>
      </c>
      <c r="D202" s="79">
        <f>297.941</f>
        <v>297.94099999999997</v>
      </c>
      <c r="E202" s="87">
        <f>89.177</f>
        <v>89.177000000000007</v>
      </c>
      <c r="F202" s="79">
        <f>240.302-40-60</f>
        <v>140.30199999999999</v>
      </c>
      <c r="G202" s="81">
        <v>40</v>
      </c>
      <c r="H202" s="79">
        <v>60</v>
      </c>
      <c r="I202" s="79">
        <f t="shared" si="29"/>
        <v>0</v>
      </c>
      <c r="J202" s="81">
        <v>100</v>
      </c>
      <c r="K202" s="81">
        <v>300</v>
      </c>
      <c r="L202" s="79">
        <f t="shared" si="22"/>
        <v>1150</v>
      </c>
      <c r="M202" s="89">
        <v>600</v>
      </c>
      <c r="N202" s="79">
        <f>100</f>
        <v>100</v>
      </c>
      <c r="O202" s="81">
        <v>240</v>
      </c>
      <c r="P202" s="81">
        <v>40</v>
      </c>
      <c r="Q202" s="81">
        <f t="shared" si="23"/>
        <v>315</v>
      </c>
      <c r="R202" s="81">
        <f t="shared" si="24"/>
        <v>100</v>
      </c>
      <c r="S202" s="79">
        <f t="shared" si="25"/>
        <v>695</v>
      </c>
      <c r="T202" s="79">
        <f>50</f>
        <v>50</v>
      </c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</row>
    <row r="203" spans="1:30" ht="15.75" x14ac:dyDescent="0.25">
      <c r="A203" s="16">
        <v>47088</v>
      </c>
      <c r="B203" s="92">
        <v>31</v>
      </c>
      <c r="C203" s="79">
        <f>122.58</f>
        <v>122.58</v>
      </c>
      <c r="D203" s="79">
        <f>297.941</f>
        <v>297.94099999999997</v>
      </c>
      <c r="E203" s="87">
        <f>89.177</f>
        <v>89.177000000000007</v>
      </c>
      <c r="F203" s="79">
        <f>240.302-40-60</f>
        <v>140.30199999999999</v>
      </c>
      <c r="G203" s="81">
        <v>40</v>
      </c>
      <c r="H203" s="79">
        <v>60</v>
      </c>
      <c r="I203" s="79">
        <f t="shared" si="29"/>
        <v>0</v>
      </c>
      <c r="J203" s="81">
        <v>100</v>
      </c>
      <c r="K203" s="81">
        <v>300</v>
      </c>
      <c r="L203" s="79">
        <f t="shared" si="22"/>
        <v>1150</v>
      </c>
      <c r="M203" s="89">
        <v>600</v>
      </c>
      <c r="N203" s="79">
        <f>100</f>
        <v>100</v>
      </c>
      <c r="O203" s="81">
        <v>240</v>
      </c>
      <c r="P203" s="81">
        <v>40</v>
      </c>
      <c r="Q203" s="81">
        <f t="shared" si="23"/>
        <v>315</v>
      </c>
      <c r="R203" s="81">
        <f t="shared" si="24"/>
        <v>100</v>
      </c>
      <c r="S203" s="79">
        <f t="shared" si="25"/>
        <v>695</v>
      </c>
      <c r="T203" s="79">
        <f>50</f>
        <v>50</v>
      </c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</row>
    <row r="204" spans="1:30" ht="15.75" x14ac:dyDescent="0.25">
      <c r="A204" s="16">
        <v>47119</v>
      </c>
      <c r="B204" s="92">
        <v>31</v>
      </c>
      <c r="C204" s="79">
        <f>122.58</f>
        <v>122.58</v>
      </c>
      <c r="D204" s="79">
        <f>297.941</f>
        <v>297.94099999999997</v>
      </c>
      <c r="E204" s="87">
        <f>89.177</f>
        <v>89.177000000000007</v>
      </c>
      <c r="F204" s="79">
        <f>240.302-40-60</f>
        <v>140.30199999999999</v>
      </c>
      <c r="G204" s="81">
        <v>40</v>
      </c>
      <c r="H204" s="79">
        <v>60</v>
      </c>
      <c r="I204" s="79">
        <f t="shared" si="29"/>
        <v>0</v>
      </c>
      <c r="J204" s="81">
        <v>100</v>
      </c>
      <c r="K204" s="81">
        <v>300</v>
      </c>
      <c r="L204" s="79">
        <f t="shared" si="22"/>
        <v>1150</v>
      </c>
      <c r="M204" s="89">
        <v>600</v>
      </c>
      <c r="N204" s="79">
        <f>100</f>
        <v>100</v>
      </c>
      <c r="O204" s="81">
        <v>240</v>
      </c>
      <c r="P204" s="81">
        <v>40</v>
      </c>
      <c r="Q204" s="81">
        <f t="shared" si="23"/>
        <v>315</v>
      </c>
      <c r="R204" s="81">
        <f t="shared" si="24"/>
        <v>100</v>
      </c>
      <c r="S204" s="79">
        <f t="shared" si="25"/>
        <v>695</v>
      </c>
      <c r="T204" s="79">
        <f>50</f>
        <v>50</v>
      </c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</row>
    <row r="205" spans="1:30" ht="15.75" x14ac:dyDescent="0.25">
      <c r="A205" s="16">
        <v>47150</v>
      </c>
      <c r="B205" s="92">
        <v>28</v>
      </c>
      <c r="C205" s="79">
        <f>122.58</f>
        <v>122.58</v>
      </c>
      <c r="D205" s="79">
        <f>297.941</f>
        <v>297.94099999999997</v>
      </c>
      <c r="E205" s="87">
        <f>89.177</f>
        <v>89.177000000000007</v>
      </c>
      <c r="F205" s="79">
        <f>240.302-40-60</f>
        <v>140.30199999999999</v>
      </c>
      <c r="G205" s="81">
        <v>40</v>
      </c>
      <c r="H205" s="79">
        <v>60</v>
      </c>
      <c r="I205" s="79">
        <f t="shared" si="29"/>
        <v>0</v>
      </c>
      <c r="J205" s="81">
        <v>100</v>
      </c>
      <c r="K205" s="81">
        <v>300</v>
      </c>
      <c r="L205" s="79">
        <f t="shared" ref="L205:L268" si="32">SUM(C205:K205)</f>
        <v>1150</v>
      </c>
      <c r="M205" s="89">
        <v>600</v>
      </c>
      <c r="N205" s="79">
        <f>100</f>
        <v>100</v>
      </c>
      <c r="O205" s="81">
        <v>240</v>
      </c>
      <c r="P205" s="81">
        <v>40</v>
      </c>
      <c r="Q205" s="81">
        <f t="shared" ref="Q205:Q268" si="33">695-R205-O205-P205</f>
        <v>315</v>
      </c>
      <c r="R205" s="81">
        <f t="shared" ref="R205:R268" si="34">200-J205</f>
        <v>100</v>
      </c>
      <c r="S205" s="79">
        <f t="shared" ref="S205:S268" si="35">SUM(O205:R205)</f>
        <v>695</v>
      </c>
      <c r="T205" s="79">
        <f>50</f>
        <v>50</v>
      </c>
      <c r="U205" s="77"/>
      <c r="V205" s="77"/>
      <c r="W205" s="77"/>
      <c r="X205" s="77"/>
      <c r="Y205" s="77"/>
      <c r="Z205" s="77"/>
      <c r="AA205" s="77"/>
      <c r="AB205" s="77"/>
      <c r="AC205" s="77"/>
      <c r="AD205" s="77"/>
    </row>
    <row r="206" spans="1:30" ht="15.75" x14ac:dyDescent="0.25">
      <c r="A206" s="16">
        <v>47178</v>
      </c>
      <c r="B206" s="92">
        <v>31</v>
      </c>
      <c r="C206" s="79">
        <f>122.58</f>
        <v>122.58</v>
      </c>
      <c r="D206" s="79">
        <f>297.941</f>
        <v>297.94099999999997</v>
      </c>
      <c r="E206" s="87">
        <f>89.177</f>
        <v>89.177000000000007</v>
      </c>
      <c r="F206" s="79">
        <f>240.302-40-60</f>
        <v>140.30199999999999</v>
      </c>
      <c r="G206" s="81">
        <v>40</v>
      </c>
      <c r="H206" s="79">
        <v>60</v>
      </c>
      <c r="I206" s="79">
        <f t="shared" si="29"/>
        <v>0</v>
      </c>
      <c r="J206" s="81">
        <v>100</v>
      </c>
      <c r="K206" s="81">
        <v>300</v>
      </c>
      <c r="L206" s="79">
        <f t="shared" si="32"/>
        <v>1150</v>
      </c>
      <c r="M206" s="89">
        <v>600</v>
      </c>
      <c r="N206" s="79">
        <f>100</f>
        <v>100</v>
      </c>
      <c r="O206" s="81">
        <v>240</v>
      </c>
      <c r="P206" s="81">
        <v>40</v>
      </c>
      <c r="Q206" s="81">
        <f t="shared" si="33"/>
        <v>315</v>
      </c>
      <c r="R206" s="81">
        <f t="shared" si="34"/>
        <v>100</v>
      </c>
      <c r="S206" s="79">
        <f t="shared" si="35"/>
        <v>695</v>
      </c>
      <c r="T206" s="79">
        <f>50</f>
        <v>50</v>
      </c>
      <c r="U206" s="77"/>
      <c r="V206" s="77"/>
      <c r="W206" s="77"/>
      <c r="X206" s="77"/>
      <c r="Y206" s="77"/>
      <c r="Z206" s="77"/>
      <c r="AA206" s="77"/>
      <c r="AB206" s="77"/>
      <c r="AC206" s="77"/>
      <c r="AD206" s="77"/>
    </row>
    <row r="207" spans="1:30" ht="15.75" x14ac:dyDescent="0.25">
      <c r="A207" s="16">
        <v>47209</v>
      </c>
      <c r="B207" s="92">
        <v>30</v>
      </c>
      <c r="C207" s="79">
        <f>141.293</f>
        <v>141.29300000000001</v>
      </c>
      <c r="D207" s="79">
        <f>267.993</f>
        <v>267.99299999999999</v>
      </c>
      <c r="E207" s="87">
        <f>115.016</f>
        <v>115.01600000000001</v>
      </c>
      <c r="F207" s="79">
        <f>314.698-40-25-60</f>
        <v>189.69799999999998</v>
      </c>
      <c r="G207" s="81">
        <v>40</v>
      </c>
      <c r="H207" s="79">
        <f t="shared" ref="H207:H213" si="36">25+60</f>
        <v>85</v>
      </c>
      <c r="I207" s="79">
        <f t="shared" si="29"/>
        <v>0</v>
      </c>
      <c r="J207" s="81">
        <v>100</v>
      </c>
      <c r="K207" s="81">
        <v>300</v>
      </c>
      <c r="L207" s="79">
        <f t="shared" si="32"/>
        <v>1239</v>
      </c>
      <c r="M207" s="89">
        <v>600</v>
      </c>
      <c r="N207" s="79">
        <f>100</f>
        <v>100</v>
      </c>
      <c r="O207" s="81">
        <v>240</v>
      </c>
      <c r="P207" s="81">
        <v>160</v>
      </c>
      <c r="Q207" s="81">
        <f t="shared" si="33"/>
        <v>195</v>
      </c>
      <c r="R207" s="81">
        <f t="shared" si="34"/>
        <v>100</v>
      </c>
      <c r="S207" s="79">
        <f t="shared" si="35"/>
        <v>695</v>
      </c>
      <c r="T207" s="79">
        <f>50</f>
        <v>50</v>
      </c>
      <c r="U207" s="77"/>
      <c r="V207" s="77"/>
      <c r="W207" s="77"/>
      <c r="X207" s="77"/>
      <c r="Y207" s="77"/>
      <c r="Z207" s="77"/>
      <c r="AA207" s="77"/>
      <c r="AB207" s="77"/>
      <c r="AC207" s="77"/>
      <c r="AD207" s="77"/>
    </row>
    <row r="208" spans="1:30" ht="15.75" x14ac:dyDescent="0.25">
      <c r="A208" s="16">
        <v>47239</v>
      </c>
      <c r="B208" s="92">
        <v>31</v>
      </c>
      <c r="C208" s="79">
        <f>194.205</f>
        <v>194.20500000000001</v>
      </c>
      <c r="D208" s="79">
        <f>267.466</f>
        <v>267.46600000000001</v>
      </c>
      <c r="E208" s="87">
        <f>133.845</f>
        <v>133.845</v>
      </c>
      <c r="F208" s="79">
        <f>278.484-40-25-60</f>
        <v>153.48399999999998</v>
      </c>
      <c r="G208" s="81">
        <v>40</v>
      </c>
      <c r="H208" s="79">
        <f t="shared" si="36"/>
        <v>85</v>
      </c>
      <c r="I208" s="79">
        <f t="shared" si="29"/>
        <v>0</v>
      </c>
      <c r="J208" s="81">
        <v>100</v>
      </c>
      <c r="K208" s="81">
        <v>300</v>
      </c>
      <c r="L208" s="79">
        <f t="shared" si="32"/>
        <v>1274</v>
      </c>
      <c r="M208" s="89">
        <v>600</v>
      </c>
      <c r="N208" s="79">
        <f>75</f>
        <v>75</v>
      </c>
      <c r="O208" s="81">
        <v>240</v>
      </c>
      <c r="P208" s="81">
        <v>160</v>
      </c>
      <c r="Q208" s="81">
        <f t="shared" si="33"/>
        <v>195</v>
      </c>
      <c r="R208" s="81">
        <f t="shared" si="34"/>
        <v>100</v>
      </c>
      <c r="S208" s="79">
        <f t="shared" si="35"/>
        <v>695</v>
      </c>
      <c r="T208" s="79">
        <f>50</f>
        <v>50</v>
      </c>
      <c r="U208" s="77"/>
      <c r="V208" s="77"/>
      <c r="W208" s="77"/>
      <c r="X208" s="77"/>
      <c r="Y208" s="77"/>
      <c r="Z208" s="77"/>
      <c r="AA208" s="77"/>
      <c r="AB208" s="77"/>
      <c r="AC208" s="77"/>
      <c r="AD208" s="77"/>
    </row>
    <row r="209" spans="1:30" ht="15.75" x14ac:dyDescent="0.25">
      <c r="A209" s="16">
        <v>47270</v>
      </c>
      <c r="B209" s="92">
        <v>30</v>
      </c>
      <c r="C209" s="79">
        <f>194.205</f>
        <v>194.20500000000001</v>
      </c>
      <c r="D209" s="79">
        <f>267.466</f>
        <v>267.46600000000001</v>
      </c>
      <c r="E209" s="87">
        <f>133.845</f>
        <v>133.845</v>
      </c>
      <c r="F209" s="79">
        <f>278.484-40-25-60</f>
        <v>153.48399999999998</v>
      </c>
      <c r="G209" s="81">
        <v>40</v>
      </c>
      <c r="H209" s="79">
        <f t="shared" si="36"/>
        <v>85</v>
      </c>
      <c r="I209" s="79">
        <f t="shared" si="29"/>
        <v>0</v>
      </c>
      <c r="J209" s="81">
        <v>100</v>
      </c>
      <c r="K209" s="81">
        <v>300</v>
      </c>
      <c r="L209" s="79">
        <f t="shared" si="32"/>
        <v>1274</v>
      </c>
      <c r="M209" s="89">
        <v>600</v>
      </c>
      <c r="N209" s="79">
        <f>30</f>
        <v>30</v>
      </c>
      <c r="O209" s="81">
        <v>240</v>
      </c>
      <c r="P209" s="81">
        <v>160</v>
      </c>
      <c r="Q209" s="81">
        <f t="shared" si="33"/>
        <v>195</v>
      </c>
      <c r="R209" s="81">
        <f t="shared" si="34"/>
        <v>100</v>
      </c>
      <c r="S209" s="79">
        <f t="shared" si="35"/>
        <v>695</v>
      </c>
      <c r="T209" s="79">
        <f>50</f>
        <v>50</v>
      </c>
      <c r="U209" s="77"/>
      <c r="V209" s="77"/>
      <c r="W209" s="77"/>
      <c r="X209" s="77"/>
      <c r="Y209" s="77"/>
      <c r="Z209" s="77"/>
      <c r="AA209" s="77"/>
      <c r="AB209" s="77"/>
      <c r="AC209" s="77"/>
      <c r="AD209" s="77"/>
    </row>
    <row r="210" spans="1:30" ht="15.75" x14ac:dyDescent="0.25">
      <c r="A210" s="16">
        <v>47300</v>
      </c>
      <c r="B210" s="92">
        <v>31</v>
      </c>
      <c r="C210" s="79">
        <f>194.205</f>
        <v>194.20500000000001</v>
      </c>
      <c r="D210" s="79">
        <f>267.466</f>
        <v>267.46600000000001</v>
      </c>
      <c r="E210" s="87">
        <f>133.845</f>
        <v>133.845</v>
      </c>
      <c r="F210" s="79">
        <f>278.484-40-25-60</f>
        <v>153.48399999999998</v>
      </c>
      <c r="G210" s="81">
        <v>40</v>
      </c>
      <c r="H210" s="79">
        <f t="shared" si="36"/>
        <v>85</v>
      </c>
      <c r="I210" s="79">
        <f t="shared" si="29"/>
        <v>0</v>
      </c>
      <c r="J210" s="81">
        <v>100</v>
      </c>
      <c r="K210" s="81">
        <v>300</v>
      </c>
      <c r="L210" s="79">
        <f t="shared" si="32"/>
        <v>1274</v>
      </c>
      <c r="M210" s="89">
        <v>600</v>
      </c>
      <c r="N210" s="79">
        <f>30</f>
        <v>30</v>
      </c>
      <c r="O210" s="81">
        <v>240</v>
      </c>
      <c r="P210" s="81">
        <v>160</v>
      </c>
      <c r="Q210" s="81">
        <f t="shared" si="33"/>
        <v>195</v>
      </c>
      <c r="R210" s="81">
        <f t="shared" si="34"/>
        <v>100</v>
      </c>
      <c r="S210" s="79">
        <f t="shared" si="35"/>
        <v>695</v>
      </c>
      <c r="T210" s="79">
        <f>0</f>
        <v>0</v>
      </c>
      <c r="U210" s="77"/>
      <c r="V210" s="77"/>
      <c r="W210" s="77"/>
      <c r="X210" s="77"/>
      <c r="Y210" s="77"/>
      <c r="Z210" s="77"/>
      <c r="AA210" s="77"/>
      <c r="AB210" s="77"/>
      <c r="AC210" s="77"/>
      <c r="AD210" s="77"/>
    </row>
    <row r="211" spans="1:30" ht="15.75" x14ac:dyDescent="0.25">
      <c r="A211" s="16">
        <v>47331</v>
      </c>
      <c r="B211" s="92">
        <v>31</v>
      </c>
      <c r="C211" s="79">
        <f>194.205</f>
        <v>194.20500000000001</v>
      </c>
      <c r="D211" s="79">
        <f>267.466</f>
        <v>267.46600000000001</v>
      </c>
      <c r="E211" s="87">
        <f>133.845</f>
        <v>133.845</v>
      </c>
      <c r="F211" s="79">
        <f>278.484-40-25-60</f>
        <v>153.48399999999998</v>
      </c>
      <c r="G211" s="81">
        <v>40</v>
      </c>
      <c r="H211" s="79">
        <f t="shared" si="36"/>
        <v>85</v>
      </c>
      <c r="I211" s="79">
        <f t="shared" si="29"/>
        <v>0</v>
      </c>
      <c r="J211" s="81">
        <v>100</v>
      </c>
      <c r="K211" s="81">
        <v>300</v>
      </c>
      <c r="L211" s="79">
        <f t="shared" si="32"/>
        <v>1274</v>
      </c>
      <c r="M211" s="89">
        <v>600</v>
      </c>
      <c r="N211" s="79">
        <f>30</f>
        <v>30</v>
      </c>
      <c r="O211" s="81">
        <v>240</v>
      </c>
      <c r="P211" s="81">
        <v>160</v>
      </c>
      <c r="Q211" s="81">
        <f t="shared" si="33"/>
        <v>195</v>
      </c>
      <c r="R211" s="81">
        <f t="shared" si="34"/>
        <v>100</v>
      </c>
      <c r="S211" s="79">
        <f t="shared" si="35"/>
        <v>695</v>
      </c>
      <c r="T211" s="79">
        <f>0</f>
        <v>0</v>
      </c>
      <c r="U211" s="77"/>
      <c r="V211" s="77"/>
      <c r="W211" s="77"/>
      <c r="X211" s="77"/>
      <c r="Y211" s="77"/>
      <c r="Z211" s="77"/>
      <c r="AA211" s="77"/>
      <c r="AB211" s="77"/>
      <c r="AC211" s="77"/>
      <c r="AD211" s="77"/>
    </row>
    <row r="212" spans="1:30" ht="15.75" x14ac:dyDescent="0.25">
      <c r="A212" s="16">
        <v>47362</v>
      </c>
      <c r="B212" s="92">
        <v>30</v>
      </c>
      <c r="C212" s="79">
        <f>194.205</f>
        <v>194.20500000000001</v>
      </c>
      <c r="D212" s="79">
        <f>267.466</f>
        <v>267.46600000000001</v>
      </c>
      <c r="E212" s="87">
        <f>133.845</f>
        <v>133.845</v>
      </c>
      <c r="F212" s="79">
        <f>278.484-40-25-60</f>
        <v>153.48399999999998</v>
      </c>
      <c r="G212" s="81">
        <v>40</v>
      </c>
      <c r="H212" s="79">
        <f t="shared" si="36"/>
        <v>85</v>
      </c>
      <c r="I212" s="79">
        <f t="shared" si="29"/>
        <v>0</v>
      </c>
      <c r="J212" s="81">
        <v>100</v>
      </c>
      <c r="K212" s="81">
        <v>300</v>
      </c>
      <c r="L212" s="79">
        <f t="shared" si="32"/>
        <v>1274</v>
      </c>
      <c r="M212" s="89">
        <v>600</v>
      </c>
      <c r="N212" s="79">
        <f>30</f>
        <v>30</v>
      </c>
      <c r="O212" s="81">
        <v>240</v>
      </c>
      <c r="P212" s="81">
        <v>160</v>
      </c>
      <c r="Q212" s="81">
        <f t="shared" si="33"/>
        <v>195</v>
      </c>
      <c r="R212" s="81">
        <f t="shared" si="34"/>
        <v>100</v>
      </c>
      <c r="S212" s="79">
        <f t="shared" si="35"/>
        <v>695</v>
      </c>
      <c r="T212" s="79">
        <f>0</f>
        <v>0</v>
      </c>
      <c r="U212" s="77"/>
      <c r="V212" s="77"/>
      <c r="W212" s="77"/>
      <c r="X212" s="77"/>
      <c r="Y212" s="77"/>
      <c r="Z212" s="77"/>
      <c r="AA212" s="77"/>
      <c r="AB212" s="77"/>
      <c r="AC212" s="77"/>
      <c r="AD212" s="77"/>
    </row>
    <row r="213" spans="1:30" ht="15.75" x14ac:dyDescent="0.25">
      <c r="A213" s="16">
        <v>47392</v>
      </c>
      <c r="B213" s="92">
        <v>31</v>
      </c>
      <c r="C213" s="79">
        <f>131.881</f>
        <v>131.881</v>
      </c>
      <c r="D213" s="79">
        <f>277.167</f>
        <v>277.16699999999997</v>
      </c>
      <c r="E213" s="87">
        <f>79.08</f>
        <v>79.08</v>
      </c>
      <c r="F213" s="79">
        <f>350.872-40-25-60</f>
        <v>225.87200000000001</v>
      </c>
      <c r="G213" s="81">
        <v>40</v>
      </c>
      <c r="H213" s="79">
        <f t="shared" si="36"/>
        <v>85</v>
      </c>
      <c r="I213" s="79">
        <f t="shared" si="29"/>
        <v>0</v>
      </c>
      <c r="J213" s="81">
        <v>100</v>
      </c>
      <c r="K213" s="81">
        <v>300</v>
      </c>
      <c r="L213" s="79">
        <f t="shared" si="32"/>
        <v>1239</v>
      </c>
      <c r="M213" s="89">
        <v>600</v>
      </c>
      <c r="N213" s="79">
        <f>75</f>
        <v>75</v>
      </c>
      <c r="O213" s="81">
        <v>240</v>
      </c>
      <c r="P213" s="81">
        <v>160</v>
      </c>
      <c r="Q213" s="81">
        <f t="shared" si="33"/>
        <v>195</v>
      </c>
      <c r="R213" s="81">
        <f t="shared" si="34"/>
        <v>100</v>
      </c>
      <c r="S213" s="79">
        <f t="shared" si="35"/>
        <v>695</v>
      </c>
      <c r="T213" s="79">
        <f>0</f>
        <v>0</v>
      </c>
      <c r="U213" s="77"/>
      <c r="V213" s="77"/>
      <c r="W213" s="77"/>
      <c r="X213" s="77"/>
      <c r="Y213" s="77"/>
      <c r="Z213" s="77"/>
      <c r="AA213" s="77"/>
      <c r="AB213" s="77"/>
      <c r="AC213" s="77"/>
      <c r="AD213" s="77"/>
    </row>
    <row r="214" spans="1:30" ht="15.75" x14ac:dyDescent="0.25">
      <c r="A214" s="16">
        <v>47423</v>
      </c>
      <c r="B214" s="92">
        <v>30</v>
      </c>
      <c r="C214" s="79">
        <f>122.58</f>
        <v>122.58</v>
      </c>
      <c r="D214" s="79">
        <f>297.941</f>
        <v>297.94099999999997</v>
      </c>
      <c r="E214" s="87">
        <f>89.177</f>
        <v>89.177000000000007</v>
      </c>
      <c r="F214" s="79">
        <f>240.302-40-60</f>
        <v>140.30199999999999</v>
      </c>
      <c r="G214" s="81">
        <v>40</v>
      </c>
      <c r="H214" s="79">
        <v>60</v>
      </c>
      <c r="I214" s="79">
        <f t="shared" si="29"/>
        <v>0</v>
      </c>
      <c r="J214" s="81">
        <v>100</v>
      </c>
      <c r="K214" s="81">
        <v>300</v>
      </c>
      <c r="L214" s="79">
        <f t="shared" si="32"/>
        <v>1150</v>
      </c>
      <c r="M214" s="89">
        <v>600</v>
      </c>
      <c r="N214" s="79">
        <f>100</f>
        <v>100</v>
      </c>
      <c r="O214" s="81">
        <v>240</v>
      </c>
      <c r="P214" s="81">
        <v>40</v>
      </c>
      <c r="Q214" s="81">
        <f t="shared" si="33"/>
        <v>315</v>
      </c>
      <c r="R214" s="81">
        <f t="shared" si="34"/>
        <v>100</v>
      </c>
      <c r="S214" s="79">
        <f t="shared" si="35"/>
        <v>695</v>
      </c>
      <c r="T214" s="79">
        <f>50</f>
        <v>50</v>
      </c>
      <c r="U214" s="77"/>
      <c r="V214" s="77"/>
      <c r="W214" s="77"/>
      <c r="X214" s="77"/>
      <c r="Y214" s="77"/>
      <c r="Z214" s="77"/>
      <c r="AA214" s="77"/>
      <c r="AB214" s="77"/>
      <c r="AC214" s="77"/>
      <c r="AD214" s="77"/>
    </row>
    <row r="215" spans="1:30" ht="15.75" x14ac:dyDescent="0.25">
      <c r="A215" s="16">
        <v>47453</v>
      </c>
      <c r="B215" s="92">
        <v>31</v>
      </c>
      <c r="C215" s="79">
        <f>122.58</f>
        <v>122.58</v>
      </c>
      <c r="D215" s="79">
        <f>297.941</f>
        <v>297.94099999999997</v>
      </c>
      <c r="E215" s="87">
        <f>89.177</f>
        <v>89.177000000000007</v>
      </c>
      <c r="F215" s="79">
        <f>240.302-40-60</f>
        <v>140.30199999999999</v>
      </c>
      <c r="G215" s="81">
        <v>40</v>
      </c>
      <c r="H215" s="79">
        <v>60</v>
      </c>
      <c r="I215" s="79">
        <f t="shared" si="29"/>
        <v>0</v>
      </c>
      <c r="J215" s="81">
        <v>100</v>
      </c>
      <c r="K215" s="81">
        <v>300</v>
      </c>
      <c r="L215" s="79">
        <f t="shared" si="32"/>
        <v>1150</v>
      </c>
      <c r="M215" s="89">
        <v>600</v>
      </c>
      <c r="N215" s="79">
        <f>100</f>
        <v>100</v>
      </c>
      <c r="O215" s="81">
        <v>240</v>
      </c>
      <c r="P215" s="81">
        <v>40</v>
      </c>
      <c r="Q215" s="81">
        <f t="shared" si="33"/>
        <v>315</v>
      </c>
      <c r="R215" s="81">
        <f t="shared" si="34"/>
        <v>100</v>
      </c>
      <c r="S215" s="79">
        <f t="shared" si="35"/>
        <v>695</v>
      </c>
      <c r="T215" s="79">
        <f>50</f>
        <v>50</v>
      </c>
      <c r="U215" s="77"/>
      <c r="V215" s="77"/>
      <c r="W215" s="77"/>
      <c r="X215" s="77"/>
      <c r="Y215" s="77"/>
      <c r="Z215" s="77"/>
      <c r="AA215" s="77"/>
      <c r="AB215" s="77"/>
      <c r="AC215" s="77"/>
      <c r="AD215" s="77"/>
    </row>
    <row r="216" spans="1:30" ht="15.75" x14ac:dyDescent="0.25">
      <c r="A216" s="16">
        <v>47484</v>
      </c>
      <c r="B216" s="92">
        <v>31</v>
      </c>
      <c r="C216" s="79">
        <f>122.58</f>
        <v>122.58</v>
      </c>
      <c r="D216" s="79">
        <f>297.941</f>
        <v>297.94099999999997</v>
      </c>
      <c r="E216" s="87">
        <f>89.177</f>
        <v>89.177000000000007</v>
      </c>
      <c r="F216" s="79">
        <f>240.302-40-60</f>
        <v>140.30199999999999</v>
      </c>
      <c r="G216" s="81">
        <v>40</v>
      </c>
      <c r="H216" s="79">
        <v>60</v>
      </c>
      <c r="I216" s="79">
        <f t="shared" si="29"/>
        <v>0</v>
      </c>
      <c r="J216" s="81">
        <v>100</v>
      </c>
      <c r="K216" s="81">
        <v>300</v>
      </c>
      <c r="L216" s="79">
        <f t="shared" si="32"/>
        <v>1150</v>
      </c>
      <c r="M216" s="89">
        <v>600</v>
      </c>
      <c r="N216" s="79">
        <f>100</f>
        <v>100</v>
      </c>
      <c r="O216" s="81">
        <v>240</v>
      </c>
      <c r="P216" s="81">
        <v>40</v>
      </c>
      <c r="Q216" s="81">
        <f t="shared" si="33"/>
        <v>315</v>
      </c>
      <c r="R216" s="81">
        <f t="shared" si="34"/>
        <v>100</v>
      </c>
      <c r="S216" s="79">
        <f t="shared" si="35"/>
        <v>695</v>
      </c>
      <c r="T216" s="79">
        <f>50</f>
        <v>50</v>
      </c>
      <c r="U216" s="77"/>
      <c r="V216" s="77"/>
      <c r="W216" s="77"/>
      <c r="X216" s="77"/>
      <c r="Y216" s="77"/>
      <c r="Z216" s="77"/>
      <c r="AA216" s="77"/>
      <c r="AB216" s="77"/>
      <c r="AC216" s="77"/>
      <c r="AD216" s="77"/>
    </row>
    <row r="217" spans="1:30" ht="15.75" x14ac:dyDescent="0.25">
      <c r="A217" s="16">
        <v>47515</v>
      </c>
      <c r="B217" s="92">
        <v>28</v>
      </c>
      <c r="C217" s="79">
        <f>122.58</f>
        <v>122.58</v>
      </c>
      <c r="D217" s="79">
        <f>297.941</f>
        <v>297.94099999999997</v>
      </c>
      <c r="E217" s="87">
        <f>89.177</f>
        <v>89.177000000000007</v>
      </c>
      <c r="F217" s="79">
        <f>240.302-40-60</f>
        <v>140.30199999999999</v>
      </c>
      <c r="G217" s="81">
        <v>40</v>
      </c>
      <c r="H217" s="79">
        <v>60</v>
      </c>
      <c r="I217" s="79">
        <f t="shared" si="29"/>
        <v>0</v>
      </c>
      <c r="J217" s="81">
        <v>100</v>
      </c>
      <c r="K217" s="81">
        <v>300</v>
      </c>
      <c r="L217" s="79">
        <f t="shared" si="32"/>
        <v>1150</v>
      </c>
      <c r="M217" s="89">
        <v>600</v>
      </c>
      <c r="N217" s="79">
        <f>100</f>
        <v>100</v>
      </c>
      <c r="O217" s="81">
        <v>240</v>
      </c>
      <c r="P217" s="81">
        <v>40</v>
      </c>
      <c r="Q217" s="81">
        <f t="shared" si="33"/>
        <v>315</v>
      </c>
      <c r="R217" s="81">
        <f t="shared" si="34"/>
        <v>100</v>
      </c>
      <c r="S217" s="79">
        <f t="shared" si="35"/>
        <v>695</v>
      </c>
      <c r="T217" s="79">
        <f>50</f>
        <v>50</v>
      </c>
      <c r="U217" s="77"/>
      <c r="V217" s="77"/>
      <c r="W217" s="77"/>
      <c r="X217" s="77"/>
      <c r="Y217" s="77"/>
      <c r="Z217" s="77"/>
      <c r="AA217" s="77"/>
      <c r="AB217" s="77"/>
      <c r="AC217" s="77"/>
      <c r="AD217" s="77"/>
    </row>
    <row r="218" spans="1:30" ht="15.75" x14ac:dyDescent="0.25">
      <c r="A218" s="16">
        <v>47543</v>
      </c>
      <c r="B218" s="92">
        <v>31</v>
      </c>
      <c r="C218" s="79">
        <f>122.58</f>
        <v>122.58</v>
      </c>
      <c r="D218" s="79">
        <f>297.941</f>
        <v>297.94099999999997</v>
      </c>
      <c r="E218" s="87">
        <f>89.177</f>
        <v>89.177000000000007</v>
      </c>
      <c r="F218" s="79">
        <f>240.302-40-60</f>
        <v>140.30199999999999</v>
      </c>
      <c r="G218" s="81">
        <v>40</v>
      </c>
      <c r="H218" s="79">
        <v>60</v>
      </c>
      <c r="I218" s="79">
        <f t="shared" si="29"/>
        <v>0</v>
      </c>
      <c r="J218" s="81">
        <v>100</v>
      </c>
      <c r="K218" s="81">
        <v>300</v>
      </c>
      <c r="L218" s="79">
        <f t="shared" si="32"/>
        <v>1150</v>
      </c>
      <c r="M218" s="89">
        <v>600</v>
      </c>
      <c r="N218" s="79">
        <f>100</f>
        <v>100</v>
      </c>
      <c r="O218" s="81">
        <v>240</v>
      </c>
      <c r="P218" s="81">
        <v>40</v>
      </c>
      <c r="Q218" s="81">
        <f t="shared" si="33"/>
        <v>315</v>
      </c>
      <c r="R218" s="81">
        <f t="shared" si="34"/>
        <v>100</v>
      </c>
      <c r="S218" s="79">
        <f t="shared" si="35"/>
        <v>695</v>
      </c>
      <c r="T218" s="79">
        <f>50</f>
        <v>50</v>
      </c>
      <c r="U218" s="77"/>
      <c r="V218" s="77"/>
      <c r="W218" s="77"/>
      <c r="X218" s="77"/>
      <c r="Y218" s="77"/>
      <c r="Z218" s="77"/>
      <c r="AA218" s="77"/>
      <c r="AB218" s="77"/>
      <c r="AC218" s="77"/>
      <c r="AD218" s="77"/>
    </row>
    <row r="219" spans="1:30" ht="15.75" x14ac:dyDescent="0.25">
      <c r="A219" s="16">
        <v>47574</v>
      </c>
      <c r="B219" s="92">
        <v>30</v>
      </c>
      <c r="C219" s="79">
        <f>141.293</f>
        <v>141.29300000000001</v>
      </c>
      <c r="D219" s="79">
        <f>267.993</f>
        <v>267.99299999999999</v>
      </c>
      <c r="E219" s="87">
        <f>115.016</f>
        <v>115.01600000000001</v>
      </c>
      <c r="F219" s="79">
        <f>314.698-40-25-60</f>
        <v>189.69799999999998</v>
      </c>
      <c r="G219" s="81">
        <v>40</v>
      </c>
      <c r="H219" s="79">
        <f t="shared" ref="H219:H225" si="37">25+60</f>
        <v>85</v>
      </c>
      <c r="I219" s="79">
        <f t="shared" si="29"/>
        <v>0</v>
      </c>
      <c r="J219" s="81">
        <v>100</v>
      </c>
      <c r="K219" s="81">
        <v>300</v>
      </c>
      <c r="L219" s="79">
        <f t="shared" si="32"/>
        <v>1239</v>
      </c>
      <c r="M219" s="89">
        <v>600</v>
      </c>
      <c r="N219" s="79">
        <f>100</f>
        <v>100</v>
      </c>
      <c r="O219" s="81">
        <v>240</v>
      </c>
      <c r="P219" s="81">
        <v>160</v>
      </c>
      <c r="Q219" s="81">
        <f t="shared" si="33"/>
        <v>195</v>
      </c>
      <c r="R219" s="81">
        <f t="shared" si="34"/>
        <v>100</v>
      </c>
      <c r="S219" s="79">
        <f t="shared" si="35"/>
        <v>695</v>
      </c>
      <c r="T219" s="79">
        <f>50</f>
        <v>50</v>
      </c>
      <c r="U219" s="77"/>
      <c r="V219" s="77"/>
      <c r="W219" s="77"/>
      <c r="X219" s="77"/>
      <c r="Y219" s="77"/>
      <c r="Z219" s="77"/>
      <c r="AA219" s="77"/>
      <c r="AB219" s="77"/>
      <c r="AC219" s="77"/>
      <c r="AD219" s="77"/>
    </row>
    <row r="220" spans="1:30" ht="15.75" x14ac:dyDescent="0.25">
      <c r="A220" s="16">
        <v>47604</v>
      </c>
      <c r="B220" s="92">
        <v>31</v>
      </c>
      <c r="C220" s="79">
        <f>194.205</f>
        <v>194.20500000000001</v>
      </c>
      <c r="D220" s="79">
        <f>267.466</f>
        <v>267.46600000000001</v>
      </c>
      <c r="E220" s="87">
        <f>133.845</f>
        <v>133.845</v>
      </c>
      <c r="F220" s="79">
        <f>278.484-40-25-60</f>
        <v>153.48399999999998</v>
      </c>
      <c r="G220" s="81">
        <v>40</v>
      </c>
      <c r="H220" s="79">
        <f t="shared" si="37"/>
        <v>85</v>
      </c>
      <c r="I220" s="79">
        <f t="shared" si="29"/>
        <v>0</v>
      </c>
      <c r="J220" s="81">
        <v>100</v>
      </c>
      <c r="K220" s="81">
        <v>300</v>
      </c>
      <c r="L220" s="79">
        <f t="shared" si="32"/>
        <v>1274</v>
      </c>
      <c r="M220" s="89">
        <v>600</v>
      </c>
      <c r="N220" s="79">
        <f>75</f>
        <v>75</v>
      </c>
      <c r="O220" s="81">
        <v>240</v>
      </c>
      <c r="P220" s="81">
        <v>160</v>
      </c>
      <c r="Q220" s="81">
        <f t="shared" si="33"/>
        <v>195</v>
      </c>
      <c r="R220" s="81">
        <f t="shared" si="34"/>
        <v>100</v>
      </c>
      <c r="S220" s="79">
        <f t="shared" si="35"/>
        <v>695</v>
      </c>
      <c r="T220" s="79">
        <f>50</f>
        <v>50</v>
      </c>
      <c r="U220" s="77"/>
      <c r="V220" s="77"/>
      <c r="W220" s="77"/>
      <c r="X220" s="77"/>
      <c r="Y220" s="77"/>
      <c r="Z220" s="77"/>
      <c r="AA220" s="77"/>
      <c r="AB220" s="77"/>
      <c r="AC220" s="77"/>
      <c r="AD220" s="77"/>
    </row>
    <row r="221" spans="1:30" ht="15.75" x14ac:dyDescent="0.25">
      <c r="A221" s="16">
        <v>47635</v>
      </c>
      <c r="B221" s="92">
        <v>30</v>
      </c>
      <c r="C221" s="79">
        <f>194.205</f>
        <v>194.20500000000001</v>
      </c>
      <c r="D221" s="79">
        <f>267.466</f>
        <v>267.46600000000001</v>
      </c>
      <c r="E221" s="87">
        <f>133.845</f>
        <v>133.845</v>
      </c>
      <c r="F221" s="79">
        <f>278.484-40-25-60</f>
        <v>153.48399999999998</v>
      </c>
      <c r="G221" s="81">
        <v>40</v>
      </c>
      <c r="H221" s="79">
        <f t="shared" si="37"/>
        <v>85</v>
      </c>
      <c r="I221" s="79">
        <f t="shared" si="29"/>
        <v>0</v>
      </c>
      <c r="J221" s="81">
        <v>100</v>
      </c>
      <c r="K221" s="81">
        <v>300</v>
      </c>
      <c r="L221" s="79">
        <f t="shared" si="32"/>
        <v>1274</v>
      </c>
      <c r="M221" s="89">
        <v>600</v>
      </c>
      <c r="N221" s="79">
        <f>30</f>
        <v>30</v>
      </c>
      <c r="O221" s="81">
        <v>240</v>
      </c>
      <c r="P221" s="81">
        <v>160</v>
      </c>
      <c r="Q221" s="81">
        <f t="shared" si="33"/>
        <v>195</v>
      </c>
      <c r="R221" s="81">
        <f t="shared" si="34"/>
        <v>100</v>
      </c>
      <c r="S221" s="79">
        <f t="shared" si="35"/>
        <v>695</v>
      </c>
      <c r="T221" s="79">
        <f>50</f>
        <v>50</v>
      </c>
      <c r="U221" s="77"/>
      <c r="V221" s="77"/>
      <c r="W221" s="77"/>
      <c r="X221" s="77"/>
      <c r="Y221" s="77"/>
      <c r="Z221" s="77"/>
      <c r="AA221" s="77"/>
      <c r="AB221" s="77"/>
      <c r="AC221" s="77"/>
      <c r="AD221" s="77"/>
    </row>
    <row r="222" spans="1:30" ht="15.75" x14ac:dyDescent="0.25">
      <c r="A222" s="16">
        <v>47665</v>
      </c>
      <c r="B222" s="92">
        <v>31</v>
      </c>
      <c r="C222" s="79">
        <f>194.205</f>
        <v>194.20500000000001</v>
      </c>
      <c r="D222" s="79">
        <f>267.466</f>
        <v>267.46600000000001</v>
      </c>
      <c r="E222" s="87">
        <f>133.845</f>
        <v>133.845</v>
      </c>
      <c r="F222" s="79">
        <f>278.484-40-25-60</f>
        <v>153.48399999999998</v>
      </c>
      <c r="G222" s="81">
        <v>40</v>
      </c>
      <c r="H222" s="79">
        <f t="shared" si="37"/>
        <v>85</v>
      </c>
      <c r="I222" s="79">
        <f t="shared" si="29"/>
        <v>0</v>
      </c>
      <c r="J222" s="81">
        <v>100</v>
      </c>
      <c r="K222" s="81">
        <v>300</v>
      </c>
      <c r="L222" s="79">
        <f t="shared" si="32"/>
        <v>1274</v>
      </c>
      <c r="M222" s="89">
        <v>600</v>
      </c>
      <c r="N222" s="79">
        <f>30</f>
        <v>30</v>
      </c>
      <c r="O222" s="81">
        <v>240</v>
      </c>
      <c r="P222" s="81">
        <v>160</v>
      </c>
      <c r="Q222" s="81">
        <f t="shared" si="33"/>
        <v>195</v>
      </c>
      <c r="R222" s="81">
        <f t="shared" si="34"/>
        <v>100</v>
      </c>
      <c r="S222" s="79">
        <f t="shared" si="35"/>
        <v>695</v>
      </c>
      <c r="T222" s="79">
        <f>0</f>
        <v>0</v>
      </c>
      <c r="U222" s="77"/>
      <c r="V222" s="77"/>
      <c r="W222" s="77"/>
      <c r="X222" s="77"/>
      <c r="Y222" s="77"/>
      <c r="Z222" s="77"/>
      <c r="AA222" s="77"/>
      <c r="AB222" s="77"/>
      <c r="AC222" s="77"/>
      <c r="AD222" s="77"/>
    </row>
    <row r="223" spans="1:30" ht="15.75" x14ac:dyDescent="0.25">
      <c r="A223" s="16">
        <v>47696</v>
      </c>
      <c r="B223" s="92">
        <v>31</v>
      </c>
      <c r="C223" s="79">
        <f>194.205</f>
        <v>194.20500000000001</v>
      </c>
      <c r="D223" s="79">
        <f>267.466</f>
        <v>267.46600000000001</v>
      </c>
      <c r="E223" s="87">
        <f>133.845</f>
        <v>133.845</v>
      </c>
      <c r="F223" s="79">
        <f>278.484-40-25-60</f>
        <v>153.48399999999998</v>
      </c>
      <c r="G223" s="81">
        <v>40</v>
      </c>
      <c r="H223" s="79">
        <f t="shared" si="37"/>
        <v>85</v>
      </c>
      <c r="I223" s="79">
        <f t="shared" si="29"/>
        <v>0</v>
      </c>
      <c r="J223" s="81">
        <v>100</v>
      </c>
      <c r="K223" s="81">
        <v>300</v>
      </c>
      <c r="L223" s="79">
        <f t="shared" si="32"/>
        <v>1274</v>
      </c>
      <c r="M223" s="89">
        <v>600</v>
      </c>
      <c r="N223" s="79">
        <f>30</f>
        <v>30</v>
      </c>
      <c r="O223" s="81">
        <v>240</v>
      </c>
      <c r="P223" s="81">
        <v>160</v>
      </c>
      <c r="Q223" s="81">
        <f t="shared" si="33"/>
        <v>195</v>
      </c>
      <c r="R223" s="81">
        <f t="shared" si="34"/>
        <v>100</v>
      </c>
      <c r="S223" s="79">
        <f t="shared" si="35"/>
        <v>695</v>
      </c>
      <c r="T223" s="79">
        <f>0</f>
        <v>0</v>
      </c>
      <c r="U223" s="77"/>
      <c r="V223" s="77"/>
      <c r="W223" s="77"/>
      <c r="X223" s="77"/>
      <c r="Y223" s="77"/>
      <c r="Z223" s="77"/>
      <c r="AA223" s="77"/>
      <c r="AB223" s="77"/>
      <c r="AC223" s="77"/>
      <c r="AD223" s="77"/>
    </row>
    <row r="224" spans="1:30" ht="15.75" x14ac:dyDescent="0.25">
      <c r="A224" s="16">
        <v>47727</v>
      </c>
      <c r="B224" s="92">
        <v>30</v>
      </c>
      <c r="C224" s="79">
        <f>194.205</f>
        <v>194.20500000000001</v>
      </c>
      <c r="D224" s="79">
        <f>267.466</f>
        <v>267.46600000000001</v>
      </c>
      <c r="E224" s="87">
        <f>133.845</f>
        <v>133.845</v>
      </c>
      <c r="F224" s="79">
        <f>278.484-40-25-60</f>
        <v>153.48399999999998</v>
      </c>
      <c r="G224" s="81">
        <v>40</v>
      </c>
      <c r="H224" s="79">
        <f t="shared" si="37"/>
        <v>85</v>
      </c>
      <c r="I224" s="79">
        <f t="shared" si="29"/>
        <v>0</v>
      </c>
      <c r="J224" s="81">
        <v>100</v>
      </c>
      <c r="K224" s="81">
        <v>300</v>
      </c>
      <c r="L224" s="79">
        <f t="shared" si="32"/>
        <v>1274</v>
      </c>
      <c r="M224" s="89">
        <v>600</v>
      </c>
      <c r="N224" s="79">
        <f>30</f>
        <v>30</v>
      </c>
      <c r="O224" s="81">
        <v>240</v>
      </c>
      <c r="P224" s="81">
        <v>160</v>
      </c>
      <c r="Q224" s="81">
        <f t="shared" si="33"/>
        <v>195</v>
      </c>
      <c r="R224" s="81">
        <f t="shared" si="34"/>
        <v>100</v>
      </c>
      <c r="S224" s="79">
        <f t="shared" si="35"/>
        <v>695</v>
      </c>
      <c r="T224" s="79">
        <f>0</f>
        <v>0</v>
      </c>
      <c r="U224" s="77"/>
      <c r="V224" s="77"/>
      <c r="W224" s="77"/>
      <c r="X224" s="77"/>
      <c r="Y224" s="77"/>
      <c r="Z224" s="77"/>
      <c r="AA224" s="77"/>
      <c r="AB224" s="77"/>
      <c r="AC224" s="77"/>
      <c r="AD224" s="77"/>
    </row>
    <row r="225" spans="1:30" ht="15.75" x14ac:dyDescent="0.25">
      <c r="A225" s="16">
        <v>47757</v>
      </c>
      <c r="B225" s="92">
        <v>31</v>
      </c>
      <c r="C225" s="79">
        <f>131.881</f>
        <v>131.881</v>
      </c>
      <c r="D225" s="79">
        <f>277.167</f>
        <v>277.16699999999997</v>
      </c>
      <c r="E225" s="87">
        <f>79.08</f>
        <v>79.08</v>
      </c>
      <c r="F225" s="79">
        <f>350.872-40-25-60</f>
        <v>225.87200000000001</v>
      </c>
      <c r="G225" s="81">
        <v>40</v>
      </c>
      <c r="H225" s="79">
        <f t="shared" si="37"/>
        <v>85</v>
      </c>
      <c r="I225" s="79">
        <f t="shared" si="29"/>
        <v>0</v>
      </c>
      <c r="J225" s="81">
        <v>100</v>
      </c>
      <c r="K225" s="81">
        <v>300</v>
      </c>
      <c r="L225" s="79">
        <f t="shared" si="32"/>
        <v>1239</v>
      </c>
      <c r="M225" s="89">
        <v>600</v>
      </c>
      <c r="N225" s="79">
        <f>75</f>
        <v>75</v>
      </c>
      <c r="O225" s="81">
        <v>240</v>
      </c>
      <c r="P225" s="81">
        <v>160</v>
      </c>
      <c r="Q225" s="81">
        <f t="shared" si="33"/>
        <v>195</v>
      </c>
      <c r="R225" s="81">
        <f t="shared" si="34"/>
        <v>100</v>
      </c>
      <c r="S225" s="79">
        <f t="shared" si="35"/>
        <v>695</v>
      </c>
      <c r="T225" s="79">
        <f>0</f>
        <v>0</v>
      </c>
      <c r="U225" s="77"/>
      <c r="V225" s="77"/>
      <c r="W225" s="77"/>
      <c r="X225" s="77"/>
      <c r="Y225" s="77"/>
      <c r="Z225" s="77"/>
      <c r="AA225" s="77"/>
      <c r="AB225" s="77"/>
      <c r="AC225" s="77"/>
      <c r="AD225" s="77"/>
    </row>
    <row r="226" spans="1:30" ht="15.75" x14ac:dyDescent="0.25">
      <c r="A226" s="16">
        <v>47788</v>
      </c>
      <c r="B226" s="92">
        <v>30</v>
      </c>
      <c r="C226" s="79">
        <f>122.58</f>
        <v>122.58</v>
      </c>
      <c r="D226" s="79">
        <f>297.941</f>
        <v>297.94099999999997</v>
      </c>
      <c r="E226" s="87">
        <f>89.177</f>
        <v>89.177000000000007</v>
      </c>
      <c r="F226" s="79">
        <f>240.302-40-60</f>
        <v>140.30199999999999</v>
      </c>
      <c r="G226" s="81">
        <v>40</v>
      </c>
      <c r="H226" s="79">
        <v>60</v>
      </c>
      <c r="I226" s="79">
        <f t="shared" si="29"/>
        <v>0</v>
      </c>
      <c r="J226" s="81">
        <v>100</v>
      </c>
      <c r="K226" s="81">
        <v>300</v>
      </c>
      <c r="L226" s="79">
        <f t="shared" si="32"/>
        <v>1150</v>
      </c>
      <c r="M226" s="89">
        <v>600</v>
      </c>
      <c r="N226" s="79">
        <f>100</f>
        <v>100</v>
      </c>
      <c r="O226" s="81">
        <v>240</v>
      </c>
      <c r="P226" s="81">
        <v>40</v>
      </c>
      <c r="Q226" s="81">
        <f t="shared" si="33"/>
        <v>315</v>
      </c>
      <c r="R226" s="81">
        <f t="shared" si="34"/>
        <v>100</v>
      </c>
      <c r="S226" s="79">
        <f t="shared" si="35"/>
        <v>695</v>
      </c>
      <c r="T226" s="79">
        <f>50</f>
        <v>50</v>
      </c>
      <c r="U226" s="77"/>
      <c r="V226" s="77"/>
      <c r="W226" s="77"/>
      <c r="X226" s="77"/>
      <c r="Y226" s="77"/>
      <c r="Z226" s="77"/>
      <c r="AA226" s="77"/>
      <c r="AB226" s="77"/>
      <c r="AC226" s="77"/>
      <c r="AD226" s="77"/>
    </row>
    <row r="227" spans="1:30" ht="15.75" x14ac:dyDescent="0.25">
      <c r="A227" s="16">
        <v>47818</v>
      </c>
      <c r="B227" s="92">
        <v>31</v>
      </c>
      <c r="C227" s="79">
        <f>122.58</f>
        <v>122.58</v>
      </c>
      <c r="D227" s="79">
        <f>297.941</f>
        <v>297.94099999999997</v>
      </c>
      <c r="E227" s="87">
        <f>89.177</f>
        <v>89.177000000000007</v>
      </c>
      <c r="F227" s="79">
        <f>240.302-40-60</f>
        <v>140.30199999999999</v>
      </c>
      <c r="G227" s="81">
        <v>40</v>
      </c>
      <c r="H227" s="79">
        <v>60</v>
      </c>
      <c r="I227" s="79">
        <f t="shared" si="29"/>
        <v>0</v>
      </c>
      <c r="J227" s="81">
        <v>100</v>
      </c>
      <c r="K227" s="81">
        <v>300</v>
      </c>
      <c r="L227" s="79">
        <f t="shared" si="32"/>
        <v>1150</v>
      </c>
      <c r="M227" s="89">
        <v>600</v>
      </c>
      <c r="N227" s="79">
        <f>100</f>
        <v>100</v>
      </c>
      <c r="O227" s="81">
        <v>240</v>
      </c>
      <c r="P227" s="81">
        <v>40</v>
      </c>
      <c r="Q227" s="81">
        <f t="shared" si="33"/>
        <v>315</v>
      </c>
      <c r="R227" s="81">
        <f t="shared" si="34"/>
        <v>100</v>
      </c>
      <c r="S227" s="79">
        <f t="shared" si="35"/>
        <v>695</v>
      </c>
      <c r="T227" s="79">
        <f>50</f>
        <v>50</v>
      </c>
      <c r="U227" s="77"/>
      <c r="V227" s="77"/>
      <c r="W227" s="77"/>
      <c r="X227" s="77"/>
      <c r="Y227" s="77"/>
      <c r="Z227" s="77"/>
      <c r="AA227" s="77"/>
      <c r="AB227" s="77"/>
      <c r="AC227" s="77"/>
      <c r="AD227" s="77"/>
    </row>
    <row r="228" spans="1:30" ht="15.75" x14ac:dyDescent="0.25">
      <c r="A228" s="16">
        <v>47849</v>
      </c>
      <c r="B228" s="92">
        <v>31</v>
      </c>
      <c r="C228" s="79">
        <f>122.58</f>
        <v>122.58</v>
      </c>
      <c r="D228" s="79">
        <f>297.941</f>
        <v>297.94099999999997</v>
      </c>
      <c r="E228" s="87">
        <f>89.177</f>
        <v>89.177000000000007</v>
      </c>
      <c r="F228" s="79">
        <f>240.302-40-60</f>
        <v>140.30199999999999</v>
      </c>
      <c r="G228" s="81">
        <v>40</v>
      </c>
      <c r="H228" s="79">
        <v>60</v>
      </c>
      <c r="I228" s="79">
        <f t="shared" si="29"/>
        <v>0</v>
      </c>
      <c r="J228" s="81">
        <v>100</v>
      </c>
      <c r="K228" s="81">
        <v>300</v>
      </c>
      <c r="L228" s="79">
        <f t="shared" si="32"/>
        <v>1150</v>
      </c>
      <c r="M228" s="89">
        <v>600</v>
      </c>
      <c r="N228" s="79">
        <f>100</f>
        <v>100</v>
      </c>
      <c r="O228" s="81">
        <v>240</v>
      </c>
      <c r="P228" s="81">
        <v>40</v>
      </c>
      <c r="Q228" s="81">
        <f t="shared" si="33"/>
        <v>315</v>
      </c>
      <c r="R228" s="81">
        <f t="shared" si="34"/>
        <v>100</v>
      </c>
      <c r="S228" s="79">
        <f t="shared" si="35"/>
        <v>695</v>
      </c>
      <c r="T228" s="79">
        <f>50</f>
        <v>50</v>
      </c>
      <c r="U228" s="77"/>
      <c r="V228" s="77"/>
      <c r="W228" s="77"/>
      <c r="X228" s="77"/>
      <c r="Y228" s="77"/>
      <c r="Z228" s="77"/>
      <c r="AA228" s="77"/>
      <c r="AB228" s="77"/>
      <c r="AC228" s="77"/>
      <c r="AD228" s="77"/>
    </row>
    <row r="229" spans="1:30" ht="15.75" x14ac:dyDescent="0.25">
      <c r="A229" s="16">
        <v>47880</v>
      </c>
      <c r="B229" s="92">
        <v>28</v>
      </c>
      <c r="C229" s="79">
        <f>122.58</f>
        <v>122.58</v>
      </c>
      <c r="D229" s="79">
        <f>297.941</f>
        <v>297.94099999999997</v>
      </c>
      <c r="E229" s="87">
        <f>89.177</f>
        <v>89.177000000000007</v>
      </c>
      <c r="F229" s="79">
        <f>240.302-40-60</f>
        <v>140.30199999999999</v>
      </c>
      <c r="G229" s="81">
        <v>40</v>
      </c>
      <c r="H229" s="79">
        <v>60</v>
      </c>
      <c r="I229" s="79">
        <f t="shared" si="29"/>
        <v>0</v>
      </c>
      <c r="J229" s="81">
        <v>100</v>
      </c>
      <c r="K229" s="81">
        <v>300</v>
      </c>
      <c r="L229" s="79">
        <f t="shared" si="32"/>
        <v>1150</v>
      </c>
      <c r="M229" s="89">
        <v>600</v>
      </c>
      <c r="N229" s="79">
        <f>100</f>
        <v>100</v>
      </c>
      <c r="O229" s="81">
        <v>240</v>
      </c>
      <c r="P229" s="81">
        <v>40</v>
      </c>
      <c r="Q229" s="81">
        <f t="shared" si="33"/>
        <v>315</v>
      </c>
      <c r="R229" s="81">
        <f t="shared" si="34"/>
        <v>100</v>
      </c>
      <c r="S229" s="79">
        <f t="shared" si="35"/>
        <v>695</v>
      </c>
      <c r="T229" s="79">
        <f>50</f>
        <v>50</v>
      </c>
      <c r="U229" s="77"/>
      <c r="V229" s="77"/>
      <c r="W229" s="77"/>
      <c r="X229" s="77"/>
      <c r="Y229" s="77"/>
      <c r="Z229" s="77"/>
      <c r="AA229" s="77"/>
      <c r="AB229" s="77"/>
      <c r="AC229" s="77"/>
      <c r="AD229" s="77"/>
    </row>
    <row r="230" spans="1:30" ht="15.75" x14ac:dyDescent="0.25">
      <c r="A230" s="16">
        <v>47908</v>
      </c>
      <c r="B230" s="92">
        <v>31</v>
      </c>
      <c r="C230" s="79">
        <f>122.58</f>
        <v>122.58</v>
      </c>
      <c r="D230" s="79">
        <f>297.941</f>
        <v>297.94099999999997</v>
      </c>
      <c r="E230" s="87">
        <f>89.177</f>
        <v>89.177000000000007</v>
      </c>
      <c r="F230" s="79">
        <f>240.302-40-60</f>
        <v>140.30199999999999</v>
      </c>
      <c r="G230" s="81">
        <v>40</v>
      </c>
      <c r="H230" s="79">
        <v>60</v>
      </c>
      <c r="I230" s="79">
        <f t="shared" si="29"/>
        <v>0</v>
      </c>
      <c r="J230" s="81">
        <v>100</v>
      </c>
      <c r="K230" s="81">
        <v>300</v>
      </c>
      <c r="L230" s="79">
        <f t="shared" si="32"/>
        <v>1150</v>
      </c>
      <c r="M230" s="89">
        <v>600</v>
      </c>
      <c r="N230" s="79">
        <f>100</f>
        <v>100</v>
      </c>
      <c r="O230" s="81">
        <v>240</v>
      </c>
      <c r="P230" s="81">
        <v>40</v>
      </c>
      <c r="Q230" s="81">
        <f t="shared" si="33"/>
        <v>315</v>
      </c>
      <c r="R230" s="81">
        <f t="shared" si="34"/>
        <v>100</v>
      </c>
      <c r="S230" s="79">
        <f t="shared" si="35"/>
        <v>695</v>
      </c>
      <c r="T230" s="79">
        <f>50</f>
        <v>50</v>
      </c>
      <c r="U230" s="77"/>
      <c r="V230" s="77"/>
      <c r="W230" s="77"/>
      <c r="X230" s="77"/>
      <c r="Y230" s="77"/>
      <c r="Z230" s="77"/>
      <c r="AA230" s="77"/>
      <c r="AB230" s="77"/>
      <c r="AC230" s="77"/>
      <c r="AD230" s="77"/>
    </row>
    <row r="231" spans="1:30" ht="15.75" x14ac:dyDescent="0.25">
      <c r="A231" s="16">
        <v>47939</v>
      </c>
      <c r="B231" s="92">
        <v>30</v>
      </c>
      <c r="C231" s="79">
        <f>141.293</f>
        <v>141.29300000000001</v>
      </c>
      <c r="D231" s="79">
        <f>267.993</f>
        <v>267.99299999999999</v>
      </c>
      <c r="E231" s="87">
        <f>115.016</f>
        <v>115.01600000000001</v>
      </c>
      <c r="F231" s="79">
        <f>314.698-40-25-60</f>
        <v>189.69799999999998</v>
      </c>
      <c r="G231" s="81">
        <v>40</v>
      </c>
      <c r="H231" s="79">
        <f t="shared" ref="H231:H237" si="38">25+60</f>
        <v>85</v>
      </c>
      <c r="I231" s="79">
        <f t="shared" si="29"/>
        <v>0</v>
      </c>
      <c r="J231" s="81">
        <v>100</v>
      </c>
      <c r="K231" s="81">
        <v>300</v>
      </c>
      <c r="L231" s="79">
        <f t="shared" si="32"/>
        <v>1239</v>
      </c>
      <c r="M231" s="89">
        <v>600</v>
      </c>
      <c r="N231" s="79">
        <f>100</f>
        <v>100</v>
      </c>
      <c r="O231" s="81">
        <v>240</v>
      </c>
      <c r="P231" s="81">
        <v>160</v>
      </c>
      <c r="Q231" s="81">
        <f t="shared" si="33"/>
        <v>195</v>
      </c>
      <c r="R231" s="81">
        <f t="shared" si="34"/>
        <v>100</v>
      </c>
      <c r="S231" s="79">
        <f t="shared" si="35"/>
        <v>695</v>
      </c>
      <c r="T231" s="79">
        <f>50</f>
        <v>50</v>
      </c>
      <c r="U231" s="77"/>
      <c r="V231" s="77"/>
      <c r="W231" s="77"/>
      <c r="X231" s="77"/>
      <c r="Y231" s="77"/>
      <c r="Z231" s="77"/>
      <c r="AA231" s="77"/>
      <c r="AB231" s="77"/>
      <c r="AC231" s="77"/>
      <c r="AD231" s="77"/>
    </row>
    <row r="232" spans="1:30" ht="15.75" x14ac:dyDescent="0.25">
      <c r="A232" s="16">
        <v>47969</v>
      </c>
      <c r="B232" s="92">
        <v>31</v>
      </c>
      <c r="C232" s="79">
        <f>194.205</f>
        <v>194.20500000000001</v>
      </c>
      <c r="D232" s="79">
        <f>267.466</f>
        <v>267.46600000000001</v>
      </c>
      <c r="E232" s="87">
        <f>133.845</f>
        <v>133.845</v>
      </c>
      <c r="F232" s="79">
        <f>278.484-40-25-60</f>
        <v>153.48399999999998</v>
      </c>
      <c r="G232" s="81">
        <v>40</v>
      </c>
      <c r="H232" s="79">
        <f t="shared" si="38"/>
        <v>85</v>
      </c>
      <c r="I232" s="79">
        <f t="shared" si="29"/>
        <v>0</v>
      </c>
      <c r="J232" s="81">
        <v>100</v>
      </c>
      <c r="K232" s="81">
        <v>300</v>
      </c>
      <c r="L232" s="79">
        <f t="shared" si="32"/>
        <v>1274</v>
      </c>
      <c r="M232" s="89">
        <v>600</v>
      </c>
      <c r="N232" s="79">
        <f>75</f>
        <v>75</v>
      </c>
      <c r="O232" s="81">
        <v>240</v>
      </c>
      <c r="P232" s="81">
        <v>160</v>
      </c>
      <c r="Q232" s="81">
        <f t="shared" si="33"/>
        <v>195</v>
      </c>
      <c r="R232" s="81">
        <f t="shared" si="34"/>
        <v>100</v>
      </c>
      <c r="S232" s="79">
        <f t="shared" si="35"/>
        <v>695</v>
      </c>
      <c r="T232" s="79">
        <f>50</f>
        <v>50</v>
      </c>
      <c r="U232" s="77"/>
      <c r="V232" s="77"/>
      <c r="W232" s="77"/>
      <c r="X232" s="77"/>
      <c r="Y232" s="77"/>
      <c r="Z232" s="77"/>
      <c r="AA232" s="77"/>
      <c r="AB232" s="77"/>
      <c r="AC232" s="77"/>
      <c r="AD232" s="77"/>
    </row>
    <row r="233" spans="1:30" ht="15.75" x14ac:dyDescent="0.25">
      <c r="A233" s="16">
        <v>48000</v>
      </c>
      <c r="B233" s="92">
        <v>30</v>
      </c>
      <c r="C233" s="79">
        <f>194.205</f>
        <v>194.20500000000001</v>
      </c>
      <c r="D233" s="79">
        <f>267.466</f>
        <v>267.46600000000001</v>
      </c>
      <c r="E233" s="87">
        <f>133.845</f>
        <v>133.845</v>
      </c>
      <c r="F233" s="79">
        <f>278.484-40-25-60</f>
        <v>153.48399999999998</v>
      </c>
      <c r="G233" s="81">
        <v>40</v>
      </c>
      <c r="H233" s="79">
        <f t="shared" si="38"/>
        <v>85</v>
      </c>
      <c r="I233" s="79">
        <f t="shared" si="29"/>
        <v>0</v>
      </c>
      <c r="J233" s="81">
        <v>100</v>
      </c>
      <c r="K233" s="81">
        <v>300</v>
      </c>
      <c r="L233" s="79">
        <f t="shared" si="32"/>
        <v>1274</v>
      </c>
      <c r="M233" s="89">
        <v>600</v>
      </c>
      <c r="N233" s="79">
        <f>30</f>
        <v>30</v>
      </c>
      <c r="O233" s="81">
        <v>240</v>
      </c>
      <c r="P233" s="81">
        <v>160</v>
      </c>
      <c r="Q233" s="81">
        <f t="shared" si="33"/>
        <v>195</v>
      </c>
      <c r="R233" s="81">
        <f t="shared" si="34"/>
        <v>100</v>
      </c>
      <c r="S233" s="79">
        <f t="shared" si="35"/>
        <v>695</v>
      </c>
      <c r="T233" s="79">
        <f>50</f>
        <v>50</v>
      </c>
      <c r="U233" s="77"/>
      <c r="V233" s="77"/>
      <c r="W233" s="77"/>
      <c r="X233" s="77"/>
      <c r="Y233" s="77"/>
      <c r="Z233" s="77"/>
      <c r="AA233" s="77"/>
      <c r="AB233" s="77"/>
      <c r="AC233" s="77"/>
      <c r="AD233" s="77"/>
    </row>
    <row r="234" spans="1:30" ht="15.75" x14ac:dyDescent="0.25">
      <c r="A234" s="16">
        <v>48030</v>
      </c>
      <c r="B234" s="92">
        <v>31</v>
      </c>
      <c r="C234" s="79">
        <f>194.205</f>
        <v>194.20500000000001</v>
      </c>
      <c r="D234" s="79">
        <f>267.466</f>
        <v>267.46600000000001</v>
      </c>
      <c r="E234" s="87">
        <f>133.845</f>
        <v>133.845</v>
      </c>
      <c r="F234" s="79">
        <f>278.484-40-25-60</f>
        <v>153.48399999999998</v>
      </c>
      <c r="G234" s="81">
        <v>40</v>
      </c>
      <c r="H234" s="79">
        <f t="shared" si="38"/>
        <v>85</v>
      </c>
      <c r="I234" s="79">
        <f t="shared" si="29"/>
        <v>0</v>
      </c>
      <c r="J234" s="81">
        <v>100</v>
      </c>
      <c r="K234" s="81">
        <v>300</v>
      </c>
      <c r="L234" s="79">
        <f t="shared" si="32"/>
        <v>1274</v>
      </c>
      <c r="M234" s="89">
        <v>600</v>
      </c>
      <c r="N234" s="79">
        <f>30</f>
        <v>30</v>
      </c>
      <c r="O234" s="81">
        <v>240</v>
      </c>
      <c r="P234" s="81">
        <v>160</v>
      </c>
      <c r="Q234" s="81">
        <f t="shared" si="33"/>
        <v>195</v>
      </c>
      <c r="R234" s="81">
        <f t="shared" si="34"/>
        <v>100</v>
      </c>
      <c r="S234" s="79">
        <f t="shared" si="35"/>
        <v>695</v>
      </c>
      <c r="T234" s="79">
        <f>0</f>
        <v>0</v>
      </c>
      <c r="U234" s="77"/>
      <c r="V234" s="77"/>
      <c r="W234" s="77"/>
      <c r="X234" s="77"/>
      <c r="Y234" s="77"/>
      <c r="Z234" s="77"/>
      <c r="AA234" s="77"/>
      <c r="AB234" s="77"/>
      <c r="AC234" s="77"/>
      <c r="AD234" s="77"/>
    </row>
    <row r="235" spans="1:30" ht="15.75" x14ac:dyDescent="0.25">
      <c r="A235" s="16">
        <v>48061</v>
      </c>
      <c r="B235" s="92">
        <v>31</v>
      </c>
      <c r="C235" s="79">
        <f>194.205</f>
        <v>194.20500000000001</v>
      </c>
      <c r="D235" s="79">
        <f>267.466</f>
        <v>267.46600000000001</v>
      </c>
      <c r="E235" s="87">
        <f>133.845</f>
        <v>133.845</v>
      </c>
      <c r="F235" s="79">
        <f>278.484-40-25-60</f>
        <v>153.48399999999998</v>
      </c>
      <c r="G235" s="81">
        <v>40</v>
      </c>
      <c r="H235" s="79">
        <f t="shared" si="38"/>
        <v>85</v>
      </c>
      <c r="I235" s="79">
        <f t="shared" si="29"/>
        <v>0</v>
      </c>
      <c r="J235" s="81">
        <v>100</v>
      </c>
      <c r="K235" s="81">
        <v>300</v>
      </c>
      <c r="L235" s="79">
        <f t="shared" si="32"/>
        <v>1274</v>
      </c>
      <c r="M235" s="89">
        <v>600</v>
      </c>
      <c r="N235" s="79">
        <f>30</f>
        <v>30</v>
      </c>
      <c r="O235" s="81">
        <v>240</v>
      </c>
      <c r="P235" s="81">
        <v>160</v>
      </c>
      <c r="Q235" s="81">
        <f t="shared" si="33"/>
        <v>195</v>
      </c>
      <c r="R235" s="81">
        <f t="shared" si="34"/>
        <v>100</v>
      </c>
      <c r="S235" s="79">
        <f t="shared" si="35"/>
        <v>695</v>
      </c>
      <c r="T235" s="79">
        <f>0</f>
        <v>0</v>
      </c>
      <c r="U235" s="77"/>
      <c r="V235" s="77"/>
      <c r="W235" s="77"/>
      <c r="X235" s="77"/>
      <c r="Y235" s="77"/>
      <c r="Z235" s="77"/>
      <c r="AA235" s="77"/>
      <c r="AB235" s="77"/>
      <c r="AC235" s="77"/>
      <c r="AD235" s="77"/>
    </row>
    <row r="236" spans="1:30" ht="15.75" x14ac:dyDescent="0.25">
      <c r="A236" s="16">
        <v>48092</v>
      </c>
      <c r="B236" s="92">
        <v>30</v>
      </c>
      <c r="C236" s="79">
        <f>194.205</f>
        <v>194.20500000000001</v>
      </c>
      <c r="D236" s="79">
        <f>267.466</f>
        <v>267.46600000000001</v>
      </c>
      <c r="E236" s="87">
        <f>133.845</f>
        <v>133.845</v>
      </c>
      <c r="F236" s="79">
        <f>278.484-40-25-60</f>
        <v>153.48399999999998</v>
      </c>
      <c r="G236" s="81">
        <v>40</v>
      </c>
      <c r="H236" s="79">
        <f t="shared" si="38"/>
        <v>85</v>
      </c>
      <c r="I236" s="79">
        <f t="shared" si="29"/>
        <v>0</v>
      </c>
      <c r="J236" s="81">
        <v>100</v>
      </c>
      <c r="K236" s="81">
        <v>300</v>
      </c>
      <c r="L236" s="79">
        <f t="shared" si="32"/>
        <v>1274</v>
      </c>
      <c r="M236" s="89">
        <v>600</v>
      </c>
      <c r="N236" s="79">
        <f>30</f>
        <v>30</v>
      </c>
      <c r="O236" s="81">
        <v>240</v>
      </c>
      <c r="P236" s="81">
        <v>160</v>
      </c>
      <c r="Q236" s="81">
        <f t="shared" si="33"/>
        <v>195</v>
      </c>
      <c r="R236" s="81">
        <f t="shared" si="34"/>
        <v>100</v>
      </c>
      <c r="S236" s="79">
        <f t="shared" si="35"/>
        <v>695</v>
      </c>
      <c r="T236" s="79">
        <f>0</f>
        <v>0</v>
      </c>
      <c r="U236" s="77"/>
      <c r="V236" s="77"/>
      <c r="W236" s="77"/>
      <c r="X236" s="77"/>
      <c r="Y236" s="77"/>
      <c r="Z236" s="77"/>
      <c r="AA236" s="77"/>
      <c r="AB236" s="77"/>
      <c r="AC236" s="77"/>
      <c r="AD236" s="77"/>
    </row>
    <row r="237" spans="1:30" ht="15.75" x14ac:dyDescent="0.25">
      <c r="A237" s="16">
        <v>48122</v>
      </c>
      <c r="B237" s="92">
        <v>31</v>
      </c>
      <c r="C237" s="79">
        <f>131.881</f>
        <v>131.881</v>
      </c>
      <c r="D237" s="79">
        <f>277.167</f>
        <v>277.16699999999997</v>
      </c>
      <c r="E237" s="87">
        <f>79.08</f>
        <v>79.08</v>
      </c>
      <c r="F237" s="79">
        <f>350.872-40-25-60</f>
        <v>225.87200000000001</v>
      </c>
      <c r="G237" s="81">
        <v>40</v>
      </c>
      <c r="H237" s="79">
        <f t="shared" si="38"/>
        <v>85</v>
      </c>
      <c r="I237" s="79">
        <f t="shared" si="29"/>
        <v>0</v>
      </c>
      <c r="J237" s="81">
        <v>100</v>
      </c>
      <c r="K237" s="81">
        <v>300</v>
      </c>
      <c r="L237" s="79">
        <f t="shared" si="32"/>
        <v>1239</v>
      </c>
      <c r="M237" s="89">
        <v>600</v>
      </c>
      <c r="N237" s="79">
        <f>75</f>
        <v>75</v>
      </c>
      <c r="O237" s="81">
        <v>240</v>
      </c>
      <c r="P237" s="81">
        <v>160</v>
      </c>
      <c r="Q237" s="81">
        <f t="shared" si="33"/>
        <v>195</v>
      </c>
      <c r="R237" s="81">
        <f t="shared" si="34"/>
        <v>100</v>
      </c>
      <c r="S237" s="79">
        <f t="shared" si="35"/>
        <v>695</v>
      </c>
      <c r="T237" s="79">
        <f>0</f>
        <v>0</v>
      </c>
      <c r="U237" s="77"/>
      <c r="V237" s="77"/>
      <c r="W237" s="77"/>
      <c r="X237" s="77"/>
      <c r="Y237" s="77"/>
      <c r="Z237" s="77"/>
      <c r="AA237" s="77"/>
      <c r="AB237" s="77"/>
      <c r="AC237" s="77"/>
      <c r="AD237" s="77"/>
    </row>
    <row r="238" spans="1:30" ht="15.75" x14ac:dyDescent="0.25">
      <c r="A238" s="16">
        <v>48153</v>
      </c>
      <c r="B238" s="92">
        <v>30</v>
      </c>
      <c r="C238" s="79">
        <f>122.58</f>
        <v>122.58</v>
      </c>
      <c r="D238" s="79">
        <f>297.941</f>
        <v>297.94099999999997</v>
      </c>
      <c r="E238" s="87">
        <f>89.177</f>
        <v>89.177000000000007</v>
      </c>
      <c r="F238" s="79">
        <f>240.302-40-60</f>
        <v>140.30199999999999</v>
      </c>
      <c r="G238" s="81">
        <v>40</v>
      </c>
      <c r="H238" s="79">
        <v>60</v>
      </c>
      <c r="I238" s="79">
        <f t="shared" si="29"/>
        <v>0</v>
      </c>
      <c r="J238" s="81">
        <v>100</v>
      </c>
      <c r="K238" s="81">
        <v>300</v>
      </c>
      <c r="L238" s="79">
        <f t="shared" si="32"/>
        <v>1150</v>
      </c>
      <c r="M238" s="89">
        <v>600</v>
      </c>
      <c r="N238" s="79">
        <f>100</f>
        <v>100</v>
      </c>
      <c r="O238" s="81">
        <v>240</v>
      </c>
      <c r="P238" s="81">
        <v>40</v>
      </c>
      <c r="Q238" s="81">
        <f t="shared" si="33"/>
        <v>315</v>
      </c>
      <c r="R238" s="81">
        <f t="shared" si="34"/>
        <v>100</v>
      </c>
      <c r="S238" s="79">
        <f t="shared" si="35"/>
        <v>695</v>
      </c>
      <c r="T238" s="79">
        <f>50</f>
        <v>50</v>
      </c>
      <c r="U238" s="77"/>
      <c r="V238" s="77"/>
      <c r="W238" s="77"/>
      <c r="X238" s="77"/>
      <c r="Y238" s="77"/>
      <c r="Z238" s="77"/>
      <c r="AA238" s="77"/>
      <c r="AB238" s="77"/>
      <c r="AC238" s="77"/>
      <c r="AD238" s="77"/>
    </row>
    <row r="239" spans="1:30" ht="15.75" x14ac:dyDescent="0.25">
      <c r="A239" s="16">
        <v>48183</v>
      </c>
      <c r="B239" s="92">
        <v>31</v>
      </c>
      <c r="C239" s="79">
        <f>122.58</f>
        <v>122.58</v>
      </c>
      <c r="D239" s="79">
        <f>297.941</f>
        <v>297.94099999999997</v>
      </c>
      <c r="E239" s="87">
        <f>89.177</f>
        <v>89.177000000000007</v>
      </c>
      <c r="F239" s="79">
        <f>240.302-40-60</f>
        <v>140.30199999999999</v>
      </c>
      <c r="G239" s="81">
        <v>40</v>
      </c>
      <c r="H239" s="79">
        <v>60</v>
      </c>
      <c r="I239" s="79">
        <f t="shared" si="29"/>
        <v>0</v>
      </c>
      <c r="J239" s="81">
        <v>100</v>
      </c>
      <c r="K239" s="81">
        <v>300</v>
      </c>
      <c r="L239" s="79">
        <f t="shared" si="32"/>
        <v>1150</v>
      </c>
      <c r="M239" s="89">
        <v>600</v>
      </c>
      <c r="N239" s="79">
        <f>100</f>
        <v>100</v>
      </c>
      <c r="O239" s="81">
        <v>240</v>
      </c>
      <c r="P239" s="81">
        <v>40</v>
      </c>
      <c r="Q239" s="81">
        <f t="shared" si="33"/>
        <v>315</v>
      </c>
      <c r="R239" s="81">
        <f t="shared" si="34"/>
        <v>100</v>
      </c>
      <c r="S239" s="79">
        <f t="shared" si="35"/>
        <v>695</v>
      </c>
      <c r="T239" s="79">
        <f>50</f>
        <v>50</v>
      </c>
      <c r="U239" s="77"/>
      <c r="V239" s="77"/>
      <c r="W239" s="77"/>
      <c r="X239" s="77"/>
      <c r="Y239" s="77"/>
      <c r="Z239" s="77"/>
      <c r="AA239" s="77"/>
      <c r="AB239" s="77"/>
      <c r="AC239" s="77"/>
      <c r="AD239" s="77"/>
    </row>
    <row r="240" spans="1:30" ht="15.75" x14ac:dyDescent="0.25">
      <c r="A240" s="16">
        <v>48214</v>
      </c>
      <c r="B240" s="92">
        <v>31</v>
      </c>
      <c r="C240" s="79">
        <f>122.58</f>
        <v>122.58</v>
      </c>
      <c r="D240" s="79">
        <f>297.941</f>
        <v>297.94099999999997</v>
      </c>
      <c r="E240" s="87">
        <f>89.177</f>
        <v>89.177000000000007</v>
      </c>
      <c r="F240" s="79">
        <f>240.302-40-60</f>
        <v>140.30199999999999</v>
      </c>
      <c r="G240" s="81">
        <v>40</v>
      </c>
      <c r="H240" s="79">
        <v>60</v>
      </c>
      <c r="I240" s="79">
        <f t="shared" si="29"/>
        <v>0</v>
      </c>
      <c r="J240" s="81">
        <v>100</v>
      </c>
      <c r="K240" s="81">
        <v>300</v>
      </c>
      <c r="L240" s="79">
        <f t="shared" si="32"/>
        <v>1150</v>
      </c>
      <c r="M240" s="89">
        <v>600</v>
      </c>
      <c r="N240" s="79">
        <f>100</f>
        <v>100</v>
      </c>
      <c r="O240" s="81">
        <v>240</v>
      </c>
      <c r="P240" s="81">
        <v>40</v>
      </c>
      <c r="Q240" s="81">
        <f t="shared" si="33"/>
        <v>315</v>
      </c>
      <c r="R240" s="81">
        <f t="shared" si="34"/>
        <v>100</v>
      </c>
      <c r="S240" s="79">
        <f t="shared" si="35"/>
        <v>695</v>
      </c>
      <c r="T240" s="79">
        <f>50</f>
        <v>50</v>
      </c>
      <c r="U240" s="77"/>
      <c r="V240" s="77"/>
      <c r="W240" s="77"/>
      <c r="X240" s="77"/>
      <c r="Y240" s="77"/>
      <c r="Z240" s="77"/>
      <c r="AA240" s="77"/>
      <c r="AB240" s="77"/>
      <c r="AC240" s="77"/>
      <c r="AD240" s="77"/>
    </row>
    <row r="241" spans="1:30" ht="15.75" x14ac:dyDescent="0.25">
      <c r="A241" s="16">
        <v>48245</v>
      </c>
      <c r="B241" s="92">
        <v>29</v>
      </c>
      <c r="C241" s="79">
        <f>122.58</f>
        <v>122.58</v>
      </c>
      <c r="D241" s="79">
        <f>297.941</f>
        <v>297.94099999999997</v>
      </c>
      <c r="E241" s="87">
        <f>89.177</f>
        <v>89.177000000000007</v>
      </c>
      <c r="F241" s="79">
        <f>240.302-40-60</f>
        <v>140.30199999999999</v>
      </c>
      <c r="G241" s="81">
        <v>40</v>
      </c>
      <c r="H241" s="79">
        <v>60</v>
      </c>
      <c r="I241" s="79">
        <f t="shared" si="29"/>
        <v>0</v>
      </c>
      <c r="J241" s="81">
        <v>100</v>
      </c>
      <c r="K241" s="81">
        <v>300</v>
      </c>
      <c r="L241" s="79">
        <f t="shared" si="32"/>
        <v>1150</v>
      </c>
      <c r="M241" s="89">
        <v>600</v>
      </c>
      <c r="N241" s="79">
        <f>100</f>
        <v>100</v>
      </c>
      <c r="O241" s="81">
        <v>240</v>
      </c>
      <c r="P241" s="81">
        <v>40</v>
      </c>
      <c r="Q241" s="81">
        <f t="shared" si="33"/>
        <v>315</v>
      </c>
      <c r="R241" s="81">
        <f t="shared" si="34"/>
        <v>100</v>
      </c>
      <c r="S241" s="79">
        <f t="shared" si="35"/>
        <v>695</v>
      </c>
      <c r="T241" s="79">
        <f>50</f>
        <v>50</v>
      </c>
      <c r="U241" s="77"/>
      <c r="V241" s="77"/>
      <c r="W241" s="77"/>
      <c r="X241" s="77"/>
      <c r="Y241" s="77"/>
      <c r="Z241" s="77"/>
      <c r="AA241" s="77"/>
      <c r="AB241" s="77"/>
      <c r="AC241" s="77"/>
      <c r="AD241" s="77"/>
    </row>
    <row r="242" spans="1:30" ht="15.75" x14ac:dyDescent="0.25">
      <c r="A242" s="16">
        <v>48274</v>
      </c>
      <c r="B242" s="92">
        <v>31</v>
      </c>
      <c r="C242" s="79">
        <f>122.58</f>
        <v>122.58</v>
      </c>
      <c r="D242" s="79">
        <f>297.941</f>
        <v>297.94099999999997</v>
      </c>
      <c r="E242" s="87">
        <f>89.177</f>
        <v>89.177000000000007</v>
      </c>
      <c r="F242" s="79">
        <f>240.302-40-60</f>
        <v>140.30199999999999</v>
      </c>
      <c r="G242" s="81">
        <v>40</v>
      </c>
      <c r="H242" s="79">
        <v>60</v>
      </c>
      <c r="I242" s="79">
        <f t="shared" si="29"/>
        <v>0</v>
      </c>
      <c r="J242" s="81">
        <v>100</v>
      </c>
      <c r="K242" s="81">
        <v>300</v>
      </c>
      <c r="L242" s="79">
        <f t="shared" si="32"/>
        <v>1150</v>
      </c>
      <c r="M242" s="89">
        <v>600</v>
      </c>
      <c r="N242" s="79">
        <f>100</f>
        <v>100</v>
      </c>
      <c r="O242" s="81">
        <v>240</v>
      </c>
      <c r="P242" s="81">
        <v>40</v>
      </c>
      <c r="Q242" s="81">
        <f t="shared" si="33"/>
        <v>315</v>
      </c>
      <c r="R242" s="81">
        <f t="shared" si="34"/>
        <v>100</v>
      </c>
      <c r="S242" s="79">
        <f t="shared" si="35"/>
        <v>695</v>
      </c>
      <c r="T242" s="79">
        <f>50</f>
        <v>50</v>
      </c>
      <c r="U242" s="77"/>
      <c r="V242" s="77"/>
      <c r="W242" s="77"/>
      <c r="X242" s="77"/>
      <c r="Y242" s="77"/>
      <c r="Z242" s="77"/>
      <c r="AA242" s="77"/>
      <c r="AB242" s="77"/>
      <c r="AC242" s="77"/>
      <c r="AD242" s="77"/>
    </row>
    <row r="243" spans="1:30" ht="15.75" x14ac:dyDescent="0.25">
      <c r="A243" s="16">
        <v>48305</v>
      </c>
      <c r="B243" s="92">
        <v>30</v>
      </c>
      <c r="C243" s="79">
        <f>141.293</f>
        <v>141.29300000000001</v>
      </c>
      <c r="D243" s="79">
        <f>267.993</f>
        <v>267.99299999999999</v>
      </c>
      <c r="E243" s="87">
        <f>115.016</f>
        <v>115.01600000000001</v>
      </c>
      <c r="F243" s="79">
        <f>314.698-40-25-60</f>
        <v>189.69799999999998</v>
      </c>
      <c r="G243" s="81">
        <v>40</v>
      </c>
      <c r="H243" s="79">
        <f t="shared" ref="H243:H249" si="39">25+60</f>
        <v>85</v>
      </c>
      <c r="I243" s="79">
        <f t="shared" si="29"/>
        <v>0</v>
      </c>
      <c r="J243" s="81">
        <v>100</v>
      </c>
      <c r="K243" s="81">
        <v>300</v>
      </c>
      <c r="L243" s="79">
        <f t="shared" si="32"/>
        <v>1239</v>
      </c>
      <c r="M243" s="89">
        <v>600</v>
      </c>
      <c r="N243" s="79">
        <f>100</f>
        <v>100</v>
      </c>
      <c r="O243" s="81">
        <v>240</v>
      </c>
      <c r="P243" s="81">
        <v>160</v>
      </c>
      <c r="Q243" s="81">
        <f t="shared" si="33"/>
        <v>195</v>
      </c>
      <c r="R243" s="81">
        <f t="shared" si="34"/>
        <v>100</v>
      </c>
      <c r="S243" s="79">
        <f t="shared" si="35"/>
        <v>695</v>
      </c>
      <c r="T243" s="79">
        <f>50</f>
        <v>50</v>
      </c>
      <c r="U243" s="77"/>
      <c r="V243" s="77"/>
      <c r="W243" s="77"/>
      <c r="X243" s="77"/>
      <c r="Y243" s="77"/>
      <c r="Z243" s="77"/>
      <c r="AA243" s="77"/>
      <c r="AB243" s="77"/>
      <c r="AC243" s="77"/>
      <c r="AD243" s="77"/>
    </row>
    <row r="244" spans="1:30" ht="15.75" x14ac:dyDescent="0.25">
      <c r="A244" s="16">
        <v>48335</v>
      </c>
      <c r="B244" s="92">
        <v>31</v>
      </c>
      <c r="C244" s="79">
        <f>194.205</f>
        <v>194.20500000000001</v>
      </c>
      <c r="D244" s="79">
        <f>267.466</f>
        <v>267.46600000000001</v>
      </c>
      <c r="E244" s="87">
        <f>133.845</f>
        <v>133.845</v>
      </c>
      <c r="F244" s="79">
        <f>278.484-40-25-60</f>
        <v>153.48399999999998</v>
      </c>
      <c r="G244" s="81">
        <v>40</v>
      </c>
      <c r="H244" s="79">
        <f t="shared" si="39"/>
        <v>85</v>
      </c>
      <c r="I244" s="79">
        <f t="shared" ref="I244:I307" si="40">400-J244-K244</f>
        <v>0</v>
      </c>
      <c r="J244" s="81">
        <v>100</v>
      </c>
      <c r="K244" s="81">
        <v>300</v>
      </c>
      <c r="L244" s="79">
        <f t="shared" si="32"/>
        <v>1274</v>
      </c>
      <c r="M244" s="89">
        <v>600</v>
      </c>
      <c r="N244" s="79">
        <f>75</f>
        <v>75</v>
      </c>
      <c r="O244" s="81">
        <v>240</v>
      </c>
      <c r="P244" s="81">
        <v>160</v>
      </c>
      <c r="Q244" s="81">
        <f t="shared" si="33"/>
        <v>195</v>
      </c>
      <c r="R244" s="81">
        <f t="shared" si="34"/>
        <v>100</v>
      </c>
      <c r="S244" s="79">
        <f t="shared" si="35"/>
        <v>695</v>
      </c>
      <c r="T244" s="79">
        <f>50</f>
        <v>50</v>
      </c>
      <c r="U244" s="77"/>
      <c r="V244" s="77"/>
      <c r="W244" s="77"/>
      <c r="X244" s="77"/>
      <c r="Y244" s="77"/>
      <c r="Z244" s="77"/>
      <c r="AA244" s="77"/>
      <c r="AB244" s="77"/>
      <c r="AC244" s="77"/>
      <c r="AD244" s="77"/>
    </row>
    <row r="245" spans="1:30" ht="15.75" x14ac:dyDescent="0.25">
      <c r="A245" s="16">
        <v>48366</v>
      </c>
      <c r="B245" s="92">
        <v>30</v>
      </c>
      <c r="C245" s="79">
        <f>194.205</f>
        <v>194.20500000000001</v>
      </c>
      <c r="D245" s="79">
        <f>267.466</f>
        <v>267.46600000000001</v>
      </c>
      <c r="E245" s="87">
        <f>133.845</f>
        <v>133.845</v>
      </c>
      <c r="F245" s="79">
        <f>278.484-40-25-60</f>
        <v>153.48399999999998</v>
      </c>
      <c r="G245" s="81">
        <v>40</v>
      </c>
      <c r="H245" s="79">
        <f t="shared" si="39"/>
        <v>85</v>
      </c>
      <c r="I245" s="79">
        <f t="shared" si="40"/>
        <v>0</v>
      </c>
      <c r="J245" s="81">
        <v>100</v>
      </c>
      <c r="K245" s="81">
        <v>300</v>
      </c>
      <c r="L245" s="79">
        <f t="shared" si="32"/>
        <v>1274</v>
      </c>
      <c r="M245" s="89">
        <v>600</v>
      </c>
      <c r="N245" s="79">
        <f>30</f>
        <v>30</v>
      </c>
      <c r="O245" s="81">
        <v>240</v>
      </c>
      <c r="P245" s="81">
        <v>160</v>
      </c>
      <c r="Q245" s="81">
        <f t="shared" si="33"/>
        <v>195</v>
      </c>
      <c r="R245" s="81">
        <f t="shared" si="34"/>
        <v>100</v>
      </c>
      <c r="S245" s="79">
        <f t="shared" si="35"/>
        <v>695</v>
      </c>
      <c r="T245" s="79">
        <f>50</f>
        <v>50</v>
      </c>
      <c r="U245" s="77"/>
      <c r="V245" s="77"/>
      <c r="W245" s="77"/>
      <c r="X245" s="77"/>
      <c r="Y245" s="77"/>
      <c r="Z245" s="77"/>
      <c r="AA245" s="77"/>
      <c r="AB245" s="77"/>
      <c r="AC245" s="77"/>
      <c r="AD245" s="77"/>
    </row>
    <row r="246" spans="1:30" ht="15.75" x14ac:dyDescent="0.25">
      <c r="A246" s="16">
        <v>48396</v>
      </c>
      <c r="B246" s="92">
        <v>31</v>
      </c>
      <c r="C246" s="79">
        <f>194.205</f>
        <v>194.20500000000001</v>
      </c>
      <c r="D246" s="79">
        <f>267.466</f>
        <v>267.46600000000001</v>
      </c>
      <c r="E246" s="87">
        <f>133.845</f>
        <v>133.845</v>
      </c>
      <c r="F246" s="79">
        <f>278.484-40-25-60</f>
        <v>153.48399999999998</v>
      </c>
      <c r="G246" s="81">
        <v>40</v>
      </c>
      <c r="H246" s="79">
        <f t="shared" si="39"/>
        <v>85</v>
      </c>
      <c r="I246" s="79">
        <f t="shared" si="40"/>
        <v>0</v>
      </c>
      <c r="J246" s="81">
        <v>100</v>
      </c>
      <c r="K246" s="81">
        <v>300</v>
      </c>
      <c r="L246" s="79">
        <f t="shared" si="32"/>
        <v>1274</v>
      </c>
      <c r="M246" s="89">
        <v>600</v>
      </c>
      <c r="N246" s="79">
        <f>30</f>
        <v>30</v>
      </c>
      <c r="O246" s="81">
        <v>240</v>
      </c>
      <c r="P246" s="81">
        <v>160</v>
      </c>
      <c r="Q246" s="81">
        <f t="shared" si="33"/>
        <v>195</v>
      </c>
      <c r="R246" s="81">
        <f t="shared" si="34"/>
        <v>100</v>
      </c>
      <c r="S246" s="79">
        <f t="shared" si="35"/>
        <v>695</v>
      </c>
      <c r="T246" s="79">
        <f>0</f>
        <v>0</v>
      </c>
      <c r="U246" s="77"/>
      <c r="V246" s="77"/>
      <c r="W246" s="77"/>
      <c r="X246" s="77"/>
      <c r="Y246" s="77"/>
      <c r="Z246" s="77"/>
      <c r="AA246" s="77"/>
      <c r="AB246" s="77"/>
      <c r="AC246" s="77"/>
      <c r="AD246" s="77"/>
    </row>
    <row r="247" spans="1:30" ht="15.75" x14ac:dyDescent="0.25">
      <c r="A247" s="16">
        <v>48427</v>
      </c>
      <c r="B247" s="92">
        <v>31</v>
      </c>
      <c r="C247" s="79">
        <f>194.205</f>
        <v>194.20500000000001</v>
      </c>
      <c r="D247" s="79">
        <f>267.466</f>
        <v>267.46600000000001</v>
      </c>
      <c r="E247" s="87">
        <f>133.845</f>
        <v>133.845</v>
      </c>
      <c r="F247" s="79">
        <f>278.484-40-25-60</f>
        <v>153.48399999999998</v>
      </c>
      <c r="G247" s="81">
        <v>40</v>
      </c>
      <c r="H247" s="79">
        <f t="shared" si="39"/>
        <v>85</v>
      </c>
      <c r="I247" s="79">
        <f t="shared" si="40"/>
        <v>0</v>
      </c>
      <c r="J247" s="81">
        <v>100</v>
      </c>
      <c r="K247" s="81">
        <v>300</v>
      </c>
      <c r="L247" s="79">
        <f t="shared" si="32"/>
        <v>1274</v>
      </c>
      <c r="M247" s="89">
        <v>600</v>
      </c>
      <c r="N247" s="79">
        <f>30</f>
        <v>30</v>
      </c>
      <c r="O247" s="81">
        <v>240</v>
      </c>
      <c r="P247" s="81">
        <v>160</v>
      </c>
      <c r="Q247" s="81">
        <f t="shared" si="33"/>
        <v>195</v>
      </c>
      <c r="R247" s="81">
        <f t="shared" si="34"/>
        <v>100</v>
      </c>
      <c r="S247" s="79">
        <f t="shared" si="35"/>
        <v>695</v>
      </c>
      <c r="T247" s="79">
        <f>0</f>
        <v>0</v>
      </c>
      <c r="U247" s="77"/>
      <c r="V247" s="77"/>
      <c r="W247" s="77"/>
      <c r="X247" s="77"/>
      <c r="Y247" s="77"/>
      <c r="Z247" s="77"/>
      <c r="AA247" s="77"/>
      <c r="AB247" s="77"/>
      <c r="AC247" s="77"/>
      <c r="AD247" s="77"/>
    </row>
    <row r="248" spans="1:30" ht="15.75" x14ac:dyDescent="0.25">
      <c r="A248" s="16">
        <v>48458</v>
      </c>
      <c r="B248" s="92">
        <v>30</v>
      </c>
      <c r="C248" s="79">
        <f>194.205</f>
        <v>194.20500000000001</v>
      </c>
      <c r="D248" s="79">
        <f>267.466</f>
        <v>267.46600000000001</v>
      </c>
      <c r="E248" s="87">
        <f>133.845</f>
        <v>133.845</v>
      </c>
      <c r="F248" s="79">
        <f>278.484-40-25-60</f>
        <v>153.48399999999998</v>
      </c>
      <c r="G248" s="81">
        <v>40</v>
      </c>
      <c r="H248" s="79">
        <f t="shared" si="39"/>
        <v>85</v>
      </c>
      <c r="I248" s="79">
        <f t="shared" si="40"/>
        <v>0</v>
      </c>
      <c r="J248" s="81">
        <v>100</v>
      </c>
      <c r="K248" s="81">
        <v>300</v>
      </c>
      <c r="L248" s="79">
        <f t="shared" si="32"/>
        <v>1274</v>
      </c>
      <c r="M248" s="89">
        <v>600</v>
      </c>
      <c r="N248" s="79">
        <f>30</f>
        <v>30</v>
      </c>
      <c r="O248" s="81">
        <v>240</v>
      </c>
      <c r="P248" s="81">
        <v>160</v>
      </c>
      <c r="Q248" s="81">
        <f t="shared" si="33"/>
        <v>195</v>
      </c>
      <c r="R248" s="81">
        <f t="shared" si="34"/>
        <v>100</v>
      </c>
      <c r="S248" s="79">
        <f t="shared" si="35"/>
        <v>695</v>
      </c>
      <c r="T248" s="79">
        <f>0</f>
        <v>0</v>
      </c>
      <c r="U248" s="77"/>
      <c r="V248" s="77"/>
      <c r="W248" s="77"/>
      <c r="X248" s="77"/>
      <c r="Y248" s="77"/>
      <c r="Z248" s="77"/>
      <c r="AA248" s="77"/>
      <c r="AB248" s="77"/>
      <c r="AC248" s="77"/>
      <c r="AD248" s="77"/>
    </row>
    <row r="249" spans="1:30" ht="15.75" x14ac:dyDescent="0.25">
      <c r="A249" s="16">
        <v>48488</v>
      </c>
      <c r="B249" s="92">
        <v>31</v>
      </c>
      <c r="C249" s="79">
        <f>131.881</f>
        <v>131.881</v>
      </c>
      <c r="D249" s="79">
        <f>277.167</f>
        <v>277.16699999999997</v>
      </c>
      <c r="E249" s="87">
        <f>79.08</f>
        <v>79.08</v>
      </c>
      <c r="F249" s="79">
        <f>350.872-40-25-60</f>
        <v>225.87200000000001</v>
      </c>
      <c r="G249" s="81">
        <v>40</v>
      </c>
      <c r="H249" s="79">
        <f t="shared" si="39"/>
        <v>85</v>
      </c>
      <c r="I249" s="79">
        <f t="shared" si="40"/>
        <v>0</v>
      </c>
      <c r="J249" s="81">
        <v>100</v>
      </c>
      <c r="K249" s="81">
        <v>300</v>
      </c>
      <c r="L249" s="79">
        <f t="shared" si="32"/>
        <v>1239</v>
      </c>
      <c r="M249" s="89">
        <v>600</v>
      </c>
      <c r="N249" s="79">
        <f>75</f>
        <v>75</v>
      </c>
      <c r="O249" s="81">
        <v>240</v>
      </c>
      <c r="P249" s="81">
        <v>160</v>
      </c>
      <c r="Q249" s="81">
        <f t="shared" si="33"/>
        <v>195</v>
      </c>
      <c r="R249" s="81">
        <f t="shared" si="34"/>
        <v>100</v>
      </c>
      <c r="S249" s="79">
        <f t="shared" si="35"/>
        <v>695</v>
      </c>
      <c r="T249" s="79">
        <f>0</f>
        <v>0</v>
      </c>
      <c r="U249" s="77"/>
      <c r="V249" s="77"/>
      <c r="W249" s="77"/>
      <c r="X249" s="77"/>
      <c r="Y249" s="77"/>
      <c r="Z249" s="77"/>
      <c r="AA249" s="77"/>
      <c r="AB249" s="77"/>
      <c r="AC249" s="77"/>
      <c r="AD249" s="77"/>
    </row>
    <row r="250" spans="1:30" ht="15.75" x14ac:dyDescent="0.25">
      <c r="A250" s="16">
        <v>48519</v>
      </c>
      <c r="B250" s="92">
        <v>30</v>
      </c>
      <c r="C250" s="79">
        <f>122.58</f>
        <v>122.58</v>
      </c>
      <c r="D250" s="79">
        <f>297.941</f>
        <v>297.94099999999997</v>
      </c>
      <c r="E250" s="87">
        <f>89.177</f>
        <v>89.177000000000007</v>
      </c>
      <c r="F250" s="79">
        <f>240.302-40-60</f>
        <v>140.30199999999999</v>
      </c>
      <c r="G250" s="81">
        <v>40</v>
      </c>
      <c r="H250" s="79">
        <v>60</v>
      </c>
      <c r="I250" s="79">
        <f t="shared" si="40"/>
        <v>0</v>
      </c>
      <c r="J250" s="81">
        <v>100</v>
      </c>
      <c r="K250" s="81">
        <v>300</v>
      </c>
      <c r="L250" s="79">
        <f t="shared" si="32"/>
        <v>1150</v>
      </c>
      <c r="M250" s="89">
        <v>600</v>
      </c>
      <c r="N250" s="79">
        <f>100</f>
        <v>100</v>
      </c>
      <c r="O250" s="81">
        <v>240</v>
      </c>
      <c r="P250" s="81">
        <v>40</v>
      </c>
      <c r="Q250" s="81">
        <f t="shared" si="33"/>
        <v>315</v>
      </c>
      <c r="R250" s="81">
        <f t="shared" si="34"/>
        <v>100</v>
      </c>
      <c r="S250" s="79">
        <f t="shared" si="35"/>
        <v>695</v>
      </c>
      <c r="T250" s="79">
        <f>50</f>
        <v>50</v>
      </c>
      <c r="U250" s="77"/>
      <c r="V250" s="77"/>
      <c r="W250" s="77"/>
      <c r="X250" s="77"/>
      <c r="Y250" s="77"/>
      <c r="Z250" s="77"/>
      <c r="AA250" s="77"/>
      <c r="AB250" s="77"/>
      <c r="AC250" s="77"/>
      <c r="AD250" s="77"/>
    </row>
    <row r="251" spans="1:30" ht="15.75" x14ac:dyDescent="0.25">
      <c r="A251" s="16">
        <v>48549</v>
      </c>
      <c r="B251" s="92">
        <v>31</v>
      </c>
      <c r="C251" s="79">
        <f>122.58</f>
        <v>122.58</v>
      </c>
      <c r="D251" s="79">
        <f>297.941</f>
        <v>297.94099999999997</v>
      </c>
      <c r="E251" s="87">
        <f>89.177</f>
        <v>89.177000000000007</v>
      </c>
      <c r="F251" s="79">
        <f>240.302-40-60</f>
        <v>140.30199999999999</v>
      </c>
      <c r="G251" s="81">
        <v>40</v>
      </c>
      <c r="H251" s="79">
        <v>60</v>
      </c>
      <c r="I251" s="79">
        <f t="shared" si="40"/>
        <v>0</v>
      </c>
      <c r="J251" s="81">
        <v>100</v>
      </c>
      <c r="K251" s="81">
        <v>300</v>
      </c>
      <c r="L251" s="79">
        <f t="shared" si="32"/>
        <v>1150</v>
      </c>
      <c r="M251" s="89">
        <v>600</v>
      </c>
      <c r="N251" s="79">
        <f>100</f>
        <v>100</v>
      </c>
      <c r="O251" s="81">
        <v>240</v>
      </c>
      <c r="P251" s="81">
        <v>40</v>
      </c>
      <c r="Q251" s="81">
        <f t="shared" si="33"/>
        <v>315</v>
      </c>
      <c r="R251" s="81">
        <f t="shared" si="34"/>
        <v>100</v>
      </c>
      <c r="S251" s="79">
        <f t="shared" si="35"/>
        <v>695</v>
      </c>
      <c r="T251" s="79">
        <f>50</f>
        <v>50</v>
      </c>
      <c r="U251" s="77"/>
      <c r="V251" s="77"/>
      <c r="W251" s="77"/>
      <c r="X251" s="77"/>
      <c r="Y251" s="77"/>
      <c r="Z251" s="77"/>
      <c r="AA251" s="77"/>
      <c r="AB251" s="77"/>
      <c r="AC251" s="77"/>
      <c r="AD251" s="77"/>
    </row>
    <row r="252" spans="1:30" ht="15.75" x14ac:dyDescent="0.25">
      <c r="A252" s="16">
        <v>48580</v>
      </c>
      <c r="B252" s="92">
        <v>31</v>
      </c>
      <c r="C252" s="79">
        <f>122.58</f>
        <v>122.58</v>
      </c>
      <c r="D252" s="79">
        <f>297.941</f>
        <v>297.94099999999997</v>
      </c>
      <c r="E252" s="87">
        <f>89.177</f>
        <v>89.177000000000007</v>
      </c>
      <c r="F252" s="79">
        <f>240.302-40-60</f>
        <v>140.30199999999999</v>
      </c>
      <c r="G252" s="81">
        <v>40</v>
      </c>
      <c r="H252" s="79">
        <v>60</v>
      </c>
      <c r="I252" s="79">
        <f t="shared" si="40"/>
        <v>0</v>
      </c>
      <c r="J252" s="81">
        <v>100</v>
      </c>
      <c r="K252" s="81">
        <v>300</v>
      </c>
      <c r="L252" s="79">
        <f t="shared" si="32"/>
        <v>1150</v>
      </c>
      <c r="M252" s="89">
        <v>600</v>
      </c>
      <c r="N252" s="79">
        <f>100</f>
        <v>100</v>
      </c>
      <c r="O252" s="81">
        <v>240</v>
      </c>
      <c r="P252" s="81">
        <v>40</v>
      </c>
      <c r="Q252" s="81">
        <f t="shared" si="33"/>
        <v>315</v>
      </c>
      <c r="R252" s="81">
        <f t="shared" si="34"/>
        <v>100</v>
      </c>
      <c r="S252" s="79">
        <f t="shared" si="35"/>
        <v>695</v>
      </c>
      <c r="T252" s="79">
        <f>50</f>
        <v>50</v>
      </c>
      <c r="U252" s="77"/>
      <c r="V252" s="77"/>
      <c r="W252" s="77"/>
      <c r="X252" s="77"/>
      <c r="Y252" s="77"/>
      <c r="Z252" s="77"/>
      <c r="AA252" s="77"/>
      <c r="AB252" s="77"/>
      <c r="AC252" s="77"/>
      <c r="AD252" s="77"/>
    </row>
    <row r="253" spans="1:30" ht="15.75" x14ac:dyDescent="0.25">
      <c r="A253" s="16">
        <v>48611</v>
      </c>
      <c r="B253" s="92">
        <v>28</v>
      </c>
      <c r="C253" s="79">
        <f>122.58</f>
        <v>122.58</v>
      </c>
      <c r="D253" s="79">
        <f>297.941</f>
        <v>297.94099999999997</v>
      </c>
      <c r="E253" s="87">
        <f>89.177</f>
        <v>89.177000000000007</v>
      </c>
      <c r="F253" s="79">
        <f>240.302-40-60</f>
        <v>140.30199999999999</v>
      </c>
      <c r="G253" s="81">
        <v>40</v>
      </c>
      <c r="H253" s="79">
        <v>60</v>
      </c>
      <c r="I253" s="79">
        <f t="shared" si="40"/>
        <v>0</v>
      </c>
      <c r="J253" s="81">
        <v>100</v>
      </c>
      <c r="K253" s="81">
        <v>300</v>
      </c>
      <c r="L253" s="79">
        <f t="shared" si="32"/>
        <v>1150</v>
      </c>
      <c r="M253" s="89">
        <v>600</v>
      </c>
      <c r="N253" s="79">
        <f>100</f>
        <v>100</v>
      </c>
      <c r="O253" s="81">
        <v>240</v>
      </c>
      <c r="P253" s="81">
        <v>40</v>
      </c>
      <c r="Q253" s="81">
        <f t="shared" si="33"/>
        <v>315</v>
      </c>
      <c r="R253" s="81">
        <f t="shared" si="34"/>
        <v>100</v>
      </c>
      <c r="S253" s="79">
        <f t="shared" si="35"/>
        <v>695</v>
      </c>
      <c r="T253" s="79">
        <f>50</f>
        <v>50</v>
      </c>
      <c r="U253" s="77"/>
      <c r="V253" s="77"/>
      <c r="W253" s="77"/>
      <c r="X253" s="77"/>
      <c r="Y253" s="77"/>
      <c r="Z253" s="77"/>
      <c r="AA253" s="77"/>
      <c r="AB253" s="77"/>
      <c r="AC253" s="77"/>
      <c r="AD253" s="77"/>
    </row>
    <row r="254" spans="1:30" ht="15.75" x14ac:dyDescent="0.25">
      <c r="A254" s="16">
        <v>48639</v>
      </c>
      <c r="B254" s="92">
        <v>31</v>
      </c>
      <c r="C254" s="79">
        <f>122.58</f>
        <v>122.58</v>
      </c>
      <c r="D254" s="79">
        <f>297.941</f>
        <v>297.94099999999997</v>
      </c>
      <c r="E254" s="87">
        <f>89.177</f>
        <v>89.177000000000007</v>
      </c>
      <c r="F254" s="79">
        <f>240.302-40-60</f>
        <v>140.30199999999999</v>
      </c>
      <c r="G254" s="81">
        <v>40</v>
      </c>
      <c r="H254" s="79">
        <v>60</v>
      </c>
      <c r="I254" s="79">
        <f t="shared" si="40"/>
        <v>0</v>
      </c>
      <c r="J254" s="81">
        <v>100</v>
      </c>
      <c r="K254" s="81">
        <v>300</v>
      </c>
      <c r="L254" s="79">
        <f t="shared" si="32"/>
        <v>1150</v>
      </c>
      <c r="M254" s="89">
        <v>600</v>
      </c>
      <c r="N254" s="79">
        <f>100</f>
        <v>100</v>
      </c>
      <c r="O254" s="81">
        <v>240</v>
      </c>
      <c r="P254" s="81">
        <v>40</v>
      </c>
      <c r="Q254" s="81">
        <f t="shared" si="33"/>
        <v>315</v>
      </c>
      <c r="R254" s="81">
        <f t="shared" si="34"/>
        <v>100</v>
      </c>
      <c r="S254" s="79">
        <f t="shared" si="35"/>
        <v>695</v>
      </c>
      <c r="T254" s="79">
        <f>50</f>
        <v>50</v>
      </c>
      <c r="U254" s="77"/>
      <c r="V254" s="77"/>
      <c r="W254" s="77"/>
      <c r="X254" s="77"/>
      <c r="Y254" s="77"/>
      <c r="Z254" s="77"/>
      <c r="AA254" s="77"/>
      <c r="AB254" s="77"/>
      <c r="AC254" s="77"/>
      <c r="AD254" s="77"/>
    </row>
    <row r="255" spans="1:30" ht="15.75" x14ac:dyDescent="0.25">
      <c r="A255" s="16">
        <v>48670</v>
      </c>
      <c r="B255" s="92">
        <v>30</v>
      </c>
      <c r="C255" s="79">
        <f>141.293</f>
        <v>141.29300000000001</v>
      </c>
      <c r="D255" s="79">
        <f>267.993</f>
        <v>267.99299999999999</v>
      </c>
      <c r="E255" s="87">
        <f>115.016</f>
        <v>115.01600000000001</v>
      </c>
      <c r="F255" s="79">
        <f>314.698-40-25-60</f>
        <v>189.69799999999998</v>
      </c>
      <c r="G255" s="81">
        <v>40</v>
      </c>
      <c r="H255" s="79">
        <f t="shared" ref="H255:H261" si="41">25+60</f>
        <v>85</v>
      </c>
      <c r="I255" s="79">
        <f t="shared" si="40"/>
        <v>0</v>
      </c>
      <c r="J255" s="81">
        <v>100</v>
      </c>
      <c r="K255" s="81">
        <v>300</v>
      </c>
      <c r="L255" s="79">
        <f t="shared" si="32"/>
        <v>1239</v>
      </c>
      <c r="M255" s="89">
        <v>600</v>
      </c>
      <c r="N255" s="79">
        <f>100</f>
        <v>100</v>
      </c>
      <c r="O255" s="81">
        <v>240</v>
      </c>
      <c r="P255" s="81">
        <v>160</v>
      </c>
      <c r="Q255" s="81">
        <f t="shared" si="33"/>
        <v>195</v>
      </c>
      <c r="R255" s="81">
        <f t="shared" si="34"/>
        <v>100</v>
      </c>
      <c r="S255" s="79">
        <f t="shared" si="35"/>
        <v>695</v>
      </c>
      <c r="T255" s="79">
        <f>50</f>
        <v>50</v>
      </c>
      <c r="U255" s="77"/>
      <c r="V255" s="77"/>
      <c r="W255" s="77"/>
      <c r="X255" s="77"/>
      <c r="Y255" s="77"/>
      <c r="Z255" s="77"/>
      <c r="AA255" s="77"/>
      <c r="AB255" s="77"/>
      <c r="AC255" s="77"/>
      <c r="AD255" s="77"/>
    </row>
    <row r="256" spans="1:30" ht="15.75" x14ac:dyDescent="0.25">
      <c r="A256" s="16">
        <v>48700</v>
      </c>
      <c r="B256" s="92">
        <v>31</v>
      </c>
      <c r="C256" s="79">
        <f>194.205</f>
        <v>194.20500000000001</v>
      </c>
      <c r="D256" s="79">
        <f>267.466</f>
        <v>267.46600000000001</v>
      </c>
      <c r="E256" s="87">
        <f>133.845</f>
        <v>133.845</v>
      </c>
      <c r="F256" s="79">
        <f>278.484-40-25-60</f>
        <v>153.48399999999998</v>
      </c>
      <c r="G256" s="81">
        <v>40</v>
      </c>
      <c r="H256" s="79">
        <f t="shared" si="41"/>
        <v>85</v>
      </c>
      <c r="I256" s="79">
        <f t="shared" si="40"/>
        <v>0</v>
      </c>
      <c r="J256" s="81">
        <v>100</v>
      </c>
      <c r="K256" s="81">
        <v>300</v>
      </c>
      <c r="L256" s="79">
        <f t="shared" si="32"/>
        <v>1274</v>
      </c>
      <c r="M256" s="89">
        <v>600</v>
      </c>
      <c r="N256" s="79">
        <f>75</f>
        <v>75</v>
      </c>
      <c r="O256" s="81">
        <v>240</v>
      </c>
      <c r="P256" s="81">
        <v>160</v>
      </c>
      <c r="Q256" s="81">
        <f t="shared" si="33"/>
        <v>195</v>
      </c>
      <c r="R256" s="81">
        <f t="shared" si="34"/>
        <v>100</v>
      </c>
      <c r="S256" s="79">
        <f t="shared" si="35"/>
        <v>695</v>
      </c>
      <c r="T256" s="79">
        <f>50</f>
        <v>50</v>
      </c>
      <c r="U256" s="77"/>
      <c r="V256" s="77"/>
      <c r="W256" s="77"/>
      <c r="X256" s="77"/>
      <c r="Y256" s="77"/>
      <c r="Z256" s="77"/>
      <c r="AA256" s="77"/>
      <c r="AB256" s="77"/>
      <c r="AC256" s="77"/>
      <c r="AD256" s="77"/>
    </row>
    <row r="257" spans="1:30" ht="15.75" x14ac:dyDescent="0.25">
      <c r="A257" s="16">
        <v>48731</v>
      </c>
      <c r="B257" s="92">
        <v>30</v>
      </c>
      <c r="C257" s="79">
        <f>194.205</f>
        <v>194.20500000000001</v>
      </c>
      <c r="D257" s="79">
        <f>267.466</f>
        <v>267.46600000000001</v>
      </c>
      <c r="E257" s="87">
        <f>133.845</f>
        <v>133.845</v>
      </c>
      <c r="F257" s="79">
        <f>278.484-40-25-60</f>
        <v>153.48399999999998</v>
      </c>
      <c r="G257" s="81">
        <v>40</v>
      </c>
      <c r="H257" s="79">
        <f t="shared" si="41"/>
        <v>85</v>
      </c>
      <c r="I257" s="79">
        <f t="shared" si="40"/>
        <v>0</v>
      </c>
      <c r="J257" s="81">
        <v>100</v>
      </c>
      <c r="K257" s="81">
        <v>300</v>
      </c>
      <c r="L257" s="79">
        <f t="shared" si="32"/>
        <v>1274</v>
      </c>
      <c r="M257" s="89">
        <v>600</v>
      </c>
      <c r="N257" s="79">
        <f>30</f>
        <v>30</v>
      </c>
      <c r="O257" s="81">
        <v>240</v>
      </c>
      <c r="P257" s="81">
        <v>160</v>
      </c>
      <c r="Q257" s="81">
        <f t="shared" si="33"/>
        <v>195</v>
      </c>
      <c r="R257" s="81">
        <f t="shared" si="34"/>
        <v>100</v>
      </c>
      <c r="S257" s="79">
        <f t="shared" si="35"/>
        <v>695</v>
      </c>
      <c r="T257" s="79">
        <f>50</f>
        <v>50</v>
      </c>
      <c r="U257" s="77"/>
      <c r="V257" s="77"/>
      <c r="W257" s="77"/>
      <c r="X257" s="77"/>
      <c r="Y257" s="77"/>
      <c r="Z257" s="77"/>
      <c r="AA257" s="77"/>
      <c r="AB257" s="77"/>
      <c r="AC257" s="77"/>
      <c r="AD257" s="77"/>
    </row>
    <row r="258" spans="1:30" ht="15.75" x14ac:dyDescent="0.25">
      <c r="A258" s="16">
        <v>48761</v>
      </c>
      <c r="B258" s="92">
        <v>31</v>
      </c>
      <c r="C258" s="79">
        <f>194.205</f>
        <v>194.20500000000001</v>
      </c>
      <c r="D258" s="79">
        <f>267.466</f>
        <v>267.46600000000001</v>
      </c>
      <c r="E258" s="87">
        <f>133.845</f>
        <v>133.845</v>
      </c>
      <c r="F258" s="79">
        <f>278.484-40-25-60</f>
        <v>153.48399999999998</v>
      </c>
      <c r="G258" s="81">
        <v>40</v>
      </c>
      <c r="H258" s="79">
        <f t="shared" si="41"/>
        <v>85</v>
      </c>
      <c r="I258" s="79">
        <f t="shared" si="40"/>
        <v>0</v>
      </c>
      <c r="J258" s="81">
        <v>100</v>
      </c>
      <c r="K258" s="81">
        <v>300</v>
      </c>
      <c r="L258" s="79">
        <f t="shared" si="32"/>
        <v>1274</v>
      </c>
      <c r="M258" s="89">
        <v>600</v>
      </c>
      <c r="N258" s="79">
        <f>30</f>
        <v>30</v>
      </c>
      <c r="O258" s="81">
        <v>240</v>
      </c>
      <c r="P258" s="81">
        <v>160</v>
      </c>
      <c r="Q258" s="81">
        <f t="shared" si="33"/>
        <v>195</v>
      </c>
      <c r="R258" s="81">
        <f t="shared" si="34"/>
        <v>100</v>
      </c>
      <c r="S258" s="79">
        <f t="shared" si="35"/>
        <v>695</v>
      </c>
      <c r="T258" s="79">
        <f>0</f>
        <v>0</v>
      </c>
      <c r="U258" s="77"/>
      <c r="V258" s="77"/>
      <c r="W258" s="77"/>
      <c r="X258" s="77"/>
      <c r="Y258" s="77"/>
      <c r="Z258" s="77"/>
      <c r="AA258" s="77"/>
      <c r="AB258" s="77"/>
      <c r="AC258" s="77"/>
      <c r="AD258" s="77"/>
    </row>
    <row r="259" spans="1:30" ht="15.75" x14ac:dyDescent="0.25">
      <c r="A259" s="16">
        <v>48792</v>
      </c>
      <c r="B259" s="92">
        <v>31</v>
      </c>
      <c r="C259" s="79">
        <f>194.205</f>
        <v>194.20500000000001</v>
      </c>
      <c r="D259" s="79">
        <f>267.466</f>
        <v>267.46600000000001</v>
      </c>
      <c r="E259" s="87">
        <f>133.845</f>
        <v>133.845</v>
      </c>
      <c r="F259" s="79">
        <f>278.484-40-25-60</f>
        <v>153.48399999999998</v>
      </c>
      <c r="G259" s="81">
        <v>40</v>
      </c>
      <c r="H259" s="79">
        <f t="shared" si="41"/>
        <v>85</v>
      </c>
      <c r="I259" s="79">
        <f t="shared" si="40"/>
        <v>0</v>
      </c>
      <c r="J259" s="81">
        <v>100</v>
      </c>
      <c r="K259" s="81">
        <v>300</v>
      </c>
      <c r="L259" s="79">
        <f t="shared" si="32"/>
        <v>1274</v>
      </c>
      <c r="M259" s="89">
        <v>600</v>
      </c>
      <c r="N259" s="79">
        <f>30</f>
        <v>30</v>
      </c>
      <c r="O259" s="81">
        <v>240</v>
      </c>
      <c r="P259" s="81">
        <v>160</v>
      </c>
      <c r="Q259" s="81">
        <f t="shared" si="33"/>
        <v>195</v>
      </c>
      <c r="R259" s="81">
        <f t="shared" si="34"/>
        <v>100</v>
      </c>
      <c r="S259" s="79">
        <f t="shared" si="35"/>
        <v>695</v>
      </c>
      <c r="T259" s="79">
        <f>0</f>
        <v>0</v>
      </c>
      <c r="U259" s="77"/>
      <c r="V259" s="77"/>
      <c r="W259" s="77"/>
      <c r="X259" s="77"/>
      <c r="Y259" s="77"/>
      <c r="Z259" s="77"/>
      <c r="AA259" s="77"/>
      <c r="AB259" s="77"/>
      <c r="AC259" s="77"/>
      <c r="AD259" s="77"/>
    </row>
    <row r="260" spans="1:30" ht="15.75" x14ac:dyDescent="0.25">
      <c r="A260" s="16">
        <v>48823</v>
      </c>
      <c r="B260" s="92">
        <v>30</v>
      </c>
      <c r="C260" s="79">
        <f>194.205</f>
        <v>194.20500000000001</v>
      </c>
      <c r="D260" s="79">
        <f>267.466</f>
        <v>267.46600000000001</v>
      </c>
      <c r="E260" s="87">
        <f>133.845</f>
        <v>133.845</v>
      </c>
      <c r="F260" s="79">
        <f>278.484-40-25-60</f>
        <v>153.48399999999998</v>
      </c>
      <c r="G260" s="81">
        <v>40</v>
      </c>
      <c r="H260" s="79">
        <f t="shared" si="41"/>
        <v>85</v>
      </c>
      <c r="I260" s="79">
        <f t="shared" si="40"/>
        <v>0</v>
      </c>
      <c r="J260" s="81">
        <v>100</v>
      </c>
      <c r="K260" s="81">
        <v>300</v>
      </c>
      <c r="L260" s="79">
        <f t="shared" si="32"/>
        <v>1274</v>
      </c>
      <c r="M260" s="89">
        <v>600</v>
      </c>
      <c r="N260" s="79">
        <f>30</f>
        <v>30</v>
      </c>
      <c r="O260" s="81">
        <v>240</v>
      </c>
      <c r="P260" s="81">
        <v>160</v>
      </c>
      <c r="Q260" s="81">
        <f t="shared" si="33"/>
        <v>195</v>
      </c>
      <c r="R260" s="81">
        <f t="shared" si="34"/>
        <v>100</v>
      </c>
      <c r="S260" s="79">
        <f t="shared" si="35"/>
        <v>695</v>
      </c>
      <c r="T260" s="79">
        <f>0</f>
        <v>0</v>
      </c>
      <c r="U260" s="77"/>
      <c r="V260" s="77"/>
      <c r="W260" s="77"/>
      <c r="X260" s="77"/>
      <c r="Y260" s="77"/>
      <c r="Z260" s="77"/>
      <c r="AA260" s="77"/>
      <c r="AB260" s="77"/>
      <c r="AC260" s="77"/>
      <c r="AD260" s="77"/>
    </row>
    <row r="261" spans="1:30" ht="15.75" x14ac:dyDescent="0.25">
      <c r="A261" s="16">
        <v>48853</v>
      </c>
      <c r="B261" s="92">
        <v>31</v>
      </c>
      <c r="C261" s="79">
        <f>131.881</f>
        <v>131.881</v>
      </c>
      <c r="D261" s="79">
        <f>277.167</f>
        <v>277.16699999999997</v>
      </c>
      <c r="E261" s="87">
        <f>79.08</f>
        <v>79.08</v>
      </c>
      <c r="F261" s="79">
        <f>350.872-40-25-60</f>
        <v>225.87200000000001</v>
      </c>
      <c r="G261" s="81">
        <v>40</v>
      </c>
      <c r="H261" s="79">
        <f t="shared" si="41"/>
        <v>85</v>
      </c>
      <c r="I261" s="79">
        <f t="shared" si="40"/>
        <v>0</v>
      </c>
      <c r="J261" s="81">
        <v>100</v>
      </c>
      <c r="K261" s="81">
        <v>300</v>
      </c>
      <c r="L261" s="79">
        <f t="shared" si="32"/>
        <v>1239</v>
      </c>
      <c r="M261" s="89">
        <v>600</v>
      </c>
      <c r="N261" s="79">
        <f>75</f>
        <v>75</v>
      </c>
      <c r="O261" s="81">
        <v>240</v>
      </c>
      <c r="P261" s="81">
        <v>160</v>
      </c>
      <c r="Q261" s="81">
        <f t="shared" si="33"/>
        <v>195</v>
      </c>
      <c r="R261" s="81">
        <f t="shared" si="34"/>
        <v>100</v>
      </c>
      <c r="S261" s="79">
        <f t="shared" si="35"/>
        <v>695</v>
      </c>
      <c r="T261" s="79">
        <f>0</f>
        <v>0</v>
      </c>
      <c r="U261" s="77"/>
      <c r="V261" s="77"/>
      <c r="W261" s="77"/>
      <c r="X261" s="77"/>
      <c r="Y261" s="77"/>
      <c r="Z261" s="77"/>
      <c r="AA261" s="77"/>
      <c r="AB261" s="77"/>
      <c r="AC261" s="77"/>
      <c r="AD261" s="77"/>
    </row>
    <row r="262" spans="1:30" ht="15.75" x14ac:dyDescent="0.25">
      <c r="A262" s="16">
        <v>48884</v>
      </c>
      <c r="B262" s="92">
        <v>30</v>
      </c>
      <c r="C262" s="79">
        <f>122.58</f>
        <v>122.58</v>
      </c>
      <c r="D262" s="79">
        <f>297.941</f>
        <v>297.94099999999997</v>
      </c>
      <c r="E262" s="87">
        <f>89.177</f>
        <v>89.177000000000007</v>
      </c>
      <c r="F262" s="79">
        <f>240.302-40-60</f>
        <v>140.30199999999999</v>
      </c>
      <c r="G262" s="81">
        <v>40</v>
      </c>
      <c r="H262" s="79">
        <v>60</v>
      </c>
      <c r="I262" s="79">
        <f t="shared" si="40"/>
        <v>0</v>
      </c>
      <c r="J262" s="81">
        <v>100</v>
      </c>
      <c r="K262" s="81">
        <v>300</v>
      </c>
      <c r="L262" s="79">
        <f t="shared" si="32"/>
        <v>1150</v>
      </c>
      <c r="M262" s="89">
        <v>600</v>
      </c>
      <c r="N262" s="79">
        <f>100</f>
        <v>100</v>
      </c>
      <c r="O262" s="81">
        <v>240</v>
      </c>
      <c r="P262" s="81">
        <v>40</v>
      </c>
      <c r="Q262" s="81">
        <f t="shared" si="33"/>
        <v>315</v>
      </c>
      <c r="R262" s="81">
        <f t="shared" si="34"/>
        <v>100</v>
      </c>
      <c r="S262" s="79">
        <f t="shared" si="35"/>
        <v>695</v>
      </c>
      <c r="T262" s="79">
        <f>50</f>
        <v>50</v>
      </c>
      <c r="U262" s="77"/>
      <c r="V262" s="77"/>
      <c r="W262" s="77"/>
      <c r="X262" s="77"/>
      <c r="Y262" s="77"/>
      <c r="Z262" s="77"/>
      <c r="AA262" s="77"/>
      <c r="AB262" s="77"/>
      <c r="AC262" s="77"/>
      <c r="AD262" s="77"/>
    </row>
    <row r="263" spans="1:30" ht="15.75" x14ac:dyDescent="0.25">
      <c r="A263" s="16">
        <v>48914</v>
      </c>
      <c r="B263" s="92">
        <v>31</v>
      </c>
      <c r="C263" s="79">
        <f>122.58</f>
        <v>122.58</v>
      </c>
      <c r="D263" s="79">
        <f>297.941</f>
        <v>297.94099999999997</v>
      </c>
      <c r="E263" s="87">
        <f>89.177</f>
        <v>89.177000000000007</v>
      </c>
      <c r="F263" s="79">
        <f>240.302-40-60</f>
        <v>140.30199999999999</v>
      </c>
      <c r="G263" s="81">
        <v>40</v>
      </c>
      <c r="H263" s="79">
        <v>60</v>
      </c>
      <c r="I263" s="79">
        <f t="shared" si="40"/>
        <v>0</v>
      </c>
      <c r="J263" s="81">
        <v>100</v>
      </c>
      <c r="K263" s="81">
        <v>300</v>
      </c>
      <c r="L263" s="79">
        <f t="shared" si="32"/>
        <v>1150</v>
      </c>
      <c r="M263" s="89">
        <v>600</v>
      </c>
      <c r="N263" s="79">
        <f>100</f>
        <v>100</v>
      </c>
      <c r="O263" s="81">
        <v>240</v>
      </c>
      <c r="P263" s="81">
        <v>40</v>
      </c>
      <c r="Q263" s="81">
        <f t="shared" si="33"/>
        <v>315</v>
      </c>
      <c r="R263" s="81">
        <f t="shared" si="34"/>
        <v>100</v>
      </c>
      <c r="S263" s="79">
        <f t="shared" si="35"/>
        <v>695</v>
      </c>
      <c r="T263" s="79">
        <f>50</f>
        <v>50</v>
      </c>
      <c r="U263" s="77"/>
      <c r="V263" s="77"/>
      <c r="W263" s="77"/>
      <c r="X263" s="77"/>
      <c r="Y263" s="77"/>
      <c r="Z263" s="77"/>
      <c r="AA263" s="77"/>
      <c r="AB263" s="77"/>
      <c r="AC263" s="77"/>
      <c r="AD263" s="77"/>
    </row>
    <row r="264" spans="1:30" ht="15.75" x14ac:dyDescent="0.25">
      <c r="A264" s="16">
        <v>48945</v>
      </c>
      <c r="B264" s="92">
        <v>31</v>
      </c>
      <c r="C264" s="79">
        <f>122.58</f>
        <v>122.58</v>
      </c>
      <c r="D264" s="79">
        <f>297.941</f>
        <v>297.94099999999997</v>
      </c>
      <c r="E264" s="87">
        <f>89.177</f>
        <v>89.177000000000007</v>
      </c>
      <c r="F264" s="79">
        <f>240.302-40-60</f>
        <v>140.30199999999999</v>
      </c>
      <c r="G264" s="81">
        <v>40</v>
      </c>
      <c r="H264" s="79">
        <v>60</v>
      </c>
      <c r="I264" s="79">
        <f t="shared" si="40"/>
        <v>0</v>
      </c>
      <c r="J264" s="81">
        <v>100</v>
      </c>
      <c r="K264" s="81">
        <v>300</v>
      </c>
      <c r="L264" s="79">
        <f t="shared" si="32"/>
        <v>1150</v>
      </c>
      <c r="M264" s="89">
        <v>600</v>
      </c>
      <c r="N264" s="79">
        <f>100</f>
        <v>100</v>
      </c>
      <c r="O264" s="81">
        <v>240</v>
      </c>
      <c r="P264" s="81">
        <v>40</v>
      </c>
      <c r="Q264" s="81">
        <f t="shared" si="33"/>
        <v>315</v>
      </c>
      <c r="R264" s="81">
        <f t="shared" si="34"/>
        <v>100</v>
      </c>
      <c r="S264" s="79">
        <f t="shared" si="35"/>
        <v>695</v>
      </c>
      <c r="T264" s="79">
        <f>50</f>
        <v>50</v>
      </c>
      <c r="U264" s="77"/>
      <c r="V264" s="77"/>
      <c r="W264" s="77"/>
      <c r="X264" s="77"/>
      <c r="Y264" s="77"/>
      <c r="Z264" s="77"/>
      <c r="AA264" s="77"/>
      <c r="AB264" s="77"/>
      <c r="AC264" s="77"/>
      <c r="AD264" s="77"/>
    </row>
    <row r="265" spans="1:30" ht="15.75" x14ac:dyDescent="0.25">
      <c r="A265" s="16">
        <v>48976</v>
      </c>
      <c r="B265" s="92">
        <v>28</v>
      </c>
      <c r="C265" s="79">
        <f>122.58</f>
        <v>122.58</v>
      </c>
      <c r="D265" s="79">
        <f>297.941</f>
        <v>297.94099999999997</v>
      </c>
      <c r="E265" s="87">
        <f>89.177</f>
        <v>89.177000000000007</v>
      </c>
      <c r="F265" s="79">
        <f>240.302-40-60</f>
        <v>140.30199999999999</v>
      </c>
      <c r="G265" s="81">
        <v>40</v>
      </c>
      <c r="H265" s="79">
        <v>60</v>
      </c>
      <c r="I265" s="79">
        <f t="shared" si="40"/>
        <v>0</v>
      </c>
      <c r="J265" s="81">
        <v>100</v>
      </c>
      <c r="K265" s="81">
        <v>300</v>
      </c>
      <c r="L265" s="79">
        <f t="shared" si="32"/>
        <v>1150</v>
      </c>
      <c r="M265" s="89">
        <v>600</v>
      </c>
      <c r="N265" s="79">
        <f>100</f>
        <v>100</v>
      </c>
      <c r="O265" s="81">
        <v>240</v>
      </c>
      <c r="P265" s="81">
        <v>40</v>
      </c>
      <c r="Q265" s="81">
        <f t="shared" si="33"/>
        <v>315</v>
      </c>
      <c r="R265" s="81">
        <f t="shared" si="34"/>
        <v>100</v>
      </c>
      <c r="S265" s="79">
        <f t="shared" si="35"/>
        <v>695</v>
      </c>
      <c r="T265" s="79">
        <f>50</f>
        <v>50</v>
      </c>
      <c r="U265" s="77"/>
      <c r="V265" s="77"/>
      <c r="W265" s="77"/>
      <c r="X265" s="77"/>
      <c r="Y265" s="77"/>
      <c r="Z265" s="77"/>
      <c r="AA265" s="77"/>
      <c r="AB265" s="77"/>
      <c r="AC265" s="77"/>
      <c r="AD265" s="77"/>
    </row>
    <row r="266" spans="1:30" ht="15.75" x14ac:dyDescent="0.25">
      <c r="A266" s="16">
        <v>49004</v>
      </c>
      <c r="B266" s="92">
        <v>31</v>
      </c>
      <c r="C266" s="79">
        <f>122.58</f>
        <v>122.58</v>
      </c>
      <c r="D266" s="79">
        <f>297.941</f>
        <v>297.94099999999997</v>
      </c>
      <c r="E266" s="87">
        <f>89.177</f>
        <v>89.177000000000007</v>
      </c>
      <c r="F266" s="79">
        <f>240.302-40-60</f>
        <v>140.30199999999999</v>
      </c>
      <c r="G266" s="81">
        <v>40</v>
      </c>
      <c r="H266" s="79">
        <v>60</v>
      </c>
      <c r="I266" s="79">
        <f t="shared" si="40"/>
        <v>0</v>
      </c>
      <c r="J266" s="81">
        <v>100</v>
      </c>
      <c r="K266" s="81">
        <v>300</v>
      </c>
      <c r="L266" s="79">
        <f t="shared" si="32"/>
        <v>1150</v>
      </c>
      <c r="M266" s="89">
        <v>600</v>
      </c>
      <c r="N266" s="79">
        <f>100</f>
        <v>100</v>
      </c>
      <c r="O266" s="81">
        <v>240</v>
      </c>
      <c r="P266" s="81">
        <v>40</v>
      </c>
      <c r="Q266" s="81">
        <f t="shared" si="33"/>
        <v>315</v>
      </c>
      <c r="R266" s="81">
        <f t="shared" si="34"/>
        <v>100</v>
      </c>
      <c r="S266" s="79">
        <f t="shared" si="35"/>
        <v>695</v>
      </c>
      <c r="T266" s="79">
        <f>50</f>
        <v>50</v>
      </c>
      <c r="U266" s="77"/>
      <c r="V266" s="77"/>
      <c r="W266" s="77"/>
      <c r="X266" s="77"/>
      <c r="Y266" s="77"/>
      <c r="Z266" s="77"/>
      <c r="AA266" s="77"/>
      <c r="AB266" s="77"/>
      <c r="AC266" s="77"/>
      <c r="AD266" s="77"/>
    </row>
    <row r="267" spans="1:30" ht="15.75" x14ac:dyDescent="0.25">
      <c r="A267" s="16">
        <v>49035</v>
      </c>
      <c r="B267" s="92">
        <v>30</v>
      </c>
      <c r="C267" s="79">
        <f>141.293</f>
        <v>141.29300000000001</v>
      </c>
      <c r="D267" s="79">
        <f>267.993</f>
        <v>267.99299999999999</v>
      </c>
      <c r="E267" s="87">
        <f>115.016</f>
        <v>115.01600000000001</v>
      </c>
      <c r="F267" s="79">
        <f>314.698-40-25-60</f>
        <v>189.69799999999998</v>
      </c>
      <c r="G267" s="81">
        <v>40</v>
      </c>
      <c r="H267" s="79">
        <f t="shared" ref="H267:H273" si="42">25+60</f>
        <v>85</v>
      </c>
      <c r="I267" s="79">
        <f t="shared" si="40"/>
        <v>0</v>
      </c>
      <c r="J267" s="81">
        <v>100</v>
      </c>
      <c r="K267" s="81">
        <v>300</v>
      </c>
      <c r="L267" s="79">
        <f t="shared" si="32"/>
        <v>1239</v>
      </c>
      <c r="M267" s="89">
        <v>600</v>
      </c>
      <c r="N267" s="79">
        <f>100</f>
        <v>100</v>
      </c>
      <c r="O267" s="81">
        <v>240</v>
      </c>
      <c r="P267" s="81">
        <v>160</v>
      </c>
      <c r="Q267" s="81">
        <f t="shared" si="33"/>
        <v>195</v>
      </c>
      <c r="R267" s="81">
        <f t="shared" si="34"/>
        <v>100</v>
      </c>
      <c r="S267" s="79">
        <f t="shared" si="35"/>
        <v>695</v>
      </c>
      <c r="T267" s="79">
        <f>50</f>
        <v>50</v>
      </c>
      <c r="U267" s="77"/>
      <c r="V267" s="77"/>
      <c r="W267" s="77"/>
      <c r="X267" s="77"/>
      <c r="Y267" s="77"/>
      <c r="Z267" s="77"/>
      <c r="AA267" s="77"/>
      <c r="AB267" s="77"/>
      <c r="AC267" s="77"/>
      <c r="AD267" s="77"/>
    </row>
    <row r="268" spans="1:30" ht="15.75" x14ac:dyDescent="0.25">
      <c r="A268" s="16">
        <v>49065</v>
      </c>
      <c r="B268" s="92">
        <v>31</v>
      </c>
      <c r="C268" s="79">
        <f>194.205</f>
        <v>194.20500000000001</v>
      </c>
      <c r="D268" s="79">
        <f>267.466</f>
        <v>267.46600000000001</v>
      </c>
      <c r="E268" s="87">
        <f>133.845</f>
        <v>133.845</v>
      </c>
      <c r="F268" s="79">
        <f>278.484-40-25-60</f>
        <v>153.48399999999998</v>
      </c>
      <c r="G268" s="81">
        <v>40</v>
      </c>
      <c r="H268" s="79">
        <f t="shared" si="42"/>
        <v>85</v>
      </c>
      <c r="I268" s="79">
        <f t="shared" si="40"/>
        <v>0</v>
      </c>
      <c r="J268" s="81">
        <v>100</v>
      </c>
      <c r="K268" s="81">
        <v>300</v>
      </c>
      <c r="L268" s="79">
        <f t="shared" si="32"/>
        <v>1274</v>
      </c>
      <c r="M268" s="89">
        <v>600</v>
      </c>
      <c r="N268" s="79">
        <f>75</f>
        <v>75</v>
      </c>
      <c r="O268" s="81">
        <v>240</v>
      </c>
      <c r="P268" s="81">
        <v>160</v>
      </c>
      <c r="Q268" s="81">
        <f t="shared" si="33"/>
        <v>195</v>
      </c>
      <c r="R268" s="81">
        <f t="shared" si="34"/>
        <v>100</v>
      </c>
      <c r="S268" s="79">
        <f t="shared" si="35"/>
        <v>695</v>
      </c>
      <c r="T268" s="79">
        <f>50</f>
        <v>50</v>
      </c>
      <c r="U268" s="77"/>
      <c r="V268" s="77"/>
      <c r="W268" s="77"/>
      <c r="X268" s="77"/>
      <c r="Y268" s="77"/>
      <c r="Z268" s="77"/>
      <c r="AA268" s="77"/>
      <c r="AB268" s="77"/>
      <c r="AC268" s="77"/>
      <c r="AD268" s="77"/>
    </row>
    <row r="269" spans="1:30" ht="15.75" x14ac:dyDescent="0.25">
      <c r="A269" s="16">
        <v>49096</v>
      </c>
      <c r="B269" s="92">
        <v>30</v>
      </c>
      <c r="C269" s="79">
        <f>194.205</f>
        <v>194.20500000000001</v>
      </c>
      <c r="D269" s="79">
        <f>267.466</f>
        <v>267.46600000000001</v>
      </c>
      <c r="E269" s="87">
        <f>133.845</f>
        <v>133.845</v>
      </c>
      <c r="F269" s="79">
        <f>278.484-40-25-60</f>
        <v>153.48399999999998</v>
      </c>
      <c r="G269" s="81">
        <v>40</v>
      </c>
      <c r="H269" s="79">
        <f t="shared" si="42"/>
        <v>85</v>
      </c>
      <c r="I269" s="79">
        <f t="shared" si="40"/>
        <v>0</v>
      </c>
      <c r="J269" s="81">
        <v>100</v>
      </c>
      <c r="K269" s="81">
        <v>300</v>
      </c>
      <c r="L269" s="79">
        <f t="shared" ref="L269:L332" si="43">SUM(C269:K269)</f>
        <v>1274</v>
      </c>
      <c r="M269" s="89">
        <v>600</v>
      </c>
      <c r="N269" s="79">
        <f>30</f>
        <v>30</v>
      </c>
      <c r="O269" s="81">
        <v>240</v>
      </c>
      <c r="P269" s="81">
        <v>160</v>
      </c>
      <c r="Q269" s="81">
        <f t="shared" ref="Q269:Q332" si="44">695-R269-O269-P269</f>
        <v>195</v>
      </c>
      <c r="R269" s="81">
        <f t="shared" ref="R269:R332" si="45">200-J269</f>
        <v>100</v>
      </c>
      <c r="S269" s="79">
        <f t="shared" ref="S269:S332" si="46">SUM(O269:R269)</f>
        <v>695</v>
      </c>
      <c r="T269" s="79">
        <f>50</f>
        <v>50</v>
      </c>
      <c r="U269" s="77"/>
      <c r="V269" s="77"/>
      <c r="W269" s="77"/>
      <c r="X269" s="77"/>
      <c r="Y269" s="77"/>
      <c r="Z269" s="77"/>
      <c r="AA269" s="77"/>
      <c r="AB269" s="77"/>
      <c r="AC269" s="77"/>
      <c r="AD269" s="77"/>
    </row>
    <row r="270" spans="1:30" ht="15.75" x14ac:dyDescent="0.25">
      <c r="A270" s="16">
        <v>49126</v>
      </c>
      <c r="B270" s="92">
        <v>31</v>
      </c>
      <c r="C270" s="79">
        <f>194.205</f>
        <v>194.20500000000001</v>
      </c>
      <c r="D270" s="79">
        <f>267.466</f>
        <v>267.46600000000001</v>
      </c>
      <c r="E270" s="87">
        <f>133.845</f>
        <v>133.845</v>
      </c>
      <c r="F270" s="79">
        <f>278.484-40-25-60</f>
        <v>153.48399999999998</v>
      </c>
      <c r="G270" s="81">
        <v>40</v>
      </c>
      <c r="H270" s="79">
        <f t="shared" si="42"/>
        <v>85</v>
      </c>
      <c r="I270" s="79">
        <f t="shared" si="40"/>
        <v>0</v>
      </c>
      <c r="J270" s="81">
        <v>100</v>
      </c>
      <c r="K270" s="81">
        <v>300</v>
      </c>
      <c r="L270" s="79">
        <f t="shared" si="43"/>
        <v>1274</v>
      </c>
      <c r="M270" s="89">
        <v>600</v>
      </c>
      <c r="N270" s="79">
        <f>30</f>
        <v>30</v>
      </c>
      <c r="O270" s="81">
        <v>240</v>
      </c>
      <c r="P270" s="81">
        <v>160</v>
      </c>
      <c r="Q270" s="81">
        <f t="shared" si="44"/>
        <v>195</v>
      </c>
      <c r="R270" s="81">
        <f t="shared" si="45"/>
        <v>100</v>
      </c>
      <c r="S270" s="79">
        <f t="shared" si="46"/>
        <v>695</v>
      </c>
      <c r="T270" s="79">
        <f>0</f>
        <v>0</v>
      </c>
      <c r="U270" s="77"/>
      <c r="V270" s="77"/>
      <c r="W270" s="77"/>
      <c r="X270" s="77"/>
      <c r="Y270" s="77"/>
      <c r="Z270" s="77"/>
      <c r="AA270" s="77"/>
      <c r="AB270" s="77"/>
      <c r="AC270" s="77"/>
      <c r="AD270" s="77"/>
    </row>
    <row r="271" spans="1:30" ht="15.75" x14ac:dyDescent="0.25">
      <c r="A271" s="16">
        <v>49157</v>
      </c>
      <c r="B271" s="92">
        <v>31</v>
      </c>
      <c r="C271" s="79">
        <f>194.205</f>
        <v>194.20500000000001</v>
      </c>
      <c r="D271" s="79">
        <f>267.466</f>
        <v>267.46600000000001</v>
      </c>
      <c r="E271" s="87">
        <f>133.845</f>
        <v>133.845</v>
      </c>
      <c r="F271" s="79">
        <f>278.484-40-25-60</f>
        <v>153.48399999999998</v>
      </c>
      <c r="G271" s="81">
        <v>40</v>
      </c>
      <c r="H271" s="79">
        <f t="shared" si="42"/>
        <v>85</v>
      </c>
      <c r="I271" s="79">
        <f t="shared" si="40"/>
        <v>0</v>
      </c>
      <c r="J271" s="81">
        <v>100</v>
      </c>
      <c r="K271" s="81">
        <v>300</v>
      </c>
      <c r="L271" s="79">
        <f t="shared" si="43"/>
        <v>1274</v>
      </c>
      <c r="M271" s="89">
        <v>600</v>
      </c>
      <c r="N271" s="79">
        <f>30</f>
        <v>30</v>
      </c>
      <c r="O271" s="81">
        <v>240</v>
      </c>
      <c r="P271" s="81">
        <v>160</v>
      </c>
      <c r="Q271" s="81">
        <f t="shared" si="44"/>
        <v>195</v>
      </c>
      <c r="R271" s="81">
        <f t="shared" si="45"/>
        <v>100</v>
      </c>
      <c r="S271" s="79">
        <f t="shared" si="46"/>
        <v>695</v>
      </c>
      <c r="T271" s="79">
        <f>0</f>
        <v>0</v>
      </c>
      <c r="U271" s="77"/>
      <c r="V271" s="77"/>
      <c r="W271" s="77"/>
      <c r="X271" s="77"/>
      <c r="Y271" s="77"/>
      <c r="Z271" s="77"/>
      <c r="AA271" s="77"/>
      <c r="AB271" s="77"/>
      <c r="AC271" s="77"/>
      <c r="AD271" s="77"/>
    </row>
    <row r="272" spans="1:30" ht="15.75" x14ac:dyDescent="0.25">
      <c r="A272" s="16">
        <v>49188</v>
      </c>
      <c r="B272" s="92">
        <v>30</v>
      </c>
      <c r="C272" s="79">
        <f>194.205</f>
        <v>194.20500000000001</v>
      </c>
      <c r="D272" s="79">
        <f>267.466</f>
        <v>267.46600000000001</v>
      </c>
      <c r="E272" s="87">
        <f>133.845</f>
        <v>133.845</v>
      </c>
      <c r="F272" s="79">
        <f>278.484-40-25-60</f>
        <v>153.48399999999998</v>
      </c>
      <c r="G272" s="81">
        <v>40</v>
      </c>
      <c r="H272" s="79">
        <f t="shared" si="42"/>
        <v>85</v>
      </c>
      <c r="I272" s="79">
        <f t="shared" si="40"/>
        <v>0</v>
      </c>
      <c r="J272" s="81">
        <v>100</v>
      </c>
      <c r="K272" s="81">
        <v>300</v>
      </c>
      <c r="L272" s="79">
        <f t="shared" si="43"/>
        <v>1274</v>
      </c>
      <c r="M272" s="89">
        <v>600</v>
      </c>
      <c r="N272" s="79">
        <f>30</f>
        <v>30</v>
      </c>
      <c r="O272" s="81">
        <v>240</v>
      </c>
      <c r="P272" s="81">
        <v>160</v>
      </c>
      <c r="Q272" s="81">
        <f t="shared" si="44"/>
        <v>195</v>
      </c>
      <c r="R272" s="81">
        <f t="shared" si="45"/>
        <v>100</v>
      </c>
      <c r="S272" s="79">
        <f t="shared" si="46"/>
        <v>695</v>
      </c>
      <c r="T272" s="79">
        <f>0</f>
        <v>0</v>
      </c>
      <c r="U272" s="77"/>
      <c r="V272" s="77"/>
      <c r="W272" s="77"/>
      <c r="X272" s="77"/>
      <c r="Y272" s="77"/>
      <c r="Z272" s="77"/>
      <c r="AA272" s="77"/>
      <c r="AB272" s="77"/>
      <c r="AC272" s="77"/>
      <c r="AD272" s="77"/>
    </row>
    <row r="273" spans="1:30" ht="15.75" x14ac:dyDescent="0.25">
      <c r="A273" s="16">
        <v>49218</v>
      </c>
      <c r="B273" s="92">
        <v>31</v>
      </c>
      <c r="C273" s="79">
        <f>131.881</f>
        <v>131.881</v>
      </c>
      <c r="D273" s="79">
        <f>277.167</f>
        <v>277.16699999999997</v>
      </c>
      <c r="E273" s="87">
        <f>79.08</f>
        <v>79.08</v>
      </c>
      <c r="F273" s="79">
        <f>350.872-40-25-60</f>
        <v>225.87200000000001</v>
      </c>
      <c r="G273" s="81">
        <v>40</v>
      </c>
      <c r="H273" s="79">
        <f t="shared" si="42"/>
        <v>85</v>
      </c>
      <c r="I273" s="79">
        <f t="shared" si="40"/>
        <v>0</v>
      </c>
      <c r="J273" s="81">
        <v>100</v>
      </c>
      <c r="K273" s="81">
        <v>300</v>
      </c>
      <c r="L273" s="79">
        <f t="shared" si="43"/>
        <v>1239</v>
      </c>
      <c r="M273" s="89">
        <v>600</v>
      </c>
      <c r="N273" s="79">
        <f>75</f>
        <v>75</v>
      </c>
      <c r="O273" s="81">
        <v>240</v>
      </c>
      <c r="P273" s="81">
        <v>160</v>
      </c>
      <c r="Q273" s="81">
        <f t="shared" si="44"/>
        <v>195</v>
      </c>
      <c r="R273" s="81">
        <f t="shared" si="45"/>
        <v>100</v>
      </c>
      <c r="S273" s="79">
        <f t="shared" si="46"/>
        <v>695</v>
      </c>
      <c r="T273" s="79">
        <f>0</f>
        <v>0</v>
      </c>
      <c r="U273" s="77"/>
      <c r="V273" s="77"/>
      <c r="W273" s="77"/>
      <c r="X273" s="77"/>
      <c r="Y273" s="77"/>
      <c r="Z273" s="77"/>
      <c r="AA273" s="77"/>
      <c r="AB273" s="77"/>
      <c r="AC273" s="77"/>
      <c r="AD273" s="77"/>
    </row>
    <row r="274" spans="1:30" ht="15.75" x14ac:dyDescent="0.25">
      <c r="A274" s="16">
        <v>49249</v>
      </c>
      <c r="B274" s="92">
        <v>30</v>
      </c>
      <c r="C274" s="79">
        <f>122.58</f>
        <v>122.58</v>
      </c>
      <c r="D274" s="79">
        <f>297.941</f>
        <v>297.94099999999997</v>
      </c>
      <c r="E274" s="87">
        <f>89.177</f>
        <v>89.177000000000007</v>
      </c>
      <c r="F274" s="79">
        <f>240.302-40-60</f>
        <v>140.30199999999999</v>
      </c>
      <c r="G274" s="81">
        <v>40</v>
      </c>
      <c r="H274" s="79">
        <v>60</v>
      </c>
      <c r="I274" s="79">
        <f t="shared" si="40"/>
        <v>0</v>
      </c>
      <c r="J274" s="81">
        <v>100</v>
      </c>
      <c r="K274" s="81">
        <v>300</v>
      </c>
      <c r="L274" s="79">
        <f t="shared" si="43"/>
        <v>1150</v>
      </c>
      <c r="M274" s="89">
        <v>600</v>
      </c>
      <c r="N274" s="79">
        <f>100</f>
        <v>100</v>
      </c>
      <c r="O274" s="81">
        <v>240</v>
      </c>
      <c r="P274" s="81">
        <v>40</v>
      </c>
      <c r="Q274" s="81">
        <f t="shared" si="44"/>
        <v>315</v>
      </c>
      <c r="R274" s="81">
        <f t="shared" si="45"/>
        <v>100</v>
      </c>
      <c r="S274" s="79">
        <f t="shared" si="46"/>
        <v>695</v>
      </c>
      <c r="T274" s="79">
        <f>50</f>
        <v>50</v>
      </c>
      <c r="U274" s="77"/>
      <c r="V274" s="77"/>
      <c r="W274" s="77"/>
      <c r="X274" s="77"/>
      <c r="Y274" s="77"/>
      <c r="Z274" s="77"/>
      <c r="AA274" s="77"/>
      <c r="AB274" s="77"/>
      <c r="AC274" s="77"/>
      <c r="AD274" s="77"/>
    </row>
    <row r="275" spans="1:30" ht="15.75" x14ac:dyDescent="0.25">
      <c r="A275" s="16">
        <v>49279</v>
      </c>
      <c r="B275" s="92">
        <v>31</v>
      </c>
      <c r="C275" s="79">
        <f>122.58</f>
        <v>122.58</v>
      </c>
      <c r="D275" s="79">
        <f>297.941</f>
        <v>297.94099999999997</v>
      </c>
      <c r="E275" s="87">
        <f>89.177</f>
        <v>89.177000000000007</v>
      </c>
      <c r="F275" s="79">
        <f>240.302-40-60</f>
        <v>140.30199999999999</v>
      </c>
      <c r="G275" s="81">
        <v>40</v>
      </c>
      <c r="H275" s="79">
        <v>60</v>
      </c>
      <c r="I275" s="79">
        <f t="shared" si="40"/>
        <v>0</v>
      </c>
      <c r="J275" s="81">
        <v>100</v>
      </c>
      <c r="K275" s="81">
        <v>300</v>
      </c>
      <c r="L275" s="79">
        <f t="shared" si="43"/>
        <v>1150</v>
      </c>
      <c r="M275" s="89">
        <v>600</v>
      </c>
      <c r="N275" s="79">
        <f>100</f>
        <v>100</v>
      </c>
      <c r="O275" s="81">
        <v>240</v>
      </c>
      <c r="P275" s="81">
        <v>40</v>
      </c>
      <c r="Q275" s="81">
        <f t="shared" si="44"/>
        <v>315</v>
      </c>
      <c r="R275" s="81">
        <f t="shared" si="45"/>
        <v>100</v>
      </c>
      <c r="S275" s="79">
        <f t="shared" si="46"/>
        <v>695</v>
      </c>
      <c r="T275" s="79">
        <f>50</f>
        <v>50</v>
      </c>
      <c r="U275" s="77"/>
      <c r="V275" s="77"/>
      <c r="W275" s="77"/>
      <c r="X275" s="77"/>
      <c r="Y275" s="77"/>
      <c r="Z275" s="77"/>
      <c r="AA275" s="77"/>
      <c r="AB275" s="77"/>
      <c r="AC275" s="77"/>
      <c r="AD275" s="77"/>
    </row>
    <row r="276" spans="1:30" ht="15.75" x14ac:dyDescent="0.25">
      <c r="A276" s="16">
        <v>49310</v>
      </c>
      <c r="B276" s="92">
        <v>31</v>
      </c>
      <c r="C276" s="79">
        <f>122.58</f>
        <v>122.58</v>
      </c>
      <c r="D276" s="79">
        <f>297.941</f>
        <v>297.94099999999997</v>
      </c>
      <c r="E276" s="87">
        <f>89.177</f>
        <v>89.177000000000007</v>
      </c>
      <c r="F276" s="79">
        <f>240.302-40-60</f>
        <v>140.30199999999999</v>
      </c>
      <c r="G276" s="81">
        <v>40</v>
      </c>
      <c r="H276" s="79">
        <v>60</v>
      </c>
      <c r="I276" s="79">
        <f t="shared" si="40"/>
        <v>0</v>
      </c>
      <c r="J276" s="81">
        <v>100</v>
      </c>
      <c r="K276" s="81">
        <v>300</v>
      </c>
      <c r="L276" s="79">
        <f t="shared" si="43"/>
        <v>1150</v>
      </c>
      <c r="M276" s="89">
        <v>600</v>
      </c>
      <c r="N276" s="79">
        <f>100</f>
        <v>100</v>
      </c>
      <c r="O276" s="81">
        <v>240</v>
      </c>
      <c r="P276" s="81">
        <v>40</v>
      </c>
      <c r="Q276" s="81">
        <f t="shared" si="44"/>
        <v>315</v>
      </c>
      <c r="R276" s="81">
        <f t="shared" si="45"/>
        <v>100</v>
      </c>
      <c r="S276" s="79">
        <f t="shared" si="46"/>
        <v>695</v>
      </c>
      <c r="T276" s="79">
        <f>50</f>
        <v>50</v>
      </c>
      <c r="U276" s="77"/>
      <c r="V276" s="77"/>
      <c r="W276" s="77"/>
      <c r="X276" s="77"/>
      <c r="Y276" s="77"/>
      <c r="Z276" s="77"/>
      <c r="AA276" s="77"/>
      <c r="AB276" s="77"/>
      <c r="AC276" s="77"/>
      <c r="AD276" s="77"/>
    </row>
    <row r="277" spans="1:30" ht="15.75" x14ac:dyDescent="0.25">
      <c r="A277" s="16">
        <v>49341</v>
      </c>
      <c r="B277" s="92">
        <v>28</v>
      </c>
      <c r="C277" s="79">
        <f>122.58</f>
        <v>122.58</v>
      </c>
      <c r="D277" s="79">
        <f>297.941</f>
        <v>297.94099999999997</v>
      </c>
      <c r="E277" s="87">
        <f>89.177</f>
        <v>89.177000000000007</v>
      </c>
      <c r="F277" s="79">
        <f>240.302-40-60</f>
        <v>140.30199999999999</v>
      </c>
      <c r="G277" s="81">
        <v>40</v>
      </c>
      <c r="H277" s="79">
        <v>60</v>
      </c>
      <c r="I277" s="79">
        <f t="shared" si="40"/>
        <v>0</v>
      </c>
      <c r="J277" s="81">
        <v>100</v>
      </c>
      <c r="K277" s="81">
        <v>300</v>
      </c>
      <c r="L277" s="79">
        <f t="shared" si="43"/>
        <v>1150</v>
      </c>
      <c r="M277" s="89">
        <v>600</v>
      </c>
      <c r="N277" s="79">
        <f>100</f>
        <v>100</v>
      </c>
      <c r="O277" s="81">
        <v>240</v>
      </c>
      <c r="P277" s="81">
        <v>40</v>
      </c>
      <c r="Q277" s="81">
        <f t="shared" si="44"/>
        <v>315</v>
      </c>
      <c r="R277" s="81">
        <f t="shared" si="45"/>
        <v>100</v>
      </c>
      <c r="S277" s="79">
        <f t="shared" si="46"/>
        <v>695</v>
      </c>
      <c r="T277" s="79">
        <f>50</f>
        <v>50</v>
      </c>
      <c r="U277" s="77"/>
      <c r="V277" s="77"/>
      <c r="W277" s="77"/>
      <c r="X277" s="77"/>
      <c r="Y277" s="77"/>
      <c r="Z277" s="77"/>
      <c r="AA277" s="77"/>
      <c r="AB277" s="77"/>
      <c r="AC277" s="77"/>
      <c r="AD277" s="77"/>
    </row>
    <row r="278" spans="1:30" ht="15.75" x14ac:dyDescent="0.25">
      <c r="A278" s="16">
        <v>49369</v>
      </c>
      <c r="B278" s="92">
        <v>31</v>
      </c>
      <c r="C278" s="79">
        <f>122.58</f>
        <v>122.58</v>
      </c>
      <c r="D278" s="79">
        <f>297.941</f>
        <v>297.94099999999997</v>
      </c>
      <c r="E278" s="87">
        <f>89.177</f>
        <v>89.177000000000007</v>
      </c>
      <c r="F278" s="79">
        <f>240.302-40-60</f>
        <v>140.30199999999999</v>
      </c>
      <c r="G278" s="81">
        <v>40</v>
      </c>
      <c r="H278" s="79">
        <v>60</v>
      </c>
      <c r="I278" s="79">
        <f t="shared" si="40"/>
        <v>0</v>
      </c>
      <c r="J278" s="81">
        <v>100</v>
      </c>
      <c r="K278" s="81">
        <v>300</v>
      </c>
      <c r="L278" s="79">
        <f t="shared" si="43"/>
        <v>1150</v>
      </c>
      <c r="M278" s="89">
        <v>600</v>
      </c>
      <c r="N278" s="79">
        <f>100</f>
        <v>100</v>
      </c>
      <c r="O278" s="81">
        <v>240</v>
      </c>
      <c r="P278" s="81">
        <v>40</v>
      </c>
      <c r="Q278" s="81">
        <f t="shared" si="44"/>
        <v>315</v>
      </c>
      <c r="R278" s="81">
        <f t="shared" si="45"/>
        <v>100</v>
      </c>
      <c r="S278" s="79">
        <f t="shared" si="46"/>
        <v>695</v>
      </c>
      <c r="T278" s="79">
        <f>50</f>
        <v>50</v>
      </c>
      <c r="U278" s="77"/>
      <c r="V278" s="77"/>
      <c r="W278" s="77"/>
      <c r="X278" s="77"/>
      <c r="Y278" s="77"/>
      <c r="Z278" s="77"/>
      <c r="AA278" s="77"/>
      <c r="AB278" s="77"/>
      <c r="AC278" s="77"/>
      <c r="AD278" s="77"/>
    </row>
    <row r="279" spans="1:30" ht="15.75" x14ac:dyDescent="0.25">
      <c r="A279" s="16">
        <v>49400</v>
      </c>
      <c r="B279" s="92">
        <v>30</v>
      </c>
      <c r="C279" s="79">
        <f>141.293</f>
        <v>141.29300000000001</v>
      </c>
      <c r="D279" s="79">
        <f>267.993</f>
        <v>267.99299999999999</v>
      </c>
      <c r="E279" s="87">
        <f>115.016</f>
        <v>115.01600000000001</v>
      </c>
      <c r="F279" s="79">
        <f>314.698-40-25-60</f>
        <v>189.69799999999998</v>
      </c>
      <c r="G279" s="81">
        <v>40</v>
      </c>
      <c r="H279" s="79">
        <f t="shared" ref="H279:H285" si="47">25+60</f>
        <v>85</v>
      </c>
      <c r="I279" s="79">
        <f t="shared" si="40"/>
        <v>0</v>
      </c>
      <c r="J279" s="81">
        <v>100</v>
      </c>
      <c r="K279" s="81">
        <v>300</v>
      </c>
      <c r="L279" s="79">
        <f t="shared" si="43"/>
        <v>1239</v>
      </c>
      <c r="M279" s="89">
        <v>600</v>
      </c>
      <c r="N279" s="79">
        <f>100</f>
        <v>100</v>
      </c>
      <c r="O279" s="81">
        <v>240</v>
      </c>
      <c r="P279" s="81">
        <v>160</v>
      </c>
      <c r="Q279" s="81">
        <f t="shared" si="44"/>
        <v>195</v>
      </c>
      <c r="R279" s="81">
        <f t="shared" si="45"/>
        <v>100</v>
      </c>
      <c r="S279" s="79">
        <f t="shared" si="46"/>
        <v>695</v>
      </c>
      <c r="T279" s="79">
        <f>50</f>
        <v>50</v>
      </c>
      <c r="U279" s="77"/>
      <c r="V279" s="77"/>
      <c r="W279" s="77"/>
      <c r="X279" s="77"/>
      <c r="Y279" s="77"/>
      <c r="Z279" s="77"/>
      <c r="AA279" s="77"/>
      <c r="AB279" s="77"/>
      <c r="AC279" s="77"/>
      <c r="AD279" s="77"/>
    </row>
    <row r="280" spans="1:30" ht="15.75" x14ac:dyDescent="0.25">
      <c r="A280" s="16">
        <v>49430</v>
      </c>
      <c r="B280" s="92">
        <v>31</v>
      </c>
      <c r="C280" s="79">
        <f>194.205</f>
        <v>194.20500000000001</v>
      </c>
      <c r="D280" s="79">
        <f>267.466</f>
        <v>267.46600000000001</v>
      </c>
      <c r="E280" s="87">
        <f>133.845</f>
        <v>133.845</v>
      </c>
      <c r="F280" s="79">
        <f>278.484-40-25-60</f>
        <v>153.48399999999998</v>
      </c>
      <c r="G280" s="81">
        <v>40</v>
      </c>
      <c r="H280" s="79">
        <f t="shared" si="47"/>
        <v>85</v>
      </c>
      <c r="I280" s="79">
        <f t="shared" si="40"/>
        <v>0</v>
      </c>
      <c r="J280" s="81">
        <v>100</v>
      </c>
      <c r="K280" s="81">
        <v>300</v>
      </c>
      <c r="L280" s="79">
        <f t="shared" si="43"/>
        <v>1274</v>
      </c>
      <c r="M280" s="89">
        <v>600</v>
      </c>
      <c r="N280" s="79">
        <f>75</f>
        <v>75</v>
      </c>
      <c r="O280" s="81">
        <v>240</v>
      </c>
      <c r="P280" s="81">
        <v>160</v>
      </c>
      <c r="Q280" s="81">
        <f t="shared" si="44"/>
        <v>195</v>
      </c>
      <c r="R280" s="81">
        <f t="shared" si="45"/>
        <v>100</v>
      </c>
      <c r="S280" s="79">
        <f t="shared" si="46"/>
        <v>695</v>
      </c>
      <c r="T280" s="79">
        <f>50</f>
        <v>50</v>
      </c>
      <c r="U280" s="77"/>
      <c r="V280" s="77"/>
      <c r="W280" s="77"/>
      <c r="X280" s="77"/>
      <c r="Y280" s="77"/>
      <c r="Z280" s="77"/>
      <c r="AA280" s="77"/>
      <c r="AB280" s="77"/>
      <c r="AC280" s="77"/>
      <c r="AD280" s="77"/>
    </row>
    <row r="281" spans="1:30" ht="15.75" x14ac:dyDescent="0.25">
      <c r="A281" s="15">
        <v>49461</v>
      </c>
      <c r="B281" s="92">
        <v>30</v>
      </c>
      <c r="C281" s="79">
        <f>194.205</f>
        <v>194.20500000000001</v>
      </c>
      <c r="D281" s="79">
        <f>267.466</f>
        <v>267.46600000000001</v>
      </c>
      <c r="E281" s="87">
        <f>133.845</f>
        <v>133.845</v>
      </c>
      <c r="F281" s="79">
        <f>278.484-40-25-60</f>
        <v>153.48399999999998</v>
      </c>
      <c r="G281" s="81">
        <v>40</v>
      </c>
      <c r="H281" s="79">
        <f t="shared" si="47"/>
        <v>85</v>
      </c>
      <c r="I281" s="79">
        <f t="shared" si="40"/>
        <v>0</v>
      </c>
      <c r="J281" s="81">
        <v>100</v>
      </c>
      <c r="K281" s="81">
        <v>300</v>
      </c>
      <c r="L281" s="79">
        <f t="shared" si="43"/>
        <v>1274</v>
      </c>
      <c r="M281" s="89">
        <v>600</v>
      </c>
      <c r="N281" s="79">
        <f>30</f>
        <v>30</v>
      </c>
      <c r="O281" s="81">
        <v>240</v>
      </c>
      <c r="P281" s="81">
        <v>160</v>
      </c>
      <c r="Q281" s="81">
        <f t="shared" si="44"/>
        <v>195</v>
      </c>
      <c r="R281" s="81">
        <f t="shared" si="45"/>
        <v>100</v>
      </c>
      <c r="S281" s="79">
        <f t="shared" si="46"/>
        <v>695</v>
      </c>
      <c r="T281" s="79">
        <f>50</f>
        <v>50</v>
      </c>
      <c r="U281" s="77"/>
      <c r="V281" s="77"/>
      <c r="W281" s="77"/>
      <c r="X281" s="77"/>
      <c r="Y281" s="77"/>
      <c r="Z281" s="77"/>
      <c r="AA281" s="77"/>
      <c r="AB281" s="77"/>
      <c r="AC281" s="77"/>
      <c r="AD281" s="77"/>
    </row>
    <row r="282" spans="1:30" ht="15.75" x14ac:dyDescent="0.25">
      <c r="A282" s="15">
        <v>49491</v>
      </c>
      <c r="B282" s="92">
        <v>31</v>
      </c>
      <c r="C282" s="79">
        <f>194.205</f>
        <v>194.20500000000001</v>
      </c>
      <c r="D282" s="79">
        <f>267.466</f>
        <v>267.46600000000001</v>
      </c>
      <c r="E282" s="87">
        <f>133.845</f>
        <v>133.845</v>
      </c>
      <c r="F282" s="79">
        <f>278.484-40-25-60</f>
        <v>153.48399999999998</v>
      </c>
      <c r="G282" s="81">
        <v>40</v>
      </c>
      <c r="H282" s="79">
        <f t="shared" si="47"/>
        <v>85</v>
      </c>
      <c r="I282" s="79">
        <f t="shared" si="40"/>
        <v>0</v>
      </c>
      <c r="J282" s="81">
        <v>100</v>
      </c>
      <c r="K282" s="81">
        <v>300</v>
      </c>
      <c r="L282" s="79">
        <f t="shared" si="43"/>
        <v>1274</v>
      </c>
      <c r="M282" s="89">
        <v>600</v>
      </c>
      <c r="N282" s="79">
        <f>30</f>
        <v>30</v>
      </c>
      <c r="O282" s="81">
        <v>240</v>
      </c>
      <c r="P282" s="81">
        <v>160</v>
      </c>
      <c r="Q282" s="81">
        <f t="shared" si="44"/>
        <v>195</v>
      </c>
      <c r="R282" s="81">
        <f t="shared" si="45"/>
        <v>100</v>
      </c>
      <c r="S282" s="79">
        <f t="shared" si="46"/>
        <v>695</v>
      </c>
      <c r="T282" s="79">
        <f>0</f>
        <v>0</v>
      </c>
      <c r="U282" s="77"/>
      <c r="V282" s="77"/>
      <c r="W282" s="77"/>
      <c r="X282" s="77"/>
      <c r="Y282" s="77"/>
      <c r="Z282" s="77"/>
      <c r="AA282" s="77"/>
      <c r="AB282" s="77"/>
      <c r="AC282" s="77"/>
      <c r="AD282" s="77"/>
    </row>
    <row r="283" spans="1:30" ht="15.75" x14ac:dyDescent="0.25">
      <c r="A283" s="15">
        <v>49522</v>
      </c>
      <c r="B283" s="92">
        <v>31</v>
      </c>
      <c r="C283" s="79">
        <f>194.205</f>
        <v>194.20500000000001</v>
      </c>
      <c r="D283" s="79">
        <f>267.466</f>
        <v>267.46600000000001</v>
      </c>
      <c r="E283" s="87">
        <f>133.845</f>
        <v>133.845</v>
      </c>
      <c r="F283" s="79">
        <f>278.484-40-25-60</f>
        <v>153.48399999999998</v>
      </c>
      <c r="G283" s="81">
        <v>40</v>
      </c>
      <c r="H283" s="79">
        <f t="shared" si="47"/>
        <v>85</v>
      </c>
      <c r="I283" s="79">
        <f t="shared" si="40"/>
        <v>0</v>
      </c>
      <c r="J283" s="81">
        <v>100</v>
      </c>
      <c r="K283" s="81">
        <v>300</v>
      </c>
      <c r="L283" s="79">
        <f t="shared" si="43"/>
        <v>1274</v>
      </c>
      <c r="M283" s="89">
        <v>600</v>
      </c>
      <c r="N283" s="79">
        <f>30</f>
        <v>30</v>
      </c>
      <c r="O283" s="81">
        <v>240</v>
      </c>
      <c r="P283" s="81">
        <v>160</v>
      </c>
      <c r="Q283" s="81">
        <f t="shared" si="44"/>
        <v>195</v>
      </c>
      <c r="R283" s="81">
        <f t="shared" si="45"/>
        <v>100</v>
      </c>
      <c r="S283" s="79">
        <f t="shared" si="46"/>
        <v>695</v>
      </c>
      <c r="T283" s="79">
        <f>0</f>
        <v>0</v>
      </c>
      <c r="U283" s="77"/>
      <c r="V283" s="77"/>
      <c r="W283" s="77"/>
      <c r="X283" s="77"/>
      <c r="Y283" s="77"/>
      <c r="Z283" s="77"/>
      <c r="AA283" s="77"/>
      <c r="AB283" s="77"/>
      <c r="AC283" s="77"/>
      <c r="AD283" s="77"/>
    </row>
    <row r="284" spans="1:30" ht="15.75" x14ac:dyDescent="0.25">
      <c r="A284" s="15">
        <v>49553</v>
      </c>
      <c r="B284" s="92">
        <v>30</v>
      </c>
      <c r="C284" s="79">
        <f>194.205</f>
        <v>194.20500000000001</v>
      </c>
      <c r="D284" s="79">
        <f>267.466</f>
        <v>267.46600000000001</v>
      </c>
      <c r="E284" s="87">
        <f>133.845</f>
        <v>133.845</v>
      </c>
      <c r="F284" s="79">
        <f>278.484-40-25-60</f>
        <v>153.48399999999998</v>
      </c>
      <c r="G284" s="81">
        <v>40</v>
      </c>
      <c r="H284" s="79">
        <f t="shared" si="47"/>
        <v>85</v>
      </c>
      <c r="I284" s="79">
        <f t="shared" si="40"/>
        <v>0</v>
      </c>
      <c r="J284" s="81">
        <v>100</v>
      </c>
      <c r="K284" s="81">
        <v>300</v>
      </c>
      <c r="L284" s="79">
        <f t="shared" si="43"/>
        <v>1274</v>
      </c>
      <c r="M284" s="89">
        <v>600</v>
      </c>
      <c r="N284" s="79">
        <f>30</f>
        <v>30</v>
      </c>
      <c r="O284" s="81">
        <v>240</v>
      </c>
      <c r="P284" s="81">
        <v>160</v>
      </c>
      <c r="Q284" s="81">
        <f t="shared" si="44"/>
        <v>195</v>
      </c>
      <c r="R284" s="81">
        <f t="shared" si="45"/>
        <v>100</v>
      </c>
      <c r="S284" s="79">
        <f t="shared" si="46"/>
        <v>695</v>
      </c>
      <c r="T284" s="79">
        <f>0</f>
        <v>0</v>
      </c>
      <c r="U284" s="77"/>
      <c r="V284" s="77"/>
      <c r="W284" s="77"/>
      <c r="X284" s="77"/>
      <c r="Y284" s="77"/>
      <c r="Z284" s="77"/>
      <c r="AA284" s="77"/>
      <c r="AB284" s="77"/>
      <c r="AC284" s="77"/>
      <c r="AD284" s="77"/>
    </row>
    <row r="285" spans="1:30" ht="15.75" x14ac:dyDescent="0.25">
      <c r="A285" s="15">
        <v>49583</v>
      </c>
      <c r="B285" s="92">
        <v>31</v>
      </c>
      <c r="C285" s="79">
        <f>131.881</f>
        <v>131.881</v>
      </c>
      <c r="D285" s="79">
        <f>277.167</f>
        <v>277.16699999999997</v>
      </c>
      <c r="E285" s="87">
        <f>79.08</f>
        <v>79.08</v>
      </c>
      <c r="F285" s="79">
        <f>350.872-40-25-60</f>
        <v>225.87200000000001</v>
      </c>
      <c r="G285" s="81">
        <v>40</v>
      </c>
      <c r="H285" s="79">
        <f t="shared" si="47"/>
        <v>85</v>
      </c>
      <c r="I285" s="79">
        <f t="shared" si="40"/>
        <v>0</v>
      </c>
      <c r="J285" s="81">
        <v>100</v>
      </c>
      <c r="K285" s="81">
        <v>300</v>
      </c>
      <c r="L285" s="79">
        <f t="shared" si="43"/>
        <v>1239</v>
      </c>
      <c r="M285" s="89">
        <v>600</v>
      </c>
      <c r="N285" s="79">
        <f>75</f>
        <v>75</v>
      </c>
      <c r="O285" s="81">
        <v>240</v>
      </c>
      <c r="P285" s="81">
        <v>160</v>
      </c>
      <c r="Q285" s="81">
        <f t="shared" si="44"/>
        <v>195</v>
      </c>
      <c r="R285" s="81">
        <f t="shared" si="45"/>
        <v>100</v>
      </c>
      <c r="S285" s="79">
        <f t="shared" si="46"/>
        <v>695</v>
      </c>
      <c r="T285" s="79">
        <f>0</f>
        <v>0</v>
      </c>
      <c r="U285" s="77"/>
      <c r="V285" s="77"/>
      <c r="W285" s="77"/>
      <c r="X285" s="77"/>
      <c r="Y285" s="77"/>
      <c r="Z285" s="77"/>
      <c r="AA285" s="77"/>
      <c r="AB285" s="77"/>
      <c r="AC285" s="77"/>
      <c r="AD285" s="77"/>
    </row>
    <row r="286" spans="1:30" ht="15.75" x14ac:dyDescent="0.25">
      <c r="A286" s="15">
        <v>49614</v>
      </c>
      <c r="B286" s="92">
        <v>30</v>
      </c>
      <c r="C286" s="79">
        <f>122.58</f>
        <v>122.58</v>
      </c>
      <c r="D286" s="79">
        <f>297.941</f>
        <v>297.94099999999997</v>
      </c>
      <c r="E286" s="87">
        <f>89.177</f>
        <v>89.177000000000007</v>
      </c>
      <c r="F286" s="79">
        <f>240.302-40-60</f>
        <v>140.30199999999999</v>
      </c>
      <c r="G286" s="81">
        <v>40</v>
      </c>
      <c r="H286" s="79">
        <v>60</v>
      </c>
      <c r="I286" s="79">
        <f t="shared" si="40"/>
        <v>0</v>
      </c>
      <c r="J286" s="81">
        <v>100</v>
      </c>
      <c r="K286" s="81">
        <v>300</v>
      </c>
      <c r="L286" s="79">
        <f t="shared" si="43"/>
        <v>1150</v>
      </c>
      <c r="M286" s="89">
        <v>600</v>
      </c>
      <c r="N286" s="79">
        <f>100</f>
        <v>100</v>
      </c>
      <c r="O286" s="81">
        <v>240</v>
      </c>
      <c r="P286" s="81">
        <v>40</v>
      </c>
      <c r="Q286" s="81">
        <f t="shared" si="44"/>
        <v>315</v>
      </c>
      <c r="R286" s="81">
        <f t="shared" si="45"/>
        <v>100</v>
      </c>
      <c r="S286" s="79">
        <f t="shared" si="46"/>
        <v>695</v>
      </c>
      <c r="T286" s="79">
        <f>50</f>
        <v>50</v>
      </c>
      <c r="U286" s="77"/>
      <c r="V286" s="77"/>
      <c r="W286" s="77"/>
      <c r="X286" s="77"/>
      <c r="Y286" s="77"/>
      <c r="Z286" s="77"/>
      <c r="AA286" s="77"/>
      <c r="AB286" s="77"/>
      <c r="AC286" s="77"/>
      <c r="AD286" s="77"/>
    </row>
    <row r="287" spans="1:30" ht="15.75" x14ac:dyDescent="0.25">
      <c r="A287" s="15">
        <v>49644</v>
      </c>
      <c r="B287" s="92">
        <v>31</v>
      </c>
      <c r="C287" s="79">
        <f>122.58</f>
        <v>122.58</v>
      </c>
      <c r="D287" s="79">
        <f>297.941</f>
        <v>297.94099999999997</v>
      </c>
      <c r="E287" s="87">
        <f>89.177</f>
        <v>89.177000000000007</v>
      </c>
      <c r="F287" s="79">
        <f>240.302-40-60</f>
        <v>140.30199999999999</v>
      </c>
      <c r="G287" s="81">
        <v>40</v>
      </c>
      <c r="H287" s="79">
        <v>60</v>
      </c>
      <c r="I287" s="79">
        <f t="shared" si="40"/>
        <v>0</v>
      </c>
      <c r="J287" s="81">
        <v>100</v>
      </c>
      <c r="K287" s="81">
        <v>300</v>
      </c>
      <c r="L287" s="79">
        <f t="shared" si="43"/>
        <v>1150</v>
      </c>
      <c r="M287" s="89">
        <v>600</v>
      </c>
      <c r="N287" s="79">
        <f>100</f>
        <v>100</v>
      </c>
      <c r="O287" s="81">
        <v>240</v>
      </c>
      <c r="P287" s="81">
        <v>40</v>
      </c>
      <c r="Q287" s="81">
        <f t="shared" si="44"/>
        <v>315</v>
      </c>
      <c r="R287" s="81">
        <f t="shared" si="45"/>
        <v>100</v>
      </c>
      <c r="S287" s="79">
        <f t="shared" si="46"/>
        <v>695</v>
      </c>
      <c r="T287" s="79">
        <f>50</f>
        <v>50</v>
      </c>
      <c r="U287" s="77"/>
      <c r="V287" s="77"/>
      <c r="W287" s="77"/>
      <c r="X287" s="77"/>
      <c r="Y287" s="77"/>
      <c r="Z287" s="77"/>
      <c r="AA287" s="77"/>
      <c r="AB287" s="77"/>
      <c r="AC287" s="77"/>
      <c r="AD287" s="77"/>
    </row>
    <row r="288" spans="1:30" ht="15.75" x14ac:dyDescent="0.25">
      <c r="A288" s="15">
        <v>49675</v>
      </c>
      <c r="B288" s="92">
        <v>31</v>
      </c>
      <c r="C288" s="79">
        <f>122.58</f>
        <v>122.58</v>
      </c>
      <c r="D288" s="79">
        <f>297.941</f>
        <v>297.94099999999997</v>
      </c>
      <c r="E288" s="87">
        <f>89.177</f>
        <v>89.177000000000007</v>
      </c>
      <c r="F288" s="79">
        <f>240.302-40-60</f>
        <v>140.30199999999999</v>
      </c>
      <c r="G288" s="81">
        <v>40</v>
      </c>
      <c r="H288" s="79">
        <v>60</v>
      </c>
      <c r="I288" s="79">
        <f t="shared" si="40"/>
        <v>0</v>
      </c>
      <c r="J288" s="81">
        <v>100</v>
      </c>
      <c r="K288" s="81">
        <v>300</v>
      </c>
      <c r="L288" s="79">
        <f t="shared" si="43"/>
        <v>1150</v>
      </c>
      <c r="M288" s="89">
        <v>600</v>
      </c>
      <c r="N288" s="79">
        <f>100</f>
        <v>100</v>
      </c>
      <c r="O288" s="81">
        <v>240</v>
      </c>
      <c r="P288" s="81">
        <v>40</v>
      </c>
      <c r="Q288" s="81">
        <f t="shared" si="44"/>
        <v>315</v>
      </c>
      <c r="R288" s="81">
        <f t="shared" si="45"/>
        <v>100</v>
      </c>
      <c r="S288" s="79">
        <f t="shared" si="46"/>
        <v>695</v>
      </c>
      <c r="T288" s="79">
        <f>50</f>
        <v>50</v>
      </c>
      <c r="U288" s="77"/>
      <c r="V288" s="77"/>
      <c r="W288" s="77"/>
      <c r="X288" s="77"/>
      <c r="Y288" s="77"/>
      <c r="Z288" s="77"/>
      <c r="AA288" s="77"/>
      <c r="AB288" s="77"/>
      <c r="AC288" s="77"/>
      <c r="AD288" s="77"/>
    </row>
    <row r="289" spans="1:30" ht="15.75" x14ac:dyDescent="0.25">
      <c r="A289" s="15">
        <v>49706</v>
      </c>
      <c r="B289" s="92">
        <v>29</v>
      </c>
      <c r="C289" s="79">
        <f>122.58</f>
        <v>122.58</v>
      </c>
      <c r="D289" s="79">
        <f>297.941</f>
        <v>297.94099999999997</v>
      </c>
      <c r="E289" s="87">
        <f>89.177</f>
        <v>89.177000000000007</v>
      </c>
      <c r="F289" s="79">
        <f>240.302-40-60</f>
        <v>140.30199999999999</v>
      </c>
      <c r="G289" s="81">
        <v>40</v>
      </c>
      <c r="H289" s="79">
        <v>60</v>
      </c>
      <c r="I289" s="79">
        <f t="shared" si="40"/>
        <v>0</v>
      </c>
      <c r="J289" s="81">
        <v>100</v>
      </c>
      <c r="K289" s="81">
        <v>300</v>
      </c>
      <c r="L289" s="79">
        <f t="shared" si="43"/>
        <v>1150</v>
      </c>
      <c r="M289" s="89">
        <v>600</v>
      </c>
      <c r="N289" s="79">
        <f>100</f>
        <v>100</v>
      </c>
      <c r="O289" s="81">
        <v>240</v>
      </c>
      <c r="P289" s="81">
        <v>40</v>
      </c>
      <c r="Q289" s="81">
        <f t="shared" si="44"/>
        <v>315</v>
      </c>
      <c r="R289" s="81">
        <f t="shared" si="45"/>
        <v>100</v>
      </c>
      <c r="S289" s="79">
        <f t="shared" si="46"/>
        <v>695</v>
      </c>
      <c r="T289" s="79">
        <f>50</f>
        <v>50</v>
      </c>
      <c r="U289" s="77"/>
      <c r="V289" s="77"/>
      <c r="W289" s="77"/>
      <c r="X289" s="77"/>
      <c r="Y289" s="77"/>
      <c r="Z289" s="77"/>
      <c r="AA289" s="77"/>
      <c r="AB289" s="77"/>
      <c r="AC289" s="77"/>
      <c r="AD289" s="77"/>
    </row>
    <row r="290" spans="1:30" ht="15.75" x14ac:dyDescent="0.25">
      <c r="A290" s="15">
        <v>49735</v>
      </c>
      <c r="B290" s="92">
        <v>31</v>
      </c>
      <c r="C290" s="79">
        <f>122.58</f>
        <v>122.58</v>
      </c>
      <c r="D290" s="79">
        <f>297.941</f>
        <v>297.94099999999997</v>
      </c>
      <c r="E290" s="87">
        <f>89.177</f>
        <v>89.177000000000007</v>
      </c>
      <c r="F290" s="79">
        <f>240.302-40-60</f>
        <v>140.30199999999999</v>
      </c>
      <c r="G290" s="81">
        <v>40</v>
      </c>
      <c r="H290" s="79">
        <v>60</v>
      </c>
      <c r="I290" s="79">
        <f t="shared" si="40"/>
        <v>0</v>
      </c>
      <c r="J290" s="81">
        <v>100</v>
      </c>
      <c r="K290" s="81">
        <v>300</v>
      </c>
      <c r="L290" s="79">
        <f t="shared" si="43"/>
        <v>1150</v>
      </c>
      <c r="M290" s="89">
        <v>600</v>
      </c>
      <c r="N290" s="79">
        <f>100</f>
        <v>100</v>
      </c>
      <c r="O290" s="81">
        <v>240</v>
      </c>
      <c r="P290" s="81">
        <v>40</v>
      </c>
      <c r="Q290" s="81">
        <f t="shared" si="44"/>
        <v>315</v>
      </c>
      <c r="R290" s="81">
        <f t="shared" si="45"/>
        <v>100</v>
      </c>
      <c r="S290" s="79">
        <f t="shared" si="46"/>
        <v>695</v>
      </c>
      <c r="T290" s="79">
        <f>50</f>
        <v>50</v>
      </c>
      <c r="U290" s="77"/>
      <c r="V290" s="77"/>
      <c r="W290" s="77"/>
      <c r="X290" s="77"/>
      <c r="Y290" s="77"/>
      <c r="Z290" s="77"/>
      <c r="AA290" s="77"/>
      <c r="AB290" s="77"/>
      <c r="AC290" s="77"/>
      <c r="AD290" s="77"/>
    </row>
    <row r="291" spans="1:30" ht="15.75" x14ac:dyDescent="0.25">
      <c r="A291" s="15">
        <v>49766</v>
      </c>
      <c r="B291" s="92">
        <v>30</v>
      </c>
      <c r="C291" s="79">
        <f>141.293</f>
        <v>141.29300000000001</v>
      </c>
      <c r="D291" s="79">
        <f>267.993</f>
        <v>267.99299999999999</v>
      </c>
      <c r="E291" s="87">
        <f>115.016</f>
        <v>115.01600000000001</v>
      </c>
      <c r="F291" s="79">
        <f>314.698-40-25-60</f>
        <v>189.69799999999998</v>
      </c>
      <c r="G291" s="81">
        <v>40</v>
      </c>
      <c r="H291" s="79">
        <f t="shared" ref="H291:H297" si="48">25+60</f>
        <v>85</v>
      </c>
      <c r="I291" s="79">
        <f t="shared" si="40"/>
        <v>0</v>
      </c>
      <c r="J291" s="81">
        <v>100</v>
      </c>
      <c r="K291" s="81">
        <v>300</v>
      </c>
      <c r="L291" s="79">
        <f t="shared" si="43"/>
        <v>1239</v>
      </c>
      <c r="M291" s="89">
        <v>600</v>
      </c>
      <c r="N291" s="79">
        <f>100</f>
        <v>100</v>
      </c>
      <c r="O291" s="81">
        <v>240</v>
      </c>
      <c r="P291" s="81">
        <v>160</v>
      </c>
      <c r="Q291" s="81">
        <f t="shared" si="44"/>
        <v>195</v>
      </c>
      <c r="R291" s="81">
        <f t="shared" si="45"/>
        <v>100</v>
      </c>
      <c r="S291" s="79">
        <f t="shared" si="46"/>
        <v>695</v>
      </c>
      <c r="T291" s="79">
        <f>50</f>
        <v>50</v>
      </c>
      <c r="U291" s="77"/>
      <c r="V291" s="77"/>
      <c r="W291" s="77"/>
      <c r="X291" s="77"/>
      <c r="Y291" s="77"/>
      <c r="Z291" s="77"/>
      <c r="AA291" s="77"/>
      <c r="AB291" s="77"/>
      <c r="AC291" s="77"/>
      <c r="AD291" s="77"/>
    </row>
    <row r="292" spans="1:30" ht="15.75" x14ac:dyDescent="0.25">
      <c r="A292" s="15">
        <v>49796</v>
      </c>
      <c r="B292" s="92">
        <v>31</v>
      </c>
      <c r="C292" s="79">
        <f>194.205</f>
        <v>194.20500000000001</v>
      </c>
      <c r="D292" s="79">
        <f>267.466</f>
        <v>267.46600000000001</v>
      </c>
      <c r="E292" s="87">
        <f>133.845</f>
        <v>133.845</v>
      </c>
      <c r="F292" s="79">
        <f>278.484-40-25-60</f>
        <v>153.48399999999998</v>
      </c>
      <c r="G292" s="81">
        <v>40</v>
      </c>
      <c r="H292" s="79">
        <f t="shared" si="48"/>
        <v>85</v>
      </c>
      <c r="I292" s="79">
        <f t="shared" si="40"/>
        <v>0</v>
      </c>
      <c r="J292" s="81">
        <v>100</v>
      </c>
      <c r="K292" s="81">
        <v>300</v>
      </c>
      <c r="L292" s="79">
        <f t="shared" si="43"/>
        <v>1274</v>
      </c>
      <c r="M292" s="89">
        <v>600</v>
      </c>
      <c r="N292" s="79">
        <f>75</f>
        <v>75</v>
      </c>
      <c r="O292" s="81">
        <v>240</v>
      </c>
      <c r="P292" s="81">
        <v>160</v>
      </c>
      <c r="Q292" s="81">
        <f t="shared" si="44"/>
        <v>195</v>
      </c>
      <c r="R292" s="81">
        <f t="shared" si="45"/>
        <v>100</v>
      </c>
      <c r="S292" s="79">
        <f t="shared" si="46"/>
        <v>695</v>
      </c>
      <c r="T292" s="79">
        <f>50</f>
        <v>50</v>
      </c>
      <c r="U292" s="77"/>
      <c r="V292" s="77"/>
      <c r="W292" s="77"/>
      <c r="X292" s="77"/>
      <c r="Y292" s="77"/>
      <c r="Z292" s="77"/>
      <c r="AA292" s="77"/>
      <c r="AB292" s="77"/>
      <c r="AC292" s="77"/>
      <c r="AD292" s="77"/>
    </row>
    <row r="293" spans="1:30" ht="15.75" x14ac:dyDescent="0.25">
      <c r="A293" s="15">
        <v>49827</v>
      </c>
      <c r="B293" s="92">
        <v>30</v>
      </c>
      <c r="C293" s="79">
        <f>194.205</f>
        <v>194.20500000000001</v>
      </c>
      <c r="D293" s="79">
        <f>267.466</f>
        <v>267.46600000000001</v>
      </c>
      <c r="E293" s="87">
        <f>133.845</f>
        <v>133.845</v>
      </c>
      <c r="F293" s="79">
        <f>278.484-40-25-60</f>
        <v>153.48399999999998</v>
      </c>
      <c r="G293" s="81">
        <v>40</v>
      </c>
      <c r="H293" s="79">
        <f t="shared" si="48"/>
        <v>85</v>
      </c>
      <c r="I293" s="79">
        <f t="shared" si="40"/>
        <v>0</v>
      </c>
      <c r="J293" s="81">
        <v>100</v>
      </c>
      <c r="K293" s="81">
        <v>300</v>
      </c>
      <c r="L293" s="79">
        <f t="shared" si="43"/>
        <v>1274</v>
      </c>
      <c r="M293" s="89">
        <v>600</v>
      </c>
      <c r="N293" s="79">
        <f>30</f>
        <v>30</v>
      </c>
      <c r="O293" s="81">
        <v>240</v>
      </c>
      <c r="P293" s="81">
        <v>160</v>
      </c>
      <c r="Q293" s="81">
        <f t="shared" si="44"/>
        <v>195</v>
      </c>
      <c r="R293" s="81">
        <f t="shared" si="45"/>
        <v>100</v>
      </c>
      <c r="S293" s="79">
        <f t="shared" si="46"/>
        <v>695</v>
      </c>
      <c r="T293" s="79">
        <f>50</f>
        <v>50</v>
      </c>
      <c r="U293" s="77"/>
      <c r="V293" s="77"/>
      <c r="W293" s="77"/>
      <c r="X293" s="77"/>
      <c r="Y293" s="77"/>
      <c r="Z293" s="77"/>
      <c r="AA293" s="77"/>
      <c r="AB293" s="77"/>
      <c r="AC293" s="77"/>
      <c r="AD293" s="77"/>
    </row>
    <row r="294" spans="1:30" ht="15.75" x14ac:dyDescent="0.25">
      <c r="A294" s="15">
        <v>49857</v>
      </c>
      <c r="B294" s="92">
        <v>31</v>
      </c>
      <c r="C294" s="79">
        <f>194.205</f>
        <v>194.20500000000001</v>
      </c>
      <c r="D294" s="79">
        <f>267.466</f>
        <v>267.46600000000001</v>
      </c>
      <c r="E294" s="87">
        <f>133.845</f>
        <v>133.845</v>
      </c>
      <c r="F294" s="79">
        <f>278.484-40-25-60</f>
        <v>153.48399999999998</v>
      </c>
      <c r="G294" s="81">
        <v>40</v>
      </c>
      <c r="H294" s="79">
        <f t="shared" si="48"/>
        <v>85</v>
      </c>
      <c r="I294" s="79">
        <f t="shared" si="40"/>
        <v>0</v>
      </c>
      <c r="J294" s="81">
        <v>100</v>
      </c>
      <c r="K294" s="81">
        <v>300</v>
      </c>
      <c r="L294" s="79">
        <f t="shared" si="43"/>
        <v>1274</v>
      </c>
      <c r="M294" s="89">
        <v>600</v>
      </c>
      <c r="N294" s="79">
        <f>30</f>
        <v>30</v>
      </c>
      <c r="O294" s="81">
        <v>240</v>
      </c>
      <c r="P294" s="81">
        <v>160</v>
      </c>
      <c r="Q294" s="81">
        <f t="shared" si="44"/>
        <v>195</v>
      </c>
      <c r="R294" s="81">
        <f t="shared" si="45"/>
        <v>100</v>
      </c>
      <c r="S294" s="79">
        <f t="shared" si="46"/>
        <v>695</v>
      </c>
      <c r="T294" s="79">
        <f>0</f>
        <v>0</v>
      </c>
      <c r="U294" s="77"/>
      <c r="V294" s="77"/>
      <c r="W294" s="77"/>
      <c r="X294" s="77"/>
      <c r="Y294" s="77"/>
      <c r="Z294" s="77"/>
      <c r="AA294" s="77"/>
      <c r="AB294" s="77"/>
      <c r="AC294" s="77"/>
      <c r="AD294" s="77"/>
    </row>
    <row r="295" spans="1:30" ht="15.75" x14ac:dyDescent="0.25">
      <c r="A295" s="15">
        <v>49888</v>
      </c>
      <c r="B295" s="92">
        <v>31</v>
      </c>
      <c r="C295" s="79">
        <f>194.205</f>
        <v>194.20500000000001</v>
      </c>
      <c r="D295" s="79">
        <f>267.466</f>
        <v>267.46600000000001</v>
      </c>
      <c r="E295" s="87">
        <f>133.845</f>
        <v>133.845</v>
      </c>
      <c r="F295" s="79">
        <f>278.484-40-25-60</f>
        <v>153.48399999999998</v>
      </c>
      <c r="G295" s="81">
        <v>40</v>
      </c>
      <c r="H295" s="79">
        <f t="shared" si="48"/>
        <v>85</v>
      </c>
      <c r="I295" s="79">
        <f t="shared" si="40"/>
        <v>0</v>
      </c>
      <c r="J295" s="81">
        <v>100</v>
      </c>
      <c r="K295" s="81">
        <v>300</v>
      </c>
      <c r="L295" s="79">
        <f t="shared" si="43"/>
        <v>1274</v>
      </c>
      <c r="M295" s="89">
        <v>600</v>
      </c>
      <c r="N295" s="79">
        <f>30</f>
        <v>30</v>
      </c>
      <c r="O295" s="81">
        <v>240</v>
      </c>
      <c r="P295" s="81">
        <v>160</v>
      </c>
      <c r="Q295" s="81">
        <f t="shared" si="44"/>
        <v>195</v>
      </c>
      <c r="R295" s="81">
        <f t="shared" si="45"/>
        <v>100</v>
      </c>
      <c r="S295" s="79">
        <f t="shared" si="46"/>
        <v>695</v>
      </c>
      <c r="T295" s="79">
        <f>0</f>
        <v>0</v>
      </c>
      <c r="U295" s="77"/>
      <c r="V295" s="77"/>
      <c r="W295" s="77"/>
      <c r="X295" s="77"/>
      <c r="Y295" s="77"/>
      <c r="Z295" s="77"/>
      <c r="AA295" s="77"/>
      <c r="AB295" s="77"/>
      <c r="AC295" s="77"/>
      <c r="AD295" s="77"/>
    </row>
    <row r="296" spans="1:30" ht="15.75" x14ac:dyDescent="0.25">
      <c r="A296" s="15">
        <v>49919</v>
      </c>
      <c r="B296" s="92">
        <v>30</v>
      </c>
      <c r="C296" s="79">
        <f>194.205</f>
        <v>194.20500000000001</v>
      </c>
      <c r="D296" s="79">
        <f>267.466</f>
        <v>267.46600000000001</v>
      </c>
      <c r="E296" s="87">
        <f>133.845</f>
        <v>133.845</v>
      </c>
      <c r="F296" s="79">
        <f>278.484-40-25-60</f>
        <v>153.48399999999998</v>
      </c>
      <c r="G296" s="81">
        <v>40</v>
      </c>
      <c r="H296" s="79">
        <f t="shared" si="48"/>
        <v>85</v>
      </c>
      <c r="I296" s="79">
        <f t="shared" si="40"/>
        <v>0</v>
      </c>
      <c r="J296" s="81">
        <v>100</v>
      </c>
      <c r="K296" s="81">
        <v>300</v>
      </c>
      <c r="L296" s="79">
        <f t="shared" si="43"/>
        <v>1274</v>
      </c>
      <c r="M296" s="89">
        <v>600</v>
      </c>
      <c r="N296" s="79">
        <f>30</f>
        <v>30</v>
      </c>
      <c r="O296" s="81">
        <v>240</v>
      </c>
      <c r="P296" s="81">
        <v>160</v>
      </c>
      <c r="Q296" s="81">
        <f t="shared" si="44"/>
        <v>195</v>
      </c>
      <c r="R296" s="81">
        <f t="shared" si="45"/>
        <v>100</v>
      </c>
      <c r="S296" s="79">
        <f t="shared" si="46"/>
        <v>695</v>
      </c>
      <c r="T296" s="79">
        <f>0</f>
        <v>0</v>
      </c>
      <c r="U296" s="77"/>
      <c r="V296" s="77"/>
      <c r="W296" s="77"/>
      <c r="X296" s="77"/>
      <c r="Y296" s="77"/>
      <c r="Z296" s="77"/>
      <c r="AA296" s="77"/>
      <c r="AB296" s="77"/>
      <c r="AC296" s="77"/>
      <c r="AD296" s="77"/>
    </row>
    <row r="297" spans="1:30" ht="15.75" x14ac:dyDescent="0.25">
      <c r="A297" s="15">
        <v>49949</v>
      </c>
      <c r="B297" s="92">
        <v>31</v>
      </c>
      <c r="C297" s="79">
        <f>131.881</f>
        <v>131.881</v>
      </c>
      <c r="D297" s="79">
        <f>277.167</f>
        <v>277.16699999999997</v>
      </c>
      <c r="E297" s="87">
        <f>79.08</f>
        <v>79.08</v>
      </c>
      <c r="F297" s="79">
        <f>350.872-40-25-60</f>
        <v>225.87200000000001</v>
      </c>
      <c r="G297" s="81">
        <v>40</v>
      </c>
      <c r="H297" s="79">
        <f t="shared" si="48"/>
        <v>85</v>
      </c>
      <c r="I297" s="79">
        <f t="shared" si="40"/>
        <v>0</v>
      </c>
      <c r="J297" s="81">
        <v>100</v>
      </c>
      <c r="K297" s="81">
        <v>300</v>
      </c>
      <c r="L297" s="79">
        <f t="shared" si="43"/>
        <v>1239</v>
      </c>
      <c r="M297" s="89">
        <v>600</v>
      </c>
      <c r="N297" s="79">
        <f>75</f>
        <v>75</v>
      </c>
      <c r="O297" s="81">
        <v>240</v>
      </c>
      <c r="P297" s="81">
        <v>160</v>
      </c>
      <c r="Q297" s="81">
        <f t="shared" si="44"/>
        <v>195</v>
      </c>
      <c r="R297" s="81">
        <f t="shared" si="45"/>
        <v>100</v>
      </c>
      <c r="S297" s="79">
        <f t="shared" si="46"/>
        <v>695</v>
      </c>
      <c r="T297" s="79">
        <f>0</f>
        <v>0</v>
      </c>
      <c r="U297" s="77"/>
      <c r="V297" s="77"/>
      <c r="W297" s="77"/>
      <c r="X297" s="77"/>
      <c r="Y297" s="77"/>
      <c r="Z297" s="77"/>
      <c r="AA297" s="77"/>
      <c r="AB297" s="77"/>
      <c r="AC297" s="77"/>
      <c r="AD297" s="77"/>
    </row>
    <row r="298" spans="1:30" ht="15.75" x14ac:dyDescent="0.25">
      <c r="A298" s="15">
        <v>49980</v>
      </c>
      <c r="B298" s="92">
        <v>30</v>
      </c>
      <c r="C298" s="79">
        <f>122.58</f>
        <v>122.58</v>
      </c>
      <c r="D298" s="79">
        <f>297.941</f>
        <v>297.94099999999997</v>
      </c>
      <c r="E298" s="87">
        <f>89.177</f>
        <v>89.177000000000007</v>
      </c>
      <c r="F298" s="79">
        <f>240.302-40-60</f>
        <v>140.30199999999999</v>
      </c>
      <c r="G298" s="81">
        <v>40</v>
      </c>
      <c r="H298" s="79">
        <v>60</v>
      </c>
      <c r="I298" s="79">
        <f t="shared" si="40"/>
        <v>0</v>
      </c>
      <c r="J298" s="81">
        <v>100</v>
      </c>
      <c r="K298" s="81">
        <v>300</v>
      </c>
      <c r="L298" s="79">
        <f t="shared" si="43"/>
        <v>1150</v>
      </c>
      <c r="M298" s="89">
        <v>600</v>
      </c>
      <c r="N298" s="79">
        <f>100</f>
        <v>100</v>
      </c>
      <c r="O298" s="81">
        <v>240</v>
      </c>
      <c r="P298" s="81">
        <v>40</v>
      </c>
      <c r="Q298" s="81">
        <f t="shared" si="44"/>
        <v>315</v>
      </c>
      <c r="R298" s="81">
        <f t="shared" si="45"/>
        <v>100</v>
      </c>
      <c r="S298" s="79">
        <f t="shared" si="46"/>
        <v>695</v>
      </c>
      <c r="T298" s="79">
        <f>50</f>
        <v>50</v>
      </c>
      <c r="U298" s="77"/>
      <c r="V298" s="77"/>
      <c r="W298" s="77"/>
      <c r="X298" s="77"/>
      <c r="Y298" s="77"/>
      <c r="Z298" s="77"/>
      <c r="AA298" s="77"/>
      <c r="AB298" s="77"/>
      <c r="AC298" s="77"/>
      <c r="AD298" s="77"/>
    </row>
    <row r="299" spans="1:30" ht="15.75" x14ac:dyDescent="0.25">
      <c r="A299" s="15">
        <v>50010</v>
      </c>
      <c r="B299" s="92">
        <v>31</v>
      </c>
      <c r="C299" s="79">
        <f>122.58</f>
        <v>122.58</v>
      </c>
      <c r="D299" s="79">
        <f>297.941</f>
        <v>297.94099999999997</v>
      </c>
      <c r="E299" s="87">
        <f>89.177</f>
        <v>89.177000000000007</v>
      </c>
      <c r="F299" s="79">
        <f>240.302-40-60</f>
        <v>140.30199999999999</v>
      </c>
      <c r="G299" s="81">
        <v>40</v>
      </c>
      <c r="H299" s="79">
        <v>60</v>
      </c>
      <c r="I299" s="79">
        <f t="shared" si="40"/>
        <v>0</v>
      </c>
      <c r="J299" s="81">
        <v>100</v>
      </c>
      <c r="K299" s="81">
        <v>300</v>
      </c>
      <c r="L299" s="79">
        <f t="shared" si="43"/>
        <v>1150</v>
      </c>
      <c r="M299" s="89">
        <v>600</v>
      </c>
      <c r="N299" s="79">
        <f>100</f>
        <v>100</v>
      </c>
      <c r="O299" s="81">
        <v>240</v>
      </c>
      <c r="P299" s="81">
        <v>40</v>
      </c>
      <c r="Q299" s="81">
        <f t="shared" si="44"/>
        <v>315</v>
      </c>
      <c r="R299" s="81">
        <f t="shared" si="45"/>
        <v>100</v>
      </c>
      <c r="S299" s="79">
        <f t="shared" si="46"/>
        <v>695</v>
      </c>
      <c r="T299" s="79">
        <f>50</f>
        <v>50</v>
      </c>
      <c r="U299" s="77"/>
      <c r="V299" s="77"/>
      <c r="W299" s="77"/>
      <c r="X299" s="77"/>
      <c r="Y299" s="77"/>
      <c r="Z299" s="77"/>
      <c r="AA299" s="77"/>
      <c r="AB299" s="77"/>
      <c r="AC299" s="77"/>
      <c r="AD299" s="77"/>
    </row>
    <row r="300" spans="1:30" ht="15.75" x14ac:dyDescent="0.25">
      <c r="A300" s="15">
        <v>50041</v>
      </c>
      <c r="B300" s="92">
        <v>31</v>
      </c>
      <c r="C300" s="79">
        <f>122.58</f>
        <v>122.58</v>
      </c>
      <c r="D300" s="79">
        <f>297.941</f>
        <v>297.94099999999997</v>
      </c>
      <c r="E300" s="87">
        <f>89.177</f>
        <v>89.177000000000007</v>
      </c>
      <c r="F300" s="79">
        <f>240.302-40-60</f>
        <v>140.30199999999999</v>
      </c>
      <c r="G300" s="81">
        <v>40</v>
      </c>
      <c r="H300" s="79">
        <v>60</v>
      </c>
      <c r="I300" s="79">
        <f t="shared" si="40"/>
        <v>0</v>
      </c>
      <c r="J300" s="81">
        <v>100</v>
      </c>
      <c r="K300" s="81">
        <v>300</v>
      </c>
      <c r="L300" s="79">
        <f t="shared" si="43"/>
        <v>1150</v>
      </c>
      <c r="M300" s="89">
        <v>600</v>
      </c>
      <c r="N300" s="79">
        <f>100</f>
        <v>100</v>
      </c>
      <c r="O300" s="81">
        <v>240</v>
      </c>
      <c r="P300" s="81">
        <v>40</v>
      </c>
      <c r="Q300" s="81">
        <f t="shared" si="44"/>
        <v>315</v>
      </c>
      <c r="R300" s="81">
        <f t="shared" si="45"/>
        <v>100</v>
      </c>
      <c r="S300" s="79">
        <f t="shared" si="46"/>
        <v>695</v>
      </c>
      <c r="T300" s="79">
        <f>50</f>
        <v>50</v>
      </c>
      <c r="U300" s="77"/>
      <c r="V300" s="77"/>
      <c r="W300" s="77"/>
      <c r="X300" s="77"/>
      <c r="Y300" s="77"/>
      <c r="Z300" s="77"/>
      <c r="AA300" s="77"/>
      <c r="AB300" s="77"/>
      <c r="AC300" s="77"/>
      <c r="AD300" s="77"/>
    </row>
    <row r="301" spans="1:30" ht="15.75" x14ac:dyDescent="0.25">
      <c r="A301" s="15">
        <v>50072</v>
      </c>
      <c r="B301" s="92">
        <v>28</v>
      </c>
      <c r="C301" s="79">
        <f>122.58</f>
        <v>122.58</v>
      </c>
      <c r="D301" s="79">
        <f>297.941</f>
        <v>297.94099999999997</v>
      </c>
      <c r="E301" s="87">
        <f>89.177</f>
        <v>89.177000000000007</v>
      </c>
      <c r="F301" s="79">
        <f>240.302-40-60</f>
        <v>140.30199999999999</v>
      </c>
      <c r="G301" s="81">
        <v>40</v>
      </c>
      <c r="H301" s="79">
        <v>60</v>
      </c>
      <c r="I301" s="79">
        <f t="shared" si="40"/>
        <v>0</v>
      </c>
      <c r="J301" s="81">
        <v>100</v>
      </c>
      <c r="K301" s="81">
        <v>300</v>
      </c>
      <c r="L301" s="79">
        <f t="shared" si="43"/>
        <v>1150</v>
      </c>
      <c r="M301" s="89">
        <v>600</v>
      </c>
      <c r="N301" s="79">
        <f>100</f>
        <v>100</v>
      </c>
      <c r="O301" s="81">
        <v>240</v>
      </c>
      <c r="P301" s="81">
        <v>40</v>
      </c>
      <c r="Q301" s="81">
        <f t="shared" si="44"/>
        <v>315</v>
      </c>
      <c r="R301" s="81">
        <f t="shared" si="45"/>
        <v>100</v>
      </c>
      <c r="S301" s="79">
        <f t="shared" si="46"/>
        <v>695</v>
      </c>
      <c r="T301" s="79">
        <f>50</f>
        <v>50</v>
      </c>
      <c r="U301" s="77"/>
      <c r="V301" s="77"/>
      <c r="W301" s="77"/>
      <c r="X301" s="77"/>
      <c r="Y301" s="77"/>
      <c r="Z301" s="77"/>
      <c r="AA301" s="77"/>
      <c r="AB301" s="77"/>
      <c r="AC301" s="77"/>
      <c r="AD301" s="77"/>
    </row>
    <row r="302" spans="1:30" ht="15.75" x14ac:dyDescent="0.25">
      <c r="A302" s="15">
        <v>50100</v>
      </c>
      <c r="B302" s="92">
        <v>31</v>
      </c>
      <c r="C302" s="79">
        <f>122.58</f>
        <v>122.58</v>
      </c>
      <c r="D302" s="79">
        <f>297.941</f>
        <v>297.94099999999997</v>
      </c>
      <c r="E302" s="87">
        <f>89.177</f>
        <v>89.177000000000007</v>
      </c>
      <c r="F302" s="79">
        <f>240.302-40-60</f>
        <v>140.30199999999999</v>
      </c>
      <c r="G302" s="81">
        <v>40</v>
      </c>
      <c r="H302" s="79">
        <v>60</v>
      </c>
      <c r="I302" s="79">
        <f t="shared" si="40"/>
        <v>0</v>
      </c>
      <c r="J302" s="81">
        <v>100</v>
      </c>
      <c r="K302" s="81">
        <v>300</v>
      </c>
      <c r="L302" s="79">
        <f t="shared" si="43"/>
        <v>1150</v>
      </c>
      <c r="M302" s="89">
        <v>600</v>
      </c>
      <c r="N302" s="79">
        <f>100</f>
        <v>100</v>
      </c>
      <c r="O302" s="81">
        <v>240</v>
      </c>
      <c r="P302" s="81">
        <v>40</v>
      </c>
      <c r="Q302" s="81">
        <f t="shared" si="44"/>
        <v>315</v>
      </c>
      <c r="R302" s="81">
        <f t="shared" si="45"/>
        <v>100</v>
      </c>
      <c r="S302" s="79">
        <f t="shared" si="46"/>
        <v>695</v>
      </c>
      <c r="T302" s="79">
        <f>50</f>
        <v>50</v>
      </c>
      <c r="U302" s="77"/>
      <c r="V302" s="77"/>
      <c r="W302" s="77"/>
      <c r="X302" s="77"/>
      <c r="Y302" s="77"/>
      <c r="Z302" s="77"/>
      <c r="AA302" s="77"/>
      <c r="AB302" s="77"/>
      <c r="AC302" s="77"/>
      <c r="AD302" s="77"/>
    </row>
    <row r="303" spans="1:30" ht="15.75" x14ac:dyDescent="0.25">
      <c r="A303" s="15">
        <v>50131</v>
      </c>
      <c r="B303" s="92">
        <v>30</v>
      </c>
      <c r="C303" s="79">
        <f>141.293</f>
        <v>141.29300000000001</v>
      </c>
      <c r="D303" s="79">
        <f>267.993</f>
        <v>267.99299999999999</v>
      </c>
      <c r="E303" s="87">
        <f>115.016</f>
        <v>115.01600000000001</v>
      </c>
      <c r="F303" s="79">
        <f>314.698-40-25-60</f>
        <v>189.69799999999998</v>
      </c>
      <c r="G303" s="81">
        <v>40</v>
      </c>
      <c r="H303" s="79">
        <f t="shared" ref="H303:H309" si="49">25+60</f>
        <v>85</v>
      </c>
      <c r="I303" s="79">
        <f t="shared" si="40"/>
        <v>0</v>
      </c>
      <c r="J303" s="81">
        <v>100</v>
      </c>
      <c r="K303" s="81">
        <v>300</v>
      </c>
      <c r="L303" s="79">
        <f t="shared" si="43"/>
        <v>1239</v>
      </c>
      <c r="M303" s="89">
        <v>600</v>
      </c>
      <c r="N303" s="79">
        <f>100</f>
        <v>100</v>
      </c>
      <c r="O303" s="81">
        <v>240</v>
      </c>
      <c r="P303" s="81">
        <v>160</v>
      </c>
      <c r="Q303" s="81">
        <f t="shared" si="44"/>
        <v>195</v>
      </c>
      <c r="R303" s="81">
        <f t="shared" si="45"/>
        <v>100</v>
      </c>
      <c r="S303" s="79">
        <f t="shared" si="46"/>
        <v>695</v>
      </c>
      <c r="T303" s="79">
        <f>50</f>
        <v>50</v>
      </c>
      <c r="U303" s="77"/>
      <c r="V303" s="77"/>
      <c r="W303" s="77"/>
      <c r="X303" s="77"/>
      <c r="Y303" s="77"/>
      <c r="Z303" s="77"/>
      <c r="AA303" s="77"/>
      <c r="AB303" s="77"/>
      <c r="AC303" s="77"/>
      <c r="AD303" s="77"/>
    </row>
    <row r="304" spans="1:30" ht="15.75" x14ac:dyDescent="0.25">
      <c r="A304" s="15">
        <v>50161</v>
      </c>
      <c r="B304" s="92">
        <v>31</v>
      </c>
      <c r="C304" s="79">
        <f>194.205</f>
        <v>194.20500000000001</v>
      </c>
      <c r="D304" s="79">
        <f>267.466</f>
        <v>267.46600000000001</v>
      </c>
      <c r="E304" s="87">
        <f>133.845</f>
        <v>133.845</v>
      </c>
      <c r="F304" s="79">
        <f>278.484-40-25-60</f>
        <v>153.48399999999998</v>
      </c>
      <c r="G304" s="81">
        <v>40</v>
      </c>
      <c r="H304" s="79">
        <f t="shared" si="49"/>
        <v>85</v>
      </c>
      <c r="I304" s="79">
        <f t="shared" si="40"/>
        <v>0</v>
      </c>
      <c r="J304" s="81">
        <v>100</v>
      </c>
      <c r="K304" s="81">
        <v>300</v>
      </c>
      <c r="L304" s="79">
        <f t="shared" si="43"/>
        <v>1274</v>
      </c>
      <c r="M304" s="89">
        <v>600</v>
      </c>
      <c r="N304" s="79">
        <f>75</f>
        <v>75</v>
      </c>
      <c r="O304" s="81">
        <v>240</v>
      </c>
      <c r="P304" s="81">
        <v>160</v>
      </c>
      <c r="Q304" s="81">
        <f t="shared" si="44"/>
        <v>195</v>
      </c>
      <c r="R304" s="81">
        <f t="shared" si="45"/>
        <v>100</v>
      </c>
      <c r="S304" s="79">
        <f t="shared" si="46"/>
        <v>695</v>
      </c>
      <c r="T304" s="79">
        <f>50</f>
        <v>50</v>
      </c>
      <c r="U304" s="77"/>
      <c r="V304" s="77"/>
      <c r="W304" s="77"/>
      <c r="X304" s="77"/>
      <c r="Y304" s="77"/>
      <c r="Z304" s="77"/>
      <c r="AA304" s="77"/>
      <c r="AB304" s="77"/>
      <c r="AC304" s="77"/>
      <c r="AD304" s="77"/>
    </row>
    <row r="305" spans="1:30" ht="15.75" x14ac:dyDescent="0.25">
      <c r="A305" s="15">
        <v>50192</v>
      </c>
      <c r="B305" s="92">
        <v>30</v>
      </c>
      <c r="C305" s="79">
        <f>194.205</f>
        <v>194.20500000000001</v>
      </c>
      <c r="D305" s="79">
        <f>267.466</f>
        <v>267.46600000000001</v>
      </c>
      <c r="E305" s="87">
        <f>133.845</f>
        <v>133.845</v>
      </c>
      <c r="F305" s="79">
        <f>278.484-40-25-60</f>
        <v>153.48399999999998</v>
      </c>
      <c r="G305" s="81">
        <v>40</v>
      </c>
      <c r="H305" s="79">
        <f t="shared" si="49"/>
        <v>85</v>
      </c>
      <c r="I305" s="79">
        <f t="shared" si="40"/>
        <v>0</v>
      </c>
      <c r="J305" s="81">
        <v>100</v>
      </c>
      <c r="K305" s="81">
        <v>300</v>
      </c>
      <c r="L305" s="79">
        <f t="shared" si="43"/>
        <v>1274</v>
      </c>
      <c r="M305" s="89">
        <v>600</v>
      </c>
      <c r="N305" s="79">
        <f>30</f>
        <v>30</v>
      </c>
      <c r="O305" s="81">
        <v>240</v>
      </c>
      <c r="P305" s="81">
        <v>160</v>
      </c>
      <c r="Q305" s="81">
        <f t="shared" si="44"/>
        <v>195</v>
      </c>
      <c r="R305" s="81">
        <f t="shared" si="45"/>
        <v>100</v>
      </c>
      <c r="S305" s="79">
        <f t="shared" si="46"/>
        <v>695</v>
      </c>
      <c r="T305" s="79">
        <f>50</f>
        <v>50</v>
      </c>
      <c r="U305" s="77"/>
      <c r="V305" s="77"/>
      <c r="W305" s="77"/>
      <c r="X305" s="77"/>
      <c r="Y305" s="77"/>
      <c r="Z305" s="77"/>
      <c r="AA305" s="77"/>
      <c r="AB305" s="77"/>
      <c r="AC305" s="77"/>
      <c r="AD305" s="77"/>
    </row>
    <row r="306" spans="1:30" ht="15.75" x14ac:dyDescent="0.25">
      <c r="A306" s="15">
        <v>50222</v>
      </c>
      <c r="B306" s="92">
        <v>31</v>
      </c>
      <c r="C306" s="79">
        <f>194.205</f>
        <v>194.20500000000001</v>
      </c>
      <c r="D306" s="79">
        <f>267.466</f>
        <v>267.46600000000001</v>
      </c>
      <c r="E306" s="87">
        <f>133.845</f>
        <v>133.845</v>
      </c>
      <c r="F306" s="79">
        <f>278.484-40-25-60</f>
        <v>153.48399999999998</v>
      </c>
      <c r="G306" s="81">
        <v>40</v>
      </c>
      <c r="H306" s="79">
        <f t="shared" si="49"/>
        <v>85</v>
      </c>
      <c r="I306" s="79">
        <f t="shared" si="40"/>
        <v>0</v>
      </c>
      <c r="J306" s="81">
        <v>100</v>
      </c>
      <c r="K306" s="81">
        <v>300</v>
      </c>
      <c r="L306" s="79">
        <f t="shared" si="43"/>
        <v>1274</v>
      </c>
      <c r="M306" s="89">
        <v>600</v>
      </c>
      <c r="N306" s="79">
        <f>30</f>
        <v>30</v>
      </c>
      <c r="O306" s="81">
        <v>240</v>
      </c>
      <c r="P306" s="81">
        <v>160</v>
      </c>
      <c r="Q306" s="81">
        <f t="shared" si="44"/>
        <v>195</v>
      </c>
      <c r="R306" s="81">
        <f t="shared" si="45"/>
        <v>100</v>
      </c>
      <c r="S306" s="79">
        <f t="shared" si="46"/>
        <v>695</v>
      </c>
      <c r="T306" s="79">
        <f>0</f>
        <v>0</v>
      </c>
      <c r="U306" s="77"/>
      <c r="V306" s="77"/>
      <c r="W306" s="77"/>
      <c r="X306" s="77"/>
      <c r="Y306" s="77"/>
      <c r="Z306" s="77"/>
      <c r="AA306" s="77"/>
      <c r="AB306" s="77"/>
      <c r="AC306" s="77"/>
      <c r="AD306" s="77"/>
    </row>
    <row r="307" spans="1:30" ht="15.75" x14ac:dyDescent="0.25">
      <c r="A307" s="15">
        <v>50253</v>
      </c>
      <c r="B307" s="92">
        <v>31</v>
      </c>
      <c r="C307" s="79">
        <f>194.205</f>
        <v>194.20500000000001</v>
      </c>
      <c r="D307" s="79">
        <f>267.466</f>
        <v>267.46600000000001</v>
      </c>
      <c r="E307" s="87">
        <f>133.845</f>
        <v>133.845</v>
      </c>
      <c r="F307" s="79">
        <f>278.484-40-25-60</f>
        <v>153.48399999999998</v>
      </c>
      <c r="G307" s="81">
        <v>40</v>
      </c>
      <c r="H307" s="79">
        <f t="shared" si="49"/>
        <v>85</v>
      </c>
      <c r="I307" s="79">
        <f t="shared" si="40"/>
        <v>0</v>
      </c>
      <c r="J307" s="81">
        <v>100</v>
      </c>
      <c r="K307" s="81">
        <v>300</v>
      </c>
      <c r="L307" s="79">
        <f t="shared" si="43"/>
        <v>1274</v>
      </c>
      <c r="M307" s="89">
        <v>600</v>
      </c>
      <c r="N307" s="79">
        <f>30</f>
        <v>30</v>
      </c>
      <c r="O307" s="81">
        <v>240</v>
      </c>
      <c r="P307" s="81">
        <v>160</v>
      </c>
      <c r="Q307" s="81">
        <f t="shared" si="44"/>
        <v>195</v>
      </c>
      <c r="R307" s="81">
        <f t="shared" si="45"/>
        <v>100</v>
      </c>
      <c r="S307" s="79">
        <f t="shared" si="46"/>
        <v>695</v>
      </c>
      <c r="T307" s="79">
        <f>0</f>
        <v>0</v>
      </c>
      <c r="U307" s="77"/>
      <c r="V307" s="77"/>
      <c r="W307" s="77"/>
      <c r="X307" s="77"/>
      <c r="Y307" s="77"/>
      <c r="Z307" s="77"/>
      <c r="AA307" s="77"/>
      <c r="AB307" s="77"/>
      <c r="AC307" s="77"/>
      <c r="AD307" s="77"/>
    </row>
    <row r="308" spans="1:30" ht="15.75" x14ac:dyDescent="0.25">
      <c r="A308" s="15">
        <v>50284</v>
      </c>
      <c r="B308" s="92">
        <v>30</v>
      </c>
      <c r="C308" s="79">
        <f>194.205</f>
        <v>194.20500000000001</v>
      </c>
      <c r="D308" s="79">
        <f>267.466</f>
        <v>267.46600000000001</v>
      </c>
      <c r="E308" s="87">
        <f>133.845</f>
        <v>133.845</v>
      </c>
      <c r="F308" s="79">
        <f>278.484-40-25-60</f>
        <v>153.48399999999998</v>
      </c>
      <c r="G308" s="81">
        <v>40</v>
      </c>
      <c r="H308" s="79">
        <f t="shared" si="49"/>
        <v>85</v>
      </c>
      <c r="I308" s="79">
        <f t="shared" ref="I308:I371" si="50">400-J308-K308</f>
        <v>0</v>
      </c>
      <c r="J308" s="81">
        <v>100</v>
      </c>
      <c r="K308" s="81">
        <v>300</v>
      </c>
      <c r="L308" s="79">
        <f t="shared" si="43"/>
        <v>1274</v>
      </c>
      <c r="M308" s="89">
        <v>600</v>
      </c>
      <c r="N308" s="79">
        <f>30</f>
        <v>30</v>
      </c>
      <c r="O308" s="81">
        <v>240</v>
      </c>
      <c r="P308" s="81">
        <v>160</v>
      </c>
      <c r="Q308" s="81">
        <f t="shared" si="44"/>
        <v>195</v>
      </c>
      <c r="R308" s="81">
        <f t="shared" si="45"/>
        <v>100</v>
      </c>
      <c r="S308" s="79">
        <f t="shared" si="46"/>
        <v>695</v>
      </c>
      <c r="T308" s="79">
        <f>0</f>
        <v>0</v>
      </c>
      <c r="U308" s="77"/>
      <c r="V308" s="77"/>
      <c r="W308" s="77"/>
      <c r="X308" s="77"/>
      <c r="Y308" s="77"/>
      <c r="Z308" s="77"/>
      <c r="AA308" s="77"/>
      <c r="AB308" s="77"/>
      <c r="AC308" s="77"/>
      <c r="AD308" s="77"/>
    </row>
    <row r="309" spans="1:30" ht="15.75" x14ac:dyDescent="0.25">
      <c r="A309" s="15">
        <v>50314</v>
      </c>
      <c r="B309" s="92">
        <v>31</v>
      </c>
      <c r="C309" s="79">
        <f>131.881</f>
        <v>131.881</v>
      </c>
      <c r="D309" s="79">
        <f>277.167</f>
        <v>277.16699999999997</v>
      </c>
      <c r="E309" s="87">
        <f>79.08</f>
        <v>79.08</v>
      </c>
      <c r="F309" s="79">
        <f>350.872-40-25-60</f>
        <v>225.87200000000001</v>
      </c>
      <c r="G309" s="81">
        <v>40</v>
      </c>
      <c r="H309" s="79">
        <f t="shared" si="49"/>
        <v>85</v>
      </c>
      <c r="I309" s="79">
        <f t="shared" si="50"/>
        <v>0</v>
      </c>
      <c r="J309" s="81">
        <v>100</v>
      </c>
      <c r="K309" s="81">
        <v>300</v>
      </c>
      <c r="L309" s="79">
        <f t="shared" si="43"/>
        <v>1239</v>
      </c>
      <c r="M309" s="89">
        <v>600</v>
      </c>
      <c r="N309" s="79">
        <f>75</f>
        <v>75</v>
      </c>
      <c r="O309" s="81">
        <v>240</v>
      </c>
      <c r="P309" s="81">
        <v>160</v>
      </c>
      <c r="Q309" s="81">
        <f t="shared" si="44"/>
        <v>195</v>
      </c>
      <c r="R309" s="81">
        <f t="shared" si="45"/>
        <v>100</v>
      </c>
      <c r="S309" s="79">
        <f t="shared" si="46"/>
        <v>695</v>
      </c>
      <c r="T309" s="79">
        <f>0</f>
        <v>0</v>
      </c>
      <c r="U309" s="77"/>
      <c r="V309" s="77"/>
      <c r="W309" s="77"/>
      <c r="X309" s="77"/>
      <c r="Y309" s="77"/>
      <c r="Z309" s="77"/>
      <c r="AA309" s="77"/>
      <c r="AB309" s="77"/>
      <c r="AC309" s="77"/>
      <c r="AD309" s="77"/>
    </row>
    <row r="310" spans="1:30" ht="15.75" x14ac:dyDescent="0.25">
      <c r="A310" s="15">
        <v>50345</v>
      </c>
      <c r="B310" s="92">
        <v>30</v>
      </c>
      <c r="C310" s="79">
        <f>122.58</f>
        <v>122.58</v>
      </c>
      <c r="D310" s="79">
        <f>297.941</f>
        <v>297.94099999999997</v>
      </c>
      <c r="E310" s="87">
        <f>89.177</f>
        <v>89.177000000000007</v>
      </c>
      <c r="F310" s="79">
        <f>240.302-40-60</f>
        <v>140.30199999999999</v>
      </c>
      <c r="G310" s="81">
        <v>40</v>
      </c>
      <c r="H310" s="79">
        <v>60</v>
      </c>
      <c r="I310" s="79">
        <f t="shared" si="50"/>
        <v>0</v>
      </c>
      <c r="J310" s="81">
        <v>100</v>
      </c>
      <c r="K310" s="81">
        <v>300</v>
      </c>
      <c r="L310" s="79">
        <f t="shared" si="43"/>
        <v>1150</v>
      </c>
      <c r="M310" s="89">
        <v>600</v>
      </c>
      <c r="N310" s="79">
        <f>100</f>
        <v>100</v>
      </c>
      <c r="O310" s="81">
        <v>240</v>
      </c>
      <c r="P310" s="81">
        <v>40</v>
      </c>
      <c r="Q310" s="81">
        <f t="shared" si="44"/>
        <v>315</v>
      </c>
      <c r="R310" s="81">
        <f t="shared" si="45"/>
        <v>100</v>
      </c>
      <c r="S310" s="79">
        <f t="shared" si="46"/>
        <v>695</v>
      </c>
      <c r="T310" s="79">
        <f>50</f>
        <v>50</v>
      </c>
      <c r="U310" s="77"/>
      <c r="V310" s="77"/>
      <c r="W310" s="77"/>
      <c r="X310" s="77"/>
      <c r="Y310" s="77"/>
      <c r="Z310" s="77"/>
      <c r="AA310" s="77"/>
      <c r="AB310" s="77"/>
      <c r="AC310" s="77"/>
      <c r="AD310" s="77"/>
    </row>
    <row r="311" spans="1:30" ht="15.75" x14ac:dyDescent="0.25">
      <c r="A311" s="15">
        <v>50375</v>
      </c>
      <c r="B311" s="92">
        <v>31</v>
      </c>
      <c r="C311" s="79">
        <f>122.58</f>
        <v>122.58</v>
      </c>
      <c r="D311" s="79">
        <f>297.941</f>
        <v>297.94099999999997</v>
      </c>
      <c r="E311" s="87">
        <f>89.177</f>
        <v>89.177000000000007</v>
      </c>
      <c r="F311" s="79">
        <f>240.302-40-60</f>
        <v>140.30199999999999</v>
      </c>
      <c r="G311" s="81">
        <v>40</v>
      </c>
      <c r="H311" s="79">
        <v>60</v>
      </c>
      <c r="I311" s="79">
        <f t="shared" si="50"/>
        <v>0</v>
      </c>
      <c r="J311" s="81">
        <v>100</v>
      </c>
      <c r="K311" s="81">
        <v>300</v>
      </c>
      <c r="L311" s="79">
        <f t="shared" si="43"/>
        <v>1150</v>
      </c>
      <c r="M311" s="89">
        <v>600</v>
      </c>
      <c r="N311" s="79">
        <f>100</f>
        <v>100</v>
      </c>
      <c r="O311" s="81">
        <v>240</v>
      </c>
      <c r="P311" s="81">
        <v>40</v>
      </c>
      <c r="Q311" s="81">
        <f t="shared" si="44"/>
        <v>315</v>
      </c>
      <c r="R311" s="81">
        <f t="shared" si="45"/>
        <v>100</v>
      </c>
      <c r="S311" s="79">
        <f t="shared" si="46"/>
        <v>695</v>
      </c>
      <c r="T311" s="79">
        <f>50</f>
        <v>50</v>
      </c>
      <c r="U311" s="77"/>
      <c r="V311" s="77"/>
      <c r="W311" s="77"/>
      <c r="X311" s="77"/>
      <c r="Y311" s="77"/>
      <c r="Z311" s="77"/>
      <c r="AA311" s="77"/>
      <c r="AB311" s="77"/>
      <c r="AC311" s="77"/>
      <c r="AD311" s="77"/>
    </row>
    <row r="312" spans="1:30" ht="15.75" x14ac:dyDescent="0.25">
      <c r="A312" s="14">
        <v>50436</v>
      </c>
      <c r="B312" s="91">
        <v>31</v>
      </c>
      <c r="C312" s="79">
        <f>122.58</f>
        <v>122.58</v>
      </c>
      <c r="D312" s="79">
        <f>297.941</f>
        <v>297.94099999999997</v>
      </c>
      <c r="E312" s="87">
        <f>89.177</f>
        <v>89.177000000000007</v>
      </c>
      <c r="F312" s="79">
        <f>240.302-40-60</f>
        <v>140.30199999999999</v>
      </c>
      <c r="G312" s="81">
        <v>40</v>
      </c>
      <c r="H312" s="79">
        <v>60</v>
      </c>
      <c r="I312" s="79">
        <f t="shared" si="50"/>
        <v>0</v>
      </c>
      <c r="J312" s="81">
        <v>100</v>
      </c>
      <c r="K312" s="81">
        <v>300</v>
      </c>
      <c r="L312" s="79">
        <f t="shared" si="43"/>
        <v>1150</v>
      </c>
      <c r="M312" s="89">
        <v>600</v>
      </c>
      <c r="N312" s="79">
        <f>100</f>
        <v>100</v>
      </c>
      <c r="O312" s="81">
        <v>240</v>
      </c>
      <c r="P312" s="81">
        <v>40</v>
      </c>
      <c r="Q312" s="81">
        <f t="shared" si="44"/>
        <v>315</v>
      </c>
      <c r="R312" s="81">
        <f t="shared" si="45"/>
        <v>100</v>
      </c>
      <c r="S312" s="79">
        <f t="shared" si="46"/>
        <v>695</v>
      </c>
      <c r="T312" s="79">
        <f>50</f>
        <v>50</v>
      </c>
      <c r="U312" s="77"/>
      <c r="V312" s="77"/>
      <c r="W312" s="77"/>
      <c r="X312" s="77"/>
      <c r="Y312" s="77"/>
      <c r="Z312" s="77"/>
      <c r="AA312" s="77"/>
      <c r="AB312" s="77"/>
      <c r="AC312" s="77"/>
      <c r="AD312" s="77"/>
    </row>
    <row r="313" spans="1:30" ht="15.75" x14ac:dyDescent="0.25">
      <c r="A313" s="14">
        <v>50464</v>
      </c>
      <c r="B313" s="91">
        <v>28</v>
      </c>
      <c r="C313" s="79">
        <f>122.58</f>
        <v>122.58</v>
      </c>
      <c r="D313" s="79">
        <f>297.941</f>
        <v>297.94099999999997</v>
      </c>
      <c r="E313" s="87">
        <f>89.177</f>
        <v>89.177000000000007</v>
      </c>
      <c r="F313" s="79">
        <f>240.302-40-60</f>
        <v>140.30199999999999</v>
      </c>
      <c r="G313" s="81">
        <v>40</v>
      </c>
      <c r="H313" s="79">
        <v>60</v>
      </c>
      <c r="I313" s="79">
        <f t="shared" si="50"/>
        <v>0</v>
      </c>
      <c r="J313" s="81">
        <v>100</v>
      </c>
      <c r="K313" s="81">
        <v>300</v>
      </c>
      <c r="L313" s="79">
        <f t="shared" si="43"/>
        <v>1150</v>
      </c>
      <c r="M313" s="89">
        <v>600</v>
      </c>
      <c r="N313" s="79">
        <f>100</f>
        <v>100</v>
      </c>
      <c r="O313" s="81">
        <v>240</v>
      </c>
      <c r="P313" s="81">
        <v>40</v>
      </c>
      <c r="Q313" s="81">
        <f t="shared" si="44"/>
        <v>315</v>
      </c>
      <c r="R313" s="81">
        <f t="shared" si="45"/>
        <v>100</v>
      </c>
      <c r="S313" s="79">
        <f t="shared" si="46"/>
        <v>695</v>
      </c>
      <c r="T313" s="79">
        <f>50</f>
        <v>50</v>
      </c>
      <c r="U313" s="77"/>
      <c r="V313" s="77"/>
      <c r="W313" s="77"/>
      <c r="X313" s="77"/>
      <c r="Y313" s="77"/>
      <c r="Z313" s="77"/>
      <c r="AA313" s="77"/>
      <c r="AB313" s="77"/>
      <c r="AC313" s="77"/>
      <c r="AD313" s="77"/>
    </row>
    <row r="314" spans="1:30" ht="15.75" x14ac:dyDescent="0.25">
      <c r="A314" s="14">
        <v>50495</v>
      </c>
      <c r="B314" s="91">
        <v>31</v>
      </c>
      <c r="C314" s="79">
        <f>122.58</f>
        <v>122.58</v>
      </c>
      <c r="D314" s="79">
        <f>297.941</f>
        <v>297.94099999999997</v>
      </c>
      <c r="E314" s="87">
        <f>89.177</f>
        <v>89.177000000000007</v>
      </c>
      <c r="F314" s="79">
        <f>240.302-40-60</f>
        <v>140.30199999999999</v>
      </c>
      <c r="G314" s="81">
        <v>40</v>
      </c>
      <c r="H314" s="79">
        <v>60</v>
      </c>
      <c r="I314" s="79">
        <f t="shared" si="50"/>
        <v>0</v>
      </c>
      <c r="J314" s="81">
        <v>100</v>
      </c>
      <c r="K314" s="81">
        <v>300</v>
      </c>
      <c r="L314" s="79">
        <f t="shared" si="43"/>
        <v>1150</v>
      </c>
      <c r="M314" s="89">
        <v>600</v>
      </c>
      <c r="N314" s="79">
        <f>100</f>
        <v>100</v>
      </c>
      <c r="O314" s="81">
        <v>240</v>
      </c>
      <c r="P314" s="81">
        <v>40</v>
      </c>
      <c r="Q314" s="81">
        <f t="shared" si="44"/>
        <v>315</v>
      </c>
      <c r="R314" s="81">
        <f t="shared" si="45"/>
        <v>100</v>
      </c>
      <c r="S314" s="79">
        <f t="shared" si="46"/>
        <v>695</v>
      </c>
      <c r="T314" s="79">
        <f>50</f>
        <v>50</v>
      </c>
      <c r="U314" s="77"/>
      <c r="V314" s="77"/>
      <c r="W314" s="77"/>
      <c r="X314" s="77"/>
      <c r="Y314" s="77"/>
      <c r="Z314" s="77"/>
      <c r="AA314" s="77"/>
      <c r="AB314" s="77"/>
      <c r="AC314" s="77"/>
      <c r="AD314" s="77"/>
    </row>
    <row r="315" spans="1:30" ht="15.75" x14ac:dyDescent="0.25">
      <c r="A315" s="14">
        <v>50525</v>
      </c>
      <c r="B315" s="91">
        <v>30</v>
      </c>
      <c r="C315" s="79">
        <f>141.293</f>
        <v>141.29300000000001</v>
      </c>
      <c r="D315" s="79">
        <f>267.993</f>
        <v>267.99299999999999</v>
      </c>
      <c r="E315" s="87">
        <f>115.016</f>
        <v>115.01600000000001</v>
      </c>
      <c r="F315" s="79">
        <f>314.698-40-25-60</f>
        <v>189.69799999999998</v>
      </c>
      <c r="G315" s="81">
        <v>40</v>
      </c>
      <c r="H315" s="79">
        <f t="shared" ref="H315:H321" si="51">25+60</f>
        <v>85</v>
      </c>
      <c r="I315" s="79">
        <f t="shared" si="50"/>
        <v>0</v>
      </c>
      <c r="J315" s="81">
        <v>100</v>
      </c>
      <c r="K315" s="81">
        <v>300</v>
      </c>
      <c r="L315" s="79">
        <f t="shared" si="43"/>
        <v>1239</v>
      </c>
      <c r="M315" s="89">
        <v>600</v>
      </c>
      <c r="N315" s="79">
        <f>100</f>
        <v>100</v>
      </c>
      <c r="O315" s="81">
        <v>240</v>
      </c>
      <c r="P315" s="81">
        <v>160</v>
      </c>
      <c r="Q315" s="81">
        <f t="shared" si="44"/>
        <v>195</v>
      </c>
      <c r="R315" s="81">
        <f t="shared" si="45"/>
        <v>100</v>
      </c>
      <c r="S315" s="79">
        <f t="shared" si="46"/>
        <v>695</v>
      </c>
      <c r="T315" s="79">
        <f>50</f>
        <v>50</v>
      </c>
      <c r="U315" s="77"/>
      <c r="V315" s="77"/>
      <c r="W315" s="77"/>
      <c r="X315" s="77"/>
      <c r="Y315" s="77"/>
      <c r="Z315" s="77"/>
      <c r="AA315" s="77"/>
      <c r="AB315" s="77"/>
      <c r="AC315" s="77"/>
      <c r="AD315" s="77"/>
    </row>
    <row r="316" spans="1:30" ht="15.75" x14ac:dyDescent="0.25">
      <c r="A316" s="14">
        <v>50556</v>
      </c>
      <c r="B316" s="91">
        <v>31</v>
      </c>
      <c r="C316" s="79">
        <f>194.205</f>
        <v>194.20500000000001</v>
      </c>
      <c r="D316" s="79">
        <f>267.466</f>
        <v>267.46600000000001</v>
      </c>
      <c r="E316" s="87">
        <f>133.845</f>
        <v>133.845</v>
      </c>
      <c r="F316" s="79">
        <f>278.484-40-25-60</f>
        <v>153.48399999999998</v>
      </c>
      <c r="G316" s="81">
        <v>40</v>
      </c>
      <c r="H316" s="79">
        <f t="shared" si="51"/>
        <v>85</v>
      </c>
      <c r="I316" s="79">
        <f t="shared" si="50"/>
        <v>0</v>
      </c>
      <c r="J316" s="81">
        <v>100</v>
      </c>
      <c r="K316" s="81">
        <v>300</v>
      </c>
      <c r="L316" s="79">
        <f t="shared" si="43"/>
        <v>1274</v>
      </c>
      <c r="M316" s="89">
        <v>600</v>
      </c>
      <c r="N316" s="79">
        <f>75</f>
        <v>75</v>
      </c>
      <c r="O316" s="81">
        <v>240</v>
      </c>
      <c r="P316" s="81">
        <v>160</v>
      </c>
      <c r="Q316" s="81">
        <f t="shared" si="44"/>
        <v>195</v>
      </c>
      <c r="R316" s="81">
        <f t="shared" si="45"/>
        <v>100</v>
      </c>
      <c r="S316" s="79">
        <f t="shared" si="46"/>
        <v>695</v>
      </c>
      <c r="T316" s="79">
        <f>50</f>
        <v>50</v>
      </c>
      <c r="U316" s="77"/>
      <c r="V316" s="77"/>
      <c r="W316" s="77"/>
      <c r="X316" s="77"/>
      <c r="Y316" s="77"/>
      <c r="Z316" s="77"/>
      <c r="AA316" s="77"/>
      <c r="AB316" s="77"/>
      <c r="AC316" s="77"/>
      <c r="AD316" s="77"/>
    </row>
    <row r="317" spans="1:30" ht="15.75" x14ac:dyDescent="0.25">
      <c r="A317" s="14">
        <v>50586</v>
      </c>
      <c r="B317" s="91">
        <v>30</v>
      </c>
      <c r="C317" s="79">
        <f>194.205</f>
        <v>194.20500000000001</v>
      </c>
      <c r="D317" s="79">
        <f>267.466</f>
        <v>267.46600000000001</v>
      </c>
      <c r="E317" s="87">
        <f>133.845</f>
        <v>133.845</v>
      </c>
      <c r="F317" s="79">
        <f>278.484-40-25-60</f>
        <v>153.48399999999998</v>
      </c>
      <c r="G317" s="81">
        <v>40</v>
      </c>
      <c r="H317" s="79">
        <f t="shared" si="51"/>
        <v>85</v>
      </c>
      <c r="I317" s="79">
        <f t="shared" si="50"/>
        <v>0</v>
      </c>
      <c r="J317" s="81">
        <v>100</v>
      </c>
      <c r="K317" s="81">
        <v>300</v>
      </c>
      <c r="L317" s="79">
        <f t="shared" si="43"/>
        <v>1274</v>
      </c>
      <c r="M317" s="89">
        <v>600</v>
      </c>
      <c r="N317" s="79">
        <f>30</f>
        <v>30</v>
      </c>
      <c r="O317" s="81">
        <v>240</v>
      </c>
      <c r="P317" s="81">
        <v>160</v>
      </c>
      <c r="Q317" s="81">
        <f t="shared" si="44"/>
        <v>195</v>
      </c>
      <c r="R317" s="81">
        <f t="shared" si="45"/>
        <v>100</v>
      </c>
      <c r="S317" s="79">
        <f t="shared" si="46"/>
        <v>695</v>
      </c>
      <c r="T317" s="79">
        <f>50</f>
        <v>50</v>
      </c>
      <c r="U317" s="77"/>
      <c r="V317" s="77"/>
      <c r="W317" s="77"/>
      <c r="X317" s="77"/>
      <c r="Y317" s="77"/>
      <c r="Z317" s="77"/>
      <c r="AA317" s="77"/>
      <c r="AB317" s="77"/>
      <c r="AC317" s="77"/>
      <c r="AD317" s="77"/>
    </row>
    <row r="318" spans="1:30" ht="15.75" x14ac:dyDescent="0.25">
      <c r="A318" s="14">
        <v>50617</v>
      </c>
      <c r="B318" s="91">
        <v>31</v>
      </c>
      <c r="C318" s="79">
        <f>194.205</f>
        <v>194.20500000000001</v>
      </c>
      <c r="D318" s="79">
        <f>267.466</f>
        <v>267.46600000000001</v>
      </c>
      <c r="E318" s="87">
        <f>133.845</f>
        <v>133.845</v>
      </c>
      <c r="F318" s="79">
        <f>278.484-40-25-60</f>
        <v>153.48399999999998</v>
      </c>
      <c r="G318" s="81">
        <v>40</v>
      </c>
      <c r="H318" s="79">
        <f t="shared" si="51"/>
        <v>85</v>
      </c>
      <c r="I318" s="79">
        <f t="shared" si="50"/>
        <v>0</v>
      </c>
      <c r="J318" s="81">
        <v>100</v>
      </c>
      <c r="K318" s="81">
        <v>300</v>
      </c>
      <c r="L318" s="79">
        <f t="shared" si="43"/>
        <v>1274</v>
      </c>
      <c r="M318" s="89">
        <v>600</v>
      </c>
      <c r="N318" s="79">
        <f>30</f>
        <v>30</v>
      </c>
      <c r="O318" s="81">
        <v>240</v>
      </c>
      <c r="P318" s="81">
        <v>160</v>
      </c>
      <c r="Q318" s="81">
        <f t="shared" si="44"/>
        <v>195</v>
      </c>
      <c r="R318" s="81">
        <f t="shared" si="45"/>
        <v>100</v>
      </c>
      <c r="S318" s="79">
        <f t="shared" si="46"/>
        <v>695</v>
      </c>
      <c r="T318" s="79">
        <f>0</f>
        <v>0</v>
      </c>
      <c r="U318" s="77"/>
      <c r="V318" s="77"/>
      <c r="W318" s="77"/>
      <c r="X318" s="77"/>
      <c r="Y318" s="77"/>
      <c r="Z318" s="77"/>
      <c r="AA318" s="77"/>
      <c r="AB318" s="77"/>
      <c r="AC318" s="77"/>
      <c r="AD318" s="77"/>
    </row>
    <row r="319" spans="1:30" ht="15.75" x14ac:dyDescent="0.25">
      <c r="A319" s="14">
        <v>50648</v>
      </c>
      <c r="B319" s="91">
        <v>31</v>
      </c>
      <c r="C319" s="79">
        <f>194.205</f>
        <v>194.20500000000001</v>
      </c>
      <c r="D319" s="79">
        <f>267.466</f>
        <v>267.46600000000001</v>
      </c>
      <c r="E319" s="87">
        <f>133.845</f>
        <v>133.845</v>
      </c>
      <c r="F319" s="79">
        <f>278.484-40-25-60</f>
        <v>153.48399999999998</v>
      </c>
      <c r="G319" s="81">
        <v>40</v>
      </c>
      <c r="H319" s="79">
        <f t="shared" si="51"/>
        <v>85</v>
      </c>
      <c r="I319" s="79">
        <f t="shared" si="50"/>
        <v>0</v>
      </c>
      <c r="J319" s="81">
        <v>100</v>
      </c>
      <c r="K319" s="81">
        <v>300</v>
      </c>
      <c r="L319" s="79">
        <f t="shared" si="43"/>
        <v>1274</v>
      </c>
      <c r="M319" s="89">
        <v>600</v>
      </c>
      <c r="N319" s="79">
        <f>30</f>
        <v>30</v>
      </c>
      <c r="O319" s="81">
        <v>240</v>
      </c>
      <c r="P319" s="81">
        <v>160</v>
      </c>
      <c r="Q319" s="81">
        <f t="shared" si="44"/>
        <v>195</v>
      </c>
      <c r="R319" s="81">
        <f t="shared" si="45"/>
        <v>100</v>
      </c>
      <c r="S319" s="79">
        <f t="shared" si="46"/>
        <v>695</v>
      </c>
      <c r="T319" s="79">
        <f>0</f>
        <v>0</v>
      </c>
      <c r="U319" s="77"/>
      <c r="V319" s="77"/>
      <c r="W319" s="77"/>
      <c r="X319" s="77"/>
      <c r="Y319" s="77"/>
      <c r="Z319" s="77"/>
      <c r="AA319" s="77"/>
      <c r="AB319" s="77"/>
      <c r="AC319" s="77"/>
      <c r="AD319" s="77"/>
    </row>
    <row r="320" spans="1:30" ht="15.75" x14ac:dyDescent="0.25">
      <c r="A320" s="14">
        <v>50678</v>
      </c>
      <c r="B320" s="91">
        <v>30</v>
      </c>
      <c r="C320" s="79">
        <f>194.205</f>
        <v>194.20500000000001</v>
      </c>
      <c r="D320" s="79">
        <f>267.466</f>
        <v>267.46600000000001</v>
      </c>
      <c r="E320" s="87">
        <f>133.845</f>
        <v>133.845</v>
      </c>
      <c r="F320" s="79">
        <f>278.484-40-25-60</f>
        <v>153.48399999999998</v>
      </c>
      <c r="G320" s="81">
        <v>40</v>
      </c>
      <c r="H320" s="79">
        <f t="shared" si="51"/>
        <v>85</v>
      </c>
      <c r="I320" s="79">
        <f t="shared" si="50"/>
        <v>0</v>
      </c>
      <c r="J320" s="81">
        <v>100</v>
      </c>
      <c r="K320" s="81">
        <v>300</v>
      </c>
      <c r="L320" s="79">
        <f t="shared" si="43"/>
        <v>1274</v>
      </c>
      <c r="M320" s="89">
        <v>600</v>
      </c>
      <c r="N320" s="79">
        <f>30</f>
        <v>30</v>
      </c>
      <c r="O320" s="81">
        <v>240</v>
      </c>
      <c r="P320" s="81">
        <v>160</v>
      </c>
      <c r="Q320" s="81">
        <f t="shared" si="44"/>
        <v>195</v>
      </c>
      <c r="R320" s="81">
        <f t="shared" si="45"/>
        <v>100</v>
      </c>
      <c r="S320" s="79">
        <f t="shared" si="46"/>
        <v>695</v>
      </c>
      <c r="T320" s="79">
        <f>0</f>
        <v>0</v>
      </c>
      <c r="U320" s="77"/>
      <c r="V320" s="77"/>
      <c r="W320" s="77"/>
      <c r="X320" s="77"/>
      <c r="Y320" s="77"/>
      <c r="Z320" s="77"/>
      <c r="AA320" s="77"/>
      <c r="AB320" s="77"/>
      <c r="AC320" s="77"/>
      <c r="AD320" s="77"/>
    </row>
    <row r="321" spans="1:30" ht="15.75" x14ac:dyDescent="0.25">
      <c r="A321" s="14">
        <v>50709</v>
      </c>
      <c r="B321" s="91">
        <v>31</v>
      </c>
      <c r="C321" s="79">
        <f>131.881</f>
        <v>131.881</v>
      </c>
      <c r="D321" s="79">
        <f>277.167</f>
        <v>277.16699999999997</v>
      </c>
      <c r="E321" s="87">
        <f>79.08</f>
        <v>79.08</v>
      </c>
      <c r="F321" s="79">
        <f>350.872-40-25-60</f>
        <v>225.87200000000001</v>
      </c>
      <c r="G321" s="81">
        <v>40</v>
      </c>
      <c r="H321" s="79">
        <f t="shared" si="51"/>
        <v>85</v>
      </c>
      <c r="I321" s="79">
        <f t="shared" si="50"/>
        <v>0</v>
      </c>
      <c r="J321" s="81">
        <v>100</v>
      </c>
      <c r="K321" s="81">
        <v>300</v>
      </c>
      <c r="L321" s="79">
        <f t="shared" si="43"/>
        <v>1239</v>
      </c>
      <c r="M321" s="89">
        <v>600</v>
      </c>
      <c r="N321" s="79">
        <f>75</f>
        <v>75</v>
      </c>
      <c r="O321" s="81">
        <v>240</v>
      </c>
      <c r="P321" s="81">
        <v>160</v>
      </c>
      <c r="Q321" s="81">
        <f t="shared" si="44"/>
        <v>195</v>
      </c>
      <c r="R321" s="81">
        <f t="shared" si="45"/>
        <v>100</v>
      </c>
      <c r="S321" s="79">
        <f t="shared" si="46"/>
        <v>695</v>
      </c>
      <c r="T321" s="79">
        <f>0</f>
        <v>0</v>
      </c>
      <c r="U321" s="77"/>
      <c r="V321" s="77"/>
      <c r="W321" s="77"/>
      <c r="X321" s="77"/>
      <c r="Y321" s="77"/>
      <c r="Z321" s="77"/>
      <c r="AA321" s="77"/>
      <c r="AB321" s="77"/>
      <c r="AC321" s="77"/>
      <c r="AD321" s="77"/>
    </row>
    <row r="322" spans="1:30" ht="15.75" x14ac:dyDescent="0.25">
      <c r="A322" s="14">
        <v>50739</v>
      </c>
      <c r="B322" s="91">
        <v>30</v>
      </c>
      <c r="C322" s="79">
        <f>122.58</f>
        <v>122.58</v>
      </c>
      <c r="D322" s="79">
        <f>297.941</f>
        <v>297.94099999999997</v>
      </c>
      <c r="E322" s="87">
        <f>89.177</f>
        <v>89.177000000000007</v>
      </c>
      <c r="F322" s="79">
        <f>240.302-40-60</f>
        <v>140.30199999999999</v>
      </c>
      <c r="G322" s="81">
        <v>40</v>
      </c>
      <c r="H322" s="79">
        <v>60</v>
      </c>
      <c r="I322" s="79">
        <f t="shared" si="50"/>
        <v>0</v>
      </c>
      <c r="J322" s="81">
        <v>100</v>
      </c>
      <c r="K322" s="81">
        <v>300</v>
      </c>
      <c r="L322" s="79">
        <f t="shared" si="43"/>
        <v>1150</v>
      </c>
      <c r="M322" s="89">
        <v>600</v>
      </c>
      <c r="N322" s="79">
        <f>100</f>
        <v>100</v>
      </c>
      <c r="O322" s="81">
        <v>240</v>
      </c>
      <c r="P322" s="81">
        <v>40</v>
      </c>
      <c r="Q322" s="81">
        <f t="shared" si="44"/>
        <v>315</v>
      </c>
      <c r="R322" s="81">
        <f t="shared" si="45"/>
        <v>100</v>
      </c>
      <c r="S322" s="79">
        <f t="shared" si="46"/>
        <v>695</v>
      </c>
      <c r="T322" s="79">
        <f>50</f>
        <v>50</v>
      </c>
      <c r="U322" s="77"/>
      <c r="V322" s="77"/>
      <c r="W322" s="77"/>
      <c r="X322" s="77"/>
      <c r="Y322" s="77"/>
      <c r="Z322" s="77"/>
      <c r="AA322" s="77"/>
      <c r="AB322" s="77"/>
      <c r="AC322" s="77"/>
      <c r="AD322" s="77"/>
    </row>
    <row r="323" spans="1:30" ht="15.75" x14ac:dyDescent="0.25">
      <c r="A323" s="14">
        <v>50770</v>
      </c>
      <c r="B323" s="91">
        <v>31</v>
      </c>
      <c r="C323" s="79">
        <f>122.58</f>
        <v>122.58</v>
      </c>
      <c r="D323" s="79">
        <f>297.941</f>
        <v>297.94099999999997</v>
      </c>
      <c r="E323" s="87">
        <f>89.177</f>
        <v>89.177000000000007</v>
      </c>
      <c r="F323" s="79">
        <f>240.302-40-60</f>
        <v>140.30199999999999</v>
      </c>
      <c r="G323" s="81">
        <v>40</v>
      </c>
      <c r="H323" s="79">
        <v>60</v>
      </c>
      <c r="I323" s="79">
        <f t="shared" si="50"/>
        <v>0</v>
      </c>
      <c r="J323" s="81">
        <v>100</v>
      </c>
      <c r="K323" s="81">
        <v>300</v>
      </c>
      <c r="L323" s="79">
        <f t="shared" si="43"/>
        <v>1150</v>
      </c>
      <c r="M323" s="89">
        <v>600</v>
      </c>
      <c r="N323" s="79">
        <f>100</f>
        <v>100</v>
      </c>
      <c r="O323" s="81">
        <v>240</v>
      </c>
      <c r="P323" s="81">
        <v>40</v>
      </c>
      <c r="Q323" s="81">
        <f t="shared" si="44"/>
        <v>315</v>
      </c>
      <c r="R323" s="81">
        <f t="shared" si="45"/>
        <v>100</v>
      </c>
      <c r="S323" s="79">
        <f t="shared" si="46"/>
        <v>695</v>
      </c>
      <c r="T323" s="79">
        <f>50</f>
        <v>50</v>
      </c>
      <c r="U323" s="77"/>
      <c r="V323" s="77"/>
      <c r="W323" s="77"/>
      <c r="X323" s="77"/>
      <c r="Y323" s="77"/>
      <c r="Z323" s="77"/>
      <c r="AA323" s="77"/>
      <c r="AB323" s="77"/>
      <c r="AC323" s="77"/>
      <c r="AD323" s="77"/>
    </row>
    <row r="324" spans="1:30" ht="15.75" x14ac:dyDescent="0.25">
      <c r="A324" s="14">
        <v>50801</v>
      </c>
      <c r="B324" s="91">
        <v>31</v>
      </c>
      <c r="C324" s="79">
        <f>122.58</f>
        <v>122.58</v>
      </c>
      <c r="D324" s="79">
        <f>297.941</f>
        <v>297.94099999999997</v>
      </c>
      <c r="E324" s="87">
        <f>89.177</f>
        <v>89.177000000000007</v>
      </c>
      <c r="F324" s="79">
        <f>240.302-40-60</f>
        <v>140.30199999999999</v>
      </c>
      <c r="G324" s="81">
        <v>40</v>
      </c>
      <c r="H324" s="79">
        <v>60</v>
      </c>
      <c r="I324" s="79">
        <f t="shared" si="50"/>
        <v>0</v>
      </c>
      <c r="J324" s="81">
        <v>100</v>
      </c>
      <c r="K324" s="81">
        <v>300</v>
      </c>
      <c r="L324" s="79">
        <f t="shared" si="43"/>
        <v>1150</v>
      </c>
      <c r="M324" s="89">
        <v>600</v>
      </c>
      <c r="N324" s="79">
        <f>100</f>
        <v>100</v>
      </c>
      <c r="O324" s="81">
        <v>240</v>
      </c>
      <c r="P324" s="81">
        <v>40</v>
      </c>
      <c r="Q324" s="81">
        <f t="shared" si="44"/>
        <v>315</v>
      </c>
      <c r="R324" s="81">
        <f t="shared" si="45"/>
        <v>100</v>
      </c>
      <c r="S324" s="79">
        <f t="shared" si="46"/>
        <v>695</v>
      </c>
      <c r="T324" s="79">
        <f>50</f>
        <v>50</v>
      </c>
      <c r="U324" s="77"/>
      <c r="V324" s="77"/>
      <c r="W324" s="77"/>
      <c r="X324" s="77"/>
      <c r="Y324" s="77"/>
      <c r="Z324" s="77"/>
      <c r="AA324" s="77"/>
      <c r="AB324" s="77"/>
      <c r="AC324" s="77"/>
      <c r="AD324" s="77"/>
    </row>
    <row r="325" spans="1:30" ht="15.75" x14ac:dyDescent="0.25">
      <c r="A325" s="14">
        <v>50829</v>
      </c>
      <c r="B325" s="91">
        <v>28</v>
      </c>
      <c r="C325" s="79">
        <f>122.58</f>
        <v>122.58</v>
      </c>
      <c r="D325" s="79">
        <f>297.941</f>
        <v>297.94099999999997</v>
      </c>
      <c r="E325" s="87">
        <f>89.177</f>
        <v>89.177000000000007</v>
      </c>
      <c r="F325" s="79">
        <f>240.302-40-60</f>
        <v>140.30199999999999</v>
      </c>
      <c r="G325" s="81">
        <v>40</v>
      </c>
      <c r="H325" s="79">
        <v>60</v>
      </c>
      <c r="I325" s="79">
        <f t="shared" si="50"/>
        <v>0</v>
      </c>
      <c r="J325" s="81">
        <v>100</v>
      </c>
      <c r="K325" s="81">
        <v>300</v>
      </c>
      <c r="L325" s="79">
        <f t="shared" si="43"/>
        <v>1150</v>
      </c>
      <c r="M325" s="89">
        <v>600</v>
      </c>
      <c r="N325" s="79">
        <f>100</f>
        <v>100</v>
      </c>
      <c r="O325" s="81">
        <v>240</v>
      </c>
      <c r="P325" s="81">
        <v>40</v>
      </c>
      <c r="Q325" s="81">
        <f t="shared" si="44"/>
        <v>315</v>
      </c>
      <c r="R325" s="81">
        <f t="shared" si="45"/>
        <v>100</v>
      </c>
      <c r="S325" s="79">
        <f t="shared" si="46"/>
        <v>695</v>
      </c>
      <c r="T325" s="79">
        <f>50</f>
        <v>50</v>
      </c>
      <c r="U325" s="77"/>
      <c r="V325" s="77"/>
      <c r="W325" s="77"/>
      <c r="X325" s="77"/>
      <c r="Y325" s="77"/>
      <c r="Z325" s="77"/>
      <c r="AA325" s="77"/>
      <c r="AB325" s="77"/>
      <c r="AC325" s="77"/>
      <c r="AD325" s="77"/>
    </row>
    <row r="326" spans="1:30" ht="15.75" x14ac:dyDescent="0.25">
      <c r="A326" s="14">
        <v>50860</v>
      </c>
      <c r="B326" s="91">
        <v>31</v>
      </c>
      <c r="C326" s="79">
        <f>122.58</f>
        <v>122.58</v>
      </c>
      <c r="D326" s="79">
        <f>297.941</f>
        <v>297.94099999999997</v>
      </c>
      <c r="E326" s="87">
        <f>89.177</f>
        <v>89.177000000000007</v>
      </c>
      <c r="F326" s="79">
        <f>240.302-40-60</f>
        <v>140.30199999999999</v>
      </c>
      <c r="G326" s="81">
        <v>40</v>
      </c>
      <c r="H326" s="79">
        <v>60</v>
      </c>
      <c r="I326" s="79">
        <f t="shared" si="50"/>
        <v>0</v>
      </c>
      <c r="J326" s="81">
        <v>100</v>
      </c>
      <c r="K326" s="81">
        <v>300</v>
      </c>
      <c r="L326" s="79">
        <f t="shared" si="43"/>
        <v>1150</v>
      </c>
      <c r="M326" s="89">
        <v>600</v>
      </c>
      <c r="N326" s="79">
        <f>100</f>
        <v>100</v>
      </c>
      <c r="O326" s="81">
        <v>240</v>
      </c>
      <c r="P326" s="81">
        <v>40</v>
      </c>
      <c r="Q326" s="81">
        <f t="shared" si="44"/>
        <v>315</v>
      </c>
      <c r="R326" s="81">
        <f t="shared" si="45"/>
        <v>100</v>
      </c>
      <c r="S326" s="79">
        <f t="shared" si="46"/>
        <v>695</v>
      </c>
      <c r="T326" s="79">
        <f>50</f>
        <v>50</v>
      </c>
      <c r="U326" s="77"/>
      <c r="V326" s="77"/>
      <c r="W326" s="77"/>
      <c r="X326" s="77"/>
      <c r="Y326" s="77"/>
      <c r="Z326" s="77"/>
      <c r="AA326" s="77"/>
      <c r="AB326" s="77"/>
      <c r="AC326" s="77"/>
      <c r="AD326" s="77"/>
    </row>
    <row r="327" spans="1:30" ht="15.75" x14ac:dyDescent="0.25">
      <c r="A327" s="14">
        <v>50890</v>
      </c>
      <c r="B327" s="91">
        <v>30</v>
      </c>
      <c r="C327" s="79">
        <f>141.293</f>
        <v>141.29300000000001</v>
      </c>
      <c r="D327" s="79">
        <f>267.993</f>
        <v>267.99299999999999</v>
      </c>
      <c r="E327" s="87">
        <f>115.016</f>
        <v>115.01600000000001</v>
      </c>
      <c r="F327" s="79">
        <f>314.698-40-25-60</f>
        <v>189.69799999999998</v>
      </c>
      <c r="G327" s="81">
        <v>40</v>
      </c>
      <c r="H327" s="79">
        <f t="shared" ref="H327:H333" si="52">25+60</f>
        <v>85</v>
      </c>
      <c r="I327" s="79">
        <f t="shared" si="50"/>
        <v>0</v>
      </c>
      <c r="J327" s="81">
        <v>100</v>
      </c>
      <c r="K327" s="81">
        <v>300</v>
      </c>
      <c r="L327" s="79">
        <f t="shared" si="43"/>
        <v>1239</v>
      </c>
      <c r="M327" s="89">
        <v>600</v>
      </c>
      <c r="N327" s="79">
        <f>100</f>
        <v>100</v>
      </c>
      <c r="O327" s="81">
        <v>240</v>
      </c>
      <c r="P327" s="81">
        <v>160</v>
      </c>
      <c r="Q327" s="81">
        <f t="shared" si="44"/>
        <v>195</v>
      </c>
      <c r="R327" s="81">
        <f t="shared" si="45"/>
        <v>100</v>
      </c>
      <c r="S327" s="79">
        <f t="shared" si="46"/>
        <v>695</v>
      </c>
      <c r="T327" s="79">
        <f>50</f>
        <v>50</v>
      </c>
      <c r="U327" s="77"/>
      <c r="V327" s="77"/>
      <c r="W327" s="77"/>
      <c r="X327" s="77"/>
      <c r="Y327" s="77"/>
      <c r="Z327" s="77"/>
      <c r="AA327" s="77"/>
      <c r="AB327" s="77"/>
      <c r="AC327" s="77"/>
      <c r="AD327" s="77"/>
    </row>
    <row r="328" spans="1:30" ht="15.75" x14ac:dyDescent="0.25">
      <c r="A328" s="14">
        <v>50921</v>
      </c>
      <c r="B328" s="91">
        <v>31</v>
      </c>
      <c r="C328" s="79">
        <f>194.205</f>
        <v>194.20500000000001</v>
      </c>
      <c r="D328" s="79">
        <f>267.466</f>
        <v>267.46600000000001</v>
      </c>
      <c r="E328" s="87">
        <f>133.845</f>
        <v>133.845</v>
      </c>
      <c r="F328" s="79">
        <f>278.484-40-25-60</f>
        <v>153.48399999999998</v>
      </c>
      <c r="G328" s="81">
        <v>40</v>
      </c>
      <c r="H328" s="79">
        <f t="shared" si="52"/>
        <v>85</v>
      </c>
      <c r="I328" s="79">
        <f t="shared" si="50"/>
        <v>0</v>
      </c>
      <c r="J328" s="81">
        <v>100</v>
      </c>
      <c r="K328" s="81">
        <v>300</v>
      </c>
      <c r="L328" s="79">
        <f t="shared" si="43"/>
        <v>1274</v>
      </c>
      <c r="M328" s="89">
        <v>600</v>
      </c>
      <c r="N328" s="79">
        <f>75</f>
        <v>75</v>
      </c>
      <c r="O328" s="81">
        <v>240</v>
      </c>
      <c r="P328" s="81">
        <v>160</v>
      </c>
      <c r="Q328" s="81">
        <f t="shared" si="44"/>
        <v>195</v>
      </c>
      <c r="R328" s="81">
        <f t="shared" si="45"/>
        <v>100</v>
      </c>
      <c r="S328" s="79">
        <f t="shared" si="46"/>
        <v>695</v>
      </c>
      <c r="T328" s="79">
        <f>50</f>
        <v>50</v>
      </c>
      <c r="U328" s="77"/>
      <c r="V328" s="77"/>
      <c r="W328" s="77"/>
      <c r="X328" s="77"/>
      <c r="Y328" s="77"/>
      <c r="Z328" s="77"/>
      <c r="AA328" s="77"/>
      <c r="AB328" s="77"/>
      <c r="AC328" s="77"/>
      <c r="AD328" s="77"/>
    </row>
    <row r="329" spans="1:30" ht="15.75" x14ac:dyDescent="0.25">
      <c r="A329" s="14">
        <v>50951</v>
      </c>
      <c r="B329" s="91">
        <v>30</v>
      </c>
      <c r="C329" s="79">
        <f>194.205</f>
        <v>194.20500000000001</v>
      </c>
      <c r="D329" s="79">
        <f>267.466</f>
        <v>267.46600000000001</v>
      </c>
      <c r="E329" s="87">
        <f>133.845</f>
        <v>133.845</v>
      </c>
      <c r="F329" s="79">
        <f>278.484-40-25-60</f>
        <v>153.48399999999998</v>
      </c>
      <c r="G329" s="81">
        <v>40</v>
      </c>
      <c r="H329" s="79">
        <f t="shared" si="52"/>
        <v>85</v>
      </c>
      <c r="I329" s="79">
        <f t="shared" si="50"/>
        <v>0</v>
      </c>
      <c r="J329" s="81">
        <v>100</v>
      </c>
      <c r="K329" s="81">
        <v>300</v>
      </c>
      <c r="L329" s="79">
        <f t="shared" si="43"/>
        <v>1274</v>
      </c>
      <c r="M329" s="89">
        <v>600</v>
      </c>
      <c r="N329" s="79">
        <f>30</f>
        <v>30</v>
      </c>
      <c r="O329" s="81">
        <v>240</v>
      </c>
      <c r="P329" s="81">
        <v>160</v>
      </c>
      <c r="Q329" s="81">
        <f t="shared" si="44"/>
        <v>195</v>
      </c>
      <c r="R329" s="81">
        <f t="shared" si="45"/>
        <v>100</v>
      </c>
      <c r="S329" s="79">
        <f t="shared" si="46"/>
        <v>695</v>
      </c>
      <c r="T329" s="79">
        <f>50</f>
        <v>50</v>
      </c>
      <c r="U329" s="77"/>
      <c r="V329" s="77"/>
      <c r="W329" s="77"/>
      <c r="X329" s="77"/>
      <c r="Y329" s="77"/>
      <c r="Z329" s="77"/>
      <c r="AA329" s="77"/>
      <c r="AB329" s="77"/>
      <c r="AC329" s="77"/>
      <c r="AD329" s="77"/>
    </row>
    <row r="330" spans="1:30" ht="15.75" x14ac:dyDescent="0.25">
      <c r="A330" s="14">
        <v>50982</v>
      </c>
      <c r="B330" s="91">
        <v>31</v>
      </c>
      <c r="C330" s="79">
        <f>194.205</f>
        <v>194.20500000000001</v>
      </c>
      <c r="D330" s="79">
        <f>267.466</f>
        <v>267.46600000000001</v>
      </c>
      <c r="E330" s="87">
        <f>133.845</f>
        <v>133.845</v>
      </c>
      <c r="F330" s="79">
        <f>278.484-40-25-60</f>
        <v>153.48399999999998</v>
      </c>
      <c r="G330" s="81">
        <v>40</v>
      </c>
      <c r="H330" s="79">
        <f t="shared" si="52"/>
        <v>85</v>
      </c>
      <c r="I330" s="79">
        <f t="shared" si="50"/>
        <v>0</v>
      </c>
      <c r="J330" s="81">
        <v>100</v>
      </c>
      <c r="K330" s="81">
        <v>300</v>
      </c>
      <c r="L330" s="79">
        <f t="shared" si="43"/>
        <v>1274</v>
      </c>
      <c r="M330" s="89">
        <v>600</v>
      </c>
      <c r="N330" s="79">
        <f>30</f>
        <v>30</v>
      </c>
      <c r="O330" s="81">
        <v>240</v>
      </c>
      <c r="P330" s="81">
        <v>160</v>
      </c>
      <c r="Q330" s="81">
        <f t="shared" si="44"/>
        <v>195</v>
      </c>
      <c r="R330" s="81">
        <f t="shared" si="45"/>
        <v>100</v>
      </c>
      <c r="S330" s="79">
        <f t="shared" si="46"/>
        <v>695</v>
      </c>
      <c r="T330" s="79">
        <f>0</f>
        <v>0</v>
      </c>
      <c r="U330" s="77"/>
      <c r="V330" s="77"/>
      <c r="W330" s="77"/>
      <c r="X330" s="77"/>
      <c r="Y330" s="77"/>
      <c r="Z330" s="77"/>
      <c r="AA330" s="77"/>
      <c r="AB330" s="77"/>
      <c r="AC330" s="77"/>
      <c r="AD330" s="77"/>
    </row>
    <row r="331" spans="1:30" ht="15.75" x14ac:dyDescent="0.25">
      <c r="A331" s="14">
        <v>51013</v>
      </c>
      <c r="B331" s="91">
        <v>31</v>
      </c>
      <c r="C331" s="79">
        <f>194.205</f>
        <v>194.20500000000001</v>
      </c>
      <c r="D331" s="79">
        <f>267.466</f>
        <v>267.46600000000001</v>
      </c>
      <c r="E331" s="87">
        <f>133.845</f>
        <v>133.845</v>
      </c>
      <c r="F331" s="79">
        <f>278.484-40-25-60</f>
        <v>153.48399999999998</v>
      </c>
      <c r="G331" s="81">
        <v>40</v>
      </c>
      <c r="H331" s="79">
        <f t="shared" si="52"/>
        <v>85</v>
      </c>
      <c r="I331" s="79">
        <f t="shared" si="50"/>
        <v>0</v>
      </c>
      <c r="J331" s="81">
        <v>100</v>
      </c>
      <c r="K331" s="81">
        <v>300</v>
      </c>
      <c r="L331" s="79">
        <f t="shared" si="43"/>
        <v>1274</v>
      </c>
      <c r="M331" s="89">
        <v>600</v>
      </c>
      <c r="N331" s="79">
        <f>30</f>
        <v>30</v>
      </c>
      <c r="O331" s="81">
        <v>240</v>
      </c>
      <c r="P331" s="81">
        <v>160</v>
      </c>
      <c r="Q331" s="81">
        <f t="shared" si="44"/>
        <v>195</v>
      </c>
      <c r="R331" s="81">
        <f t="shared" si="45"/>
        <v>100</v>
      </c>
      <c r="S331" s="79">
        <f t="shared" si="46"/>
        <v>695</v>
      </c>
      <c r="T331" s="79">
        <f>0</f>
        <v>0</v>
      </c>
      <c r="U331" s="77"/>
      <c r="V331" s="77"/>
      <c r="W331" s="77"/>
      <c r="X331" s="77"/>
      <c r="Y331" s="77"/>
      <c r="Z331" s="77"/>
      <c r="AA331" s="77"/>
      <c r="AB331" s="77"/>
      <c r="AC331" s="77"/>
      <c r="AD331" s="77"/>
    </row>
    <row r="332" spans="1:30" ht="15.75" x14ac:dyDescent="0.25">
      <c r="A332" s="14">
        <v>51043</v>
      </c>
      <c r="B332" s="91">
        <v>30</v>
      </c>
      <c r="C332" s="79">
        <f>194.205</f>
        <v>194.20500000000001</v>
      </c>
      <c r="D332" s="79">
        <f>267.466</f>
        <v>267.46600000000001</v>
      </c>
      <c r="E332" s="87">
        <f>133.845</f>
        <v>133.845</v>
      </c>
      <c r="F332" s="79">
        <f>278.484-40-25-60</f>
        <v>153.48399999999998</v>
      </c>
      <c r="G332" s="81">
        <v>40</v>
      </c>
      <c r="H332" s="79">
        <f t="shared" si="52"/>
        <v>85</v>
      </c>
      <c r="I332" s="79">
        <f t="shared" si="50"/>
        <v>0</v>
      </c>
      <c r="J332" s="81">
        <v>100</v>
      </c>
      <c r="K332" s="81">
        <v>300</v>
      </c>
      <c r="L332" s="79">
        <f t="shared" si="43"/>
        <v>1274</v>
      </c>
      <c r="M332" s="89">
        <v>600</v>
      </c>
      <c r="N332" s="79">
        <f>30</f>
        <v>30</v>
      </c>
      <c r="O332" s="81">
        <v>240</v>
      </c>
      <c r="P332" s="81">
        <v>160</v>
      </c>
      <c r="Q332" s="81">
        <f t="shared" si="44"/>
        <v>195</v>
      </c>
      <c r="R332" s="81">
        <f t="shared" si="45"/>
        <v>100</v>
      </c>
      <c r="S332" s="79">
        <f t="shared" si="46"/>
        <v>695</v>
      </c>
      <c r="T332" s="79">
        <f>0</f>
        <v>0</v>
      </c>
      <c r="U332" s="77"/>
      <c r="V332" s="77"/>
      <c r="W332" s="77"/>
      <c r="X332" s="77"/>
      <c r="Y332" s="77"/>
      <c r="Z332" s="77"/>
      <c r="AA332" s="77"/>
      <c r="AB332" s="77"/>
      <c r="AC332" s="77"/>
      <c r="AD332" s="77"/>
    </row>
    <row r="333" spans="1:30" ht="15.75" x14ac:dyDescent="0.25">
      <c r="A333" s="14">
        <v>51074</v>
      </c>
      <c r="B333" s="91">
        <v>31</v>
      </c>
      <c r="C333" s="79">
        <f>131.881</f>
        <v>131.881</v>
      </c>
      <c r="D333" s="79">
        <f>277.167</f>
        <v>277.16699999999997</v>
      </c>
      <c r="E333" s="87">
        <f>79.08</f>
        <v>79.08</v>
      </c>
      <c r="F333" s="79">
        <f>350.872-40-25-60</f>
        <v>225.87200000000001</v>
      </c>
      <c r="G333" s="81">
        <v>40</v>
      </c>
      <c r="H333" s="79">
        <f t="shared" si="52"/>
        <v>85</v>
      </c>
      <c r="I333" s="79">
        <f t="shared" si="50"/>
        <v>0</v>
      </c>
      <c r="J333" s="81">
        <v>100</v>
      </c>
      <c r="K333" s="81">
        <v>300</v>
      </c>
      <c r="L333" s="79">
        <f t="shared" ref="L333:L396" si="53">SUM(C333:K333)</f>
        <v>1239</v>
      </c>
      <c r="M333" s="89">
        <v>600</v>
      </c>
      <c r="N333" s="79">
        <f>75</f>
        <v>75</v>
      </c>
      <c r="O333" s="81">
        <v>240</v>
      </c>
      <c r="P333" s="81">
        <v>160</v>
      </c>
      <c r="Q333" s="81">
        <f t="shared" ref="Q333:Q396" si="54">695-R333-O333-P333</f>
        <v>195</v>
      </c>
      <c r="R333" s="81">
        <f t="shared" ref="R333:R396" si="55">200-J333</f>
        <v>100</v>
      </c>
      <c r="S333" s="79">
        <f t="shared" ref="S333:S396" si="56">SUM(O333:R333)</f>
        <v>695</v>
      </c>
      <c r="T333" s="79">
        <f>0</f>
        <v>0</v>
      </c>
      <c r="U333" s="77"/>
      <c r="V333" s="77"/>
      <c r="W333" s="77"/>
      <c r="X333" s="77"/>
      <c r="Y333" s="77"/>
      <c r="Z333" s="77"/>
      <c r="AA333" s="77"/>
      <c r="AB333" s="77"/>
      <c r="AC333" s="77"/>
      <c r="AD333" s="77"/>
    </row>
    <row r="334" spans="1:30" ht="15.75" x14ac:dyDescent="0.25">
      <c r="A334" s="14">
        <v>51104</v>
      </c>
      <c r="B334" s="91">
        <v>30</v>
      </c>
      <c r="C334" s="79">
        <f>122.58</f>
        <v>122.58</v>
      </c>
      <c r="D334" s="79">
        <f>297.941</f>
        <v>297.94099999999997</v>
      </c>
      <c r="E334" s="87">
        <f>89.177</f>
        <v>89.177000000000007</v>
      </c>
      <c r="F334" s="79">
        <f>240.302-40-60</f>
        <v>140.30199999999999</v>
      </c>
      <c r="G334" s="81">
        <v>40</v>
      </c>
      <c r="H334" s="79">
        <v>60</v>
      </c>
      <c r="I334" s="79">
        <f t="shared" si="50"/>
        <v>0</v>
      </c>
      <c r="J334" s="81">
        <v>100</v>
      </c>
      <c r="K334" s="81">
        <v>300</v>
      </c>
      <c r="L334" s="79">
        <f t="shared" si="53"/>
        <v>1150</v>
      </c>
      <c r="M334" s="89">
        <v>600</v>
      </c>
      <c r="N334" s="79">
        <f>100</f>
        <v>100</v>
      </c>
      <c r="O334" s="81">
        <v>240</v>
      </c>
      <c r="P334" s="81">
        <v>40</v>
      </c>
      <c r="Q334" s="81">
        <f t="shared" si="54"/>
        <v>315</v>
      </c>
      <c r="R334" s="81">
        <f t="shared" si="55"/>
        <v>100</v>
      </c>
      <c r="S334" s="79">
        <f t="shared" si="56"/>
        <v>695</v>
      </c>
      <c r="T334" s="79">
        <f>50</f>
        <v>50</v>
      </c>
      <c r="U334" s="77"/>
      <c r="V334" s="77"/>
      <c r="W334" s="77"/>
      <c r="X334" s="77"/>
      <c r="Y334" s="77"/>
      <c r="Z334" s="77"/>
      <c r="AA334" s="77"/>
      <c r="AB334" s="77"/>
      <c r="AC334" s="77"/>
      <c r="AD334" s="77"/>
    </row>
    <row r="335" spans="1:30" ht="15.75" x14ac:dyDescent="0.25">
      <c r="A335" s="14">
        <v>51135</v>
      </c>
      <c r="B335" s="91">
        <v>31</v>
      </c>
      <c r="C335" s="79">
        <f>122.58</f>
        <v>122.58</v>
      </c>
      <c r="D335" s="79">
        <f>297.941</f>
        <v>297.94099999999997</v>
      </c>
      <c r="E335" s="87">
        <f>89.177</f>
        <v>89.177000000000007</v>
      </c>
      <c r="F335" s="79">
        <f>240.302-40-60</f>
        <v>140.30199999999999</v>
      </c>
      <c r="G335" s="81">
        <v>40</v>
      </c>
      <c r="H335" s="79">
        <v>60</v>
      </c>
      <c r="I335" s="79">
        <f t="shared" si="50"/>
        <v>0</v>
      </c>
      <c r="J335" s="81">
        <v>100</v>
      </c>
      <c r="K335" s="81">
        <v>300</v>
      </c>
      <c r="L335" s="79">
        <f t="shared" si="53"/>
        <v>1150</v>
      </c>
      <c r="M335" s="89">
        <v>600</v>
      </c>
      <c r="N335" s="79">
        <f>100</f>
        <v>100</v>
      </c>
      <c r="O335" s="81">
        <v>240</v>
      </c>
      <c r="P335" s="81">
        <v>40</v>
      </c>
      <c r="Q335" s="81">
        <f t="shared" si="54"/>
        <v>315</v>
      </c>
      <c r="R335" s="81">
        <f t="shared" si="55"/>
        <v>100</v>
      </c>
      <c r="S335" s="79">
        <f t="shared" si="56"/>
        <v>695</v>
      </c>
      <c r="T335" s="79">
        <f>50</f>
        <v>50</v>
      </c>
      <c r="U335" s="77"/>
      <c r="V335" s="77"/>
      <c r="W335" s="77"/>
      <c r="X335" s="77"/>
      <c r="Y335" s="77"/>
      <c r="Z335" s="77"/>
      <c r="AA335" s="77"/>
      <c r="AB335" s="77"/>
      <c r="AC335" s="77"/>
      <c r="AD335" s="77"/>
    </row>
    <row r="336" spans="1:30" ht="15.75" x14ac:dyDescent="0.25">
      <c r="A336" s="14">
        <v>51166</v>
      </c>
      <c r="B336" s="91">
        <v>31</v>
      </c>
      <c r="C336" s="79">
        <f>122.58</f>
        <v>122.58</v>
      </c>
      <c r="D336" s="79">
        <f>297.941</f>
        <v>297.94099999999997</v>
      </c>
      <c r="E336" s="87">
        <f>89.177</f>
        <v>89.177000000000007</v>
      </c>
      <c r="F336" s="79">
        <f>240.302-40-60</f>
        <v>140.30199999999999</v>
      </c>
      <c r="G336" s="81">
        <v>40</v>
      </c>
      <c r="H336" s="79">
        <v>60</v>
      </c>
      <c r="I336" s="79">
        <f t="shared" si="50"/>
        <v>0</v>
      </c>
      <c r="J336" s="81">
        <v>100</v>
      </c>
      <c r="K336" s="81">
        <v>300</v>
      </c>
      <c r="L336" s="79">
        <f t="shared" si="53"/>
        <v>1150</v>
      </c>
      <c r="M336" s="89">
        <v>600</v>
      </c>
      <c r="N336" s="79">
        <f>100</f>
        <v>100</v>
      </c>
      <c r="O336" s="81">
        <v>240</v>
      </c>
      <c r="P336" s="81">
        <v>40</v>
      </c>
      <c r="Q336" s="81">
        <f t="shared" si="54"/>
        <v>315</v>
      </c>
      <c r="R336" s="81">
        <f t="shared" si="55"/>
        <v>100</v>
      </c>
      <c r="S336" s="79">
        <f t="shared" si="56"/>
        <v>695</v>
      </c>
      <c r="T336" s="79">
        <f>50</f>
        <v>50</v>
      </c>
      <c r="U336" s="77"/>
      <c r="V336" s="77"/>
      <c r="W336" s="77"/>
      <c r="X336" s="77"/>
      <c r="Y336" s="77"/>
      <c r="Z336" s="77"/>
      <c r="AA336" s="77"/>
      <c r="AB336" s="77"/>
      <c r="AC336" s="77"/>
      <c r="AD336" s="77"/>
    </row>
    <row r="337" spans="1:30" ht="15.75" x14ac:dyDescent="0.25">
      <c r="A337" s="14">
        <v>51194</v>
      </c>
      <c r="B337" s="91">
        <v>29</v>
      </c>
      <c r="C337" s="79">
        <f>122.58</f>
        <v>122.58</v>
      </c>
      <c r="D337" s="79">
        <f>297.941</f>
        <v>297.94099999999997</v>
      </c>
      <c r="E337" s="87">
        <f>89.177</f>
        <v>89.177000000000007</v>
      </c>
      <c r="F337" s="79">
        <f>240.302-40-60</f>
        <v>140.30199999999999</v>
      </c>
      <c r="G337" s="81">
        <v>40</v>
      </c>
      <c r="H337" s="79">
        <v>60</v>
      </c>
      <c r="I337" s="79">
        <f t="shared" si="50"/>
        <v>0</v>
      </c>
      <c r="J337" s="81">
        <v>100</v>
      </c>
      <c r="K337" s="81">
        <v>300</v>
      </c>
      <c r="L337" s="79">
        <f t="shared" si="53"/>
        <v>1150</v>
      </c>
      <c r="M337" s="89">
        <v>600</v>
      </c>
      <c r="N337" s="79">
        <f>100</f>
        <v>100</v>
      </c>
      <c r="O337" s="81">
        <v>240</v>
      </c>
      <c r="P337" s="81">
        <v>40</v>
      </c>
      <c r="Q337" s="81">
        <f t="shared" si="54"/>
        <v>315</v>
      </c>
      <c r="R337" s="81">
        <f t="shared" si="55"/>
        <v>100</v>
      </c>
      <c r="S337" s="79">
        <f t="shared" si="56"/>
        <v>695</v>
      </c>
      <c r="T337" s="79">
        <f>50</f>
        <v>50</v>
      </c>
      <c r="U337" s="77"/>
      <c r="V337" s="77"/>
      <c r="W337" s="77"/>
      <c r="X337" s="77"/>
      <c r="Y337" s="77"/>
      <c r="Z337" s="77"/>
      <c r="AA337" s="77"/>
      <c r="AB337" s="77"/>
      <c r="AC337" s="77"/>
      <c r="AD337" s="77"/>
    </row>
    <row r="338" spans="1:30" ht="15.75" x14ac:dyDescent="0.25">
      <c r="A338" s="14">
        <v>51226</v>
      </c>
      <c r="B338" s="91">
        <v>31</v>
      </c>
      <c r="C338" s="79">
        <f>122.58</f>
        <v>122.58</v>
      </c>
      <c r="D338" s="79">
        <f>297.941</f>
        <v>297.94099999999997</v>
      </c>
      <c r="E338" s="87">
        <f>89.177</f>
        <v>89.177000000000007</v>
      </c>
      <c r="F338" s="79">
        <f>240.302-40-60</f>
        <v>140.30199999999999</v>
      </c>
      <c r="G338" s="81">
        <v>40</v>
      </c>
      <c r="H338" s="79">
        <v>60</v>
      </c>
      <c r="I338" s="79">
        <f t="shared" si="50"/>
        <v>0</v>
      </c>
      <c r="J338" s="81">
        <v>100</v>
      </c>
      <c r="K338" s="81">
        <v>300</v>
      </c>
      <c r="L338" s="79">
        <f t="shared" si="53"/>
        <v>1150</v>
      </c>
      <c r="M338" s="89">
        <v>600</v>
      </c>
      <c r="N338" s="79">
        <f>100</f>
        <v>100</v>
      </c>
      <c r="O338" s="81">
        <v>240</v>
      </c>
      <c r="P338" s="81">
        <v>40</v>
      </c>
      <c r="Q338" s="81">
        <f t="shared" si="54"/>
        <v>315</v>
      </c>
      <c r="R338" s="81">
        <f t="shared" si="55"/>
        <v>100</v>
      </c>
      <c r="S338" s="79">
        <f t="shared" si="56"/>
        <v>695</v>
      </c>
      <c r="T338" s="79">
        <f>50</f>
        <v>50</v>
      </c>
      <c r="U338" s="77"/>
      <c r="V338" s="77"/>
      <c r="W338" s="77"/>
      <c r="X338" s="77"/>
      <c r="Y338" s="77"/>
      <c r="Z338" s="77"/>
      <c r="AA338" s="77"/>
      <c r="AB338" s="77"/>
      <c r="AC338" s="77"/>
      <c r="AD338" s="77"/>
    </row>
    <row r="339" spans="1:30" ht="15.75" x14ac:dyDescent="0.25">
      <c r="A339" s="14">
        <v>51256</v>
      </c>
      <c r="B339" s="91">
        <v>30</v>
      </c>
      <c r="C339" s="79">
        <f>141.293</f>
        <v>141.29300000000001</v>
      </c>
      <c r="D339" s="79">
        <f>267.993</f>
        <v>267.99299999999999</v>
      </c>
      <c r="E339" s="87">
        <f>115.016</f>
        <v>115.01600000000001</v>
      </c>
      <c r="F339" s="79">
        <f>314.698-40-25-60</f>
        <v>189.69799999999998</v>
      </c>
      <c r="G339" s="81">
        <v>40</v>
      </c>
      <c r="H339" s="79">
        <f t="shared" ref="H339:H345" si="57">25+60</f>
        <v>85</v>
      </c>
      <c r="I339" s="79">
        <f t="shared" si="50"/>
        <v>0</v>
      </c>
      <c r="J339" s="81">
        <v>100</v>
      </c>
      <c r="K339" s="81">
        <v>300</v>
      </c>
      <c r="L339" s="79">
        <f t="shared" si="53"/>
        <v>1239</v>
      </c>
      <c r="M339" s="89">
        <v>600</v>
      </c>
      <c r="N339" s="79">
        <f>100</f>
        <v>100</v>
      </c>
      <c r="O339" s="81">
        <v>240</v>
      </c>
      <c r="P339" s="81">
        <v>160</v>
      </c>
      <c r="Q339" s="81">
        <f t="shared" si="54"/>
        <v>195</v>
      </c>
      <c r="R339" s="81">
        <f t="shared" si="55"/>
        <v>100</v>
      </c>
      <c r="S339" s="79">
        <f t="shared" si="56"/>
        <v>695</v>
      </c>
      <c r="T339" s="79">
        <f>50</f>
        <v>50</v>
      </c>
      <c r="U339" s="77"/>
      <c r="V339" s="77"/>
      <c r="W339" s="77"/>
      <c r="X339" s="77"/>
      <c r="Y339" s="77"/>
      <c r="Z339" s="77"/>
      <c r="AA339" s="77"/>
      <c r="AB339" s="77"/>
      <c r="AC339" s="77"/>
      <c r="AD339" s="77"/>
    </row>
    <row r="340" spans="1:30" ht="15.75" x14ac:dyDescent="0.25">
      <c r="A340" s="14">
        <v>51287</v>
      </c>
      <c r="B340" s="91">
        <v>31</v>
      </c>
      <c r="C340" s="79">
        <f>194.205</f>
        <v>194.20500000000001</v>
      </c>
      <c r="D340" s="79">
        <f>267.466</f>
        <v>267.46600000000001</v>
      </c>
      <c r="E340" s="87">
        <f>133.845</f>
        <v>133.845</v>
      </c>
      <c r="F340" s="79">
        <f>278.484-40-25-60</f>
        <v>153.48399999999998</v>
      </c>
      <c r="G340" s="81">
        <v>40</v>
      </c>
      <c r="H340" s="79">
        <f t="shared" si="57"/>
        <v>85</v>
      </c>
      <c r="I340" s="79">
        <f t="shared" si="50"/>
        <v>0</v>
      </c>
      <c r="J340" s="81">
        <v>100</v>
      </c>
      <c r="K340" s="81">
        <v>300</v>
      </c>
      <c r="L340" s="79">
        <f t="shared" si="53"/>
        <v>1274</v>
      </c>
      <c r="M340" s="89">
        <v>600</v>
      </c>
      <c r="N340" s="79">
        <f>75</f>
        <v>75</v>
      </c>
      <c r="O340" s="81">
        <v>240</v>
      </c>
      <c r="P340" s="81">
        <v>160</v>
      </c>
      <c r="Q340" s="81">
        <f t="shared" si="54"/>
        <v>195</v>
      </c>
      <c r="R340" s="81">
        <f t="shared" si="55"/>
        <v>100</v>
      </c>
      <c r="S340" s="79">
        <f t="shared" si="56"/>
        <v>695</v>
      </c>
      <c r="T340" s="79">
        <f>50</f>
        <v>50</v>
      </c>
      <c r="U340" s="77"/>
      <c r="V340" s="77"/>
      <c r="W340" s="77"/>
      <c r="X340" s="77"/>
      <c r="Y340" s="77"/>
      <c r="Z340" s="77"/>
      <c r="AA340" s="77"/>
      <c r="AB340" s="77"/>
      <c r="AC340" s="77"/>
      <c r="AD340" s="77"/>
    </row>
    <row r="341" spans="1:30" ht="15.75" x14ac:dyDescent="0.25">
      <c r="A341" s="14">
        <v>51317</v>
      </c>
      <c r="B341" s="91">
        <v>30</v>
      </c>
      <c r="C341" s="79">
        <f>194.205</f>
        <v>194.20500000000001</v>
      </c>
      <c r="D341" s="79">
        <f>267.466</f>
        <v>267.46600000000001</v>
      </c>
      <c r="E341" s="87">
        <f>133.845</f>
        <v>133.845</v>
      </c>
      <c r="F341" s="79">
        <f>278.484-40-25-60</f>
        <v>153.48399999999998</v>
      </c>
      <c r="G341" s="81">
        <v>40</v>
      </c>
      <c r="H341" s="79">
        <f t="shared" si="57"/>
        <v>85</v>
      </c>
      <c r="I341" s="79">
        <f t="shared" si="50"/>
        <v>0</v>
      </c>
      <c r="J341" s="81">
        <v>100</v>
      </c>
      <c r="K341" s="81">
        <v>300</v>
      </c>
      <c r="L341" s="79">
        <f t="shared" si="53"/>
        <v>1274</v>
      </c>
      <c r="M341" s="89">
        <v>600</v>
      </c>
      <c r="N341" s="79">
        <f>30</f>
        <v>30</v>
      </c>
      <c r="O341" s="81">
        <v>240</v>
      </c>
      <c r="P341" s="81">
        <v>160</v>
      </c>
      <c r="Q341" s="81">
        <f t="shared" si="54"/>
        <v>195</v>
      </c>
      <c r="R341" s="81">
        <f t="shared" si="55"/>
        <v>100</v>
      </c>
      <c r="S341" s="79">
        <f t="shared" si="56"/>
        <v>695</v>
      </c>
      <c r="T341" s="79">
        <f>50</f>
        <v>50</v>
      </c>
      <c r="U341" s="77"/>
      <c r="V341" s="77"/>
      <c r="W341" s="77"/>
      <c r="X341" s="77"/>
      <c r="Y341" s="77"/>
      <c r="Z341" s="77"/>
      <c r="AA341" s="77"/>
      <c r="AB341" s="77"/>
      <c r="AC341" s="77"/>
      <c r="AD341" s="77"/>
    </row>
    <row r="342" spans="1:30" ht="15.75" x14ac:dyDescent="0.25">
      <c r="A342" s="14">
        <v>51348</v>
      </c>
      <c r="B342" s="91">
        <v>31</v>
      </c>
      <c r="C342" s="79">
        <f>194.205</f>
        <v>194.20500000000001</v>
      </c>
      <c r="D342" s="79">
        <f>267.466</f>
        <v>267.46600000000001</v>
      </c>
      <c r="E342" s="87">
        <f>133.845</f>
        <v>133.845</v>
      </c>
      <c r="F342" s="79">
        <f>278.484-40-25-60</f>
        <v>153.48399999999998</v>
      </c>
      <c r="G342" s="81">
        <v>40</v>
      </c>
      <c r="H342" s="79">
        <f t="shared" si="57"/>
        <v>85</v>
      </c>
      <c r="I342" s="79">
        <f t="shared" si="50"/>
        <v>0</v>
      </c>
      <c r="J342" s="81">
        <v>100</v>
      </c>
      <c r="K342" s="81">
        <v>300</v>
      </c>
      <c r="L342" s="79">
        <f t="shared" si="53"/>
        <v>1274</v>
      </c>
      <c r="M342" s="89">
        <v>600</v>
      </c>
      <c r="N342" s="79">
        <f>30</f>
        <v>30</v>
      </c>
      <c r="O342" s="81">
        <v>240</v>
      </c>
      <c r="P342" s="81">
        <v>160</v>
      </c>
      <c r="Q342" s="81">
        <f t="shared" si="54"/>
        <v>195</v>
      </c>
      <c r="R342" s="81">
        <f t="shared" si="55"/>
        <v>100</v>
      </c>
      <c r="S342" s="79">
        <f t="shared" si="56"/>
        <v>695</v>
      </c>
      <c r="T342" s="79">
        <f>0</f>
        <v>0</v>
      </c>
      <c r="U342" s="77"/>
      <c r="V342" s="77"/>
      <c r="W342" s="77"/>
      <c r="X342" s="77"/>
      <c r="Y342" s="77"/>
      <c r="Z342" s="77"/>
      <c r="AA342" s="77"/>
      <c r="AB342" s="77"/>
      <c r="AC342" s="77"/>
      <c r="AD342" s="77"/>
    </row>
    <row r="343" spans="1:30" ht="15.75" x14ac:dyDescent="0.25">
      <c r="A343" s="14">
        <v>51379</v>
      </c>
      <c r="B343" s="91">
        <v>31</v>
      </c>
      <c r="C343" s="79">
        <f>194.205</f>
        <v>194.20500000000001</v>
      </c>
      <c r="D343" s="79">
        <f>267.466</f>
        <v>267.46600000000001</v>
      </c>
      <c r="E343" s="87">
        <f>133.845</f>
        <v>133.845</v>
      </c>
      <c r="F343" s="79">
        <f>278.484-40-25-60</f>
        <v>153.48399999999998</v>
      </c>
      <c r="G343" s="81">
        <v>40</v>
      </c>
      <c r="H343" s="79">
        <f t="shared" si="57"/>
        <v>85</v>
      </c>
      <c r="I343" s="79">
        <f t="shared" si="50"/>
        <v>0</v>
      </c>
      <c r="J343" s="81">
        <v>100</v>
      </c>
      <c r="K343" s="81">
        <v>300</v>
      </c>
      <c r="L343" s="79">
        <f t="shared" si="53"/>
        <v>1274</v>
      </c>
      <c r="M343" s="89">
        <v>600</v>
      </c>
      <c r="N343" s="79">
        <f>30</f>
        <v>30</v>
      </c>
      <c r="O343" s="81">
        <v>240</v>
      </c>
      <c r="P343" s="81">
        <v>160</v>
      </c>
      <c r="Q343" s="81">
        <f t="shared" si="54"/>
        <v>195</v>
      </c>
      <c r="R343" s="81">
        <f t="shared" si="55"/>
        <v>100</v>
      </c>
      <c r="S343" s="79">
        <f t="shared" si="56"/>
        <v>695</v>
      </c>
      <c r="T343" s="79">
        <f>0</f>
        <v>0</v>
      </c>
      <c r="U343" s="77"/>
      <c r="V343" s="77"/>
      <c r="W343" s="77"/>
      <c r="X343" s="77"/>
      <c r="Y343" s="77"/>
      <c r="Z343" s="77"/>
      <c r="AA343" s="77"/>
      <c r="AB343" s="77"/>
      <c r="AC343" s="77"/>
      <c r="AD343" s="77"/>
    </row>
    <row r="344" spans="1:30" ht="15.75" x14ac:dyDescent="0.25">
      <c r="A344" s="14">
        <v>51409</v>
      </c>
      <c r="B344" s="91">
        <v>30</v>
      </c>
      <c r="C344" s="79">
        <f>194.205</f>
        <v>194.20500000000001</v>
      </c>
      <c r="D344" s="79">
        <f>267.466</f>
        <v>267.46600000000001</v>
      </c>
      <c r="E344" s="87">
        <f>133.845</f>
        <v>133.845</v>
      </c>
      <c r="F344" s="79">
        <f>278.484-40-25-60</f>
        <v>153.48399999999998</v>
      </c>
      <c r="G344" s="81">
        <v>40</v>
      </c>
      <c r="H344" s="79">
        <f t="shared" si="57"/>
        <v>85</v>
      </c>
      <c r="I344" s="79">
        <f t="shared" si="50"/>
        <v>0</v>
      </c>
      <c r="J344" s="81">
        <v>100</v>
      </c>
      <c r="K344" s="81">
        <v>300</v>
      </c>
      <c r="L344" s="79">
        <f t="shared" si="53"/>
        <v>1274</v>
      </c>
      <c r="M344" s="89">
        <v>600</v>
      </c>
      <c r="N344" s="79">
        <f>30</f>
        <v>30</v>
      </c>
      <c r="O344" s="81">
        <v>240</v>
      </c>
      <c r="P344" s="81">
        <v>160</v>
      </c>
      <c r="Q344" s="81">
        <f t="shared" si="54"/>
        <v>195</v>
      </c>
      <c r="R344" s="81">
        <f t="shared" si="55"/>
        <v>100</v>
      </c>
      <c r="S344" s="79">
        <f t="shared" si="56"/>
        <v>695</v>
      </c>
      <c r="T344" s="79">
        <f>0</f>
        <v>0</v>
      </c>
      <c r="U344" s="77"/>
      <c r="V344" s="77"/>
      <c r="W344" s="77"/>
      <c r="X344" s="77"/>
      <c r="Y344" s="77"/>
      <c r="Z344" s="77"/>
      <c r="AA344" s="77"/>
      <c r="AB344" s="77"/>
      <c r="AC344" s="77"/>
      <c r="AD344" s="77"/>
    </row>
    <row r="345" spans="1:30" ht="15.75" x14ac:dyDescent="0.25">
      <c r="A345" s="14">
        <v>51440</v>
      </c>
      <c r="B345" s="91">
        <v>31</v>
      </c>
      <c r="C345" s="79">
        <f>131.881</f>
        <v>131.881</v>
      </c>
      <c r="D345" s="79">
        <f>277.167</f>
        <v>277.16699999999997</v>
      </c>
      <c r="E345" s="87">
        <f>79.08</f>
        <v>79.08</v>
      </c>
      <c r="F345" s="79">
        <f>350.872-40-25-60</f>
        <v>225.87200000000001</v>
      </c>
      <c r="G345" s="81">
        <v>40</v>
      </c>
      <c r="H345" s="79">
        <f t="shared" si="57"/>
        <v>85</v>
      </c>
      <c r="I345" s="79">
        <f t="shared" si="50"/>
        <v>0</v>
      </c>
      <c r="J345" s="81">
        <v>100</v>
      </c>
      <c r="K345" s="81">
        <v>300</v>
      </c>
      <c r="L345" s="79">
        <f t="shared" si="53"/>
        <v>1239</v>
      </c>
      <c r="M345" s="89">
        <v>600</v>
      </c>
      <c r="N345" s="79">
        <f>75</f>
        <v>75</v>
      </c>
      <c r="O345" s="81">
        <v>240</v>
      </c>
      <c r="P345" s="81">
        <v>160</v>
      </c>
      <c r="Q345" s="81">
        <f t="shared" si="54"/>
        <v>195</v>
      </c>
      <c r="R345" s="81">
        <f t="shared" si="55"/>
        <v>100</v>
      </c>
      <c r="S345" s="79">
        <f t="shared" si="56"/>
        <v>695</v>
      </c>
      <c r="T345" s="79">
        <f>0</f>
        <v>0</v>
      </c>
      <c r="U345" s="77"/>
      <c r="V345" s="77"/>
      <c r="W345" s="77"/>
      <c r="X345" s="77"/>
      <c r="Y345" s="77"/>
      <c r="Z345" s="77"/>
      <c r="AA345" s="77"/>
      <c r="AB345" s="77"/>
      <c r="AC345" s="77"/>
      <c r="AD345" s="77"/>
    </row>
    <row r="346" spans="1:30" ht="15.75" x14ac:dyDescent="0.25">
      <c r="A346" s="14">
        <v>51470</v>
      </c>
      <c r="B346" s="91">
        <v>30</v>
      </c>
      <c r="C346" s="79">
        <f>122.58</f>
        <v>122.58</v>
      </c>
      <c r="D346" s="79">
        <f>297.941</f>
        <v>297.94099999999997</v>
      </c>
      <c r="E346" s="87">
        <f>89.177</f>
        <v>89.177000000000007</v>
      </c>
      <c r="F346" s="79">
        <f>240.302-40-60</f>
        <v>140.30199999999999</v>
      </c>
      <c r="G346" s="81">
        <v>40</v>
      </c>
      <c r="H346" s="79">
        <v>60</v>
      </c>
      <c r="I346" s="79">
        <f t="shared" si="50"/>
        <v>0</v>
      </c>
      <c r="J346" s="81">
        <v>100</v>
      </c>
      <c r="K346" s="81">
        <v>300</v>
      </c>
      <c r="L346" s="79">
        <f t="shared" si="53"/>
        <v>1150</v>
      </c>
      <c r="M346" s="89">
        <v>600</v>
      </c>
      <c r="N346" s="79">
        <f>100</f>
        <v>100</v>
      </c>
      <c r="O346" s="81">
        <v>240</v>
      </c>
      <c r="P346" s="81">
        <v>40</v>
      </c>
      <c r="Q346" s="81">
        <f t="shared" si="54"/>
        <v>315</v>
      </c>
      <c r="R346" s="81">
        <f t="shared" si="55"/>
        <v>100</v>
      </c>
      <c r="S346" s="79">
        <f t="shared" si="56"/>
        <v>695</v>
      </c>
      <c r="T346" s="79">
        <f>50</f>
        <v>50</v>
      </c>
      <c r="U346" s="77"/>
      <c r="V346" s="77"/>
      <c r="W346" s="77"/>
      <c r="X346" s="77"/>
      <c r="Y346" s="77"/>
      <c r="Z346" s="77"/>
      <c r="AA346" s="77"/>
      <c r="AB346" s="77"/>
      <c r="AC346" s="77"/>
      <c r="AD346" s="77"/>
    </row>
    <row r="347" spans="1:30" ht="15.75" x14ac:dyDescent="0.25">
      <c r="A347" s="14">
        <v>51501</v>
      </c>
      <c r="B347" s="91">
        <v>31</v>
      </c>
      <c r="C347" s="79">
        <f>122.58</f>
        <v>122.58</v>
      </c>
      <c r="D347" s="79">
        <f>297.941</f>
        <v>297.94099999999997</v>
      </c>
      <c r="E347" s="87">
        <f>89.177</f>
        <v>89.177000000000007</v>
      </c>
      <c r="F347" s="79">
        <f>240.302-40-60</f>
        <v>140.30199999999999</v>
      </c>
      <c r="G347" s="81">
        <v>40</v>
      </c>
      <c r="H347" s="79">
        <v>60</v>
      </c>
      <c r="I347" s="79">
        <f t="shared" si="50"/>
        <v>0</v>
      </c>
      <c r="J347" s="81">
        <v>100</v>
      </c>
      <c r="K347" s="81">
        <v>300</v>
      </c>
      <c r="L347" s="79">
        <f t="shared" si="53"/>
        <v>1150</v>
      </c>
      <c r="M347" s="89">
        <v>600</v>
      </c>
      <c r="N347" s="79">
        <f>100</f>
        <v>100</v>
      </c>
      <c r="O347" s="81">
        <v>240</v>
      </c>
      <c r="P347" s="81">
        <v>40</v>
      </c>
      <c r="Q347" s="81">
        <f t="shared" si="54"/>
        <v>315</v>
      </c>
      <c r="R347" s="81">
        <f t="shared" si="55"/>
        <v>100</v>
      </c>
      <c r="S347" s="79">
        <f t="shared" si="56"/>
        <v>695</v>
      </c>
      <c r="T347" s="79">
        <f>50</f>
        <v>50</v>
      </c>
      <c r="U347" s="77"/>
      <c r="V347" s="77"/>
      <c r="W347" s="77"/>
      <c r="X347" s="77"/>
      <c r="Y347" s="77"/>
      <c r="Z347" s="77"/>
      <c r="AA347" s="77"/>
      <c r="AB347" s="77"/>
      <c r="AC347" s="77"/>
      <c r="AD347" s="77"/>
    </row>
    <row r="348" spans="1:30" ht="15.75" x14ac:dyDescent="0.25">
      <c r="A348" s="14">
        <v>51532</v>
      </c>
      <c r="B348" s="91">
        <v>31</v>
      </c>
      <c r="C348" s="79">
        <f>122.58</f>
        <v>122.58</v>
      </c>
      <c r="D348" s="79">
        <f>297.941</f>
        <v>297.94099999999997</v>
      </c>
      <c r="E348" s="87">
        <f>89.177</f>
        <v>89.177000000000007</v>
      </c>
      <c r="F348" s="79">
        <f>240.302-40-60</f>
        <v>140.30199999999999</v>
      </c>
      <c r="G348" s="81">
        <v>40</v>
      </c>
      <c r="H348" s="79">
        <v>60</v>
      </c>
      <c r="I348" s="79">
        <f t="shared" si="50"/>
        <v>0</v>
      </c>
      <c r="J348" s="81">
        <v>100</v>
      </c>
      <c r="K348" s="81">
        <v>300</v>
      </c>
      <c r="L348" s="79">
        <f t="shared" si="53"/>
        <v>1150</v>
      </c>
      <c r="M348" s="89">
        <v>600</v>
      </c>
      <c r="N348" s="79">
        <f>100</f>
        <v>100</v>
      </c>
      <c r="O348" s="81">
        <v>240</v>
      </c>
      <c r="P348" s="81">
        <v>40</v>
      </c>
      <c r="Q348" s="81">
        <f t="shared" si="54"/>
        <v>315</v>
      </c>
      <c r="R348" s="81">
        <f t="shared" si="55"/>
        <v>100</v>
      </c>
      <c r="S348" s="79">
        <f t="shared" si="56"/>
        <v>695</v>
      </c>
      <c r="T348" s="79">
        <f>50</f>
        <v>50</v>
      </c>
      <c r="U348" s="77"/>
      <c r="V348" s="77"/>
      <c r="W348" s="77"/>
      <c r="X348" s="77"/>
      <c r="Y348" s="77"/>
      <c r="Z348" s="77"/>
      <c r="AA348" s="77"/>
      <c r="AB348" s="77"/>
      <c r="AC348" s="77"/>
      <c r="AD348" s="77"/>
    </row>
    <row r="349" spans="1:30" ht="15.75" x14ac:dyDescent="0.25">
      <c r="A349" s="14">
        <v>51560</v>
      </c>
      <c r="B349" s="91">
        <v>28</v>
      </c>
      <c r="C349" s="79">
        <f>122.58</f>
        <v>122.58</v>
      </c>
      <c r="D349" s="79">
        <f>297.941</f>
        <v>297.94099999999997</v>
      </c>
      <c r="E349" s="87">
        <f>89.177</f>
        <v>89.177000000000007</v>
      </c>
      <c r="F349" s="79">
        <f>240.302-40-60</f>
        <v>140.30199999999999</v>
      </c>
      <c r="G349" s="81">
        <v>40</v>
      </c>
      <c r="H349" s="79">
        <v>60</v>
      </c>
      <c r="I349" s="79">
        <f t="shared" si="50"/>
        <v>0</v>
      </c>
      <c r="J349" s="81">
        <v>100</v>
      </c>
      <c r="K349" s="81">
        <v>300</v>
      </c>
      <c r="L349" s="79">
        <f t="shared" si="53"/>
        <v>1150</v>
      </c>
      <c r="M349" s="89">
        <v>600</v>
      </c>
      <c r="N349" s="79">
        <f>100</f>
        <v>100</v>
      </c>
      <c r="O349" s="81">
        <v>240</v>
      </c>
      <c r="P349" s="81">
        <v>40</v>
      </c>
      <c r="Q349" s="81">
        <f t="shared" si="54"/>
        <v>315</v>
      </c>
      <c r="R349" s="81">
        <f t="shared" si="55"/>
        <v>100</v>
      </c>
      <c r="S349" s="79">
        <f t="shared" si="56"/>
        <v>695</v>
      </c>
      <c r="T349" s="79">
        <f>50</f>
        <v>50</v>
      </c>
      <c r="U349" s="77"/>
      <c r="V349" s="77"/>
      <c r="W349" s="77"/>
      <c r="X349" s="77"/>
      <c r="Y349" s="77"/>
      <c r="Z349" s="77"/>
      <c r="AA349" s="77"/>
      <c r="AB349" s="77"/>
      <c r="AC349" s="77"/>
      <c r="AD349" s="77"/>
    </row>
    <row r="350" spans="1:30" ht="15.75" x14ac:dyDescent="0.25">
      <c r="A350" s="14">
        <v>51591</v>
      </c>
      <c r="B350" s="91">
        <v>31</v>
      </c>
      <c r="C350" s="79">
        <f>122.58</f>
        <v>122.58</v>
      </c>
      <c r="D350" s="79">
        <f>297.941</f>
        <v>297.94099999999997</v>
      </c>
      <c r="E350" s="87">
        <f>89.177</f>
        <v>89.177000000000007</v>
      </c>
      <c r="F350" s="79">
        <f>240.302-40-60</f>
        <v>140.30199999999999</v>
      </c>
      <c r="G350" s="81">
        <v>40</v>
      </c>
      <c r="H350" s="79">
        <v>60</v>
      </c>
      <c r="I350" s="79">
        <f t="shared" si="50"/>
        <v>0</v>
      </c>
      <c r="J350" s="81">
        <v>100</v>
      </c>
      <c r="K350" s="81">
        <v>300</v>
      </c>
      <c r="L350" s="79">
        <f t="shared" si="53"/>
        <v>1150</v>
      </c>
      <c r="M350" s="89">
        <v>600</v>
      </c>
      <c r="N350" s="79">
        <f>100</f>
        <v>100</v>
      </c>
      <c r="O350" s="81">
        <v>240</v>
      </c>
      <c r="P350" s="81">
        <v>40</v>
      </c>
      <c r="Q350" s="81">
        <f t="shared" si="54"/>
        <v>315</v>
      </c>
      <c r="R350" s="81">
        <f t="shared" si="55"/>
        <v>100</v>
      </c>
      <c r="S350" s="79">
        <f t="shared" si="56"/>
        <v>695</v>
      </c>
      <c r="T350" s="79">
        <f>50</f>
        <v>50</v>
      </c>
      <c r="U350" s="77"/>
      <c r="V350" s="77"/>
      <c r="W350" s="77"/>
      <c r="X350" s="77"/>
      <c r="Y350" s="77"/>
      <c r="Z350" s="77"/>
      <c r="AA350" s="77"/>
      <c r="AB350" s="77"/>
      <c r="AC350" s="77"/>
      <c r="AD350" s="77"/>
    </row>
    <row r="351" spans="1:30" ht="15.75" x14ac:dyDescent="0.25">
      <c r="A351" s="14">
        <v>51621</v>
      </c>
      <c r="B351" s="91">
        <v>30</v>
      </c>
      <c r="C351" s="79">
        <f>141.293</f>
        <v>141.29300000000001</v>
      </c>
      <c r="D351" s="79">
        <f>267.993</f>
        <v>267.99299999999999</v>
      </c>
      <c r="E351" s="87">
        <f>115.016</f>
        <v>115.01600000000001</v>
      </c>
      <c r="F351" s="79">
        <f>314.698-40-25-60</f>
        <v>189.69799999999998</v>
      </c>
      <c r="G351" s="81">
        <v>40</v>
      </c>
      <c r="H351" s="79">
        <f t="shared" ref="H351:H357" si="58">25+60</f>
        <v>85</v>
      </c>
      <c r="I351" s="79">
        <f t="shared" si="50"/>
        <v>0</v>
      </c>
      <c r="J351" s="81">
        <v>100</v>
      </c>
      <c r="K351" s="81">
        <v>300</v>
      </c>
      <c r="L351" s="79">
        <f t="shared" si="53"/>
        <v>1239</v>
      </c>
      <c r="M351" s="89">
        <v>600</v>
      </c>
      <c r="N351" s="79">
        <f>100</f>
        <v>100</v>
      </c>
      <c r="O351" s="81">
        <v>240</v>
      </c>
      <c r="P351" s="81">
        <v>160</v>
      </c>
      <c r="Q351" s="81">
        <f t="shared" si="54"/>
        <v>195</v>
      </c>
      <c r="R351" s="81">
        <f t="shared" si="55"/>
        <v>100</v>
      </c>
      <c r="S351" s="79">
        <f t="shared" si="56"/>
        <v>695</v>
      </c>
      <c r="T351" s="79">
        <f>50</f>
        <v>50</v>
      </c>
      <c r="U351" s="77"/>
      <c r="V351" s="77"/>
      <c r="W351" s="77"/>
      <c r="X351" s="77"/>
      <c r="Y351" s="77"/>
      <c r="Z351" s="77"/>
      <c r="AA351" s="77"/>
      <c r="AB351" s="77"/>
      <c r="AC351" s="77"/>
      <c r="AD351" s="77"/>
    </row>
    <row r="352" spans="1:30" ht="15.75" x14ac:dyDescent="0.25">
      <c r="A352" s="14">
        <v>51652</v>
      </c>
      <c r="B352" s="91">
        <v>31</v>
      </c>
      <c r="C352" s="79">
        <f>194.205</f>
        <v>194.20500000000001</v>
      </c>
      <c r="D352" s="79">
        <f>267.466</f>
        <v>267.46600000000001</v>
      </c>
      <c r="E352" s="87">
        <f>133.845</f>
        <v>133.845</v>
      </c>
      <c r="F352" s="79">
        <f>278.484-40-25-60</f>
        <v>153.48399999999998</v>
      </c>
      <c r="G352" s="81">
        <v>40</v>
      </c>
      <c r="H352" s="79">
        <f t="shared" si="58"/>
        <v>85</v>
      </c>
      <c r="I352" s="79">
        <f t="shared" si="50"/>
        <v>0</v>
      </c>
      <c r="J352" s="81">
        <v>100</v>
      </c>
      <c r="K352" s="81">
        <v>300</v>
      </c>
      <c r="L352" s="79">
        <f t="shared" si="53"/>
        <v>1274</v>
      </c>
      <c r="M352" s="89">
        <v>600</v>
      </c>
      <c r="N352" s="79">
        <f>75</f>
        <v>75</v>
      </c>
      <c r="O352" s="81">
        <v>240</v>
      </c>
      <c r="P352" s="81">
        <v>160</v>
      </c>
      <c r="Q352" s="81">
        <f t="shared" si="54"/>
        <v>195</v>
      </c>
      <c r="R352" s="81">
        <f t="shared" si="55"/>
        <v>100</v>
      </c>
      <c r="S352" s="79">
        <f t="shared" si="56"/>
        <v>695</v>
      </c>
      <c r="T352" s="79">
        <f>50</f>
        <v>50</v>
      </c>
      <c r="U352" s="77"/>
      <c r="V352" s="77"/>
      <c r="W352" s="77"/>
      <c r="X352" s="77"/>
      <c r="Y352" s="77"/>
      <c r="Z352" s="77"/>
      <c r="AA352" s="77"/>
      <c r="AB352" s="77"/>
      <c r="AC352" s="77"/>
      <c r="AD352" s="77"/>
    </row>
    <row r="353" spans="1:30" ht="15.75" x14ac:dyDescent="0.25">
      <c r="A353" s="14">
        <v>51682</v>
      </c>
      <c r="B353" s="91">
        <v>30</v>
      </c>
      <c r="C353" s="79">
        <f>194.205</f>
        <v>194.20500000000001</v>
      </c>
      <c r="D353" s="79">
        <f>267.466</f>
        <v>267.46600000000001</v>
      </c>
      <c r="E353" s="87">
        <f>133.845</f>
        <v>133.845</v>
      </c>
      <c r="F353" s="79">
        <f>278.484-40-25-60</f>
        <v>153.48399999999998</v>
      </c>
      <c r="G353" s="81">
        <v>40</v>
      </c>
      <c r="H353" s="79">
        <f t="shared" si="58"/>
        <v>85</v>
      </c>
      <c r="I353" s="79">
        <f t="shared" si="50"/>
        <v>0</v>
      </c>
      <c r="J353" s="81">
        <v>100</v>
      </c>
      <c r="K353" s="81">
        <v>300</v>
      </c>
      <c r="L353" s="79">
        <f t="shared" si="53"/>
        <v>1274</v>
      </c>
      <c r="M353" s="89">
        <v>600</v>
      </c>
      <c r="N353" s="79">
        <f>30</f>
        <v>30</v>
      </c>
      <c r="O353" s="81">
        <v>240</v>
      </c>
      <c r="P353" s="81">
        <v>160</v>
      </c>
      <c r="Q353" s="81">
        <f t="shared" si="54"/>
        <v>195</v>
      </c>
      <c r="R353" s="81">
        <f t="shared" si="55"/>
        <v>100</v>
      </c>
      <c r="S353" s="79">
        <f t="shared" si="56"/>
        <v>695</v>
      </c>
      <c r="T353" s="79">
        <f>50</f>
        <v>50</v>
      </c>
      <c r="U353" s="77"/>
      <c r="V353" s="77"/>
      <c r="W353" s="77"/>
      <c r="X353" s="77"/>
      <c r="Y353" s="77"/>
      <c r="Z353" s="77"/>
      <c r="AA353" s="77"/>
      <c r="AB353" s="77"/>
      <c r="AC353" s="77"/>
      <c r="AD353" s="77"/>
    </row>
    <row r="354" spans="1:30" ht="15.75" x14ac:dyDescent="0.25">
      <c r="A354" s="14">
        <v>51713</v>
      </c>
      <c r="B354" s="91">
        <v>31</v>
      </c>
      <c r="C354" s="79">
        <f>194.205</f>
        <v>194.20500000000001</v>
      </c>
      <c r="D354" s="79">
        <f>267.466</f>
        <v>267.46600000000001</v>
      </c>
      <c r="E354" s="87">
        <f>133.845</f>
        <v>133.845</v>
      </c>
      <c r="F354" s="79">
        <f>278.484-40-25-60</f>
        <v>153.48399999999998</v>
      </c>
      <c r="G354" s="81">
        <v>40</v>
      </c>
      <c r="H354" s="79">
        <f t="shared" si="58"/>
        <v>85</v>
      </c>
      <c r="I354" s="79">
        <f t="shared" si="50"/>
        <v>0</v>
      </c>
      <c r="J354" s="81">
        <v>100</v>
      </c>
      <c r="K354" s="81">
        <v>300</v>
      </c>
      <c r="L354" s="79">
        <f t="shared" si="53"/>
        <v>1274</v>
      </c>
      <c r="M354" s="89">
        <v>600</v>
      </c>
      <c r="N354" s="79">
        <f>30</f>
        <v>30</v>
      </c>
      <c r="O354" s="81">
        <v>240</v>
      </c>
      <c r="P354" s="81">
        <v>160</v>
      </c>
      <c r="Q354" s="81">
        <f t="shared" si="54"/>
        <v>195</v>
      </c>
      <c r="R354" s="81">
        <f t="shared" si="55"/>
        <v>100</v>
      </c>
      <c r="S354" s="79">
        <f t="shared" si="56"/>
        <v>695</v>
      </c>
      <c r="T354" s="79">
        <f>0</f>
        <v>0</v>
      </c>
      <c r="U354" s="77"/>
      <c r="V354" s="77"/>
      <c r="W354" s="77"/>
      <c r="X354" s="77"/>
      <c r="Y354" s="77"/>
      <c r="Z354" s="77"/>
      <c r="AA354" s="77"/>
      <c r="AB354" s="77"/>
      <c r="AC354" s="77"/>
      <c r="AD354" s="77"/>
    </row>
    <row r="355" spans="1:30" ht="15.75" x14ac:dyDescent="0.25">
      <c r="A355" s="14">
        <v>51744</v>
      </c>
      <c r="B355" s="91">
        <v>31</v>
      </c>
      <c r="C355" s="79">
        <f>194.205</f>
        <v>194.20500000000001</v>
      </c>
      <c r="D355" s="79">
        <f>267.466</f>
        <v>267.46600000000001</v>
      </c>
      <c r="E355" s="87">
        <f>133.845</f>
        <v>133.845</v>
      </c>
      <c r="F355" s="79">
        <f>278.484-40-25-60</f>
        <v>153.48399999999998</v>
      </c>
      <c r="G355" s="81">
        <v>40</v>
      </c>
      <c r="H355" s="79">
        <f t="shared" si="58"/>
        <v>85</v>
      </c>
      <c r="I355" s="79">
        <f t="shared" si="50"/>
        <v>0</v>
      </c>
      <c r="J355" s="81">
        <v>100</v>
      </c>
      <c r="K355" s="81">
        <v>300</v>
      </c>
      <c r="L355" s="79">
        <f t="shared" si="53"/>
        <v>1274</v>
      </c>
      <c r="M355" s="89">
        <v>600</v>
      </c>
      <c r="N355" s="79">
        <f>30</f>
        <v>30</v>
      </c>
      <c r="O355" s="81">
        <v>240</v>
      </c>
      <c r="P355" s="81">
        <v>160</v>
      </c>
      <c r="Q355" s="81">
        <f t="shared" si="54"/>
        <v>195</v>
      </c>
      <c r="R355" s="81">
        <f t="shared" si="55"/>
        <v>100</v>
      </c>
      <c r="S355" s="79">
        <f t="shared" si="56"/>
        <v>695</v>
      </c>
      <c r="T355" s="79">
        <f>0</f>
        <v>0</v>
      </c>
      <c r="U355" s="77"/>
      <c r="V355" s="77"/>
      <c r="W355" s="77"/>
      <c r="X355" s="77"/>
      <c r="Y355" s="77"/>
      <c r="Z355" s="77"/>
      <c r="AA355" s="77"/>
      <c r="AB355" s="77"/>
      <c r="AC355" s="77"/>
      <c r="AD355" s="77"/>
    </row>
    <row r="356" spans="1:30" ht="15.75" x14ac:dyDescent="0.25">
      <c r="A356" s="14">
        <v>51774</v>
      </c>
      <c r="B356" s="91">
        <v>30</v>
      </c>
      <c r="C356" s="79">
        <f>194.205</f>
        <v>194.20500000000001</v>
      </c>
      <c r="D356" s="79">
        <f>267.466</f>
        <v>267.46600000000001</v>
      </c>
      <c r="E356" s="87">
        <f>133.845</f>
        <v>133.845</v>
      </c>
      <c r="F356" s="79">
        <f>278.484-40-25-60</f>
        <v>153.48399999999998</v>
      </c>
      <c r="G356" s="81">
        <v>40</v>
      </c>
      <c r="H356" s="79">
        <f t="shared" si="58"/>
        <v>85</v>
      </c>
      <c r="I356" s="79">
        <f t="shared" si="50"/>
        <v>0</v>
      </c>
      <c r="J356" s="81">
        <v>100</v>
      </c>
      <c r="K356" s="81">
        <v>300</v>
      </c>
      <c r="L356" s="79">
        <f t="shared" si="53"/>
        <v>1274</v>
      </c>
      <c r="M356" s="89">
        <v>600</v>
      </c>
      <c r="N356" s="79">
        <f>30</f>
        <v>30</v>
      </c>
      <c r="O356" s="81">
        <v>240</v>
      </c>
      <c r="P356" s="81">
        <v>160</v>
      </c>
      <c r="Q356" s="81">
        <f t="shared" si="54"/>
        <v>195</v>
      </c>
      <c r="R356" s="81">
        <f t="shared" si="55"/>
        <v>100</v>
      </c>
      <c r="S356" s="79">
        <f t="shared" si="56"/>
        <v>695</v>
      </c>
      <c r="T356" s="79">
        <f>0</f>
        <v>0</v>
      </c>
      <c r="U356" s="77"/>
      <c r="V356" s="77"/>
      <c r="W356" s="77"/>
      <c r="X356" s="77"/>
      <c r="Y356" s="77"/>
      <c r="Z356" s="77"/>
      <c r="AA356" s="77"/>
      <c r="AB356" s="77"/>
      <c r="AC356" s="77"/>
      <c r="AD356" s="77"/>
    </row>
    <row r="357" spans="1:30" ht="15.75" x14ac:dyDescent="0.25">
      <c r="A357" s="14">
        <v>51805</v>
      </c>
      <c r="B357" s="91">
        <v>31</v>
      </c>
      <c r="C357" s="79">
        <f>131.881</f>
        <v>131.881</v>
      </c>
      <c r="D357" s="79">
        <f>277.167</f>
        <v>277.16699999999997</v>
      </c>
      <c r="E357" s="87">
        <f>79.08</f>
        <v>79.08</v>
      </c>
      <c r="F357" s="79">
        <f>350.872-40-25-60</f>
        <v>225.87200000000001</v>
      </c>
      <c r="G357" s="81">
        <v>40</v>
      </c>
      <c r="H357" s="79">
        <f t="shared" si="58"/>
        <v>85</v>
      </c>
      <c r="I357" s="79">
        <f t="shared" si="50"/>
        <v>0</v>
      </c>
      <c r="J357" s="81">
        <v>100</v>
      </c>
      <c r="K357" s="81">
        <v>300</v>
      </c>
      <c r="L357" s="79">
        <f t="shared" si="53"/>
        <v>1239</v>
      </c>
      <c r="M357" s="89">
        <v>600</v>
      </c>
      <c r="N357" s="79">
        <f>75</f>
        <v>75</v>
      </c>
      <c r="O357" s="81">
        <v>240</v>
      </c>
      <c r="P357" s="81">
        <v>160</v>
      </c>
      <c r="Q357" s="81">
        <f t="shared" si="54"/>
        <v>195</v>
      </c>
      <c r="R357" s="81">
        <f t="shared" si="55"/>
        <v>100</v>
      </c>
      <c r="S357" s="79">
        <f t="shared" si="56"/>
        <v>695</v>
      </c>
      <c r="T357" s="79">
        <f>0</f>
        <v>0</v>
      </c>
      <c r="U357" s="77"/>
      <c r="V357" s="77"/>
      <c r="W357" s="77"/>
      <c r="X357" s="77"/>
      <c r="Y357" s="77"/>
      <c r="Z357" s="77"/>
      <c r="AA357" s="77"/>
      <c r="AB357" s="77"/>
      <c r="AC357" s="77"/>
      <c r="AD357" s="77"/>
    </row>
    <row r="358" spans="1:30" ht="15.75" x14ac:dyDescent="0.25">
      <c r="A358" s="14">
        <v>51835</v>
      </c>
      <c r="B358" s="91">
        <v>30</v>
      </c>
      <c r="C358" s="79">
        <f>122.58</f>
        <v>122.58</v>
      </c>
      <c r="D358" s="79">
        <f>297.941</f>
        <v>297.94099999999997</v>
      </c>
      <c r="E358" s="87">
        <f>89.177</f>
        <v>89.177000000000007</v>
      </c>
      <c r="F358" s="79">
        <f>240.302-40-60</f>
        <v>140.30199999999999</v>
      </c>
      <c r="G358" s="81">
        <v>40</v>
      </c>
      <c r="H358" s="79">
        <v>60</v>
      </c>
      <c r="I358" s="79">
        <f t="shared" si="50"/>
        <v>0</v>
      </c>
      <c r="J358" s="81">
        <v>100</v>
      </c>
      <c r="K358" s="81">
        <v>300</v>
      </c>
      <c r="L358" s="79">
        <f t="shared" si="53"/>
        <v>1150</v>
      </c>
      <c r="M358" s="89">
        <v>600</v>
      </c>
      <c r="N358" s="79">
        <f>100</f>
        <v>100</v>
      </c>
      <c r="O358" s="81">
        <v>240</v>
      </c>
      <c r="P358" s="81">
        <v>40</v>
      </c>
      <c r="Q358" s="81">
        <f t="shared" si="54"/>
        <v>315</v>
      </c>
      <c r="R358" s="81">
        <f t="shared" si="55"/>
        <v>100</v>
      </c>
      <c r="S358" s="79">
        <f t="shared" si="56"/>
        <v>695</v>
      </c>
      <c r="T358" s="79">
        <f>50</f>
        <v>50</v>
      </c>
      <c r="U358" s="77"/>
      <c r="V358" s="77"/>
      <c r="W358" s="77"/>
      <c r="X358" s="77"/>
      <c r="Y358" s="77"/>
      <c r="Z358" s="77"/>
      <c r="AA358" s="77"/>
      <c r="AB358" s="77"/>
      <c r="AC358" s="77"/>
      <c r="AD358" s="77"/>
    </row>
    <row r="359" spans="1:30" ht="15.75" x14ac:dyDescent="0.25">
      <c r="A359" s="14">
        <v>51866</v>
      </c>
      <c r="B359" s="91">
        <v>31</v>
      </c>
      <c r="C359" s="79">
        <f>122.58</f>
        <v>122.58</v>
      </c>
      <c r="D359" s="79">
        <f>297.941</f>
        <v>297.94099999999997</v>
      </c>
      <c r="E359" s="87">
        <f>89.177</f>
        <v>89.177000000000007</v>
      </c>
      <c r="F359" s="79">
        <f>240.302-40-60</f>
        <v>140.30199999999999</v>
      </c>
      <c r="G359" s="81">
        <v>40</v>
      </c>
      <c r="H359" s="79">
        <v>60</v>
      </c>
      <c r="I359" s="79">
        <f t="shared" si="50"/>
        <v>0</v>
      </c>
      <c r="J359" s="81">
        <v>100</v>
      </c>
      <c r="K359" s="81">
        <v>300</v>
      </c>
      <c r="L359" s="79">
        <f t="shared" si="53"/>
        <v>1150</v>
      </c>
      <c r="M359" s="89">
        <v>600</v>
      </c>
      <c r="N359" s="79">
        <f>100</f>
        <v>100</v>
      </c>
      <c r="O359" s="81">
        <v>240</v>
      </c>
      <c r="P359" s="81">
        <v>40</v>
      </c>
      <c r="Q359" s="81">
        <f t="shared" si="54"/>
        <v>315</v>
      </c>
      <c r="R359" s="81">
        <f t="shared" si="55"/>
        <v>100</v>
      </c>
      <c r="S359" s="79">
        <f t="shared" si="56"/>
        <v>695</v>
      </c>
      <c r="T359" s="79">
        <f>50</f>
        <v>50</v>
      </c>
      <c r="U359" s="77"/>
      <c r="V359" s="77"/>
      <c r="W359" s="77"/>
      <c r="X359" s="77"/>
      <c r="Y359" s="77"/>
      <c r="Z359" s="77"/>
      <c r="AA359" s="77"/>
      <c r="AB359" s="77"/>
      <c r="AC359" s="77"/>
      <c r="AD359" s="77"/>
    </row>
    <row r="360" spans="1:30" ht="15.75" x14ac:dyDescent="0.25">
      <c r="A360" s="14">
        <v>51897</v>
      </c>
      <c r="B360" s="91">
        <v>31</v>
      </c>
      <c r="C360" s="79">
        <f>122.58</f>
        <v>122.58</v>
      </c>
      <c r="D360" s="79">
        <f>297.941</f>
        <v>297.94099999999997</v>
      </c>
      <c r="E360" s="87">
        <f>89.177</f>
        <v>89.177000000000007</v>
      </c>
      <c r="F360" s="79">
        <f>240.302-40-60</f>
        <v>140.30199999999999</v>
      </c>
      <c r="G360" s="81">
        <v>40</v>
      </c>
      <c r="H360" s="79">
        <v>60</v>
      </c>
      <c r="I360" s="79">
        <f t="shared" si="50"/>
        <v>0</v>
      </c>
      <c r="J360" s="81">
        <v>100</v>
      </c>
      <c r="K360" s="81">
        <v>300</v>
      </c>
      <c r="L360" s="79">
        <f t="shared" si="53"/>
        <v>1150</v>
      </c>
      <c r="M360" s="89">
        <v>600</v>
      </c>
      <c r="N360" s="79">
        <f>100</f>
        <v>100</v>
      </c>
      <c r="O360" s="81">
        <v>240</v>
      </c>
      <c r="P360" s="81">
        <v>40</v>
      </c>
      <c r="Q360" s="81">
        <f t="shared" si="54"/>
        <v>315</v>
      </c>
      <c r="R360" s="81">
        <f t="shared" si="55"/>
        <v>100</v>
      </c>
      <c r="S360" s="79">
        <f t="shared" si="56"/>
        <v>695</v>
      </c>
      <c r="T360" s="79">
        <f>50</f>
        <v>50</v>
      </c>
      <c r="U360" s="77"/>
      <c r="V360" s="77"/>
      <c r="W360" s="77"/>
      <c r="X360" s="77"/>
      <c r="Y360" s="77"/>
      <c r="Z360" s="77"/>
      <c r="AA360" s="77"/>
      <c r="AB360" s="77"/>
      <c r="AC360" s="77"/>
      <c r="AD360" s="77"/>
    </row>
    <row r="361" spans="1:30" ht="15.75" x14ac:dyDescent="0.25">
      <c r="A361" s="14">
        <v>51925</v>
      </c>
      <c r="B361" s="91">
        <v>28</v>
      </c>
      <c r="C361" s="79">
        <f>122.58</f>
        <v>122.58</v>
      </c>
      <c r="D361" s="79">
        <f>297.941</f>
        <v>297.94099999999997</v>
      </c>
      <c r="E361" s="87">
        <f>89.177</f>
        <v>89.177000000000007</v>
      </c>
      <c r="F361" s="79">
        <f>240.302-40-60</f>
        <v>140.30199999999999</v>
      </c>
      <c r="G361" s="81">
        <v>40</v>
      </c>
      <c r="H361" s="79">
        <v>60</v>
      </c>
      <c r="I361" s="79">
        <f t="shared" si="50"/>
        <v>0</v>
      </c>
      <c r="J361" s="81">
        <v>100</v>
      </c>
      <c r="K361" s="81">
        <v>300</v>
      </c>
      <c r="L361" s="79">
        <f t="shared" si="53"/>
        <v>1150</v>
      </c>
      <c r="M361" s="89">
        <v>600</v>
      </c>
      <c r="N361" s="79">
        <f>100</f>
        <v>100</v>
      </c>
      <c r="O361" s="81">
        <v>240</v>
      </c>
      <c r="P361" s="81">
        <v>40</v>
      </c>
      <c r="Q361" s="81">
        <f t="shared" si="54"/>
        <v>315</v>
      </c>
      <c r="R361" s="81">
        <f t="shared" si="55"/>
        <v>100</v>
      </c>
      <c r="S361" s="79">
        <f t="shared" si="56"/>
        <v>695</v>
      </c>
      <c r="T361" s="79">
        <f>50</f>
        <v>50</v>
      </c>
      <c r="U361" s="77"/>
      <c r="V361" s="77"/>
      <c r="W361" s="77"/>
      <c r="X361" s="77"/>
      <c r="Y361" s="77"/>
      <c r="Z361" s="77"/>
      <c r="AA361" s="77"/>
      <c r="AB361" s="77"/>
      <c r="AC361" s="77"/>
      <c r="AD361" s="77"/>
    </row>
    <row r="362" spans="1:30" ht="15.75" x14ac:dyDescent="0.25">
      <c r="A362" s="14">
        <v>51956</v>
      </c>
      <c r="B362" s="91">
        <v>31</v>
      </c>
      <c r="C362" s="79">
        <f>122.58</f>
        <v>122.58</v>
      </c>
      <c r="D362" s="79">
        <f>297.941</f>
        <v>297.94099999999997</v>
      </c>
      <c r="E362" s="87">
        <f>89.177</f>
        <v>89.177000000000007</v>
      </c>
      <c r="F362" s="79">
        <f>240.302-40-60</f>
        <v>140.30199999999999</v>
      </c>
      <c r="G362" s="81">
        <v>40</v>
      </c>
      <c r="H362" s="79">
        <v>60</v>
      </c>
      <c r="I362" s="79">
        <f t="shared" si="50"/>
        <v>0</v>
      </c>
      <c r="J362" s="81">
        <v>100</v>
      </c>
      <c r="K362" s="81">
        <v>300</v>
      </c>
      <c r="L362" s="79">
        <f t="shared" si="53"/>
        <v>1150</v>
      </c>
      <c r="M362" s="89">
        <v>600</v>
      </c>
      <c r="N362" s="79">
        <f>100</f>
        <v>100</v>
      </c>
      <c r="O362" s="81">
        <v>240</v>
      </c>
      <c r="P362" s="81">
        <v>40</v>
      </c>
      <c r="Q362" s="81">
        <f t="shared" si="54"/>
        <v>315</v>
      </c>
      <c r="R362" s="81">
        <f t="shared" si="55"/>
        <v>100</v>
      </c>
      <c r="S362" s="79">
        <f t="shared" si="56"/>
        <v>695</v>
      </c>
      <c r="T362" s="79">
        <f>50</f>
        <v>50</v>
      </c>
      <c r="U362" s="77"/>
      <c r="V362" s="77"/>
      <c r="W362" s="77"/>
      <c r="X362" s="77"/>
      <c r="Y362" s="77"/>
      <c r="Z362" s="77"/>
      <c r="AA362" s="77"/>
      <c r="AB362" s="77"/>
      <c r="AC362" s="77"/>
      <c r="AD362" s="77"/>
    </row>
    <row r="363" spans="1:30" ht="15.75" x14ac:dyDescent="0.25">
      <c r="A363" s="14">
        <v>51986</v>
      </c>
      <c r="B363" s="91">
        <v>30</v>
      </c>
      <c r="C363" s="79">
        <f>141.293</f>
        <v>141.29300000000001</v>
      </c>
      <c r="D363" s="79">
        <f>267.993</f>
        <v>267.99299999999999</v>
      </c>
      <c r="E363" s="87">
        <f>115.016</f>
        <v>115.01600000000001</v>
      </c>
      <c r="F363" s="79">
        <f>314.698-40-25-60</f>
        <v>189.69799999999998</v>
      </c>
      <c r="G363" s="81">
        <v>40</v>
      </c>
      <c r="H363" s="79">
        <f t="shared" ref="H363:H369" si="59">25+60</f>
        <v>85</v>
      </c>
      <c r="I363" s="79">
        <f t="shared" si="50"/>
        <v>0</v>
      </c>
      <c r="J363" s="81">
        <v>100</v>
      </c>
      <c r="K363" s="81">
        <v>300</v>
      </c>
      <c r="L363" s="79">
        <f t="shared" si="53"/>
        <v>1239</v>
      </c>
      <c r="M363" s="89">
        <v>600</v>
      </c>
      <c r="N363" s="79">
        <f>100</f>
        <v>100</v>
      </c>
      <c r="O363" s="81">
        <v>240</v>
      </c>
      <c r="P363" s="81">
        <v>160</v>
      </c>
      <c r="Q363" s="81">
        <f t="shared" si="54"/>
        <v>195</v>
      </c>
      <c r="R363" s="81">
        <f t="shared" si="55"/>
        <v>100</v>
      </c>
      <c r="S363" s="79">
        <f t="shared" si="56"/>
        <v>695</v>
      </c>
      <c r="T363" s="79">
        <f>50</f>
        <v>50</v>
      </c>
      <c r="U363" s="77"/>
      <c r="V363" s="77"/>
      <c r="W363" s="77"/>
      <c r="X363" s="77"/>
      <c r="Y363" s="77"/>
      <c r="Z363" s="77"/>
      <c r="AA363" s="77"/>
      <c r="AB363" s="77"/>
      <c r="AC363" s="77"/>
      <c r="AD363" s="77"/>
    </row>
    <row r="364" spans="1:30" ht="15.75" x14ac:dyDescent="0.25">
      <c r="A364" s="14">
        <v>52017</v>
      </c>
      <c r="B364" s="91">
        <v>31</v>
      </c>
      <c r="C364" s="79">
        <f>194.205</f>
        <v>194.20500000000001</v>
      </c>
      <c r="D364" s="79">
        <f>267.466</f>
        <v>267.46600000000001</v>
      </c>
      <c r="E364" s="87">
        <f>133.845</f>
        <v>133.845</v>
      </c>
      <c r="F364" s="79">
        <f>278.484-40-25-60</f>
        <v>153.48399999999998</v>
      </c>
      <c r="G364" s="81">
        <v>40</v>
      </c>
      <c r="H364" s="79">
        <f t="shared" si="59"/>
        <v>85</v>
      </c>
      <c r="I364" s="79">
        <f t="shared" si="50"/>
        <v>0</v>
      </c>
      <c r="J364" s="81">
        <v>100</v>
      </c>
      <c r="K364" s="81">
        <v>300</v>
      </c>
      <c r="L364" s="79">
        <f t="shared" si="53"/>
        <v>1274</v>
      </c>
      <c r="M364" s="89">
        <v>600</v>
      </c>
      <c r="N364" s="79">
        <f>75</f>
        <v>75</v>
      </c>
      <c r="O364" s="81">
        <v>240</v>
      </c>
      <c r="P364" s="81">
        <v>160</v>
      </c>
      <c r="Q364" s="81">
        <f t="shared" si="54"/>
        <v>195</v>
      </c>
      <c r="R364" s="81">
        <f t="shared" si="55"/>
        <v>100</v>
      </c>
      <c r="S364" s="79">
        <f t="shared" si="56"/>
        <v>695</v>
      </c>
      <c r="T364" s="79">
        <f>50</f>
        <v>50</v>
      </c>
      <c r="U364" s="77"/>
      <c r="V364" s="77"/>
      <c r="W364" s="77"/>
      <c r="X364" s="77"/>
      <c r="Y364" s="77"/>
      <c r="Z364" s="77"/>
      <c r="AA364" s="77"/>
      <c r="AB364" s="77"/>
      <c r="AC364" s="77"/>
      <c r="AD364" s="77"/>
    </row>
    <row r="365" spans="1:30" ht="15.75" x14ac:dyDescent="0.25">
      <c r="A365" s="14">
        <v>52047</v>
      </c>
      <c r="B365" s="91">
        <v>30</v>
      </c>
      <c r="C365" s="79">
        <f>194.205</f>
        <v>194.20500000000001</v>
      </c>
      <c r="D365" s="79">
        <f>267.466</f>
        <v>267.46600000000001</v>
      </c>
      <c r="E365" s="87">
        <f>133.845</f>
        <v>133.845</v>
      </c>
      <c r="F365" s="79">
        <f>278.484-40-25-60</f>
        <v>153.48399999999998</v>
      </c>
      <c r="G365" s="81">
        <v>40</v>
      </c>
      <c r="H365" s="79">
        <f t="shared" si="59"/>
        <v>85</v>
      </c>
      <c r="I365" s="79">
        <f t="shared" si="50"/>
        <v>0</v>
      </c>
      <c r="J365" s="81">
        <v>100</v>
      </c>
      <c r="K365" s="81">
        <v>300</v>
      </c>
      <c r="L365" s="79">
        <f t="shared" si="53"/>
        <v>1274</v>
      </c>
      <c r="M365" s="89">
        <v>600</v>
      </c>
      <c r="N365" s="79">
        <f>30</f>
        <v>30</v>
      </c>
      <c r="O365" s="81">
        <v>240</v>
      </c>
      <c r="P365" s="81">
        <v>160</v>
      </c>
      <c r="Q365" s="81">
        <f t="shared" si="54"/>
        <v>195</v>
      </c>
      <c r="R365" s="81">
        <f t="shared" si="55"/>
        <v>100</v>
      </c>
      <c r="S365" s="79">
        <f t="shared" si="56"/>
        <v>695</v>
      </c>
      <c r="T365" s="79">
        <f>50</f>
        <v>50</v>
      </c>
      <c r="U365" s="77"/>
      <c r="V365" s="77"/>
      <c r="W365" s="77"/>
      <c r="X365" s="77"/>
      <c r="Y365" s="77"/>
      <c r="Z365" s="77"/>
      <c r="AA365" s="77"/>
      <c r="AB365" s="77"/>
      <c r="AC365" s="77"/>
      <c r="AD365" s="77"/>
    </row>
    <row r="366" spans="1:30" ht="15.75" x14ac:dyDescent="0.25">
      <c r="A366" s="14">
        <v>52078</v>
      </c>
      <c r="B366" s="91">
        <v>31</v>
      </c>
      <c r="C366" s="79">
        <f>194.205</f>
        <v>194.20500000000001</v>
      </c>
      <c r="D366" s="79">
        <f>267.466</f>
        <v>267.46600000000001</v>
      </c>
      <c r="E366" s="87">
        <f>133.845</f>
        <v>133.845</v>
      </c>
      <c r="F366" s="79">
        <f>278.484-40-25-60</f>
        <v>153.48399999999998</v>
      </c>
      <c r="G366" s="81">
        <v>40</v>
      </c>
      <c r="H366" s="79">
        <f t="shared" si="59"/>
        <v>85</v>
      </c>
      <c r="I366" s="79">
        <f t="shared" si="50"/>
        <v>0</v>
      </c>
      <c r="J366" s="81">
        <v>100</v>
      </c>
      <c r="K366" s="81">
        <v>300</v>
      </c>
      <c r="L366" s="79">
        <f t="shared" si="53"/>
        <v>1274</v>
      </c>
      <c r="M366" s="89">
        <v>600</v>
      </c>
      <c r="N366" s="79">
        <f>30</f>
        <v>30</v>
      </c>
      <c r="O366" s="81">
        <v>240</v>
      </c>
      <c r="P366" s="81">
        <v>160</v>
      </c>
      <c r="Q366" s="81">
        <f t="shared" si="54"/>
        <v>195</v>
      </c>
      <c r="R366" s="81">
        <f t="shared" si="55"/>
        <v>100</v>
      </c>
      <c r="S366" s="79">
        <f t="shared" si="56"/>
        <v>695</v>
      </c>
      <c r="T366" s="79">
        <f>0</f>
        <v>0</v>
      </c>
      <c r="U366" s="77"/>
      <c r="V366" s="77"/>
      <c r="W366" s="77"/>
      <c r="X366" s="77"/>
      <c r="Y366" s="77"/>
      <c r="Z366" s="77"/>
      <c r="AA366" s="77"/>
      <c r="AB366" s="77"/>
      <c r="AC366" s="77"/>
      <c r="AD366" s="77"/>
    </row>
    <row r="367" spans="1:30" ht="15.75" x14ac:dyDescent="0.25">
      <c r="A367" s="14">
        <v>52109</v>
      </c>
      <c r="B367" s="91">
        <v>31</v>
      </c>
      <c r="C367" s="79">
        <f>194.205</f>
        <v>194.20500000000001</v>
      </c>
      <c r="D367" s="79">
        <f>267.466</f>
        <v>267.46600000000001</v>
      </c>
      <c r="E367" s="87">
        <f>133.845</f>
        <v>133.845</v>
      </c>
      <c r="F367" s="79">
        <f>278.484-40-25-60</f>
        <v>153.48399999999998</v>
      </c>
      <c r="G367" s="81">
        <v>40</v>
      </c>
      <c r="H367" s="79">
        <f t="shared" si="59"/>
        <v>85</v>
      </c>
      <c r="I367" s="79">
        <f t="shared" si="50"/>
        <v>0</v>
      </c>
      <c r="J367" s="81">
        <v>100</v>
      </c>
      <c r="K367" s="81">
        <v>300</v>
      </c>
      <c r="L367" s="79">
        <f t="shared" si="53"/>
        <v>1274</v>
      </c>
      <c r="M367" s="89">
        <v>600</v>
      </c>
      <c r="N367" s="79">
        <f>30</f>
        <v>30</v>
      </c>
      <c r="O367" s="81">
        <v>240</v>
      </c>
      <c r="P367" s="81">
        <v>160</v>
      </c>
      <c r="Q367" s="81">
        <f t="shared" si="54"/>
        <v>195</v>
      </c>
      <c r="R367" s="81">
        <f t="shared" si="55"/>
        <v>100</v>
      </c>
      <c r="S367" s="79">
        <f t="shared" si="56"/>
        <v>695</v>
      </c>
      <c r="T367" s="79">
        <f>0</f>
        <v>0</v>
      </c>
      <c r="U367" s="77"/>
      <c r="V367" s="77"/>
      <c r="W367" s="77"/>
      <c r="X367" s="77"/>
      <c r="Y367" s="77"/>
      <c r="Z367" s="77"/>
      <c r="AA367" s="77"/>
      <c r="AB367" s="77"/>
      <c r="AC367" s="77"/>
      <c r="AD367" s="77"/>
    </row>
    <row r="368" spans="1:30" ht="15.75" x14ac:dyDescent="0.25">
      <c r="A368" s="14">
        <v>52139</v>
      </c>
      <c r="B368" s="91">
        <v>30</v>
      </c>
      <c r="C368" s="79">
        <f>194.205</f>
        <v>194.20500000000001</v>
      </c>
      <c r="D368" s="79">
        <f>267.466</f>
        <v>267.46600000000001</v>
      </c>
      <c r="E368" s="87">
        <f>133.845</f>
        <v>133.845</v>
      </c>
      <c r="F368" s="79">
        <f>278.484-40-25-60</f>
        <v>153.48399999999998</v>
      </c>
      <c r="G368" s="81">
        <v>40</v>
      </c>
      <c r="H368" s="79">
        <f t="shared" si="59"/>
        <v>85</v>
      </c>
      <c r="I368" s="79">
        <f t="shared" si="50"/>
        <v>0</v>
      </c>
      <c r="J368" s="81">
        <v>100</v>
      </c>
      <c r="K368" s="81">
        <v>300</v>
      </c>
      <c r="L368" s="79">
        <f t="shared" si="53"/>
        <v>1274</v>
      </c>
      <c r="M368" s="89">
        <v>600</v>
      </c>
      <c r="N368" s="79">
        <f>30</f>
        <v>30</v>
      </c>
      <c r="O368" s="81">
        <v>240</v>
      </c>
      <c r="P368" s="81">
        <v>160</v>
      </c>
      <c r="Q368" s="81">
        <f t="shared" si="54"/>
        <v>195</v>
      </c>
      <c r="R368" s="81">
        <f t="shared" si="55"/>
        <v>100</v>
      </c>
      <c r="S368" s="79">
        <f t="shared" si="56"/>
        <v>695</v>
      </c>
      <c r="T368" s="79">
        <f>0</f>
        <v>0</v>
      </c>
      <c r="U368" s="77"/>
      <c r="V368" s="77"/>
      <c r="W368" s="77"/>
      <c r="X368" s="77"/>
      <c r="Y368" s="77"/>
      <c r="Z368" s="77"/>
      <c r="AA368" s="77"/>
      <c r="AB368" s="77"/>
      <c r="AC368" s="77"/>
      <c r="AD368" s="77"/>
    </row>
    <row r="369" spans="1:30" ht="15.75" x14ac:dyDescent="0.25">
      <c r="A369" s="14">
        <v>52170</v>
      </c>
      <c r="B369" s="91">
        <v>31</v>
      </c>
      <c r="C369" s="79">
        <f>131.881</f>
        <v>131.881</v>
      </c>
      <c r="D369" s="79">
        <f>277.167</f>
        <v>277.16699999999997</v>
      </c>
      <c r="E369" s="87">
        <f>79.08</f>
        <v>79.08</v>
      </c>
      <c r="F369" s="79">
        <f>350.872-40-25-60</f>
        <v>225.87200000000001</v>
      </c>
      <c r="G369" s="81">
        <v>40</v>
      </c>
      <c r="H369" s="79">
        <f t="shared" si="59"/>
        <v>85</v>
      </c>
      <c r="I369" s="79">
        <f t="shared" si="50"/>
        <v>0</v>
      </c>
      <c r="J369" s="81">
        <v>100</v>
      </c>
      <c r="K369" s="81">
        <v>300</v>
      </c>
      <c r="L369" s="79">
        <f t="shared" si="53"/>
        <v>1239</v>
      </c>
      <c r="M369" s="89">
        <v>600</v>
      </c>
      <c r="N369" s="79">
        <f>75</f>
        <v>75</v>
      </c>
      <c r="O369" s="81">
        <v>240</v>
      </c>
      <c r="P369" s="81">
        <v>160</v>
      </c>
      <c r="Q369" s="81">
        <f t="shared" si="54"/>
        <v>195</v>
      </c>
      <c r="R369" s="81">
        <f t="shared" si="55"/>
        <v>100</v>
      </c>
      <c r="S369" s="79">
        <f t="shared" si="56"/>
        <v>695</v>
      </c>
      <c r="T369" s="79">
        <f>0</f>
        <v>0</v>
      </c>
      <c r="U369" s="77"/>
      <c r="V369" s="77"/>
      <c r="W369" s="77"/>
      <c r="X369" s="77"/>
      <c r="Y369" s="77"/>
      <c r="Z369" s="77"/>
      <c r="AA369" s="77"/>
      <c r="AB369" s="77"/>
      <c r="AC369" s="77"/>
      <c r="AD369" s="77"/>
    </row>
    <row r="370" spans="1:30" ht="15.75" x14ac:dyDescent="0.25">
      <c r="A370" s="14">
        <v>52200</v>
      </c>
      <c r="B370" s="91">
        <v>30</v>
      </c>
      <c r="C370" s="79">
        <f>122.58</f>
        <v>122.58</v>
      </c>
      <c r="D370" s="79">
        <f>297.941</f>
        <v>297.94099999999997</v>
      </c>
      <c r="E370" s="87">
        <f>89.177</f>
        <v>89.177000000000007</v>
      </c>
      <c r="F370" s="79">
        <f>240.302-40-60</f>
        <v>140.30199999999999</v>
      </c>
      <c r="G370" s="81">
        <v>40</v>
      </c>
      <c r="H370" s="79">
        <v>60</v>
      </c>
      <c r="I370" s="79">
        <f t="shared" si="50"/>
        <v>0</v>
      </c>
      <c r="J370" s="81">
        <v>100</v>
      </c>
      <c r="K370" s="81">
        <v>300</v>
      </c>
      <c r="L370" s="79">
        <f t="shared" si="53"/>
        <v>1150</v>
      </c>
      <c r="M370" s="89">
        <v>600</v>
      </c>
      <c r="N370" s="79">
        <f>100</f>
        <v>100</v>
      </c>
      <c r="O370" s="81">
        <v>240</v>
      </c>
      <c r="P370" s="81">
        <v>40</v>
      </c>
      <c r="Q370" s="81">
        <f t="shared" si="54"/>
        <v>315</v>
      </c>
      <c r="R370" s="81">
        <f t="shared" si="55"/>
        <v>100</v>
      </c>
      <c r="S370" s="79">
        <f t="shared" si="56"/>
        <v>695</v>
      </c>
      <c r="T370" s="79">
        <f>50</f>
        <v>50</v>
      </c>
      <c r="U370" s="77"/>
      <c r="V370" s="77"/>
      <c r="W370" s="77"/>
      <c r="X370" s="77"/>
      <c r="Y370" s="77"/>
      <c r="Z370" s="77"/>
      <c r="AA370" s="77"/>
      <c r="AB370" s="77"/>
      <c r="AC370" s="77"/>
      <c r="AD370" s="77"/>
    </row>
    <row r="371" spans="1:30" ht="15.75" x14ac:dyDescent="0.25">
      <c r="A371" s="14">
        <v>52231</v>
      </c>
      <c r="B371" s="91">
        <v>31</v>
      </c>
      <c r="C371" s="79">
        <f>122.58</f>
        <v>122.58</v>
      </c>
      <c r="D371" s="79">
        <f>297.941</f>
        <v>297.94099999999997</v>
      </c>
      <c r="E371" s="87">
        <f>89.177</f>
        <v>89.177000000000007</v>
      </c>
      <c r="F371" s="79">
        <f>240.302-40-60</f>
        <v>140.30199999999999</v>
      </c>
      <c r="G371" s="81">
        <v>40</v>
      </c>
      <c r="H371" s="79">
        <v>60</v>
      </c>
      <c r="I371" s="79">
        <f t="shared" si="50"/>
        <v>0</v>
      </c>
      <c r="J371" s="81">
        <v>100</v>
      </c>
      <c r="K371" s="81">
        <v>300</v>
      </c>
      <c r="L371" s="79">
        <f t="shared" si="53"/>
        <v>1150</v>
      </c>
      <c r="M371" s="89">
        <v>600</v>
      </c>
      <c r="N371" s="79">
        <f>100</f>
        <v>100</v>
      </c>
      <c r="O371" s="81">
        <v>240</v>
      </c>
      <c r="P371" s="81">
        <v>40</v>
      </c>
      <c r="Q371" s="81">
        <f t="shared" si="54"/>
        <v>315</v>
      </c>
      <c r="R371" s="81">
        <f t="shared" si="55"/>
        <v>100</v>
      </c>
      <c r="S371" s="79">
        <f t="shared" si="56"/>
        <v>695</v>
      </c>
      <c r="T371" s="79">
        <f>50</f>
        <v>50</v>
      </c>
      <c r="U371" s="77"/>
      <c r="V371" s="77"/>
      <c r="W371" s="77"/>
      <c r="X371" s="77"/>
      <c r="Y371" s="77"/>
      <c r="Z371" s="77"/>
      <c r="AA371" s="77"/>
      <c r="AB371" s="77"/>
      <c r="AC371" s="77"/>
      <c r="AD371" s="77"/>
    </row>
    <row r="372" spans="1:30" ht="15.75" x14ac:dyDescent="0.25">
      <c r="A372" s="14">
        <v>52262</v>
      </c>
      <c r="B372" s="91">
        <v>31</v>
      </c>
      <c r="C372" s="79">
        <f>122.58</f>
        <v>122.58</v>
      </c>
      <c r="D372" s="79">
        <f>297.941</f>
        <v>297.94099999999997</v>
      </c>
      <c r="E372" s="87">
        <f>89.177</f>
        <v>89.177000000000007</v>
      </c>
      <c r="F372" s="79">
        <f>240.302-40-60</f>
        <v>140.30199999999999</v>
      </c>
      <c r="G372" s="81">
        <v>40</v>
      </c>
      <c r="H372" s="79">
        <v>60</v>
      </c>
      <c r="I372" s="79">
        <f t="shared" ref="I372:I435" si="60">400-J372-K372</f>
        <v>0</v>
      </c>
      <c r="J372" s="81">
        <v>100</v>
      </c>
      <c r="K372" s="81">
        <v>300</v>
      </c>
      <c r="L372" s="79">
        <f t="shared" si="53"/>
        <v>1150</v>
      </c>
      <c r="M372" s="89">
        <v>600</v>
      </c>
      <c r="N372" s="79">
        <f>100</f>
        <v>100</v>
      </c>
      <c r="O372" s="81">
        <v>240</v>
      </c>
      <c r="P372" s="81">
        <v>40</v>
      </c>
      <c r="Q372" s="81">
        <f t="shared" si="54"/>
        <v>315</v>
      </c>
      <c r="R372" s="81">
        <f t="shared" si="55"/>
        <v>100</v>
      </c>
      <c r="S372" s="79">
        <f t="shared" si="56"/>
        <v>695</v>
      </c>
      <c r="T372" s="79">
        <f>50</f>
        <v>50</v>
      </c>
      <c r="U372" s="77"/>
      <c r="V372" s="77"/>
      <c r="W372" s="77"/>
      <c r="X372" s="77"/>
      <c r="Y372" s="77"/>
      <c r="Z372" s="77"/>
      <c r="AA372" s="77"/>
      <c r="AB372" s="77"/>
      <c r="AC372" s="77"/>
      <c r="AD372" s="77"/>
    </row>
    <row r="373" spans="1:30" ht="15.75" x14ac:dyDescent="0.25">
      <c r="A373" s="14">
        <v>52290</v>
      </c>
      <c r="B373" s="91">
        <v>28</v>
      </c>
      <c r="C373" s="79">
        <f>122.58</f>
        <v>122.58</v>
      </c>
      <c r="D373" s="79">
        <f>297.941</f>
        <v>297.94099999999997</v>
      </c>
      <c r="E373" s="87">
        <f>89.177</f>
        <v>89.177000000000007</v>
      </c>
      <c r="F373" s="79">
        <f>240.302-40-60</f>
        <v>140.30199999999999</v>
      </c>
      <c r="G373" s="81">
        <v>40</v>
      </c>
      <c r="H373" s="79">
        <v>60</v>
      </c>
      <c r="I373" s="79">
        <f t="shared" si="60"/>
        <v>0</v>
      </c>
      <c r="J373" s="81">
        <v>100</v>
      </c>
      <c r="K373" s="81">
        <v>300</v>
      </c>
      <c r="L373" s="79">
        <f t="shared" si="53"/>
        <v>1150</v>
      </c>
      <c r="M373" s="89">
        <v>600</v>
      </c>
      <c r="N373" s="79">
        <f>100</f>
        <v>100</v>
      </c>
      <c r="O373" s="81">
        <v>240</v>
      </c>
      <c r="P373" s="81">
        <v>40</v>
      </c>
      <c r="Q373" s="81">
        <f t="shared" si="54"/>
        <v>315</v>
      </c>
      <c r="R373" s="81">
        <f t="shared" si="55"/>
        <v>100</v>
      </c>
      <c r="S373" s="79">
        <f t="shared" si="56"/>
        <v>695</v>
      </c>
      <c r="T373" s="79">
        <f>50</f>
        <v>50</v>
      </c>
      <c r="U373" s="77"/>
      <c r="V373" s="77"/>
      <c r="W373" s="77"/>
      <c r="X373" s="77"/>
      <c r="Y373" s="77"/>
      <c r="Z373" s="77"/>
      <c r="AA373" s="77"/>
      <c r="AB373" s="77"/>
      <c r="AC373" s="77"/>
      <c r="AD373" s="77"/>
    </row>
    <row r="374" spans="1:30" ht="15.75" x14ac:dyDescent="0.25">
      <c r="A374" s="14">
        <v>52321</v>
      </c>
      <c r="B374" s="91">
        <v>31</v>
      </c>
      <c r="C374" s="79">
        <f>122.58</f>
        <v>122.58</v>
      </c>
      <c r="D374" s="79">
        <f>297.941</f>
        <v>297.94099999999997</v>
      </c>
      <c r="E374" s="87">
        <f>89.177</f>
        <v>89.177000000000007</v>
      </c>
      <c r="F374" s="79">
        <f>240.302-40-60</f>
        <v>140.30199999999999</v>
      </c>
      <c r="G374" s="81">
        <v>40</v>
      </c>
      <c r="H374" s="79">
        <v>60</v>
      </c>
      <c r="I374" s="79">
        <f t="shared" si="60"/>
        <v>0</v>
      </c>
      <c r="J374" s="81">
        <v>100</v>
      </c>
      <c r="K374" s="81">
        <v>300</v>
      </c>
      <c r="L374" s="79">
        <f t="shared" si="53"/>
        <v>1150</v>
      </c>
      <c r="M374" s="89">
        <v>600</v>
      </c>
      <c r="N374" s="79">
        <f>100</f>
        <v>100</v>
      </c>
      <c r="O374" s="81">
        <v>240</v>
      </c>
      <c r="P374" s="81">
        <v>40</v>
      </c>
      <c r="Q374" s="81">
        <f t="shared" si="54"/>
        <v>315</v>
      </c>
      <c r="R374" s="81">
        <f t="shared" si="55"/>
        <v>100</v>
      </c>
      <c r="S374" s="79">
        <f t="shared" si="56"/>
        <v>695</v>
      </c>
      <c r="T374" s="79">
        <f>50</f>
        <v>50</v>
      </c>
      <c r="U374" s="77"/>
      <c r="V374" s="77"/>
      <c r="W374" s="77"/>
      <c r="X374" s="77"/>
      <c r="Y374" s="77"/>
      <c r="Z374" s="77"/>
      <c r="AA374" s="77"/>
      <c r="AB374" s="77"/>
      <c r="AC374" s="77"/>
      <c r="AD374" s="77"/>
    </row>
    <row r="375" spans="1:30" ht="15.75" x14ac:dyDescent="0.25">
      <c r="A375" s="14">
        <v>52351</v>
      </c>
      <c r="B375" s="91">
        <v>30</v>
      </c>
      <c r="C375" s="79">
        <f>141.293</f>
        <v>141.29300000000001</v>
      </c>
      <c r="D375" s="79">
        <f>267.993</f>
        <v>267.99299999999999</v>
      </c>
      <c r="E375" s="87">
        <f>115.016</f>
        <v>115.01600000000001</v>
      </c>
      <c r="F375" s="79">
        <f>314.698-40-25-60</f>
        <v>189.69799999999998</v>
      </c>
      <c r="G375" s="81">
        <v>40</v>
      </c>
      <c r="H375" s="79">
        <f t="shared" ref="H375:H381" si="61">25+60</f>
        <v>85</v>
      </c>
      <c r="I375" s="79">
        <f t="shared" si="60"/>
        <v>0</v>
      </c>
      <c r="J375" s="81">
        <v>100</v>
      </c>
      <c r="K375" s="81">
        <v>300</v>
      </c>
      <c r="L375" s="79">
        <f t="shared" si="53"/>
        <v>1239</v>
      </c>
      <c r="M375" s="89">
        <v>600</v>
      </c>
      <c r="N375" s="79">
        <f>100</f>
        <v>100</v>
      </c>
      <c r="O375" s="81">
        <v>240</v>
      </c>
      <c r="P375" s="81">
        <v>160</v>
      </c>
      <c r="Q375" s="81">
        <f t="shared" si="54"/>
        <v>195</v>
      </c>
      <c r="R375" s="81">
        <f t="shared" si="55"/>
        <v>100</v>
      </c>
      <c r="S375" s="79">
        <f t="shared" si="56"/>
        <v>695</v>
      </c>
      <c r="T375" s="79">
        <f>50</f>
        <v>50</v>
      </c>
      <c r="U375" s="77"/>
      <c r="V375" s="77"/>
      <c r="W375" s="77"/>
      <c r="X375" s="77"/>
      <c r="Y375" s="77"/>
      <c r="Z375" s="77"/>
      <c r="AA375" s="77"/>
      <c r="AB375" s="77"/>
      <c r="AC375" s="77"/>
      <c r="AD375" s="77"/>
    </row>
    <row r="376" spans="1:30" ht="15.75" x14ac:dyDescent="0.25">
      <c r="A376" s="14">
        <v>52382</v>
      </c>
      <c r="B376" s="91">
        <v>31</v>
      </c>
      <c r="C376" s="79">
        <f>194.205</f>
        <v>194.20500000000001</v>
      </c>
      <c r="D376" s="79">
        <f>267.466</f>
        <v>267.46600000000001</v>
      </c>
      <c r="E376" s="87">
        <f>133.845</f>
        <v>133.845</v>
      </c>
      <c r="F376" s="79">
        <f>278.484-40-25-60</f>
        <v>153.48399999999998</v>
      </c>
      <c r="G376" s="81">
        <v>40</v>
      </c>
      <c r="H376" s="79">
        <f t="shared" si="61"/>
        <v>85</v>
      </c>
      <c r="I376" s="79">
        <f t="shared" si="60"/>
        <v>0</v>
      </c>
      <c r="J376" s="81">
        <v>100</v>
      </c>
      <c r="K376" s="81">
        <v>300</v>
      </c>
      <c r="L376" s="79">
        <f t="shared" si="53"/>
        <v>1274</v>
      </c>
      <c r="M376" s="89">
        <v>600</v>
      </c>
      <c r="N376" s="79">
        <f>75</f>
        <v>75</v>
      </c>
      <c r="O376" s="81">
        <v>240</v>
      </c>
      <c r="P376" s="81">
        <v>160</v>
      </c>
      <c r="Q376" s="81">
        <f t="shared" si="54"/>
        <v>195</v>
      </c>
      <c r="R376" s="81">
        <f t="shared" si="55"/>
        <v>100</v>
      </c>
      <c r="S376" s="79">
        <f t="shared" si="56"/>
        <v>695</v>
      </c>
      <c r="T376" s="79">
        <f>50</f>
        <v>50</v>
      </c>
      <c r="U376" s="77"/>
      <c r="V376" s="77"/>
      <c r="W376" s="77"/>
      <c r="X376" s="77"/>
      <c r="Y376" s="77"/>
      <c r="Z376" s="77"/>
      <c r="AA376" s="77"/>
      <c r="AB376" s="77"/>
      <c r="AC376" s="77"/>
      <c r="AD376" s="77"/>
    </row>
    <row r="377" spans="1:30" ht="15.75" x14ac:dyDescent="0.25">
      <c r="A377" s="14">
        <v>52412</v>
      </c>
      <c r="B377" s="91">
        <v>30</v>
      </c>
      <c r="C377" s="79">
        <f>194.205</f>
        <v>194.20500000000001</v>
      </c>
      <c r="D377" s="79">
        <f>267.466</f>
        <v>267.46600000000001</v>
      </c>
      <c r="E377" s="87">
        <f>133.845</f>
        <v>133.845</v>
      </c>
      <c r="F377" s="79">
        <f>278.484-40-25-60</f>
        <v>153.48399999999998</v>
      </c>
      <c r="G377" s="81">
        <v>40</v>
      </c>
      <c r="H377" s="79">
        <f t="shared" si="61"/>
        <v>85</v>
      </c>
      <c r="I377" s="79">
        <f t="shared" si="60"/>
        <v>0</v>
      </c>
      <c r="J377" s="81">
        <v>100</v>
      </c>
      <c r="K377" s="81">
        <v>300</v>
      </c>
      <c r="L377" s="79">
        <f t="shared" si="53"/>
        <v>1274</v>
      </c>
      <c r="M377" s="89">
        <v>600</v>
      </c>
      <c r="N377" s="79">
        <f>30</f>
        <v>30</v>
      </c>
      <c r="O377" s="81">
        <v>240</v>
      </c>
      <c r="P377" s="81">
        <v>160</v>
      </c>
      <c r="Q377" s="81">
        <f t="shared" si="54"/>
        <v>195</v>
      </c>
      <c r="R377" s="81">
        <f t="shared" si="55"/>
        <v>100</v>
      </c>
      <c r="S377" s="79">
        <f t="shared" si="56"/>
        <v>695</v>
      </c>
      <c r="T377" s="79">
        <f>50</f>
        <v>50</v>
      </c>
      <c r="U377" s="77"/>
      <c r="V377" s="77"/>
      <c r="W377" s="77"/>
      <c r="X377" s="77"/>
      <c r="Y377" s="77"/>
      <c r="Z377" s="77"/>
      <c r="AA377" s="77"/>
      <c r="AB377" s="77"/>
      <c r="AC377" s="77"/>
      <c r="AD377" s="77"/>
    </row>
    <row r="378" spans="1:30" ht="15.75" x14ac:dyDescent="0.25">
      <c r="A378" s="14">
        <v>52443</v>
      </c>
      <c r="B378" s="91">
        <v>31</v>
      </c>
      <c r="C378" s="79">
        <f>194.205</f>
        <v>194.20500000000001</v>
      </c>
      <c r="D378" s="79">
        <f>267.466</f>
        <v>267.46600000000001</v>
      </c>
      <c r="E378" s="87">
        <f>133.845</f>
        <v>133.845</v>
      </c>
      <c r="F378" s="79">
        <f>278.484-40-25-60</f>
        <v>153.48399999999998</v>
      </c>
      <c r="G378" s="81">
        <v>40</v>
      </c>
      <c r="H378" s="79">
        <f t="shared" si="61"/>
        <v>85</v>
      </c>
      <c r="I378" s="79">
        <f t="shared" si="60"/>
        <v>0</v>
      </c>
      <c r="J378" s="81">
        <v>100</v>
      </c>
      <c r="K378" s="81">
        <v>300</v>
      </c>
      <c r="L378" s="79">
        <f t="shared" si="53"/>
        <v>1274</v>
      </c>
      <c r="M378" s="89">
        <v>600</v>
      </c>
      <c r="N378" s="79">
        <f>30</f>
        <v>30</v>
      </c>
      <c r="O378" s="81">
        <v>240</v>
      </c>
      <c r="P378" s="81">
        <v>160</v>
      </c>
      <c r="Q378" s="81">
        <f t="shared" si="54"/>
        <v>195</v>
      </c>
      <c r="R378" s="81">
        <f t="shared" si="55"/>
        <v>100</v>
      </c>
      <c r="S378" s="79">
        <f t="shared" si="56"/>
        <v>695</v>
      </c>
      <c r="T378" s="79">
        <f>0</f>
        <v>0</v>
      </c>
      <c r="U378" s="77"/>
      <c r="V378" s="77"/>
      <c r="W378" s="77"/>
      <c r="X378" s="77"/>
      <c r="Y378" s="77"/>
      <c r="Z378" s="77"/>
      <c r="AA378" s="77"/>
      <c r="AB378" s="77"/>
      <c r="AC378" s="77"/>
      <c r="AD378" s="77"/>
    </row>
    <row r="379" spans="1:30" ht="15.75" x14ac:dyDescent="0.25">
      <c r="A379" s="14">
        <v>52474</v>
      </c>
      <c r="B379" s="91">
        <v>31</v>
      </c>
      <c r="C379" s="79">
        <f>194.205</f>
        <v>194.20500000000001</v>
      </c>
      <c r="D379" s="79">
        <f>267.466</f>
        <v>267.46600000000001</v>
      </c>
      <c r="E379" s="87">
        <f>133.845</f>
        <v>133.845</v>
      </c>
      <c r="F379" s="79">
        <f>278.484-40-25-60</f>
        <v>153.48399999999998</v>
      </c>
      <c r="G379" s="81">
        <v>40</v>
      </c>
      <c r="H379" s="79">
        <f t="shared" si="61"/>
        <v>85</v>
      </c>
      <c r="I379" s="79">
        <f t="shared" si="60"/>
        <v>0</v>
      </c>
      <c r="J379" s="81">
        <v>100</v>
      </c>
      <c r="K379" s="81">
        <v>300</v>
      </c>
      <c r="L379" s="79">
        <f t="shared" si="53"/>
        <v>1274</v>
      </c>
      <c r="M379" s="89">
        <v>600</v>
      </c>
      <c r="N379" s="79">
        <f>30</f>
        <v>30</v>
      </c>
      <c r="O379" s="81">
        <v>240</v>
      </c>
      <c r="P379" s="81">
        <v>160</v>
      </c>
      <c r="Q379" s="81">
        <f t="shared" si="54"/>
        <v>195</v>
      </c>
      <c r="R379" s="81">
        <f t="shared" si="55"/>
        <v>100</v>
      </c>
      <c r="S379" s="79">
        <f t="shared" si="56"/>
        <v>695</v>
      </c>
      <c r="T379" s="79">
        <f>0</f>
        <v>0</v>
      </c>
      <c r="U379" s="77"/>
      <c r="V379" s="77"/>
      <c r="W379" s="77"/>
      <c r="X379" s="77"/>
      <c r="Y379" s="77"/>
      <c r="Z379" s="77"/>
      <c r="AA379" s="77"/>
      <c r="AB379" s="77"/>
      <c r="AC379" s="77"/>
      <c r="AD379" s="77"/>
    </row>
    <row r="380" spans="1:30" ht="15.75" x14ac:dyDescent="0.25">
      <c r="A380" s="14">
        <v>52504</v>
      </c>
      <c r="B380" s="91">
        <v>30</v>
      </c>
      <c r="C380" s="79">
        <f>194.205</f>
        <v>194.20500000000001</v>
      </c>
      <c r="D380" s="79">
        <f>267.466</f>
        <v>267.46600000000001</v>
      </c>
      <c r="E380" s="87">
        <f>133.845</f>
        <v>133.845</v>
      </c>
      <c r="F380" s="79">
        <f>278.484-40-25-60</f>
        <v>153.48399999999998</v>
      </c>
      <c r="G380" s="81">
        <v>40</v>
      </c>
      <c r="H380" s="79">
        <f t="shared" si="61"/>
        <v>85</v>
      </c>
      <c r="I380" s="79">
        <f t="shared" si="60"/>
        <v>0</v>
      </c>
      <c r="J380" s="81">
        <v>100</v>
      </c>
      <c r="K380" s="81">
        <v>300</v>
      </c>
      <c r="L380" s="79">
        <f t="shared" si="53"/>
        <v>1274</v>
      </c>
      <c r="M380" s="89">
        <v>600</v>
      </c>
      <c r="N380" s="79">
        <f>30</f>
        <v>30</v>
      </c>
      <c r="O380" s="81">
        <v>240</v>
      </c>
      <c r="P380" s="81">
        <v>160</v>
      </c>
      <c r="Q380" s="81">
        <f t="shared" si="54"/>
        <v>195</v>
      </c>
      <c r="R380" s="81">
        <f t="shared" si="55"/>
        <v>100</v>
      </c>
      <c r="S380" s="79">
        <f t="shared" si="56"/>
        <v>695</v>
      </c>
      <c r="T380" s="79">
        <f>0</f>
        <v>0</v>
      </c>
      <c r="U380" s="77"/>
      <c r="V380" s="77"/>
      <c r="W380" s="77"/>
      <c r="X380" s="77"/>
      <c r="Y380" s="77"/>
      <c r="Z380" s="77"/>
      <c r="AA380" s="77"/>
      <c r="AB380" s="77"/>
      <c r="AC380" s="77"/>
      <c r="AD380" s="77"/>
    </row>
    <row r="381" spans="1:30" ht="15.75" x14ac:dyDescent="0.25">
      <c r="A381" s="14">
        <v>52535</v>
      </c>
      <c r="B381" s="91">
        <v>31</v>
      </c>
      <c r="C381" s="79">
        <f>131.881</f>
        <v>131.881</v>
      </c>
      <c r="D381" s="79">
        <f>277.167</f>
        <v>277.16699999999997</v>
      </c>
      <c r="E381" s="87">
        <f>79.08</f>
        <v>79.08</v>
      </c>
      <c r="F381" s="79">
        <f>350.872-40-25-60</f>
        <v>225.87200000000001</v>
      </c>
      <c r="G381" s="81">
        <v>40</v>
      </c>
      <c r="H381" s="79">
        <f t="shared" si="61"/>
        <v>85</v>
      </c>
      <c r="I381" s="79">
        <f t="shared" si="60"/>
        <v>0</v>
      </c>
      <c r="J381" s="81">
        <v>100</v>
      </c>
      <c r="K381" s="81">
        <v>300</v>
      </c>
      <c r="L381" s="79">
        <f t="shared" si="53"/>
        <v>1239</v>
      </c>
      <c r="M381" s="89">
        <v>600</v>
      </c>
      <c r="N381" s="79">
        <f>75</f>
        <v>75</v>
      </c>
      <c r="O381" s="81">
        <v>240</v>
      </c>
      <c r="P381" s="81">
        <v>160</v>
      </c>
      <c r="Q381" s="81">
        <f t="shared" si="54"/>
        <v>195</v>
      </c>
      <c r="R381" s="81">
        <f t="shared" si="55"/>
        <v>100</v>
      </c>
      <c r="S381" s="79">
        <f t="shared" si="56"/>
        <v>695</v>
      </c>
      <c r="T381" s="79">
        <f>0</f>
        <v>0</v>
      </c>
      <c r="U381" s="77"/>
      <c r="V381" s="77"/>
      <c r="W381" s="77"/>
      <c r="X381" s="77"/>
      <c r="Y381" s="77"/>
      <c r="Z381" s="77"/>
      <c r="AA381" s="77"/>
      <c r="AB381" s="77"/>
      <c r="AC381" s="77"/>
      <c r="AD381" s="77"/>
    </row>
    <row r="382" spans="1:30" ht="15.75" x14ac:dyDescent="0.25">
      <c r="A382" s="14">
        <v>52565</v>
      </c>
      <c r="B382" s="91">
        <v>30</v>
      </c>
      <c r="C382" s="79">
        <f>122.58</f>
        <v>122.58</v>
      </c>
      <c r="D382" s="79">
        <f>297.941</f>
        <v>297.94099999999997</v>
      </c>
      <c r="E382" s="87">
        <f>89.177</f>
        <v>89.177000000000007</v>
      </c>
      <c r="F382" s="79">
        <f>240.302-40-60</f>
        <v>140.30199999999999</v>
      </c>
      <c r="G382" s="81">
        <v>40</v>
      </c>
      <c r="H382" s="79">
        <v>60</v>
      </c>
      <c r="I382" s="79">
        <f t="shared" si="60"/>
        <v>0</v>
      </c>
      <c r="J382" s="81">
        <v>100</v>
      </c>
      <c r="K382" s="81">
        <v>300</v>
      </c>
      <c r="L382" s="79">
        <f t="shared" si="53"/>
        <v>1150</v>
      </c>
      <c r="M382" s="89">
        <v>600</v>
      </c>
      <c r="N382" s="79">
        <f>100</f>
        <v>100</v>
      </c>
      <c r="O382" s="81">
        <v>240</v>
      </c>
      <c r="P382" s="81">
        <v>40</v>
      </c>
      <c r="Q382" s="81">
        <f t="shared" si="54"/>
        <v>315</v>
      </c>
      <c r="R382" s="81">
        <f t="shared" si="55"/>
        <v>100</v>
      </c>
      <c r="S382" s="79">
        <f t="shared" si="56"/>
        <v>695</v>
      </c>
      <c r="T382" s="79">
        <f>50</f>
        <v>50</v>
      </c>
      <c r="U382" s="77"/>
      <c r="V382" s="77"/>
      <c r="W382" s="77"/>
      <c r="X382" s="77"/>
      <c r="Y382" s="77"/>
      <c r="Z382" s="77"/>
      <c r="AA382" s="77"/>
      <c r="AB382" s="77"/>
      <c r="AC382" s="77"/>
      <c r="AD382" s="77"/>
    </row>
    <row r="383" spans="1:30" ht="15.75" x14ac:dyDescent="0.25">
      <c r="A383" s="14">
        <v>52596</v>
      </c>
      <c r="B383" s="91">
        <v>31</v>
      </c>
      <c r="C383" s="79">
        <f>122.58</f>
        <v>122.58</v>
      </c>
      <c r="D383" s="79">
        <f>297.941</f>
        <v>297.94099999999997</v>
      </c>
      <c r="E383" s="87">
        <f>89.177</f>
        <v>89.177000000000007</v>
      </c>
      <c r="F383" s="79">
        <f>240.302-40-60</f>
        <v>140.30199999999999</v>
      </c>
      <c r="G383" s="81">
        <v>40</v>
      </c>
      <c r="H383" s="79">
        <v>60</v>
      </c>
      <c r="I383" s="79">
        <f t="shared" si="60"/>
        <v>0</v>
      </c>
      <c r="J383" s="81">
        <v>100</v>
      </c>
      <c r="K383" s="81">
        <v>300</v>
      </c>
      <c r="L383" s="79">
        <f t="shared" si="53"/>
        <v>1150</v>
      </c>
      <c r="M383" s="89">
        <v>600</v>
      </c>
      <c r="N383" s="79">
        <f>100</f>
        <v>100</v>
      </c>
      <c r="O383" s="81">
        <v>240</v>
      </c>
      <c r="P383" s="81">
        <v>40</v>
      </c>
      <c r="Q383" s="81">
        <f t="shared" si="54"/>
        <v>315</v>
      </c>
      <c r="R383" s="81">
        <f t="shared" si="55"/>
        <v>100</v>
      </c>
      <c r="S383" s="79">
        <f t="shared" si="56"/>
        <v>695</v>
      </c>
      <c r="T383" s="79">
        <f>50</f>
        <v>50</v>
      </c>
      <c r="U383" s="77"/>
      <c r="V383" s="77"/>
      <c r="W383" s="77"/>
      <c r="X383" s="77"/>
      <c r="Y383" s="77"/>
      <c r="Z383" s="77"/>
      <c r="AA383" s="77"/>
      <c r="AB383" s="77"/>
      <c r="AC383" s="77"/>
      <c r="AD383" s="77"/>
    </row>
    <row r="384" spans="1:30" ht="15.75" x14ac:dyDescent="0.25">
      <c r="A384" s="14">
        <v>52627</v>
      </c>
      <c r="B384" s="91">
        <v>31</v>
      </c>
      <c r="C384" s="79">
        <f>122.58</f>
        <v>122.58</v>
      </c>
      <c r="D384" s="79">
        <f>297.941</f>
        <v>297.94099999999997</v>
      </c>
      <c r="E384" s="87">
        <f>89.177</f>
        <v>89.177000000000007</v>
      </c>
      <c r="F384" s="79">
        <f>240.302-40-60</f>
        <v>140.30199999999999</v>
      </c>
      <c r="G384" s="81">
        <v>40</v>
      </c>
      <c r="H384" s="79">
        <v>60</v>
      </c>
      <c r="I384" s="79">
        <f t="shared" si="60"/>
        <v>0</v>
      </c>
      <c r="J384" s="81">
        <v>100</v>
      </c>
      <c r="K384" s="81">
        <v>300</v>
      </c>
      <c r="L384" s="79">
        <f t="shared" si="53"/>
        <v>1150</v>
      </c>
      <c r="M384" s="89">
        <v>600</v>
      </c>
      <c r="N384" s="79">
        <f>100</f>
        <v>100</v>
      </c>
      <c r="O384" s="81">
        <v>240</v>
      </c>
      <c r="P384" s="81">
        <v>40</v>
      </c>
      <c r="Q384" s="81">
        <f t="shared" si="54"/>
        <v>315</v>
      </c>
      <c r="R384" s="81">
        <f t="shared" si="55"/>
        <v>100</v>
      </c>
      <c r="S384" s="79">
        <f t="shared" si="56"/>
        <v>695</v>
      </c>
      <c r="T384" s="79">
        <f>50</f>
        <v>50</v>
      </c>
      <c r="U384" s="77"/>
      <c r="V384" s="77"/>
      <c r="W384" s="77"/>
      <c r="X384" s="77"/>
      <c r="Y384" s="77"/>
      <c r="Z384" s="77"/>
      <c r="AA384" s="77"/>
      <c r="AB384" s="77"/>
      <c r="AC384" s="77"/>
      <c r="AD384" s="77"/>
    </row>
    <row r="385" spans="1:30" ht="15.75" x14ac:dyDescent="0.25">
      <c r="A385" s="14">
        <v>52655</v>
      </c>
      <c r="B385" s="91">
        <v>29</v>
      </c>
      <c r="C385" s="79">
        <f>122.58</f>
        <v>122.58</v>
      </c>
      <c r="D385" s="79">
        <f>297.941</f>
        <v>297.94099999999997</v>
      </c>
      <c r="E385" s="87">
        <f>89.177</f>
        <v>89.177000000000007</v>
      </c>
      <c r="F385" s="79">
        <f>240.302-40-60</f>
        <v>140.30199999999999</v>
      </c>
      <c r="G385" s="81">
        <v>40</v>
      </c>
      <c r="H385" s="79">
        <v>60</v>
      </c>
      <c r="I385" s="79">
        <f t="shared" si="60"/>
        <v>0</v>
      </c>
      <c r="J385" s="81">
        <v>100</v>
      </c>
      <c r="K385" s="81">
        <v>300</v>
      </c>
      <c r="L385" s="79">
        <f t="shared" si="53"/>
        <v>1150</v>
      </c>
      <c r="M385" s="89">
        <v>600</v>
      </c>
      <c r="N385" s="79">
        <f>100</f>
        <v>100</v>
      </c>
      <c r="O385" s="81">
        <v>240</v>
      </c>
      <c r="P385" s="81">
        <v>40</v>
      </c>
      <c r="Q385" s="81">
        <f t="shared" si="54"/>
        <v>315</v>
      </c>
      <c r="R385" s="81">
        <f t="shared" si="55"/>
        <v>100</v>
      </c>
      <c r="S385" s="79">
        <f t="shared" si="56"/>
        <v>695</v>
      </c>
      <c r="T385" s="79">
        <f>50</f>
        <v>50</v>
      </c>
      <c r="U385" s="77"/>
      <c r="V385" s="77"/>
      <c r="W385" s="77"/>
      <c r="X385" s="77"/>
      <c r="Y385" s="77"/>
      <c r="Z385" s="77"/>
      <c r="AA385" s="77"/>
      <c r="AB385" s="77"/>
      <c r="AC385" s="77"/>
      <c r="AD385" s="77"/>
    </row>
    <row r="386" spans="1:30" ht="15.75" x14ac:dyDescent="0.25">
      <c r="A386" s="14">
        <v>52687</v>
      </c>
      <c r="B386" s="91">
        <v>31</v>
      </c>
      <c r="C386" s="79">
        <f>122.58</f>
        <v>122.58</v>
      </c>
      <c r="D386" s="79">
        <f>297.941</f>
        <v>297.94099999999997</v>
      </c>
      <c r="E386" s="87">
        <f>89.177</f>
        <v>89.177000000000007</v>
      </c>
      <c r="F386" s="79">
        <f>240.302-40-60</f>
        <v>140.30199999999999</v>
      </c>
      <c r="G386" s="81">
        <v>40</v>
      </c>
      <c r="H386" s="79">
        <v>60</v>
      </c>
      <c r="I386" s="79">
        <f t="shared" si="60"/>
        <v>0</v>
      </c>
      <c r="J386" s="81">
        <v>100</v>
      </c>
      <c r="K386" s="81">
        <v>300</v>
      </c>
      <c r="L386" s="79">
        <f t="shared" si="53"/>
        <v>1150</v>
      </c>
      <c r="M386" s="89">
        <v>600</v>
      </c>
      <c r="N386" s="79">
        <f>100</f>
        <v>100</v>
      </c>
      <c r="O386" s="81">
        <v>240</v>
      </c>
      <c r="P386" s="81">
        <v>40</v>
      </c>
      <c r="Q386" s="81">
        <f t="shared" si="54"/>
        <v>315</v>
      </c>
      <c r="R386" s="81">
        <f t="shared" si="55"/>
        <v>100</v>
      </c>
      <c r="S386" s="79">
        <f t="shared" si="56"/>
        <v>695</v>
      </c>
      <c r="T386" s="79">
        <f>50</f>
        <v>50</v>
      </c>
      <c r="U386" s="77"/>
      <c r="V386" s="77"/>
      <c r="W386" s="77"/>
      <c r="X386" s="77"/>
      <c r="Y386" s="77"/>
      <c r="Z386" s="77"/>
      <c r="AA386" s="77"/>
      <c r="AB386" s="77"/>
      <c r="AC386" s="77"/>
      <c r="AD386" s="77"/>
    </row>
    <row r="387" spans="1:30" ht="15.75" x14ac:dyDescent="0.25">
      <c r="A387" s="14">
        <v>52717</v>
      </c>
      <c r="B387" s="91">
        <v>30</v>
      </c>
      <c r="C387" s="79">
        <f>141.293</f>
        <v>141.29300000000001</v>
      </c>
      <c r="D387" s="79">
        <f>267.993</f>
        <v>267.99299999999999</v>
      </c>
      <c r="E387" s="87">
        <f>115.016</f>
        <v>115.01600000000001</v>
      </c>
      <c r="F387" s="79">
        <f>314.698-40-25-60</f>
        <v>189.69799999999998</v>
      </c>
      <c r="G387" s="81">
        <v>40</v>
      </c>
      <c r="H387" s="79">
        <f t="shared" ref="H387:H393" si="62">25+60</f>
        <v>85</v>
      </c>
      <c r="I387" s="79">
        <f t="shared" si="60"/>
        <v>0</v>
      </c>
      <c r="J387" s="81">
        <v>100</v>
      </c>
      <c r="K387" s="81">
        <v>300</v>
      </c>
      <c r="L387" s="79">
        <f t="shared" si="53"/>
        <v>1239</v>
      </c>
      <c r="M387" s="89">
        <v>600</v>
      </c>
      <c r="N387" s="79">
        <f>100</f>
        <v>100</v>
      </c>
      <c r="O387" s="81">
        <v>240</v>
      </c>
      <c r="P387" s="81">
        <v>160</v>
      </c>
      <c r="Q387" s="81">
        <f t="shared" si="54"/>
        <v>195</v>
      </c>
      <c r="R387" s="81">
        <f t="shared" si="55"/>
        <v>100</v>
      </c>
      <c r="S387" s="79">
        <f t="shared" si="56"/>
        <v>695</v>
      </c>
      <c r="T387" s="79">
        <f>50</f>
        <v>50</v>
      </c>
      <c r="U387" s="77"/>
      <c r="V387" s="77"/>
      <c r="W387" s="77"/>
      <c r="X387" s="77"/>
      <c r="Y387" s="77"/>
      <c r="Z387" s="77"/>
      <c r="AA387" s="77"/>
      <c r="AB387" s="77"/>
      <c r="AC387" s="77"/>
      <c r="AD387" s="77"/>
    </row>
    <row r="388" spans="1:30" ht="15.75" x14ac:dyDescent="0.25">
      <c r="A388" s="14">
        <v>52748</v>
      </c>
      <c r="B388" s="91">
        <v>31</v>
      </c>
      <c r="C388" s="79">
        <f>194.205</f>
        <v>194.20500000000001</v>
      </c>
      <c r="D388" s="79">
        <f>267.466</f>
        <v>267.46600000000001</v>
      </c>
      <c r="E388" s="87">
        <f>133.845</f>
        <v>133.845</v>
      </c>
      <c r="F388" s="79">
        <f>278.484-40-25-60</f>
        <v>153.48399999999998</v>
      </c>
      <c r="G388" s="81">
        <v>40</v>
      </c>
      <c r="H388" s="79">
        <f t="shared" si="62"/>
        <v>85</v>
      </c>
      <c r="I388" s="79">
        <f t="shared" si="60"/>
        <v>0</v>
      </c>
      <c r="J388" s="81">
        <v>100</v>
      </c>
      <c r="K388" s="81">
        <v>300</v>
      </c>
      <c r="L388" s="79">
        <f t="shared" si="53"/>
        <v>1274</v>
      </c>
      <c r="M388" s="89">
        <v>600</v>
      </c>
      <c r="N388" s="79">
        <f>75</f>
        <v>75</v>
      </c>
      <c r="O388" s="81">
        <v>240</v>
      </c>
      <c r="P388" s="81">
        <v>160</v>
      </c>
      <c r="Q388" s="81">
        <f t="shared" si="54"/>
        <v>195</v>
      </c>
      <c r="R388" s="81">
        <f t="shared" si="55"/>
        <v>100</v>
      </c>
      <c r="S388" s="79">
        <f t="shared" si="56"/>
        <v>695</v>
      </c>
      <c r="T388" s="79">
        <f>50</f>
        <v>50</v>
      </c>
      <c r="U388" s="77"/>
      <c r="V388" s="77"/>
      <c r="W388" s="77"/>
      <c r="X388" s="77"/>
      <c r="Y388" s="77"/>
      <c r="Z388" s="77"/>
      <c r="AA388" s="77"/>
      <c r="AB388" s="77"/>
      <c r="AC388" s="77"/>
      <c r="AD388" s="77"/>
    </row>
    <row r="389" spans="1:30" ht="15.75" x14ac:dyDescent="0.25">
      <c r="A389" s="14">
        <v>52778</v>
      </c>
      <c r="B389" s="91">
        <v>30</v>
      </c>
      <c r="C389" s="79">
        <f>194.205</f>
        <v>194.20500000000001</v>
      </c>
      <c r="D389" s="79">
        <f>267.466</f>
        <v>267.46600000000001</v>
      </c>
      <c r="E389" s="87">
        <f>133.845</f>
        <v>133.845</v>
      </c>
      <c r="F389" s="79">
        <f>278.484-40-25-60</f>
        <v>153.48399999999998</v>
      </c>
      <c r="G389" s="81">
        <v>40</v>
      </c>
      <c r="H389" s="79">
        <f t="shared" si="62"/>
        <v>85</v>
      </c>
      <c r="I389" s="79">
        <f t="shared" si="60"/>
        <v>0</v>
      </c>
      <c r="J389" s="81">
        <v>100</v>
      </c>
      <c r="K389" s="81">
        <v>300</v>
      </c>
      <c r="L389" s="79">
        <f t="shared" si="53"/>
        <v>1274</v>
      </c>
      <c r="M389" s="89">
        <v>600</v>
      </c>
      <c r="N389" s="79">
        <f>30</f>
        <v>30</v>
      </c>
      <c r="O389" s="81">
        <v>240</v>
      </c>
      <c r="P389" s="81">
        <v>160</v>
      </c>
      <c r="Q389" s="81">
        <f t="shared" si="54"/>
        <v>195</v>
      </c>
      <c r="R389" s="81">
        <f t="shared" si="55"/>
        <v>100</v>
      </c>
      <c r="S389" s="79">
        <f t="shared" si="56"/>
        <v>695</v>
      </c>
      <c r="T389" s="79">
        <f>50</f>
        <v>50</v>
      </c>
      <c r="U389" s="77"/>
      <c r="V389" s="77"/>
      <c r="W389" s="77"/>
      <c r="X389" s="77"/>
      <c r="Y389" s="77"/>
      <c r="Z389" s="77"/>
      <c r="AA389" s="77"/>
      <c r="AB389" s="77"/>
      <c r="AC389" s="77"/>
      <c r="AD389" s="77"/>
    </row>
    <row r="390" spans="1:30" ht="15.75" x14ac:dyDescent="0.25">
      <c r="A390" s="14">
        <v>52809</v>
      </c>
      <c r="B390" s="91">
        <v>31</v>
      </c>
      <c r="C390" s="79">
        <f>194.205</f>
        <v>194.20500000000001</v>
      </c>
      <c r="D390" s="79">
        <f>267.466</f>
        <v>267.46600000000001</v>
      </c>
      <c r="E390" s="87">
        <f>133.845</f>
        <v>133.845</v>
      </c>
      <c r="F390" s="79">
        <f>278.484-40-25-60</f>
        <v>153.48399999999998</v>
      </c>
      <c r="G390" s="81">
        <v>40</v>
      </c>
      <c r="H390" s="79">
        <f t="shared" si="62"/>
        <v>85</v>
      </c>
      <c r="I390" s="79">
        <f t="shared" si="60"/>
        <v>0</v>
      </c>
      <c r="J390" s="81">
        <v>100</v>
      </c>
      <c r="K390" s="81">
        <v>300</v>
      </c>
      <c r="L390" s="79">
        <f t="shared" si="53"/>
        <v>1274</v>
      </c>
      <c r="M390" s="89">
        <v>600</v>
      </c>
      <c r="N390" s="79">
        <f>30</f>
        <v>30</v>
      </c>
      <c r="O390" s="81">
        <v>240</v>
      </c>
      <c r="P390" s="81">
        <v>160</v>
      </c>
      <c r="Q390" s="81">
        <f t="shared" si="54"/>
        <v>195</v>
      </c>
      <c r="R390" s="81">
        <f t="shared" si="55"/>
        <v>100</v>
      </c>
      <c r="S390" s="79">
        <f t="shared" si="56"/>
        <v>695</v>
      </c>
      <c r="T390" s="79">
        <f>0</f>
        <v>0</v>
      </c>
      <c r="U390" s="77"/>
      <c r="V390" s="77"/>
      <c r="W390" s="77"/>
      <c r="X390" s="77"/>
      <c r="Y390" s="77"/>
      <c r="Z390" s="77"/>
      <c r="AA390" s="77"/>
      <c r="AB390" s="77"/>
      <c r="AC390" s="77"/>
      <c r="AD390" s="77"/>
    </row>
    <row r="391" spans="1:30" ht="15.75" x14ac:dyDescent="0.25">
      <c r="A391" s="14">
        <v>52840</v>
      </c>
      <c r="B391" s="91">
        <v>31</v>
      </c>
      <c r="C391" s="79">
        <f>194.205</f>
        <v>194.20500000000001</v>
      </c>
      <c r="D391" s="79">
        <f>267.466</f>
        <v>267.46600000000001</v>
      </c>
      <c r="E391" s="87">
        <f>133.845</f>
        <v>133.845</v>
      </c>
      <c r="F391" s="79">
        <f>278.484-40-25-60</f>
        <v>153.48399999999998</v>
      </c>
      <c r="G391" s="81">
        <v>40</v>
      </c>
      <c r="H391" s="79">
        <f t="shared" si="62"/>
        <v>85</v>
      </c>
      <c r="I391" s="79">
        <f t="shared" si="60"/>
        <v>0</v>
      </c>
      <c r="J391" s="81">
        <v>100</v>
      </c>
      <c r="K391" s="81">
        <v>300</v>
      </c>
      <c r="L391" s="79">
        <f t="shared" si="53"/>
        <v>1274</v>
      </c>
      <c r="M391" s="89">
        <v>600</v>
      </c>
      <c r="N391" s="79">
        <f>30</f>
        <v>30</v>
      </c>
      <c r="O391" s="81">
        <v>240</v>
      </c>
      <c r="P391" s="81">
        <v>160</v>
      </c>
      <c r="Q391" s="81">
        <f t="shared" si="54"/>
        <v>195</v>
      </c>
      <c r="R391" s="81">
        <f t="shared" si="55"/>
        <v>100</v>
      </c>
      <c r="S391" s="79">
        <f t="shared" si="56"/>
        <v>695</v>
      </c>
      <c r="T391" s="79">
        <f>0</f>
        <v>0</v>
      </c>
      <c r="U391" s="77"/>
      <c r="V391" s="77"/>
      <c r="W391" s="77"/>
      <c r="X391" s="77"/>
      <c r="Y391" s="77"/>
      <c r="Z391" s="77"/>
      <c r="AA391" s="77"/>
      <c r="AB391" s="77"/>
      <c r="AC391" s="77"/>
      <c r="AD391" s="77"/>
    </row>
    <row r="392" spans="1:30" ht="15.75" x14ac:dyDescent="0.25">
      <c r="A392" s="14">
        <v>52870</v>
      </c>
      <c r="B392" s="91">
        <v>30</v>
      </c>
      <c r="C392" s="79">
        <f>194.205</f>
        <v>194.20500000000001</v>
      </c>
      <c r="D392" s="79">
        <f>267.466</f>
        <v>267.46600000000001</v>
      </c>
      <c r="E392" s="87">
        <f>133.845</f>
        <v>133.845</v>
      </c>
      <c r="F392" s="79">
        <f>278.484-40-25-60</f>
        <v>153.48399999999998</v>
      </c>
      <c r="G392" s="81">
        <v>40</v>
      </c>
      <c r="H392" s="79">
        <f t="shared" si="62"/>
        <v>85</v>
      </c>
      <c r="I392" s="79">
        <f t="shared" si="60"/>
        <v>0</v>
      </c>
      <c r="J392" s="81">
        <v>100</v>
      </c>
      <c r="K392" s="81">
        <v>300</v>
      </c>
      <c r="L392" s="79">
        <f t="shared" si="53"/>
        <v>1274</v>
      </c>
      <c r="M392" s="89">
        <v>600</v>
      </c>
      <c r="N392" s="79">
        <f>30</f>
        <v>30</v>
      </c>
      <c r="O392" s="81">
        <v>240</v>
      </c>
      <c r="P392" s="81">
        <v>160</v>
      </c>
      <c r="Q392" s="81">
        <f t="shared" si="54"/>
        <v>195</v>
      </c>
      <c r="R392" s="81">
        <f t="shared" si="55"/>
        <v>100</v>
      </c>
      <c r="S392" s="79">
        <f t="shared" si="56"/>
        <v>695</v>
      </c>
      <c r="T392" s="79">
        <f>0</f>
        <v>0</v>
      </c>
      <c r="U392" s="77"/>
      <c r="V392" s="77"/>
      <c r="W392" s="77"/>
      <c r="X392" s="77"/>
      <c r="Y392" s="77"/>
      <c r="Z392" s="77"/>
      <c r="AA392" s="77"/>
      <c r="AB392" s="77"/>
      <c r="AC392" s="77"/>
      <c r="AD392" s="77"/>
    </row>
    <row r="393" spans="1:30" ht="15.75" x14ac:dyDescent="0.25">
      <c r="A393" s="14">
        <v>52901</v>
      </c>
      <c r="B393" s="91">
        <v>31</v>
      </c>
      <c r="C393" s="79">
        <f>131.881</f>
        <v>131.881</v>
      </c>
      <c r="D393" s="79">
        <f>277.167</f>
        <v>277.16699999999997</v>
      </c>
      <c r="E393" s="87">
        <f>79.08</f>
        <v>79.08</v>
      </c>
      <c r="F393" s="79">
        <f>350.872-40-25-60</f>
        <v>225.87200000000001</v>
      </c>
      <c r="G393" s="81">
        <v>40</v>
      </c>
      <c r="H393" s="79">
        <f t="shared" si="62"/>
        <v>85</v>
      </c>
      <c r="I393" s="79">
        <f t="shared" si="60"/>
        <v>0</v>
      </c>
      <c r="J393" s="81">
        <v>100</v>
      </c>
      <c r="K393" s="81">
        <v>300</v>
      </c>
      <c r="L393" s="79">
        <f t="shared" si="53"/>
        <v>1239</v>
      </c>
      <c r="M393" s="89">
        <v>600</v>
      </c>
      <c r="N393" s="79">
        <f>75</f>
        <v>75</v>
      </c>
      <c r="O393" s="81">
        <v>240</v>
      </c>
      <c r="P393" s="81">
        <v>160</v>
      </c>
      <c r="Q393" s="81">
        <f t="shared" si="54"/>
        <v>195</v>
      </c>
      <c r="R393" s="81">
        <f t="shared" si="55"/>
        <v>100</v>
      </c>
      <c r="S393" s="79">
        <f t="shared" si="56"/>
        <v>695</v>
      </c>
      <c r="T393" s="79">
        <f>0</f>
        <v>0</v>
      </c>
      <c r="U393" s="77"/>
      <c r="V393" s="77"/>
      <c r="W393" s="77"/>
      <c r="X393" s="77"/>
      <c r="Y393" s="77"/>
      <c r="Z393" s="77"/>
      <c r="AA393" s="77"/>
      <c r="AB393" s="77"/>
      <c r="AC393" s="77"/>
      <c r="AD393" s="77"/>
    </row>
    <row r="394" spans="1:30" ht="15.75" x14ac:dyDescent="0.25">
      <c r="A394" s="14">
        <v>52931</v>
      </c>
      <c r="B394" s="91">
        <v>30</v>
      </c>
      <c r="C394" s="79">
        <f>122.58</f>
        <v>122.58</v>
      </c>
      <c r="D394" s="79">
        <f>297.941</f>
        <v>297.94099999999997</v>
      </c>
      <c r="E394" s="87">
        <f>89.177</f>
        <v>89.177000000000007</v>
      </c>
      <c r="F394" s="79">
        <f>240.302-40-60</f>
        <v>140.30199999999999</v>
      </c>
      <c r="G394" s="81">
        <v>40</v>
      </c>
      <c r="H394" s="79">
        <v>60</v>
      </c>
      <c r="I394" s="79">
        <f t="shared" si="60"/>
        <v>0</v>
      </c>
      <c r="J394" s="81">
        <v>100</v>
      </c>
      <c r="K394" s="81">
        <v>300</v>
      </c>
      <c r="L394" s="79">
        <f t="shared" si="53"/>
        <v>1150</v>
      </c>
      <c r="M394" s="89">
        <v>600</v>
      </c>
      <c r="N394" s="79">
        <f>100</f>
        <v>100</v>
      </c>
      <c r="O394" s="81">
        <v>240</v>
      </c>
      <c r="P394" s="81">
        <v>40</v>
      </c>
      <c r="Q394" s="81">
        <f t="shared" si="54"/>
        <v>315</v>
      </c>
      <c r="R394" s="81">
        <f t="shared" si="55"/>
        <v>100</v>
      </c>
      <c r="S394" s="79">
        <f t="shared" si="56"/>
        <v>695</v>
      </c>
      <c r="T394" s="79">
        <f>50</f>
        <v>50</v>
      </c>
      <c r="U394" s="77"/>
      <c r="V394" s="77"/>
      <c r="W394" s="77"/>
      <c r="X394" s="77"/>
      <c r="Y394" s="77"/>
      <c r="Z394" s="77"/>
      <c r="AA394" s="77"/>
      <c r="AB394" s="77"/>
      <c r="AC394" s="77"/>
      <c r="AD394" s="77"/>
    </row>
    <row r="395" spans="1:30" ht="15.75" x14ac:dyDescent="0.25">
      <c r="A395" s="14">
        <v>52962</v>
      </c>
      <c r="B395" s="91">
        <v>31</v>
      </c>
      <c r="C395" s="79">
        <f>122.58</f>
        <v>122.58</v>
      </c>
      <c r="D395" s="79">
        <f>297.941</f>
        <v>297.94099999999997</v>
      </c>
      <c r="E395" s="87">
        <f>89.177</f>
        <v>89.177000000000007</v>
      </c>
      <c r="F395" s="79">
        <f>240.302-40-60</f>
        <v>140.30199999999999</v>
      </c>
      <c r="G395" s="81">
        <v>40</v>
      </c>
      <c r="H395" s="79">
        <v>60</v>
      </c>
      <c r="I395" s="79">
        <f t="shared" si="60"/>
        <v>0</v>
      </c>
      <c r="J395" s="81">
        <v>100</v>
      </c>
      <c r="K395" s="81">
        <v>300</v>
      </c>
      <c r="L395" s="79">
        <f t="shared" si="53"/>
        <v>1150</v>
      </c>
      <c r="M395" s="89">
        <v>600</v>
      </c>
      <c r="N395" s="79">
        <f>100</f>
        <v>100</v>
      </c>
      <c r="O395" s="81">
        <v>240</v>
      </c>
      <c r="P395" s="81">
        <v>40</v>
      </c>
      <c r="Q395" s="81">
        <f t="shared" si="54"/>
        <v>315</v>
      </c>
      <c r="R395" s="81">
        <f t="shared" si="55"/>
        <v>100</v>
      </c>
      <c r="S395" s="79">
        <f t="shared" si="56"/>
        <v>695</v>
      </c>
      <c r="T395" s="79">
        <f>50</f>
        <v>50</v>
      </c>
      <c r="U395" s="77"/>
      <c r="V395" s="77"/>
      <c r="W395" s="77"/>
      <c r="X395" s="77"/>
      <c r="Y395" s="77"/>
      <c r="Z395" s="77"/>
      <c r="AA395" s="77"/>
      <c r="AB395" s="77"/>
      <c r="AC395" s="77"/>
      <c r="AD395" s="77"/>
    </row>
    <row r="396" spans="1:30" ht="15.75" x14ac:dyDescent="0.25">
      <c r="A396" s="14">
        <v>52993</v>
      </c>
      <c r="B396" s="91">
        <v>31</v>
      </c>
      <c r="C396" s="79">
        <f>122.58</f>
        <v>122.58</v>
      </c>
      <c r="D396" s="79">
        <f>297.941</f>
        <v>297.94099999999997</v>
      </c>
      <c r="E396" s="87">
        <f>89.177</f>
        <v>89.177000000000007</v>
      </c>
      <c r="F396" s="79">
        <f>240.302-40-60</f>
        <v>140.30199999999999</v>
      </c>
      <c r="G396" s="81">
        <v>40</v>
      </c>
      <c r="H396" s="79">
        <v>60</v>
      </c>
      <c r="I396" s="79">
        <f t="shared" si="60"/>
        <v>0</v>
      </c>
      <c r="J396" s="81">
        <v>100</v>
      </c>
      <c r="K396" s="81">
        <v>300</v>
      </c>
      <c r="L396" s="79">
        <f t="shared" si="53"/>
        <v>1150</v>
      </c>
      <c r="M396" s="89">
        <v>600</v>
      </c>
      <c r="N396" s="79">
        <f>100</f>
        <v>100</v>
      </c>
      <c r="O396" s="81">
        <v>240</v>
      </c>
      <c r="P396" s="81">
        <v>40</v>
      </c>
      <c r="Q396" s="81">
        <f t="shared" si="54"/>
        <v>315</v>
      </c>
      <c r="R396" s="81">
        <f t="shared" si="55"/>
        <v>100</v>
      </c>
      <c r="S396" s="79">
        <f t="shared" si="56"/>
        <v>695</v>
      </c>
      <c r="T396" s="79">
        <f>50</f>
        <v>50</v>
      </c>
      <c r="U396" s="77"/>
      <c r="V396" s="77"/>
      <c r="W396" s="77"/>
      <c r="X396" s="77"/>
      <c r="Y396" s="77"/>
      <c r="Z396" s="77"/>
      <c r="AA396" s="77"/>
      <c r="AB396" s="77"/>
      <c r="AC396" s="77"/>
      <c r="AD396" s="77"/>
    </row>
    <row r="397" spans="1:30" ht="15.75" x14ac:dyDescent="0.25">
      <c r="A397" s="14">
        <v>53021</v>
      </c>
      <c r="B397" s="91">
        <v>28</v>
      </c>
      <c r="C397" s="79">
        <f>122.58</f>
        <v>122.58</v>
      </c>
      <c r="D397" s="79">
        <f>297.941</f>
        <v>297.94099999999997</v>
      </c>
      <c r="E397" s="87">
        <f>89.177</f>
        <v>89.177000000000007</v>
      </c>
      <c r="F397" s="79">
        <f>240.302-40-60</f>
        <v>140.30199999999999</v>
      </c>
      <c r="G397" s="81">
        <v>40</v>
      </c>
      <c r="H397" s="79">
        <v>60</v>
      </c>
      <c r="I397" s="79">
        <f t="shared" si="60"/>
        <v>0</v>
      </c>
      <c r="J397" s="81">
        <v>100</v>
      </c>
      <c r="K397" s="81">
        <v>300</v>
      </c>
      <c r="L397" s="79">
        <f t="shared" ref="L397:L460" si="63">SUM(C397:K397)</f>
        <v>1150</v>
      </c>
      <c r="M397" s="89">
        <v>600</v>
      </c>
      <c r="N397" s="79">
        <f>100</f>
        <v>100</v>
      </c>
      <c r="O397" s="81">
        <v>240</v>
      </c>
      <c r="P397" s="81">
        <v>40</v>
      </c>
      <c r="Q397" s="81">
        <f t="shared" ref="Q397:Q460" si="64">695-R397-O397-P397</f>
        <v>315</v>
      </c>
      <c r="R397" s="81">
        <f t="shared" ref="R397:R460" si="65">200-J397</f>
        <v>100</v>
      </c>
      <c r="S397" s="79">
        <f t="shared" ref="S397:S460" si="66">SUM(O397:R397)</f>
        <v>695</v>
      </c>
      <c r="T397" s="79">
        <f>50</f>
        <v>50</v>
      </c>
      <c r="U397" s="77"/>
      <c r="V397" s="77"/>
      <c r="W397" s="77"/>
      <c r="X397" s="77"/>
      <c r="Y397" s="77"/>
      <c r="Z397" s="77"/>
      <c r="AA397" s="77"/>
      <c r="AB397" s="77"/>
      <c r="AC397" s="77"/>
      <c r="AD397" s="77"/>
    </row>
    <row r="398" spans="1:30" ht="15.75" x14ac:dyDescent="0.25">
      <c r="A398" s="14">
        <v>53052</v>
      </c>
      <c r="B398" s="91">
        <v>31</v>
      </c>
      <c r="C398" s="79">
        <f>122.58</f>
        <v>122.58</v>
      </c>
      <c r="D398" s="79">
        <f>297.941</f>
        <v>297.94099999999997</v>
      </c>
      <c r="E398" s="87">
        <f>89.177</f>
        <v>89.177000000000007</v>
      </c>
      <c r="F398" s="79">
        <f>240.302-40-60</f>
        <v>140.30199999999999</v>
      </c>
      <c r="G398" s="81">
        <v>40</v>
      </c>
      <c r="H398" s="79">
        <v>60</v>
      </c>
      <c r="I398" s="79">
        <f t="shared" si="60"/>
        <v>0</v>
      </c>
      <c r="J398" s="81">
        <v>100</v>
      </c>
      <c r="K398" s="81">
        <v>300</v>
      </c>
      <c r="L398" s="79">
        <f t="shared" si="63"/>
        <v>1150</v>
      </c>
      <c r="M398" s="89">
        <v>600</v>
      </c>
      <c r="N398" s="79">
        <f>100</f>
        <v>100</v>
      </c>
      <c r="O398" s="81">
        <v>240</v>
      </c>
      <c r="P398" s="81">
        <v>40</v>
      </c>
      <c r="Q398" s="81">
        <f t="shared" si="64"/>
        <v>315</v>
      </c>
      <c r="R398" s="81">
        <f t="shared" si="65"/>
        <v>100</v>
      </c>
      <c r="S398" s="79">
        <f t="shared" si="66"/>
        <v>695</v>
      </c>
      <c r="T398" s="79">
        <f>50</f>
        <v>50</v>
      </c>
      <c r="U398" s="77"/>
      <c r="V398" s="77"/>
      <c r="W398" s="77"/>
      <c r="X398" s="77"/>
      <c r="Y398" s="77"/>
      <c r="Z398" s="77"/>
      <c r="AA398" s="77"/>
      <c r="AB398" s="77"/>
      <c r="AC398" s="77"/>
      <c r="AD398" s="77"/>
    </row>
    <row r="399" spans="1:30" ht="15.75" x14ac:dyDescent="0.25">
      <c r="A399" s="14">
        <v>53082</v>
      </c>
      <c r="B399" s="91">
        <v>30</v>
      </c>
      <c r="C399" s="79">
        <f>141.293</f>
        <v>141.29300000000001</v>
      </c>
      <c r="D399" s="79">
        <f>267.993</f>
        <v>267.99299999999999</v>
      </c>
      <c r="E399" s="87">
        <f>115.016</f>
        <v>115.01600000000001</v>
      </c>
      <c r="F399" s="79">
        <f>314.698-40-25-60</f>
        <v>189.69799999999998</v>
      </c>
      <c r="G399" s="81">
        <v>40</v>
      </c>
      <c r="H399" s="79">
        <f t="shared" ref="H399:H405" si="67">25+60</f>
        <v>85</v>
      </c>
      <c r="I399" s="79">
        <f t="shared" si="60"/>
        <v>0</v>
      </c>
      <c r="J399" s="81">
        <v>100</v>
      </c>
      <c r="K399" s="81">
        <v>300</v>
      </c>
      <c r="L399" s="79">
        <f t="shared" si="63"/>
        <v>1239</v>
      </c>
      <c r="M399" s="89">
        <v>600</v>
      </c>
      <c r="N399" s="79">
        <f>100</f>
        <v>100</v>
      </c>
      <c r="O399" s="81">
        <v>240</v>
      </c>
      <c r="P399" s="81">
        <v>160</v>
      </c>
      <c r="Q399" s="81">
        <f t="shared" si="64"/>
        <v>195</v>
      </c>
      <c r="R399" s="81">
        <f t="shared" si="65"/>
        <v>100</v>
      </c>
      <c r="S399" s="79">
        <f t="shared" si="66"/>
        <v>695</v>
      </c>
      <c r="T399" s="79">
        <f>50</f>
        <v>50</v>
      </c>
      <c r="U399" s="77"/>
      <c r="V399" s="77"/>
      <c r="W399" s="77"/>
      <c r="X399" s="77"/>
      <c r="Y399" s="77"/>
      <c r="Z399" s="77"/>
      <c r="AA399" s="77"/>
      <c r="AB399" s="77"/>
      <c r="AC399" s="77"/>
      <c r="AD399" s="77"/>
    </row>
    <row r="400" spans="1:30" ht="15.75" x14ac:dyDescent="0.25">
      <c r="A400" s="14">
        <v>53113</v>
      </c>
      <c r="B400" s="91">
        <v>31</v>
      </c>
      <c r="C400" s="79">
        <f>194.205</f>
        <v>194.20500000000001</v>
      </c>
      <c r="D400" s="79">
        <f>267.466</f>
        <v>267.46600000000001</v>
      </c>
      <c r="E400" s="87">
        <f>133.845</f>
        <v>133.845</v>
      </c>
      <c r="F400" s="79">
        <f>278.484-40-25-60</f>
        <v>153.48399999999998</v>
      </c>
      <c r="G400" s="81">
        <v>40</v>
      </c>
      <c r="H400" s="79">
        <f t="shared" si="67"/>
        <v>85</v>
      </c>
      <c r="I400" s="79">
        <f t="shared" si="60"/>
        <v>0</v>
      </c>
      <c r="J400" s="81">
        <v>100</v>
      </c>
      <c r="K400" s="81">
        <v>300</v>
      </c>
      <c r="L400" s="79">
        <f t="shared" si="63"/>
        <v>1274</v>
      </c>
      <c r="M400" s="89">
        <v>600</v>
      </c>
      <c r="N400" s="79">
        <f>75</f>
        <v>75</v>
      </c>
      <c r="O400" s="81">
        <v>240</v>
      </c>
      <c r="P400" s="81">
        <v>160</v>
      </c>
      <c r="Q400" s="81">
        <f t="shared" si="64"/>
        <v>195</v>
      </c>
      <c r="R400" s="81">
        <f t="shared" si="65"/>
        <v>100</v>
      </c>
      <c r="S400" s="79">
        <f t="shared" si="66"/>
        <v>695</v>
      </c>
      <c r="T400" s="79">
        <f>50</f>
        <v>50</v>
      </c>
      <c r="U400" s="77"/>
      <c r="V400" s="77"/>
      <c r="W400" s="77"/>
      <c r="X400" s="77"/>
      <c r="Y400" s="77"/>
      <c r="Z400" s="77"/>
      <c r="AA400" s="77"/>
      <c r="AB400" s="77"/>
      <c r="AC400" s="77"/>
      <c r="AD400" s="77"/>
    </row>
    <row r="401" spans="1:30" ht="15.75" x14ac:dyDescent="0.25">
      <c r="A401" s="14">
        <v>53143</v>
      </c>
      <c r="B401" s="91">
        <v>30</v>
      </c>
      <c r="C401" s="79">
        <f>194.205</f>
        <v>194.20500000000001</v>
      </c>
      <c r="D401" s="79">
        <f>267.466</f>
        <v>267.46600000000001</v>
      </c>
      <c r="E401" s="87">
        <f>133.845</f>
        <v>133.845</v>
      </c>
      <c r="F401" s="79">
        <f>278.484-40-25-60</f>
        <v>153.48399999999998</v>
      </c>
      <c r="G401" s="81">
        <v>40</v>
      </c>
      <c r="H401" s="79">
        <f t="shared" si="67"/>
        <v>85</v>
      </c>
      <c r="I401" s="79">
        <f t="shared" si="60"/>
        <v>0</v>
      </c>
      <c r="J401" s="81">
        <v>100</v>
      </c>
      <c r="K401" s="81">
        <v>300</v>
      </c>
      <c r="L401" s="79">
        <f t="shared" si="63"/>
        <v>1274</v>
      </c>
      <c r="M401" s="89">
        <v>600</v>
      </c>
      <c r="N401" s="79">
        <f>30</f>
        <v>30</v>
      </c>
      <c r="O401" s="81">
        <v>240</v>
      </c>
      <c r="P401" s="81">
        <v>160</v>
      </c>
      <c r="Q401" s="81">
        <f t="shared" si="64"/>
        <v>195</v>
      </c>
      <c r="R401" s="81">
        <f t="shared" si="65"/>
        <v>100</v>
      </c>
      <c r="S401" s="79">
        <f t="shared" si="66"/>
        <v>695</v>
      </c>
      <c r="T401" s="79">
        <f>50</f>
        <v>50</v>
      </c>
      <c r="U401" s="77"/>
      <c r="V401" s="77"/>
      <c r="W401" s="77"/>
      <c r="X401" s="77"/>
      <c r="Y401" s="77"/>
      <c r="Z401" s="77"/>
      <c r="AA401" s="77"/>
      <c r="AB401" s="77"/>
      <c r="AC401" s="77"/>
      <c r="AD401" s="77"/>
    </row>
    <row r="402" spans="1:30" ht="15.75" x14ac:dyDescent="0.25">
      <c r="A402" s="14">
        <v>53174</v>
      </c>
      <c r="B402" s="91">
        <v>31</v>
      </c>
      <c r="C402" s="79">
        <f>194.205</f>
        <v>194.20500000000001</v>
      </c>
      <c r="D402" s="79">
        <f>267.466</f>
        <v>267.46600000000001</v>
      </c>
      <c r="E402" s="87">
        <f>133.845</f>
        <v>133.845</v>
      </c>
      <c r="F402" s="79">
        <f>278.484-40-25-60</f>
        <v>153.48399999999998</v>
      </c>
      <c r="G402" s="81">
        <v>40</v>
      </c>
      <c r="H402" s="79">
        <f t="shared" si="67"/>
        <v>85</v>
      </c>
      <c r="I402" s="79">
        <f t="shared" si="60"/>
        <v>0</v>
      </c>
      <c r="J402" s="81">
        <v>100</v>
      </c>
      <c r="K402" s="81">
        <v>300</v>
      </c>
      <c r="L402" s="79">
        <f t="shared" si="63"/>
        <v>1274</v>
      </c>
      <c r="M402" s="89">
        <v>600</v>
      </c>
      <c r="N402" s="79">
        <f>30</f>
        <v>30</v>
      </c>
      <c r="O402" s="81">
        <v>240</v>
      </c>
      <c r="P402" s="81">
        <v>160</v>
      </c>
      <c r="Q402" s="81">
        <f t="shared" si="64"/>
        <v>195</v>
      </c>
      <c r="R402" s="81">
        <f t="shared" si="65"/>
        <v>100</v>
      </c>
      <c r="S402" s="79">
        <f t="shared" si="66"/>
        <v>695</v>
      </c>
      <c r="T402" s="79">
        <f>0</f>
        <v>0</v>
      </c>
      <c r="U402" s="77"/>
      <c r="V402" s="77"/>
      <c r="W402" s="77"/>
      <c r="X402" s="77"/>
      <c r="Y402" s="77"/>
      <c r="Z402" s="77"/>
      <c r="AA402" s="77"/>
      <c r="AB402" s="77"/>
      <c r="AC402" s="77"/>
      <c r="AD402" s="77"/>
    </row>
    <row r="403" spans="1:30" ht="15.75" x14ac:dyDescent="0.25">
      <c r="A403" s="14">
        <v>53205</v>
      </c>
      <c r="B403" s="91">
        <v>31</v>
      </c>
      <c r="C403" s="79">
        <f>194.205</f>
        <v>194.20500000000001</v>
      </c>
      <c r="D403" s="79">
        <f>267.466</f>
        <v>267.46600000000001</v>
      </c>
      <c r="E403" s="87">
        <f>133.845</f>
        <v>133.845</v>
      </c>
      <c r="F403" s="79">
        <f>278.484-40-25-60</f>
        <v>153.48399999999998</v>
      </c>
      <c r="G403" s="81">
        <v>40</v>
      </c>
      <c r="H403" s="79">
        <f t="shared" si="67"/>
        <v>85</v>
      </c>
      <c r="I403" s="79">
        <f t="shared" si="60"/>
        <v>0</v>
      </c>
      <c r="J403" s="81">
        <v>100</v>
      </c>
      <c r="K403" s="81">
        <v>300</v>
      </c>
      <c r="L403" s="79">
        <f t="shared" si="63"/>
        <v>1274</v>
      </c>
      <c r="M403" s="89">
        <v>600</v>
      </c>
      <c r="N403" s="79">
        <f>30</f>
        <v>30</v>
      </c>
      <c r="O403" s="81">
        <v>240</v>
      </c>
      <c r="P403" s="81">
        <v>160</v>
      </c>
      <c r="Q403" s="81">
        <f t="shared" si="64"/>
        <v>195</v>
      </c>
      <c r="R403" s="81">
        <f t="shared" si="65"/>
        <v>100</v>
      </c>
      <c r="S403" s="79">
        <f t="shared" si="66"/>
        <v>695</v>
      </c>
      <c r="T403" s="79">
        <f>0</f>
        <v>0</v>
      </c>
      <c r="U403" s="77"/>
      <c r="V403" s="77"/>
      <c r="W403" s="77"/>
      <c r="X403" s="77"/>
      <c r="Y403" s="77"/>
      <c r="Z403" s="77"/>
      <c r="AA403" s="77"/>
      <c r="AB403" s="77"/>
      <c r="AC403" s="77"/>
      <c r="AD403" s="77"/>
    </row>
    <row r="404" spans="1:30" ht="15.75" x14ac:dyDescent="0.25">
      <c r="A404" s="14">
        <v>53235</v>
      </c>
      <c r="B404" s="91">
        <v>30</v>
      </c>
      <c r="C404" s="79">
        <f>194.205</f>
        <v>194.20500000000001</v>
      </c>
      <c r="D404" s="79">
        <f>267.466</f>
        <v>267.46600000000001</v>
      </c>
      <c r="E404" s="87">
        <f>133.845</f>
        <v>133.845</v>
      </c>
      <c r="F404" s="79">
        <f>278.484-40-25-60</f>
        <v>153.48399999999998</v>
      </c>
      <c r="G404" s="81">
        <v>40</v>
      </c>
      <c r="H404" s="79">
        <f t="shared" si="67"/>
        <v>85</v>
      </c>
      <c r="I404" s="79">
        <f t="shared" si="60"/>
        <v>0</v>
      </c>
      <c r="J404" s="81">
        <v>100</v>
      </c>
      <c r="K404" s="81">
        <v>300</v>
      </c>
      <c r="L404" s="79">
        <f t="shared" si="63"/>
        <v>1274</v>
      </c>
      <c r="M404" s="89">
        <v>600</v>
      </c>
      <c r="N404" s="79">
        <f>30</f>
        <v>30</v>
      </c>
      <c r="O404" s="81">
        <v>240</v>
      </c>
      <c r="P404" s="81">
        <v>160</v>
      </c>
      <c r="Q404" s="81">
        <f t="shared" si="64"/>
        <v>195</v>
      </c>
      <c r="R404" s="81">
        <f t="shared" si="65"/>
        <v>100</v>
      </c>
      <c r="S404" s="79">
        <f t="shared" si="66"/>
        <v>695</v>
      </c>
      <c r="T404" s="79">
        <f>0</f>
        <v>0</v>
      </c>
      <c r="U404" s="77"/>
      <c r="V404" s="77"/>
      <c r="W404" s="77"/>
      <c r="X404" s="77"/>
      <c r="Y404" s="77"/>
      <c r="Z404" s="77"/>
      <c r="AA404" s="77"/>
      <c r="AB404" s="77"/>
      <c r="AC404" s="77"/>
      <c r="AD404" s="77"/>
    </row>
    <row r="405" spans="1:30" ht="15.75" x14ac:dyDescent="0.25">
      <c r="A405" s="14">
        <v>53266</v>
      </c>
      <c r="B405" s="91">
        <v>31</v>
      </c>
      <c r="C405" s="79">
        <f>131.881</f>
        <v>131.881</v>
      </c>
      <c r="D405" s="79">
        <f>277.167</f>
        <v>277.16699999999997</v>
      </c>
      <c r="E405" s="87">
        <f>79.08</f>
        <v>79.08</v>
      </c>
      <c r="F405" s="79">
        <f>350.872-40-25-60</f>
        <v>225.87200000000001</v>
      </c>
      <c r="G405" s="81">
        <v>40</v>
      </c>
      <c r="H405" s="79">
        <f t="shared" si="67"/>
        <v>85</v>
      </c>
      <c r="I405" s="79">
        <f t="shared" si="60"/>
        <v>0</v>
      </c>
      <c r="J405" s="81">
        <v>100</v>
      </c>
      <c r="K405" s="81">
        <v>300</v>
      </c>
      <c r="L405" s="79">
        <f t="shared" si="63"/>
        <v>1239</v>
      </c>
      <c r="M405" s="89">
        <v>600</v>
      </c>
      <c r="N405" s="79">
        <f>75</f>
        <v>75</v>
      </c>
      <c r="O405" s="81">
        <v>240</v>
      </c>
      <c r="P405" s="81">
        <v>160</v>
      </c>
      <c r="Q405" s="81">
        <f t="shared" si="64"/>
        <v>195</v>
      </c>
      <c r="R405" s="81">
        <f t="shared" si="65"/>
        <v>100</v>
      </c>
      <c r="S405" s="79">
        <f t="shared" si="66"/>
        <v>695</v>
      </c>
      <c r="T405" s="79">
        <f>0</f>
        <v>0</v>
      </c>
      <c r="U405" s="77"/>
      <c r="V405" s="77"/>
      <c r="W405" s="77"/>
      <c r="X405" s="77"/>
      <c r="Y405" s="77"/>
      <c r="Z405" s="77"/>
      <c r="AA405" s="77"/>
      <c r="AB405" s="77"/>
      <c r="AC405" s="77"/>
      <c r="AD405" s="77"/>
    </row>
    <row r="406" spans="1:30" ht="15.75" x14ac:dyDescent="0.25">
      <c r="A406" s="14">
        <v>53296</v>
      </c>
      <c r="B406" s="91">
        <v>30</v>
      </c>
      <c r="C406" s="79">
        <f>122.58</f>
        <v>122.58</v>
      </c>
      <c r="D406" s="79">
        <f>297.941</f>
        <v>297.94099999999997</v>
      </c>
      <c r="E406" s="87">
        <f>89.177</f>
        <v>89.177000000000007</v>
      </c>
      <c r="F406" s="79">
        <f>240.302-40-60</f>
        <v>140.30199999999999</v>
      </c>
      <c r="G406" s="81">
        <v>40</v>
      </c>
      <c r="H406" s="79">
        <v>60</v>
      </c>
      <c r="I406" s="79">
        <f t="shared" si="60"/>
        <v>0</v>
      </c>
      <c r="J406" s="81">
        <v>100</v>
      </c>
      <c r="K406" s="81">
        <v>300</v>
      </c>
      <c r="L406" s="79">
        <f t="shared" si="63"/>
        <v>1150</v>
      </c>
      <c r="M406" s="89">
        <v>600</v>
      </c>
      <c r="N406" s="79">
        <f>100</f>
        <v>100</v>
      </c>
      <c r="O406" s="81">
        <v>240</v>
      </c>
      <c r="P406" s="81">
        <v>40</v>
      </c>
      <c r="Q406" s="81">
        <f t="shared" si="64"/>
        <v>315</v>
      </c>
      <c r="R406" s="81">
        <f t="shared" si="65"/>
        <v>100</v>
      </c>
      <c r="S406" s="79">
        <f t="shared" si="66"/>
        <v>695</v>
      </c>
      <c r="T406" s="79">
        <f>50</f>
        <v>50</v>
      </c>
      <c r="U406" s="77"/>
      <c r="V406" s="77"/>
      <c r="W406" s="77"/>
      <c r="X406" s="77"/>
      <c r="Y406" s="77"/>
      <c r="Z406" s="77"/>
      <c r="AA406" s="77"/>
      <c r="AB406" s="77"/>
      <c r="AC406" s="77"/>
      <c r="AD406" s="77"/>
    </row>
    <row r="407" spans="1:30" ht="15.75" x14ac:dyDescent="0.25">
      <c r="A407" s="14">
        <v>53327</v>
      </c>
      <c r="B407" s="91">
        <v>31</v>
      </c>
      <c r="C407" s="79">
        <f>122.58</f>
        <v>122.58</v>
      </c>
      <c r="D407" s="79">
        <f>297.941</f>
        <v>297.94099999999997</v>
      </c>
      <c r="E407" s="87">
        <f>89.177</f>
        <v>89.177000000000007</v>
      </c>
      <c r="F407" s="79">
        <f>240.302-40-60</f>
        <v>140.30199999999999</v>
      </c>
      <c r="G407" s="81">
        <v>40</v>
      </c>
      <c r="H407" s="79">
        <v>60</v>
      </c>
      <c r="I407" s="79">
        <f t="shared" si="60"/>
        <v>0</v>
      </c>
      <c r="J407" s="81">
        <v>100</v>
      </c>
      <c r="K407" s="81">
        <v>300</v>
      </c>
      <c r="L407" s="79">
        <f t="shared" si="63"/>
        <v>1150</v>
      </c>
      <c r="M407" s="89">
        <v>600</v>
      </c>
      <c r="N407" s="79">
        <f>100</f>
        <v>100</v>
      </c>
      <c r="O407" s="81">
        <v>240</v>
      </c>
      <c r="P407" s="81">
        <v>40</v>
      </c>
      <c r="Q407" s="81">
        <f t="shared" si="64"/>
        <v>315</v>
      </c>
      <c r="R407" s="81">
        <f t="shared" si="65"/>
        <v>100</v>
      </c>
      <c r="S407" s="79">
        <f t="shared" si="66"/>
        <v>695</v>
      </c>
      <c r="T407" s="79">
        <f>50</f>
        <v>50</v>
      </c>
      <c r="U407" s="77"/>
      <c r="V407" s="77"/>
      <c r="W407" s="77"/>
      <c r="X407" s="77"/>
      <c r="Y407" s="77"/>
      <c r="Z407" s="77"/>
      <c r="AA407" s="77"/>
      <c r="AB407" s="77"/>
      <c r="AC407" s="77"/>
      <c r="AD407" s="77"/>
    </row>
    <row r="408" spans="1:30" ht="15.75" x14ac:dyDescent="0.25">
      <c r="A408" s="14">
        <v>53358</v>
      </c>
      <c r="B408" s="91">
        <v>31</v>
      </c>
      <c r="C408" s="79">
        <f>122.58</f>
        <v>122.58</v>
      </c>
      <c r="D408" s="79">
        <f>297.941</f>
        <v>297.94099999999997</v>
      </c>
      <c r="E408" s="87">
        <f>89.177</f>
        <v>89.177000000000007</v>
      </c>
      <c r="F408" s="79">
        <f>240.302-40-60</f>
        <v>140.30199999999999</v>
      </c>
      <c r="G408" s="81">
        <v>40</v>
      </c>
      <c r="H408" s="79">
        <v>60</v>
      </c>
      <c r="I408" s="79">
        <f t="shared" si="60"/>
        <v>0</v>
      </c>
      <c r="J408" s="81">
        <v>100</v>
      </c>
      <c r="K408" s="81">
        <v>300</v>
      </c>
      <c r="L408" s="79">
        <f t="shared" si="63"/>
        <v>1150</v>
      </c>
      <c r="M408" s="89">
        <v>600</v>
      </c>
      <c r="N408" s="79">
        <f>100</f>
        <v>100</v>
      </c>
      <c r="O408" s="81">
        <v>240</v>
      </c>
      <c r="P408" s="81">
        <v>40</v>
      </c>
      <c r="Q408" s="81">
        <f t="shared" si="64"/>
        <v>315</v>
      </c>
      <c r="R408" s="81">
        <f t="shared" si="65"/>
        <v>100</v>
      </c>
      <c r="S408" s="79">
        <f t="shared" si="66"/>
        <v>695</v>
      </c>
      <c r="T408" s="79">
        <f>50</f>
        <v>50</v>
      </c>
      <c r="U408" s="77"/>
      <c r="V408" s="77"/>
      <c r="W408" s="77"/>
      <c r="X408" s="77"/>
      <c r="Y408" s="77"/>
      <c r="Z408" s="77"/>
      <c r="AA408" s="77"/>
      <c r="AB408" s="77"/>
      <c r="AC408" s="77"/>
      <c r="AD408" s="77"/>
    </row>
    <row r="409" spans="1:30" ht="15.75" x14ac:dyDescent="0.25">
      <c r="A409" s="14">
        <v>53386</v>
      </c>
      <c r="B409" s="91">
        <v>28</v>
      </c>
      <c r="C409" s="79">
        <f>122.58</f>
        <v>122.58</v>
      </c>
      <c r="D409" s="79">
        <f>297.941</f>
        <v>297.94099999999997</v>
      </c>
      <c r="E409" s="87">
        <f>89.177</f>
        <v>89.177000000000007</v>
      </c>
      <c r="F409" s="79">
        <f>240.302-40-60</f>
        <v>140.30199999999999</v>
      </c>
      <c r="G409" s="81">
        <v>40</v>
      </c>
      <c r="H409" s="79">
        <v>60</v>
      </c>
      <c r="I409" s="79">
        <f t="shared" si="60"/>
        <v>0</v>
      </c>
      <c r="J409" s="81">
        <v>100</v>
      </c>
      <c r="K409" s="81">
        <v>300</v>
      </c>
      <c r="L409" s="79">
        <f t="shared" si="63"/>
        <v>1150</v>
      </c>
      <c r="M409" s="89">
        <v>600</v>
      </c>
      <c r="N409" s="79">
        <f>100</f>
        <v>100</v>
      </c>
      <c r="O409" s="81">
        <v>240</v>
      </c>
      <c r="P409" s="81">
        <v>40</v>
      </c>
      <c r="Q409" s="81">
        <f t="shared" si="64"/>
        <v>315</v>
      </c>
      <c r="R409" s="81">
        <f t="shared" si="65"/>
        <v>100</v>
      </c>
      <c r="S409" s="79">
        <f t="shared" si="66"/>
        <v>695</v>
      </c>
      <c r="T409" s="79">
        <f>50</f>
        <v>50</v>
      </c>
      <c r="U409" s="77"/>
      <c r="V409" s="77"/>
      <c r="W409" s="77"/>
      <c r="X409" s="77"/>
      <c r="Y409" s="77"/>
      <c r="Z409" s="77"/>
      <c r="AA409" s="77"/>
      <c r="AB409" s="77"/>
      <c r="AC409" s="77"/>
      <c r="AD409" s="77"/>
    </row>
    <row r="410" spans="1:30" ht="15.75" x14ac:dyDescent="0.25">
      <c r="A410" s="14">
        <v>53417</v>
      </c>
      <c r="B410" s="91">
        <v>31</v>
      </c>
      <c r="C410" s="79">
        <f>122.58</f>
        <v>122.58</v>
      </c>
      <c r="D410" s="79">
        <f>297.941</f>
        <v>297.94099999999997</v>
      </c>
      <c r="E410" s="87">
        <f>89.177</f>
        <v>89.177000000000007</v>
      </c>
      <c r="F410" s="79">
        <f>240.302-40-60</f>
        <v>140.30199999999999</v>
      </c>
      <c r="G410" s="81">
        <v>40</v>
      </c>
      <c r="H410" s="79">
        <v>60</v>
      </c>
      <c r="I410" s="79">
        <f t="shared" si="60"/>
        <v>0</v>
      </c>
      <c r="J410" s="81">
        <v>100</v>
      </c>
      <c r="K410" s="81">
        <v>300</v>
      </c>
      <c r="L410" s="79">
        <f t="shared" si="63"/>
        <v>1150</v>
      </c>
      <c r="M410" s="89">
        <v>600</v>
      </c>
      <c r="N410" s="79">
        <f>100</f>
        <v>100</v>
      </c>
      <c r="O410" s="81">
        <v>240</v>
      </c>
      <c r="P410" s="81">
        <v>40</v>
      </c>
      <c r="Q410" s="81">
        <f t="shared" si="64"/>
        <v>315</v>
      </c>
      <c r="R410" s="81">
        <f t="shared" si="65"/>
        <v>100</v>
      </c>
      <c r="S410" s="79">
        <f t="shared" si="66"/>
        <v>695</v>
      </c>
      <c r="T410" s="79">
        <f>50</f>
        <v>50</v>
      </c>
      <c r="U410" s="77"/>
      <c r="V410" s="77"/>
      <c r="W410" s="77"/>
      <c r="X410" s="77"/>
      <c r="Y410" s="77"/>
      <c r="Z410" s="77"/>
      <c r="AA410" s="77"/>
      <c r="AB410" s="77"/>
      <c r="AC410" s="77"/>
      <c r="AD410" s="77"/>
    </row>
    <row r="411" spans="1:30" ht="15.75" x14ac:dyDescent="0.25">
      <c r="A411" s="14">
        <v>53447</v>
      </c>
      <c r="B411" s="91">
        <v>30</v>
      </c>
      <c r="C411" s="79">
        <f>141.293</f>
        <v>141.29300000000001</v>
      </c>
      <c r="D411" s="79">
        <f>267.993</f>
        <v>267.99299999999999</v>
      </c>
      <c r="E411" s="87">
        <f>115.016</f>
        <v>115.01600000000001</v>
      </c>
      <c r="F411" s="79">
        <f>314.698-40-25-60</f>
        <v>189.69799999999998</v>
      </c>
      <c r="G411" s="81">
        <v>40</v>
      </c>
      <c r="H411" s="79">
        <f t="shared" ref="H411:H417" si="68">25+60</f>
        <v>85</v>
      </c>
      <c r="I411" s="79">
        <f t="shared" si="60"/>
        <v>0</v>
      </c>
      <c r="J411" s="81">
        <v>100</v>
      </c>
      <c r="K411" s="81">
        <v>300</v>
      </c>
      <c r="L411" s="79">
        <f t="shared" si="63"/>
        <v>1239</v>
      </c>
      <c r="M411" s="89">
        <v>600</v>
      </c>
      <c r="N411" s="79">
        <f>100</f>
        <v>100</v>
      </c>
      <c r="O411" s="81">
        <v>240</v>
      </c>
      <c r="P411" s="81">
        <v>160</v>
      </c>
      <c r="Q411" s="81">
        <f t="shared" si="64"/>
        <v>195</v>
      </c>
      <c r="R411" s="81">
        <f t="shared" si="65"/>
        <v>100</v>
      </c>
      <c r="S411" s="79">
        <f t="shared" si="66"/>
        <v>695</v>
      </c>
      <c r="T411" s="79">
        <f>50</f>
        <v>50</v>
      </c>
      <c r="U411" s="77"/>
      <c r="V411" s="77"/>
      <c r="W411" s="77"/>
      <c r="X411" s="77"/>
      <c r="Y411" s="77"/>
      <c r="Z411" s="77"/>
      <c r="AA411" s="77"/>
      <c r="AB411" s="77"/>
      <c r="AC411" s="77"/>
      <c r="AD411" s="77"/>
    </row>
    <row r="412" spans="1:30" ht="15.75" x14ac:dyDescent="0.25">
      <c r="A412" s="14">
        <v>53478</v>
      </c>
      <c r="B412" s="91">
        <v>31</v>
      </c>
      <c r="C412" s="79">
        <f>194.205</f>
        <v>194.20500000000001</v>
      </c>
      <c r="D412" s="79">
        <f>267.466</f>
        <v>267.46600000000001</v>
      </c>
      <c r="E412" s="87">
        <f>133.845</f>
        <v>133.845</v>
      </c>
      <c r="F412" s="79">
        <f>278.484-40-25-60</f>
        <v>153.48399999999998</v>
      </c>
      <c r="G412" s="81">
        <v>40</v>
      </c>
      <c r="H412" s="79">
        <f t="shared" si="68"/>
        <v>85</v>
      </c>
      <c r="I412" s="79">
        <f t="shared" si="60"/>
        <v>0</v>
      </c>
      <c r="J412" s="81">
        <v>100</v>
      </c>
      <c r="K412" s="81">
        <v>300</v>
      </c>
      <c r="L412" s="79">
        <f t="shared" si="63"/>
        <v>1274</v>
      </c>
      <c r="M412" s="89">
        <v>600</v>
      </c>
      <c r="N412" s="79">
        <f>75</f>
        <v>75</v>
      </c>
      <c r="O412" s="81">
        <v>240</v>
      </c>
      <c r="P412" s="81">
        <v>160</v>
      </c>
      <c r="Q412" s="81">
        <f t="shared" si="64"/>
        <v>195</v>
      </c>
      <c r="R412" s="81">
        <f t="shared" si="65"/>
        <v>100</v>
      </c>
      <c r="S412" s="79">
        <f t="shared" si="66"/>
        <v>695</v>
      </c>
      <c r="T412" s="79">
        <f>50</f>
        <v>50</v>
      </c>
      <c r="U412" s="77"/>
      <c r="V412" s="77"/>
      <c r="W412" s="77"/>
      <c r="X412" s="77"/>
      <c r="Y412" s="77"/>
      <c r="Z412" s="77"/>
      <c r="AA412" s="77"/>
      <c r="AB412" s="77"/>
      <c r="AC412" s="77"/>
      <c r="AD412" s="77"/>
    </row>
    <row r="413" spans="1:30" ht="15.75" x14ac:dyDescent="0.25">
      <c r="A413" s="14">
        <v>53508</v>
      </c>
      <c r="B413" s="91">
        <v>30</v>
      </c>
      <c r="C413" s="79">
        <f>194.205</f>
        <v>194.20500000000001</v>
      </c>
      <c r="D413" s="79">
        <f>267.466</f>
        <v>267.46600000000001</v>
      </c>
      <c r="E413" s="87">
        <f>133.845</f>
        <v>133.845</v>
      </c>
      <c r="F413" s="79">
        <f>278.484-40-25-60</f>
        <v>153.48399999999998</v>
      </c>
      <c r="G413" s="81">
        <v>40</v>
      </c>
      <c r="H413" s="79">
        <f t="shared" si="68"/>
        <v>85</v>
      </c>
      <c r="I413" s="79">
        <f t="shared" si="60"/>
        <v>0</v>
      </c>
      <c r="J413" s="81">
        <v>100</v>
      </c>
      <c r="K413" s="81">
        <v>300</v>
      </c>
      <c r="L413" s="79">
        <f t="shared" si="63"/>
        <v>1274</v>
      </c>
      <c r="M413" s="89">
        <v>600</v>
      </c>
      <c r="N413" s="79">
        <f>30</f>
        <v>30</v>
      </c>
      <c r="O413" s="81">
        <v>240</v>
      </c>
      <c r="P413" s="81">
        <v>160</v>
      </c>
      <c r="Q413" s="81">
        <f t="shared" si="64"/>
        <v>195</v>
      </c>
      <c r="R413" s="81">
        <f t="shared" si="65"/>
        <v>100</v>
      </c>
      <c r="S413" s="79">
        <f t="shared" si="66"/>
        <v>695</v>
      </c>
      <c r="T413" s="79">
        <f>50</f>
        <v>50</v>
      </c>
      <c r="U413" s="77"/>
      <c r="V413" s="77"/>
      <c r="W413" s="77"/>
      <c r="X413" s="77"/>
      <c r="Y413" s="77"/>
      <c r="Z413" s="77"/>
      <c r="AA413" s="77"/>
      <c r="AB413" s="77"/>
      <c r="AC413" s="77"/>
      <c r="AD413" s="77"/>
    </row>
    <row r="414" spans="1:30" ht="15.75" x14ac:dyDescent="0.25">
      <c r="A414" s="14">
        <v>53539</v>
      </c>
      <c r="B414" s="91">
        <v>31</v>
      </c>
      <c r="C414" s="79">
        <f>194.205</f>
        <v>194.20500000000001</v>
      </c>
      <c r="D414" s="79">
        <f>267.466</f>
        <v>267.46600000000001</v>
      </c>
      <c r="E414" s="87">
        <f>133.845</f>
        <v>133.845</v>
      </c>
      <c r="F414" s="79">
        <f>278.484-40-25-60</f>
        <v>153.48399999999998</v>
      </c>
      <c r="G414" s="81">
        <v>40</v>
      </c>
      <c r="H414" s="79">
        <f t="shared" si="68"/>
        <v>85</v>
      </c>
      <c r="I414" s="79">
        <f t="shared" si="60"/>
        <v>0</v>
      </c>
      <c r="J414" s="81">
        <v>100</v>
      </c>
      <c r="K414" s="81">
        <v>300</v>
      </c>
      <c r="L414" s="79">
        <f t="shared" si="63"/>
        <v>1274</v>
      </c>
      <c r="M414" s="89">
        <v>600</v>
      </c>
      <c r="N414" s="79">
        <f>30</f>
        <v>30</v>
      </c>
      <c r="O414" s="81">
        <v>240</v>
      </c>
      <c r="P414" s="81">
        <v>160</v>
      </c>
      <c r="Q414" s="81">
        <f t="shared" si="64"/>
        <v>195</v>
      </c>
      <c r="R414" s="81">
        <f t="shared" si="65"/>
        <v>100</v>
      </c>
      <c r="S414" s="79">
        <f t="shared" si="66"/>
        <v>695</v>
      </c>
      <c r="T414" s="79">
        <f>0</f>
        <v>0</v>
      </c>
      <c r="U414" s="77"/>
      <c r="V414" s="77"/>
      <c r="W414" s="77"/>
      <c r="X414" s="77"/>
      <c r="Y414" s="77"/>
      <c r="Z414" s="77"/>
      <c r="AA414" s="77"/>
      <c r="AB414" s="77"/>
      <c r="AC414" s="77"/>
      <c r="AD414" s="77"/>
    </row>
    <row r="415" spans="1:30" ht="15.75" x14ac:dyDescent="0.25">
      <c r="A415" s="14">
        <v>53570</v>
      </c>
      <c r="B415" s="91">
        <v>31</v>
      </c>
      <c r="C415" s="79">
        <f>194.205</f>
        <v>194.20500000000001</v>
      </c>
      <c r="D415" s="79">
        <f>267.466</f>
        <v>267.46600000000001</v>
      </c>
      <c r="E415" s="87">
        <f>133.845</f>
        <v>133.845</v>
      </c>
      <c r="F415" s="79">
        <f>278.484-40-25-60</f>
        <v>153.48399999999998</v>
      </c>
      <c r="G415" s="81">
        <v>40</v>
      </c>
      <c r="H415" s="79">
        <f t="shared" si="68"/>
        <v>85</v>
      </c>
      <c r="I415" s="79">
        <f t="shared" si="60"/>
        <v>0</v>
      </c>
      <c r="J415" s="81">
        <v>100</v>
      </c>
      <c r="K415" s="81">
        <v>300</v>
      </c>
      <c r="L415" s="79">
        <f t="shared" si="63"/>
        <v>1274</v>
      </c>
      <c r="M415" s="89">
        <v>600</v>
      </c>
      <c r="N415" s="79">
        <f>30</f>
        <v>30</v>
      </c>
      <c r="O415" s="81">
        <v>240</v>
      </c>
      <c r="P415" s="81">
        <v>160</v>
      </c>
      <c r="Q415" s="81">
        <f t="shared" si="64"/>
        <v>195</v>
      </c>
      <c r="R415" s="81">
        <f t="shared" si="65"/>
        <v>100</v>
      </c>
      <c r="S415" s="79">
        <f t="shared" si="66"/>
        <v>695</v>
      </c>
      <c r="T415" s="79">
        <f>0</f>
        <v>0</v>
      </c>
      <c r="U415" s="77"/>
      <c r="V415" s="77"/>
      <c r="W415" s="77"/>
      <c r="X415" s="77"/>
      <c r="Y415" s="77"/>
      <c r="Z415" s="77"/>
      <c r="AA415" s="77"/>
      <c r="AB415" s="77"/>
      <c r="AC415" s="77"/>
      <c r="AD415" s="77"/>
    </row>
    <row r="416" spans="1:30" ht="15.75" x14ac:dyDescent="0.25">
      <c r="A416" s="14">
        <v>53600</v>
      </c>
      <c r="B416" s="91">
        <v>30</v>
      </c>
      <c r="C416" s="79">
        <f>194.205</f>
        <v>194.20500000000001</v>
      </c>
      <c r="D416" s="79">
        <f>267.466</f>
        <v>267.46600000000001</v>
      </c>
      <c r="E416" s="87">
        <f>133.845</f>
        <v>133.845</v>
      </c>
      <c r="F416" s="79">
        <f>278.484-40-25-60</f>
        <v>153.48399999999998</v>
      </c>
      <c r="G416" s="81">
        <v>40</v>
      </c>
      <c r="H416" s="79">
        <f t="shared" si="68"/>
        <v>85</v>
      </c>
      <c r="I416" s="79">
        <f t="shared" si="60"/>
        <v>0</v>
      </c>
      <c r="J416" s="81">
        <v>100</v>
      </c>
      <c r="K416" s="81">
        <v>300</v>
      </c>
      <c r="L416" s="79">
        <f t="shared" si="63"/>
        <v>1274</v>
      </c>
      <c r="M416" s="89">
        <v>600</v>
      </c>
      <c r="N416" s="79">
        <f>30</f>
        <v>30</v>
      </c>
      <c r="O416" s="81">
        <v>240</v>
      </c>
      <c r="P416" s="81">
        <v>160</v>
      </c>
      <c r="Q416" s="81">
        <f t="shared" si="64"/>
        <v>195</v>
      </c>
      <c r="R416" s="81">
        <f t="shared" si="65"/>
        <v>100</v>
      </c>
      <c r="S416" s="79">
        <f t="shared" si="66"/>
        <v>695</v>
      </c>
      <c r="T416" s="79">
        <f>0</f>
        <v>0</v>
      </c>
      <c r="U416" s="77"/>
      <c r="V416" s="77"/>
      <c r="W416" s="77"/>
      <c r="X416" s="77"/>
      <c r="Y416" s="77"/>
      <c r="Z416" s="77"/>
      <c r="AA416" s="77"/>
      <c r="AB416" s="77"/>
      <c r="AC416" s="77"/>
      <c r="AD416" s="77"/>
    </row>
    <row r="417" spans="1:30" ht="15.75" x14ac:dyDescent="0.25">
      <c r="A417" s="14">
        <v>53631</v>
      </c>
      <c r="B417" s="91">
        <v>31</v>
      </c>
      <c r="C417" s="79">
        <f>131.881</f>
        <v>131.881</v>
      </c>
      <c r="D417" s="79">
        <f>277.167</f>
        <v>277.16699999999997</v>
      </c>
      <c r="E417" s="87">
        <f>79.08</f>
        <v>79.08</v>
      </c>
      <c r="F417" s="79">
        <f>350.872-40-25-60</f>
        <v>225.87200000000001</v>
      </c>
      <c r="G417" s="81">
        <v>40</v>
      </c>
      <c r="H417" s="79">
        <f t="shared" si="68"/>
        <v>85</v>
      </c>
      <c r="I417" s="79">
        <f t="shared" si="60"/>
        <v>0</v>
      </c>
      <c r="J417" s="81">
        <v>100</v>
      </c>
      <c r="K417" s="81">
        <v>300</v>
      </c>
      <c r="L417" s="79">
        <f t="shared" si="63"/>
        <v>1239</v>
      </c>
      <c r="M417" s="89">
        <v>600</v>
      </c>
      <c r="N417" s="79">
        <f>75</f>
        <v>75</v>
      </c>
      <c r="O417" s="81">
        <v>240</v>
      </c>
      <c r="P417" s="81">
        <v>160</v>
      </c>
      <c r="Q417" s="81">
        <f t="shared" si="64"/>
        <v>195</v>
      </c>
      <c r="R417" s="81">
        <f t="shared" si="65"/>
        <v>100</v>
      </c>
      <c r="S417" s="79">
        <f t="shared" si="66"/>
        <v>695</v>
      </c>
      <c r="T417" s="79">
        <f>0</f>
        <v>0</v>
      </c>
      <c r="U417" s="77"/>
      <c r="V417" s="77"/>
      <c r="W417" s="77"/>
      <c r="X417" s="77"/>
      <c r="Y417" s="77"/>
      <c r="Z417" s="77"/>
      <c r="AA417" s="77"/>
      <c r="AB417" s="77"/>
      <c r="AC417" s="77"/>
      <c r="AD417" s="77"/>
    </row>
    <row r="418" spans="1:30" ht="15.75" x14ac:dyDescent="0.25">
      <c r="A418" s="14">
        <v>53661</v>
      </c>
      <c r="B418" s="91">
        <v>30</v>
      </c>
      <c r="C418" s="79">
        <f>122.58</f>
        <v>122.58</v>
      </c>
      <c r="D418" s="79">
        <f>297.941</f>
        <v>297.94099999999997</v>
      </c>
      <c r="E418" s="87">
        <f>89.177</f>
        <v>89.177000000000007</v>
      </c>
      <c r="F418" s="79">
        <f>240.302-40-60</f>
        <v>140.30199999999999</v>
      </c>
      <c r="G418" s="81">
        <v>40</v>
      </c>
      <c r="H418" s="79">
        <v>60</v>
      </c>
      <c r="I418" s="79">
        <f t="shared" si="60"/>
        <v>0</v>
      </c>
      <c r="J418" s="81">
        <v>100</v>
      </c>
      <c r="K418" s="81">
        <v>300</v>
      </c>
      <c r="L418" s="79">
        <f t="shared" si="63"/>
        <v>1150</v>
      </c>
      <c r="M418" s="89">
        <v>600</v>
      </c>
      <c r="N418" s="79">
        <f>100</f>
        <v>100</v>
      </c>
      <c r="O418" s="81">
        <v>240</v>
      </c>
      <c r="P418" s="81">
        <v>40</v>
      </c>
      <c r="Q418" s="81">
        <f t="shared" si="64"/>
        <v>315</v>
      </c>
      <c r="R418" s="81">
        <f t="shared" si="65"/>
        <v>100</v>
      </c>
      <c r="S418" s="79">
        <f t="shared" si="66"/>
        <v>695</v>
      </c>
      <c r="T418" s="79">
        <f>50</f>
        <v>50</v>
      </c>
      <c r="U418" s="77"/>
      <c r="V418" s="77"/>
      <c r="W418" s="77"/>
      <c r="X418" s="77"/>
      <c r="Y418" s="77"/>
      <c r="Z418" s="77"/>
      <c r="AA418" s="77"/>
      <c r="AB418" s="77"/>
      <c r="AC418" s="77"/>
      <c r="AD418" s="77"/>
    </row>
    <row r="419" spans="1:30" ht="15.75" x14ac:dyDescent="0.25">
      <c r="A419" s="14">
        <v>53692</v>
      </c>
      <c r="B419" s="91">
        <v>31</v>
      </c>
      <c r="C419" s="79">
        <f>122.58</f>
        <v>122.58</v>
      </c>
      <c r="D419" s="79">
        <f>297.941</f>
        <v>297.94099999999997</v>
      </c>
      <c r="E419" s="87">
        <f>89.177</f>
        <v>89.177000000000007</v>
      </c>
      <c r="F419" s="79">
        <f>240.302-40-60</f>
        <v>140.30199999999999</v>
      </c>
      <c r="G419" s="81">
        <v>40</v>
      </c>
      <c r="H419" s="79">
        <v>60</v>
      </c>
      <c r="I419" s="79">
        <f t="shared" si="60"/>
        <v>0</v>
      </c>
      <c r="J419" s="81">
        <v>100</v>
      </c>
      <c r="K419" s="81">
        <v>300</v>
      </c>
      <c r="L419" s="79">
        <f t="shared" si="63"/>
        <v>1150</v>
      </c>
      <c r="M419" s="89">
        <v>600</v>
      </c>
      <c r="N419" s="79">
        <f>100</f>
        <v>100</v>
      </c>
      <c r="O419" s="81">
        <v>240</v>
      </c>
      <c r="P419" s="81">
        <v>40</v>
      </c>
      <c r="Q419" s="81">
        <f t="shared" si="64"/>
        <v>315</v>
      </c>
      <c r="R419" s="81">
        <f t="shared" si="65"/>
        <v>100</v>
      </c>
      <c r="S419" s="79">
        <f t="shared" si="66"/>
        <v>695</v>
      </c>
      <c r="T419" s="79">
        <f>50</f>
        <v>50</v>
      </c>
      <c r="U419" s="77"/>
      <c r="V419" s="77"/>
      <c r="W419" s="77"/>
      <c r="X419" s="77"/>
      <c r="Y419" s="77"/>
      <c r="Z419" s="77"/>
      <c r="AA419" s="77"/>
      <c r="AB419" s="77"/>
      <c r="AC419" s="77"/>
      <c r="AD419" s="77"/>
    </row>
    <row r="420" spans="1:30" ht="15.75" x14ac:dyDescent="0.25">
      <c r="A420" s="14">
        <v>53723</v>
      </c>
      <c r="B420" s="91">
        <v>31</v>
      </c>
      <c r="C420" s="79">
        <f>122.58</f>
        <v>122.58</v>
      </c>
      <c r="D420" s="79">
        <f>297.941</f>
        <v>297.94099999999997</v>
      </c>
      <c r="E420" s="87">
        <f>89.177</f>
        <v>89.177000000000007</v>
      </c>
      <c r="F420" s="79">
        <f>240.302-40-60</f>
        <v>140.30199999999999</v>
      </c>
      <c r="G420" s="81">
        <v>40</v>
      </c>
      <c r="H420" s="79">
        <v>60</v>
      </c>
      <c r="I420" s="79">
        <f t="shared" si="60"/>
        <v>0</v>
      </c>
      <c r="J420" s="81">
        <v>100</v>
      </c>
      <c r="K420" s="81">
        <v>300</v>
      </c>
      <c r="L420" s="79">
        <f t="shared" si="63"/>
        <v>1150</v>
      </c>
      <c r="M420" s="89">
        <v>600</v>
      </c>
      <c r="N420" s="79">
        <f>100</f>
        <v>100</v>
      </c>
      <c r="O420" s="81">
        <v>240</v>
      </c>
      <c r="P420" s="81">
        <v>40</v>
      </c>
      <c r="Q420" s="81">
        <f t="shared" si="64"/>
        <v>315</v>
      </c>
      <c r="R420" s="81">
        <f t="shared" si="65"/>
        <v>100</v>
      </c>
      <c r="S420" s="79">
        <f t="shared" si="66"/>
        <v>695</v>
      </c>
      <c r="T420" s="79">
        <f>50</f>
        <v>50</v>
      </c>
      <c r="U420" s="77"/>
      <c r="V420" s="77"/>
      <c r="W420" s="77"/>
      <c r="X420" s="77"/>
      <c r="Y420" s="77"/>
      <c r="Z420" s="77"/>
      <c r="AA420" s="77"/>
      <c r="AB420" s="77"/>
      <c r="AC420" s="77"/>
      <c r="AD420" s="77"/>
    </row>
    <row r="421" spans="1:30" ht="15.75" x14ac:dyDescent="0.25">
      <c r="A421" s="14">
        <v>53751</v>
      </c>
      <c r="B421" s="91">
        <v>28</v>
      </c>
      <c r="C421" s="79">
        <f>122.58</f>
        <v>122.58</v>
      </c>
      <c r="D421" s="79">
        <f>297.941</f>
        <v>297.94099999999997</v>
      </c>
      <c r="E421" s="87">
        <f>89.177</f>
        <v>89.177000000000007</v>
      </c>
      <c r="F421" s="79">
        <f>240.302-40-60</f>
        <v>140.30199999999999</v>
      </c>
      <c r="G421" s="81">
        <v>40</v>
      </c>
      <c r="H421" s="79">
        <v>60</v>
      </c>
      <c r="I421" s="79">
        <f t="shared" si="60"/>
        <v>0</v>
      </c>
      <c r="J421" s="81">
        <v>100</v>
      </c>
      <c r="K421" s="81">
        <v>300</v>
      </c>
      <c r="L421" s="79">
        <f t="shared" si="63"/>
        <v>1150</v>
      </c>
      <c r="M421" s="89">
        <v>600</v>
      </c>
      <c r="N421" s="79">
        <f>100</f>
        <v>100</v>
      </c>
      <c r="O421" s="81">
        <v>240</v>
      </c>
      <c r="P421" s="81">
        <v>40</v>
      </c>
      <c r="Q421" s="81">
        <f t="shared" si="64"/>
        <v>315</v>
      </c>
      <c r="R421" s="81">
        <f t="shared" si="65"/>
        <v>100</v>
      </c>
      <c r="S421" s="79">
        <f t="shared" si="66"/>
        <v>695</v>
      </c>
      <c r="T421" s="79">
        <f>50</f>
        <v>50</v>
      </c>
      <c r="U421" s="77"/>
      <c r="V421" s="77"/>
      <c r="W421" s="77"/>
      <c r="X421" s="77"/>
      <c r="Y421" s="77"/>
      <c r="Z421" s="77"/>
      <c r="AA421" s="77"/>
      <c r="AB421" s="77"/>
      <c r="AC421" s="77"/>
      <c r="AD421" s="77"/>
    </row>
    <row r="422" spans="1:30" ht="15.75" x14ac:dyDescent="0.25">
      <c r="A422" s="14">
        <v>53782</v>
      </c>
      <c r="B422" s="91">
        <v>31</v>
      </c>
      <c r="C422" s="79">
        <f>122.58</f>
        <v>122.58</v>
      </c>
      <c r="D422" s="79">
        <f>297.941</f>
        <v>297.94099999999997</v>
      </c>
      <c r="E422" s="87">
        <f>89.177</f>
        <v>89.177000000000007</v>
      </c>
      <c r="F422" s="79">
        <f>240.302-40-60</f>
        <v>140.30199999999999</v>
      </c>
      <c r="G422" s="81">
        <v>40</v>
      </c>
      <c r="H422" s="79">
        <v>60</v>
      </c>
      <c r="I422" s="79">
        <f t="shared" si="60"/>
        <v>0</v>
      </c>
      <c r="J422" s="81">
        <v>100</v>
      </c>
      <c r="K422" s="81">
        <v>300</v>
      </c>
      <c r="L422" s="79">
        <f t="shared" si="63"/>
        <v>1150</v>
      </c>
      <c r="M422" s="89">
        <v>600</v>
      </c>
      <c r="N422" s="79">
        <f>100</f>
        <v>100</v>
      </c>
      <c r="O422" s="81">
        <v>240</v>
      </c>
      <c r="P422" s="81">
        <v>40</v>
      </c>
      <c r="Q422" s="81">
        <f t="shared" si="64"/>
        <v>315</v>
      </c>
      <c r="R422" s="81">
        <f t="shared" si="65"/>
        <v>100</v>
      </c>
      <c r="S422" s="79">
        <f t="shared" si="66"/>
        <v>695</v>
      </c>
      <c r="T422" s="79">
        <f>50</f>
        <v>50</v>
      </c>
      <c r="U422" s="77"/>
      <c r="V422" s="77"/>
      <c r="W422" s="77"/>
      <c r="X422" s="77"/>
      <c r="Y422" s="77"/>
      <c r="Z422" s="77"/>
      <c r="AA422" s="77"/>
      <c r="AB422" s="77"/>
      <c r="AC422" s="77"/>
      <c r="AD422" s="77"/>
    </row>
    <row r="423" spans="1:30" ht="15.75" x14ac:dyDescent="0.25">
      <c r="A423" s="14">
        <v>53812</v>
      </c>
      <c r="B423" s="91">
        <v>30</v>
      </c>
      <c r="C423" s="79">
        <f>141.293</f>
        <v>141.29300000000001</v>
      </c>
      <c r="D423" s="79">
        <f>267.993</f>
        <v>267.99299999999999</v>
      </c>
      <c r="E423" s="87">
        <f>115.016</f>
        <v>115.01600000000001</v>
      </c>
      <c r="F423" s="79">
        <f>314.698-40-25-60</f>
        <v>189.69799999999998</v>
      </c>
      <c r="G423" s="81">
        <v>40</v>
      </c>
      <c r="H423" s="79">
        <f t="shared" ref="H423:H429" si="69">25+60</f>
        <v>85</v>
      </c>
      <c r="I423" s="79">
        <f t="shared" si="60"/>
        <v>0</v>
      </c>
      <c r="J423" s="81">
        <v>100</v>
      </c>
      <c r="K423" s="81">
        <v>300</v>
      </c>
      <c r="L423" s="79">
        <f t="shared" si="63"/>
        <v>1239</v>
      </c>
      <c r="M423" s="89">
        <v>600</v>
      </c>
      <c r="N423" s="79">
        <f>100</f>
        <v>100</v>
      </c>
      <c r="O423" s="81">
        <v>240</v>
      </c>
      <c r="P423" s="81">
        <v>160</v>
      </c>
      <c r="Q423" s="81">
        <f t="shared" si="64"/>
        <v>195</v>
      </c>
      <c r="R423" s="81">
        <f t="shared" si="65"/>
        <v>100</v>
      </c>
      <c r="S423" s="79">
        <f t="shared" si="66"/>
        <v>695</v>
      </c>
      <c r="T423" s="79">
        <f>50</f>
        <v>50</v>
      </c>
      <c r="U423" s="77"/>
      <c r="V423" s="77"/>
      <c r="W423" s="77"/>
      <c r="X423" s="77"/>
      <c r="Y423" s="77"/>
      <c r="Z423" s="77"/>
      <c r="AA423" s="77"/>
      <c r="AB423" s="77"/>
      <c r="AC423" s="77"/>
      <c r="AD423" s="77"/>
    </row>
    <row r="424" spans="1:30" ht="15.75" x14ac:dyDescent="0.25">
      <c r="A424" s="14">
        <v>53843</v>
      </c>
      <c r="B424" s="91">
        <v>31</v>
      </c>
      <c r="C424" s="79">
        <f>194.205</f>
        <v>194.20500000000001</v>
      </c>
      <c r="D424" s="79">
        <f>267.466</f>
        <v>267.46600000000001</v>
      </c>
      <c r="E424" s="87">
        <f>133.845</f>
        <v>133.845</v>
      </c>
      <c r="F424" s="79">
        <f>278.484-40-25-60</f>
        <v>153.48399999999998</v>
      </c>
      <c r="G424" s="81">
        <v>40</v>
      </c>
      <c r="H424" s="79">
        <f t="shared" si="69"/>
        <v>85</v>
      </c>
      <c r="I424" s="79">
        <f t="shared" si="60"/>
        <v>0</v>
      </c>
      <c r="J424" s="81">
        <v>100</v>
      </c>
      <c r="K424" s="81">
        <v>300</v>
      </c>
      <c r="L424" s="79">
        <f t="shared" si="63"/>
        <v>1274</v>
      </c>
      <c r="M424" s="89">
        <v>600</v>
      </c>
      <c r="N424" s="79">
        <f>75</f>
        <v>75</v>
      </c>
      <c r="O424" s="81">
        <v>240</v>
      </c>
      <c r="P424" s="81">
        <v>160</v>
      </c>
      <c r="Q424" s="81">
        <f t="shared" si="64"/>
        <v>195</v>
      </c>
      <c r="R424" s="81">
        <f t="shared" si="65"/>
        <v>100</v>
      </c>
      <c r="S424" s="79">
        <f t="shared" si="66"/>
        <v>695</v>
      </c>
      <c r="T424" s="79">
        <f>50</f>
        <v>50</v>
      </c>
      <c r="U424" s="77"/>
      <c r="V424" s="77"/>
      <c r="W424" s="77"/>
      <c r="X424" s="77"/>
      <c r="Y424" s="77"/>
      <c r="Z424" s="77"/>
      <c r="AA424" s="77"/>
      <c r="AB424" s="77"/>
      <c r="AC424" s="77"/>
      <c r="AD424" s="77"/>
    </row>
    <row r="425" spans="1:30" ht="15.75" x14ac:dyDescent="0.25">
      <c r="A425" s="14">
        <v>53873</v>
      </c>
      <c r="B425" s="91">
        <v>30</v>
      </c>
      <c r="C425" s="79">
        <f>194.205</f>
        <v>194.20500000000001</v>
      </c>
      <c r="D425" s="79">
        <f>267.466</f>
        <v>267.46600000000001</v>
      </c>
      <c r="E425" s="87">
        <f>133.845</f>
        <v>133.845</v>
      </c>
      <c r="F425" s="79">
        <f>278.484-40-25-60</f>
        <v>153.48399999999998</v>
      </c>
      <c r="G425" s="81">
        <v>40</v>
      </c>
      <c r="H425" s="79">
        <f t="shared" si="69"/>
        <v>85</v>
      </c>
      <c r="I425" s="79">
        <f t="shared" si="60"/>
        <v>0</v>
      </c>
      <c r="J425" s="81">
        <v>100</v>
      </c>
      <c r="K425" s="81">
        <v>300</v>
      </c>
      <c r="L425" s="79">
        <f t="shared" si="63"/>
        <v>1274</v>
      </c>
      <c r="M425" s="89">
        <v>600</v>
      </c>
      <c r="N425" s="79">
        <f>30</f>
        <v>30</v>
      </c>
      <c r="O425" s="81">
        <v>240</v>
      </c>
      <c r="P425" s="81">
        <v>160</v>
      </c>
      <c r="Q425" s="81">
        <f t="shared" si="64"/>
        <v>195</v>
      </c>
      <c r="R425" s="81">
        <f t="shared" si="65"/>
        <v>100</v>
      </c>
      <c r="S425" s="79">
        <f t="shared" si="66"/>
        <v>695</v>
      </c>
      <c r="T425" s="79">
        <f>50</f>
        <v>50</v>
      </c>
      <c r="U425" s="77"/>
      <c r="V425" s="77"/>
      <c r="W425" s="77"/>
      <c r="X425" s="77"/>
      <c r="Y425" s="77"/>
      <c r="Z425" s="77"/>
      <c r="AA425" s="77"/>
      <c r="AB425" s="77"/>
      <c r="AC425" s="77"/>
      <c r="AD425" s="77"/>
    </row>
    <row r="426" spans="1:30" ht="15.75" x14ac:dyDescent="0.25">
      <c r="A426" s="14">
        <v>53904</v>
      </c>
      <c r="B426" s="91">
        <v>31</v>
      </c>
      <c r="C426" s="79">
        <f>194.205</f>
        <v>194.20500000000001</v>
      </c>
      <c r="D426" s="79">
        <f>267.466</f>
        <v>267.46600000000001</v>
      </c>
      <c r="E426" s="87">
        <f>133.845</f>
        <v>133.845</v>
      </c>
      <c r="F426" s="79">
        <f>278.484-40-25-60</f>
        <v>153.48399999999998</v>
      </c>
      <c r="G426" s="81">
        <v>40</v>
      </c>
      <c r="H426" s="79">
        <f t="shared" si="69"/>
        <v>85</v>
      </c>
      <c r="I426" s="79">
        <f t="shared" si="60"/>
        <v>0</v>
      </c>
      <c r="J426" s="81">
        <v>100</v>
      </c>
      <c r="K426" s="81">
        <v>300</v>
      </c>
      <c r="L426" s="79">
        <f t="shared" si="63"/>
        <v>1274</v>
      </c>
      <c r="M426" s="89">
        <v>600</v>
      </c>
      <c r="N426" s="79">
        <f>30</f>
        <v>30</v>
      </c>
      <c r="O426" s="81">
        <v>240</v>
      </c>
      <c r="P426" s="81">
        <v>160</v>
      </c>
      <c r="Q426" s="81">
        <f t="shared" si="64"/>
        <v>195</v>
      </c>
      <c r="R426" s="81">
        <f t="shared" si="65"/>
        <v>100</v>
      </c>
      <c r="S426" s="79">
        <f t="shared" si="66"/>
        <v>695</v>
      </c>
      <c r="T426" s="79">
        <f>0</f>
        <v>0</v>
      </c>
      <c r="U426" s="77"/>
      <c r="V426" s="77"/>
      <c r="W426" s="77"/>
      <c r="X426" s="77"/>
      <c r="Y426" s="77"/>
      <c r="Z426" s="77"/>
      <c r="AA426" s="77"/>
      <c r="AB426" s="77"/>
      <c r="AC426" s="77"/>
      <c r="AD426" s="77"/>
    </row>
    <row r="427" spans="1:30" ht="15.75" x14ac:dyDescent="0.25">
      <c r="A427" s="14">
        <v>53935</v>
      </c>
      <c r="B427" s="91">
        <v>31</v>
      </c>
      <c r="C427" s="79">
        <f>194.205</f>
        <v>194.20500000000001</v>
      </c>
      <c r="D427" s="79">
        <f>267.466</f>
        <v>267.46600000000001</v>
      </c>
      <c r="E427" s="87">
        <f>133.845</f>
        <v>133.845</v>
      </c>
      <c r="F427" s="79">
        <f>278.484-40-25-60</f>
        <v>153.48399999999998</v>
      </c>
      <c r="G427" s="81">
        <v>40</v>
      </c>
      <c r="H427" s="79">
        <f t="shared" si="69"/>
        <v>85</v>
      </c>
      <c r="I427" s="79">
        <f t="shared" si="60"/>
        <v>0</v>
      </c>
      <c r="J427" s="81">
        <v>100</v>
      </c>
      <c r="K427" s="81">
        <v>300</v>
      </c>
      <c r="L427" s="79">
        <f t="shared" si="63"/>
        <v>1274</v>
      </c>
      <c r="M427" s="89">
        <v>600</v>
      </c>
      <c r="N427" s="79">
        <f>30</f>
        <v>30</v>
      </c>
      <c r="O427" s="81">
        <v>240</v>
      </c>
      <c r="P427" s="81">
        <v>160</v>
      </c>
      <c r="Q427" s="81">
        <f t="shared" si="64"/>
        <v>195</v>
      </c>
      <c r="R427" s="81">
        <f t="shared" si="65"/>
        <v>100</v>
      </c>
      <c r="S427" s="79">
        <f t="shared" si="66"/>
        <v>695</v>
      </c>
      <c r="T427" s="79">
        <f>0</f>
        <v>0</v>
      </c>
      <c r="U427" s="77"/>
      <c r="V427" s="77"/>
      <c r="W427" s="77"/>
      <c r="X427" s="77"/>
      <c r="Y427" s="77"/>
      <c r="Z427" s="77"/>
      <c r="AA427" s="77"/>
      <c r="AB427" s="77"/>
      <c r="AC427" s="77"/>
      <c r="AD427" s="77"/>
    </row>
    <row r="428" spans="1:30" ht="15.75" x14ac:dyDescent="0.25">
      <c r="A428" s="14">
        <v>53965</v>
      </c>
      <c r="B428" s="91">
        <v>30</v>
      </c>
      <c r="C428" s="79">
        <f>194.205</f>
        <v>194.20500000000001</v>
      </c>
      <c r="D428" s="79">
        <f>267.466</f>
        <v>267.46600000000001</v>
      </c>
      <c r="E428" s="87">
        <f>133.845</f>
        <v>133.845</v>
      </c>
      <c r="F428" s="79">
        <f>278.484-40-25-60</f>
        <v>153.48399999999998</v>
      </c>
      <c r="G428" s="81">
        <v>40</v>
      </c>
      <c r="H428" s="79">
        <f t="shared" si="69"/>
        <v>85</v>
      </c>
      <c r="I428" s="79">
        <f t="shared" si="60"/>
        <v>0</v>
      </c>
      <c r="J428" s="81">
        <v>100</v>
      </c>
      <c r="K428" s="81">
        <v>300</v>
      </c>
      <c r="L428" s="79">
        <f t="shared" si="63"/>
        <v>1274</v>
      </c>
      <c r="M428" s="89">
        <v>600</v>
      </c>
      <c r="N428" s="79">
        <f>30</f>
        <v>30</v>
      </c>
      <c r="O428" s="81">
        <v>240</v>
      </c>
      <c r="P428" s="81">
        <v>160</v>
      </c>
      <c r="Q428" s="81">
        <f t="shared" si="64"/>
        <v>195</v>
      </c>
      <c r="R428" s="81">
        <f t="shared" si="65"/>
        <v>100</v>
      </c>
      <c r="S428" s="79">
        <f t="shared" si="66"/>
        <v>695</v>
      </c>
      <c r="T428" s="79">
        <f>0</f>
        <v>0</v>
      </c>
      <c r="U428" s="77"/>
      <c r="V428" s="77"/>
      <c r="W428" s="77"/>
      <c r="X428" s="77"/>
      <c r="Y428" s="77"/>
      <c r="Z428" s="77"/>
      <c r="AA428" s="77"/>
      <c r="AB428" s="77"/>
      <c r="AC428" s="77"/>
      <c r="AD428" s="77"/>
    </row>
    <row r="429" spans="1:30" ht="15.75" x14ac:dyDescent="0.25">
      <c r="A429" s="14">
        <v>53996</v>
      </c>
      <c r="B429" s="91">
        <v>31</v>
      </c>
      <c r="C429" s="79">
        <f>131.881</f>
        <v>131.881</v>
      </c>
      <c r="D429" s="79">
        <f>277.167</f>
        <v>277.16699999999997</v>
      </c>
      <c r="E429" s="87">
        <f>79.08</f>
        <v>79.08</v>
      </c>
      <c r="F429" s="79">
        <f>350.872-40-25-60</f>
        <v>225.87200000000001</v>
      </c>
      <c r="G429" s="81">
        <v>40</v>
      </c>
      <c r="H429" s="79">
        <f t="shared" si="69"/>
        <v>85</v>
      </c>
      <c r="I429" s="79">
        <f t="shared" si="60"/>
        <v>0</v>
      </c>
      <c r="J429" s="81">
        <v>100</v>
      </c>
      <c r="K429" s="81">
        <v>300</v>
      </c>
      <c r="L429" s="79">
        <f t="shared" si="63"/>
        <v>1239</v>
      </c>
      <c r="M429" s="89">
        <v>600</v>
      </c>
      <c r="N429" s="79">
        <f>75</f>
        <v>75</v>
      </c>
      <c r="O429" s="81">
        <v>240</v>
      </c>
      <c r="P429" s="81">
        <v>160</v>
      </c>
      <c r="Q429" s="81">
        <f t="shared" si="64"/>
        <v>195</v>
      </c>
      <c r="R429" s="81">
        <f t="shared" si="65"/>
        <v>100</v>
      </c>
      <c r="S429" s="79">
        <f t="shared" si="66"/>
        <v>695</v>
      </c>
      <c r="T429" s="79">
        <f>0</f>
        <v>0</v>
      </c>
      <c r="U429" s="77"/>
      <c r="V429" s="77"/>
      <c r="W429" s="77"/>
      <c r="X429" s="77"/>
      <c r="Y429" s="77"/>
      <c r="Z429" s="77"/>
      <c r="AA429" s="77"/>
      <c r="AB429" s="77"/>
      <c r="AC429" s="77"/>
      <c r="AD429" s="77"/>
    </row>
    <row r="430" spans="1:30" ht="15.75" x14ac:dyDescent="0.25">
      <c r="A430" s="14">
        <v>54026</v>
      </c>
      <c r="B430" s="91">
        <v>30</v>
      </c>
      <c r="C430" s="79">
        <f>122.58</f>
        <v>122.58</v>
      </c>
      <c r="D430" s="79">
        <f>297.941</f>
        <v>297.94099999999997</v>
      </c>
      <c r="E430" s="87">
        <f>89.177</f>
        <v>89.177000000000007</v>
      </c>
      <c r="F430" s="79">
        <f>240.302-40-60</f>
        <v>140.30199999999999</v>
      </c>
      <c r="G430" s="81">
        <v>40</v>
      </c>
      <c r="H430" s="79">
        <v>60</v>
      </c>
      <c r="I430" s="79">
        <f t="shared" si="60"/>
        <v>0</v>
      </c>
      <c r="J430" s="81">
        <v>100</v>
      </c>
      <c r="K430" s="81">
        <v>300</v>
      </c>
      <c r="L430" s="79">
        <f t="shared" si="63"/>
        <v>1150</v>
      </c>
      <c r="M430" s="89">
        <v>600</v>
      </c>
      <c r="N430" s="79">
        <f>100</f>
        <v>100</v>
      </c>
      <c r="O430" s="81">
        <v>240</v>
      </c>
      <c r="P430" s="81">
        <v>40</v>
      </c>
      <c r="Q430" s="81">
        <f t="shared" si="64"/>
        <v>315</v>
      </c>
      <c r="R430" s="81">
        <f t="shared" si="65"/>
        <v>100</v>
      </c>
      <c r="S430" s="79">
        <f t="shared" si="66"/>
        <v>695</v>
      </c>
      <c r="T430" s="79">
        <f>50</f>
        <v>50</v>
      </c>
      <c r="U430" s="77"/>
      <c r="V430" s="77"/>
      <c r="W430" s="77"/>
      <c r="X430" s="77"/>
      <c r="Y430" s="77"/>
      <c r="Z430" s="77"/>
      <c r="AA430" s="77"/>
      <c r="AB430" s="77"/>
      <c r="AC430" s="77"/>
      <c r="AD430" s="77"/>
    </row>
    <row r="431" spans="1:30" ht="15.75" x14ac:dyDescent="0.25">
      <c r="A431" s="14">
        <v>54057</v>
      </c>
      <c r="B431" s="91">
        <v>31</v>
      </c>
      <c r="C431" s="79">
        <f>122.58</f>
        <v>122.58</v>
      </c>
      <c r="D431" s="79">
        <f>297.941</f>
        <v>297.94099999999997</v>
      </c>
      <c r="E431" s="87">
        <f>89.177</f>
        <v>89.177000000000007</v>
      </c>
      <c r="F431" s="79">
        <f>240.302-40-60</f>
        <v>140.30199999999999</v>
      </c>
      <c r="G431" s="81">
        <v>40</v>
      </c>
      <c r="H431" s="79">
        <v>60</v>
      </c>
      <c r="I431" s="79">
        <f t="shared" si="60"/>
        <v>0</v>
      </c>
      <c r="J431" s="81">
        <v>100</v>
      </c>
      <c r="K431" s="81">
        <v>300</v>
      </c>
      <c r="L431" s="79">
        <f t="shared" si="63"/>
        <v>1150</v>
      </c>
      <c r="M431" s="89">
        <v>600</v>
      </c>
      <c r="N431" s="79">
        <f>100</f>
        <v>100</v>
      </c>
      <c r="O431" s="81">
        <v>240</v>
      </c>
      <c r="P431" s="81">
        <v>40</v>
      </c>
      <c r="Q431" s="81">
        <f t="shared" si="64"/>
        <v>315</v>
      </c>
      <c r="R431" s="81">
        <f t="shared" si="65"/>
        <v>100</v>
      </c>
      <c r="S431" s="79">
        <f t="shared" si="66"/>
        <v>695</v>
      </c>
      <c r="T431" s="79">
        <f>50</f>
        <v>50</v>
      </c>
      <c r="U431" s="77"/>
      <c r="V431" s="77"/>
      <c r="W431" s="77"/>
      <c r="X431" s="77"/>
      <c r="Y431" s="77"/>
      <c r="Z431" s="77"/>
      <c r="AA431" s="77"/>
      <c r="AB431" s="77"/>
      <c r="AC431" s="77"/>
      <c r="AD431" s="77"/>
    </row>
    <row r="432" spans="1:30" ht="15.75" x14ac:dyDescent="0.25">
      <c r="A432" s="14">
        <v>54088</v>
      </c>
      <c r="B432" s="91">
        <v>31</v>
      </c>
      <c r="C432" s="79">
        <f>122.58</f>
        <v>122.58</v>
      </c>
      <c r="D432" s="79">
        <f>297.941</f>
        <v>297.94099999999997</v>
      </c>
      <c r="E432" s="87">
        <f>89.177</f>
        <v>89.177000000000007</v>
      </c>
      <c r="F432" s="79">
        <f>240.302-40-60</f>
        <v>140.30199999999999</v>
      </c>
      <c r="G432" s="81">
        <v>40</v>
      </c>
      <c r="H432" s="79">
        <v>60</v>
      </c>
      <c r="I432" s="79">
        <f t="shared" si="60"/>
        <v>0</v>
      </c>
      <c r="J432" s="81">
        <v>100</v>
      </c>
      <c r="K432" s="81">
        <v>300</v>
      </c>
      <c r="L432" s="79">
        <f t="shared" si="63"/>
        <v>1150</v>
      </c>
      <c r="M432" s="89">
        <v>600</v>
      </c>
      <c r="N432" s="79">
        <f>100</f>
        <v>100</v>
      </c>
      <c r="O432" s="81">
        <v>240</v>
      </c>
      <c r="P432" s="81">
        <v>40</v>
      </c>
      <c r="Q432" s="81">
        <f t="shared" si="64"/>
        <v>315</v>
      </c>
      <c r="R432" s="81">
        <f t="shared" si="65"/>
        <v>100</v>
      </c>
      <c r="S432" s="79">
        <f t="shared" si="66"/>
        <v>695</v>
      </c>
      <c r="T432" s="79">
        <f>50</f>
        <v>50</v>
      </c>
      <c r="U432" s="77"/>
      <c r="V432" s="77"/>
      <c r="W432" s="77"/>
      <c r="X432" s="77"/>
      <c r="Y432" s="77"/>
      <c r="Z432" s="77"/>
      <c r="AA432" s="77"/>
      <c r="AB432" s="77"/>
      <c r="AC432" s="77"/>
      <c r="AD432" s="77"/>
    </row>
    <row r="433" spans="1:30" ht="15.75" x14ac:dyDescent="0.25">
      <c r="A433" s="14">
        <v>54116</v>
      </c>
      <c r="B433" s="91">
        <v>29</v>
      </c>
      <c r="C433" s="79">
        <f>122.58</f>
        <v>122.58</v>
      </c>
      <c r="D433" s="79">
        <f>297.941</f>
        <v>297.94099999999997</v>
      </c>
      <c r="E433" s="87">
        <f>89.177</f>
        <v>89.177000000000007</v>
      </c>
      <c r="F433" s="79">
        <f>240.302-40-60</f>
        <v>140.30199999999999</v>
      </c>
      <c r="G433" s="81">
        <v>40</v>
      </c>
      <c r="H433" s="79">
        <v>60</v>
      </c>
      <c r="I433" s="79">
        <f t="shared" si="60"/>
        <v>0</v>
      </c>
      <c r="J433" s="81">
        <v>100</v>
      </c>
      <c r="K433" s="81">
        <v>300</v>
      </c>
      <c r="L433" s="79">
        <f t="shared" si="63"/>
        <v>1150</v>
      </c>
      <c r="M433" s="89">
        <v>600</v>
      </c>
      <c r="N433" s="79">
        <f>100</f>
        <v>100</v>
      </c>
      <c r="O433" s="81">
        <v>240</v>
      </c>
      <c r="P433" s="81">
        <v>40</v>
      </c>
      <c r="Q433" s="81">
        <f t="shared" si="64"/>
        <v>315</v>
      </c>
      <c r="R433" s="81">
        <f t="shared" si="65"/>
        <v>100</v>
      </c>
      <c r="S433" s="79">
        <f t="shared" si="66"/>
        <v>695</v>
      </c>
      <c r="T433" s="79">
        <f>50</f>
        <v>50</v>
      </c>
      <c r="U433" s="77"/>
      <c r="V433" s="77"/>
      <c r="W433" s="77"/>
      <c r="X433" s="77"/>
      <c r="Y433" s="77"/>
      <c r="Z433" s="77"/>
      <c r="AA433" s="77"/>
      <c r="AB433" s="77"/>
      <c r="AC433" s="77"/>
      <c r="AD433" s="77"/>
    </row>
    <row r="434" spans="1:30" ht="15.75" x14ac:dyDescent="0.25">
      <c r="A434" s="14">
        <v>54148</v>
      </c>
      <c r="B434" s="91">
        <v>31</v>
      </c>
      <c r="C434" s="79">
        <f>122.58</f>
        <v>122.58</v>
      </c>
      <c r="D434" s="79">
        <f>297.941</f>
        <v>297.94099999999997</v>
      </c>
      <c r="E434" s="87">
        <f>89.177</f>
        <v>89.177000000000007</v>
      </c>
      <c r="F434" s="79">
        <f>240.302-40-60</f>
        <v>140.30199999999999</v>
      </c>
      <c r="G434" s="81">
        <v>40</v>
      </c>
      <c r="H434" s="79">
        <v>60</v>
      </c>
      <c r="I434" s="79">
        <f t="shared" si="60"/>
        <v>0</v>
      </c>
      <c r="J434" s="81">
        <v>100</v>
      </c>
      <c r="K434" s="81">
        <v>300</v>
      </c>
      <c r="L434" s="79">
        <f t="shared" si="63"/>
        <v>1150</v>
      </c>
      <c r="M434" s="89">
        <v>600</v>
      </c>
      <c r="N434" s="79">
        <f>100</f>
        <v>100</v>
      </c>
      <c r="O434" s="81">
        <v>240</v>
      </c>
      <c r="P434" s="81">
        <v>40</v>
      </c>
      <c r="Q434" s="81">
        <f t="shared" si="64"/>
        <v>315</v>
      </c>
      <c r="R434" s="81">
        <f t="shared" si="65"/>
        <v>100</v>
      </c>
      <c r="S434" s="79">
        <f t="shared" si="66"/>
        <v>695</v>
      </c>
      <c r="T434" s="79">
        <f>50</f>
        <v>50</v>
      </c>
      <c r="U434" s="77"/>
      <c r="V434" s="77"/>
      <c r="W434" s="77"/>
      <c r="X434" s="77"/>
      <c r="Y434" s="77"/>
      <c r="Z434" s="77"/>
      <c r="AA434" s="77"/>
      <c r="AB434" s="77"/>
      <c r="AC434" s="77"/>
      <c r="AD434" s="77"/>
    </row>
    <row r="435" spans="1:30" ht="15.75" x14ac:dyDescent="0.25">
      <c r="A435" s="14">
        <v>54178</v>
      </c>
      <c r="B435" s="91">
        <v>30</v>
      </c>
      <c r="C435" s="79">
        <f>141.293</f>
        <v>141.29300000000001</v>
      </c>
      <c r="D435" s="79">
        <f>267.993</f>
        <v>267.99299999999999</v>
      </c>
      <c r="E435" s="87">
        <f>115.016</f>
        <v>115.01600000000001</v>
      </c>
      <c r="F435" s="79">
        <f>314.698-40-25-60</f>
        <v>189.69799999999998</v>
      </c>
      <c r="G435" s="81">
        <v>40</v>
      </c>
      <c r="H435" s="79">
        <f t="shared" ref="H435:H441" si="70">25+60</f>
        <v>85</v>
      </c>
      <c r="I435" s="79">
        <f t="shared" si="60"/>
        <v>0</v>
      </c>
      <c r="J435" s="81">
        <v>100</v>
      </c>
      <c r="K435" s="81">
        <v>300</v>
      </c>
      <c r="L435" s="79">
        <f t="shared" si="63"/>
        <v>1239</v>
      </c>
      <c r="M435" s="89">
        <v>600</v>
      </c>
      <c r="N435" s="79">
        <f>100</f>
        <v>100</v>
      </c>
      <c r="O435" s="81">
        <v>240</v>
      </c>
      <c r="P435" s="81">
        <v>160</v>
      </c>
      <c r="Q435" s="81">
        <f t="shared" si="64"/>
        <v>195</v>
      </c>
      <c r="R435" s="81">
        <f t="shared" si="65"/>
        <v>100</v>
      </c>
      <c r="S435" s="79">
        <f t="shared" si="66"/>
        <v>695</v>
      </c>
      <c r="T435" s="79">
        <f>50</f>
        <v>50</v>
      </c>
      <c r="U435" s="77"/>
      <c r="V435" s="77"/>
      <c r="W435" s="77"/>
      <c r="X435" s="77"/>
      <c r="Y435" s="77"/>
      <c r="Z435" s="77"/>
      <c r="AA435" s="77"/>
      <c r="AB435" s="77"/>
      <c r="AC435" s="77"/>
      <c r="AD435" s="77"/>
    </row>
    <row r="436" spans="1:30" ht="15.75" x14ac:dyDescent="0.25">
      <c r="A436" s="14">
        <v>54209</v>
      </c>
      <c r="B436" s="91">
        <v>31</v>
      </c>
      <c r="C436" s="79">
        <f>194.205</f>
        <v>194.20500000000001</v>
      </c>
      <c r="D436" s="79">
        <f>267.466</f>
        <v>267.46600000000001</v>
      </c>
      <c r="E436" s="87">
        <f>133.845</f>
        <v>133.845</v>
      </c>
      <c r="F436" s="79">
        <f>278.484-40-25-60</f>
        <v>153.48399999999998</v>
      </c>
      <c r="G436" s="81">
        <v>40</v>
      </c>
      <c r="H436" s="79">
        <f t="shared" si="70"/>
        <v>85</v>
      </c>
      <c r="I436" s="79">
        <f t="shared" ref="I436:I499" si="71">400-J436-K436</f>
        <v>0</v>
      </c>
      <c r="J436" s="81">
        <v>100</v>
      </c>
      <c r="K436" s="81">
        <v>300</v>
      </c>
      <c r="L436" s="79">
        <f t="shared" si="63"/>
        <v>1274</v>
      </c>
      <c r="M436" s="89">
        <v>600</v>
      </c>
      <c r="N436" s="79">
        <f>75</f>
        <v>75</v>
      </c>
      <c r="O436" s="81">
        <v>240</v>
      </c>
      <c r="P436" s="81">
        <v>160</v>
      </c>
      <c r="Q436" s="81">
        <f t="shared" si="64"/>
        <v>195</v>
      </c>
      <c r="R436" s="81">
        <f t="shared" si="65"/>
        <v>100</v>
      </c>
      <c r="S436" s="79">
        <f t="shared" si="66"/>
        <v>695</v>
      </c>
      <c r="T436" s="79">
        <f>50</f>
        <v>50</v>
      </c>
      <c r="U436" s="77"/>
      <c r="V436" s="77"/>
      <c r="W436" s="77"/>
      <c r="X436" s="77"/>
      <c r="Y436" s="77"/>
      <c r="Z436" s="77"/>
      <c r="AA436" s="77"/>
      <c r="AB436" s="77"/>
      <c r="AC436" s="77"/>
      <c r="AD436" s="77"/>
    </row>
    <row r="437" spans="1:30" ht="15.75" x14ac:dyDescent="0.25">
      <c r="A437" s="14">
        <v>54239</v>
      </c>
      <c r="B437" s="91">
        <v>30</v>
      </c>
      <c r="C437" s="79">
        <f>194.205</f>
        <v>194.20500000000001</v>
      </c>
      <c r="D437" s="79">
        <f>267.466</f>
        <v>267.46600000000001</v>
      </c>
      <c r="E437" s="87">
        <f>133.845</f>
        <v>133.845</v>
      </c>
      <c r="F437" s="79">
        <f>278.484-40-25-60</f>
        <v>153.48399999999998</v>
      </c>
      <c r="G437" s="81">
        <v>40</v>
      </c>
      <c r="H437" s="79">
        <f t="shared" si="70"/>
        <v>85</v>
      </c>
      <c r="I437" s="79">
        <f t="shared" si="71"/>
        <v>0</v>
      </c>
      <c r="J437" s="81">
        <v>100</v>
      </c>
      <c r="K437" s="81">
        <v>300</v>
      </c>
      <c r="L437" s="79">
        <f t="shared" si="63"/>
        <v>1274</v>
      </c>
      <c r="M437" s="89">
        <v>600</v>
      </c>
      <c r="N437" s="79">
        <f>30</f>
        <v>30</v>
      </c>
      <c r="O437" s="81">
        <v>240</v>
      </c>
      <c r="P437" s="81">
        <v>160</v>
      </c>
      <c r="Q437" s="81">
        <f t="shared" si="64"/>
        <v>195</v>
      </c>
      <c r="R437" s="81">
        <f t="shared" si="65"/>
        <v>100</v>
      </c>
      <c r="S437" s="79">
        <f t="shared" si="66"/>
        <v>695</v>
      </c>
      <c r="T437" s="79">
        <f>50</f>
        <v>50</v>
      </c>
      <c r="U437" s="77"/>
      <c r="V437" s="77"/>
      <c r="W437" s="77"/>
      <c r="X437" s="77"/>
      <c r="Y437" s="77"/>
      <c r="Z437" s="77"/>
      <c r="AA437" s="77"/>
      <c r="AB437" s="77"/>
      <c r="AC437" s="77"/>
      <c r="AD437" s="77"/>
    </row>
    <row r="438" spans="1:30" ht="15.75" x14ac:dyDescent="0.25">
      <c r="A438" s="14">
        <v>54270</v>
      </c>
      <c r="B438" s="91">
        <v>31</v>
      </c>
      <c r="C438" s="79">
        <f>194.205</f>
        <v>194.20500000000001</v>
      </c>
      <c r="D438" s="79">
        <f>267.466</f>
        <v>267.46600000000001</v>
      </c>
      <c r="E438" s="87">
        <f>133.845</f>
        <v>133.845</v>
      </c>
      <c r="F438" s="79">
        <f>278.484-40-25-60</f>
        <v>153.48399999999998</v>
      </c>
      <c r="G438" s="81">
        <v>40</v>
      </c>
      <c r="H438" s="79">
        <f t="shared" si="70"/>
        <v>85</v>
      </c>
      <c r="I438" s="79">
        <f t="shared" si="71"/>
        <v>0</v>
      </c>
      <c r="J438" s="81">
        <v>100</v>
      </c>
      <c r="K438" s="81">
        <v>300</v>
      </c>
      <c r="L438" s="79">
        <f t="shared" si="63"/>
        <v>1274</v>
      </c>
      <c r="M438" s="89">
        <v>600</v>
      </c>
      <c r="N438" s="79">
        <f>30</f>
        <v>30</v>
      </c>
      <c r="O438" s="81">
        <v>240</v>
      </c>
      <c r="P438" s="81">
        <v>160</v>
      </c>
      <c r="Q438" s="81">
        <f t="shared" si="64"/>
        <v>195</v>
      </c>
      <c r="R438" s="81">
        <f t="shared" si="65"/>
        <v>100</v>
      </c>
      <c r="S438" s="79">
        <f t="shared" si="66"/>
        <v>695</v>
      </c>
      <c r="T438" s="79">
        <f>0</f>
        <v>0</v>
      </c>
      <c r="U438" s="77"/>
      <c r="V438" s="77"/>
      <c r="W438" s="77"/>
      <c r="X438" s="77"/>
      <c r="Y438" s="77"/>
      <c r="Z438" s="77"/>
      <c r="AA438" s="77"/>
      <c r="AB438" s="77"/>
      <c r="AC438" s="77"/>
      <c r="AD438" s="77"/>
    </row>
    <row r="439" spans="1:30" ht="15.75" x14ac:dyDescent="0.25">
      <c r="A439" s="14">
        <v>54301</v>
      </c>
      <c r="B439" s="91">
        <v>31</v>
      </c>
      <c r="C439" s="79">
        <f>194.205</f>
        <v>194.20500000000001</v>
      </c>
      <c r="D439" s="79">
        <f>267.466</f>
        <v>267.46600000000001</v>
      </c>
      <c r="E439" s="87">
        <f>133.845</f>
        <v>133.845</v>
      </c>
      <c r="F439" s="79">
        <f>278.484-40-25-60</f>
        <v>153.48399999999998</v>
      </c>
      <c r="G439" s="81">
        <v>40</v>
      </c>
      <c r="H439" s="79">
        <f t="shared" si="70"/>
        <v>85</v>
      </c>
      <c r="I439" s="79">
        <f t="shared" si="71"/>
        <v>0</v>
      </c>
      <c r="J439" s="81">
        <v>100</v>
      </c>
      <c r="K439" s="81">
        <v>300</v>
      </c>
      <c r="L439" s="79">
        <f t="shared" si="63"/>
        <v>1274</v>
      </c>
      <c r="M439" s="89">
        <v>600</v>
      </c>
      <c r="N439" s="79">
        <f>30</f>
        <v>30</v>
      </c>
      <c r="O439" s="81">
        <v>240</v>
      </c>
      <c r="P439" s="81">
        <v>160</v>
      </c>
      <c r="Q439" s="81">
        <f t="shared" si="64"/>
        <v>195</v>
      </c>
      <c r="R439" s="81">
        <f t="shared" si="65"/>
        <v>100</v>
      </c>
      <c r="S439" s="79">
        <f t="shared" si="66"/>
        <v>695</v>
      </c>
      <c r="T439" s="79">
        <f>0</f>
        <v>0</v>
      </c>
      <c r="U439" s="77"/>
      <c r="V439" s="77"/>
      <c r="W439" s="77"/>
      <c r="X439" s="77"/>
      <c r="Y439" s="77"/>
      <c r="Z439" s="77"/>
      <c r="AA439" s="77"/>
      <c r="AB439" s="77"/>
      <c r="AC439" s="77"/>
      <c r="AD439" s="77"/>
    </row>
    <row r="440" spans="1:30" ht="15.75" x14ac:dyDescent="0.25">
      <c r="A440" s="14">
        <v>54331</v>
      </c>
      <c r="B440" s="91">
        <v>30</v>
      </c>
      <c r="C440" s="79">
        <f>194.205</f>
        <v>194.20500000000001</v>
      </c>
      <c r="D440" s="79">
        <f>267.466</f>
        <v>267.46600000000001</v>
      </c>
      <c r="E440" s="87">
        <f>133.845</f>
        <v>133.845</v>
      </c>
      <c r="F440" s="79">
        <f>278.484-40-25-60</f>
        <v>153.48399999999998</v>
      </c>
      <c r="G440" s="81">
        <v>40</v>
      </c>
      <c r="H440" s="79">
        <f t="shared" si="70"/>
        <v>85</v>
      </c>
      <c r="I440" s="79">
        <f t="shared" si="71"/>
        <v>0</v>
      </c>
      <c r="J440" s="81">
        <v>100</v>
      </c>
      <c r="K440" s="81">
        <v>300</v>
      </c>
      <c r="L440" s="79">
        <f t="shared" si="63"/>
        <v>1274</v>
      </c>
      <c r="M440" s="89">
        <v>600</v>
      </c>
      <c r="N440" s="79">
        <f>30</f>
        <v>30</v>
      </c>
      <c r="O440" s="81">
        <v>240</v>
      </c>
      <c r="P440" s="81">
        <v>160</v>
      </c>
      <c r="Q440" s="81">
        <f t="shared" si="64"/>
        <v>195</v>
      </c>
      <c r="R440" s="81">
        <f t="shared" si="65"/>
        <v>100</v>
      </c>
      <c r="S440" s="79">
        <f t="shared" si="66"/>
        <v>695</v>
      </c>
      <c r="T440" s="79">
        <f>0</f>
        <v>0</v>
      </c>
      <c r="U440" s="77"/>
      <c r="V440" s="77"/>
      <c r="W440" s="77"/>
      <c r="X440" s="77"/>
      <c r="Y440" s="77"/>
      <c r="Z440" s="77"/>
      <c r="AA440" s="77"/>
      <c r="AB440" s="77"/>
      <c r="AC440" s="77"/>
      <c r="AD440" s="77"/>
    </row>
    <row r="441" spans="1:30" ht="15.75" x14ac:dyDescent="0.25">
      <c r="A441" s="14">
        <v>54362</v>
      </c>
      <c r="B441" s="91">
        <v>31</v>
      </c>
      <c r="C441" s="79">
        <f>131.881</f>
        <v>131.881</v>
      </c>
      <c r="D441" s="79">
        <f>277.167</f>
        <v>277.16699999999997</v>
      </c>
      <c r="E441" s="87">
        <f>79.08</f>
        <v>79.08</v>
      </c>
      <c r="F441" s="79">
        <f>350.872-40-25-60</f>
        <v>225.87200000000001</v>
      </c>
      <c r="G441" s="81">
        <v>40</v>
      </c>
      <c r="H441" s="79">
        <f t="shared" si="70"/>
        <v>85</v>
      </c>
      <c r="I441" s="79">
        <f t="shared" si="71"/>
        <v>0</v>
      </c>
      <c r="J441" s="81">
        <v>100</v>
      </c>
      <c r="K441" s="81">
        <v>300</v>
      </c>
      <c r="L441" s="79">
        <f t="shared" si="63"/>
        <v>1239</v>
      </c>
      <c r="M441" s="89">
        <v>600</v>
      </c>
      <c r="N441" s="79">
        <f>75</f>
        <v>75</v>
      </c>
      <c r="O441" s="81">
        <v>240</v>
      </c>
      <c r="P441" s="81">
        <v>160</v>
      </c>
      <c r="Q441" s="81">
        <f t="shared" si="64"/>
        <v>195</v>
      </c>
      <c r="R441" s="81">
        <f t="shared" si="65"/>
        <v>100</v>
      </c>
      <c r="S441" s="79">
        <f t="shared" si="66"/>
        <v>695</v>
      </c>
      <c r="T441" s="79">
        <f>0</f>
        <v>0</v>
      </c>
      <c r="U441" s="77"/>
      <c r="V441" s="77"/>
      <c r="W441" s="77"/>
      <c r="X441" s="77"/>
      <c r="Y441" s="77"/>
      <c r="Z441" s="77"/>
      <c r="AA441" s="77"/>
      <c r="AB441" s="77"/>
      <c r="AC441" s="77"/>
      <c r="AD441" s="77"/>
    </row>
    <row r="442" spans="1:30" ht="15.75" x14ac:dyDescent="0.25">
      <c r="A442" s="14">
        <v>54392</v>
      </c>
      <c r="B442" s="91">
        <v>30</v>
      </c>
      <c r="C442" s="79">
        <f>122.58</f>
        <v>122.58</v>
      </c>
      <c r="D442" s="79">
        <f>297.941</f>
        <v>297.94099999999997</v>
      </c>
      <c r="E442" s="87">
        <f>89.177</f>
        <v>89.177000000000007</v>
      </c>
      <c r="F442" s="79">
        <f>240.302-40-60</f>
        <v>140.30199999999999</v>
      </c>
      <c r="G442" s="81">
        <v>40</v>
      </c>
      <c r="H442" s="79">
        <v>60</v>
      </c>
      <c r="I442" s="79">
        <f t="shared" si="71"/>
        <v>0</v>
      </c>
      <c r="J442" s="81">
        <v>100</v>
      </c>
      <c r="K442" s="81">
        <v>300</v>
      </c>
      <c r="L442" s="79">
        <f t="shared" si="63"/>
        <v>1150</v>
      </c>
      <c r="M442" s="89">
        <v>600</v>
      </c>
      <c r="N442" s="79">
        <f>100</f>
        <v>100</v>
      </c>
      <c r="O442" s="81">
        <v>240</v>
      </c>
      <c r="P442" s="81">
        <v>40</v>
      </c>
      <c r="Q442" s="81">
        <f t="shared" si="64"/>
        <v>315</v>
      </c>
      <c r="R442" s="81">
        <f t="shared" si="65"/>
        <v>100</v>
      </c>
      <c r="S442" s="79">
        <f t="shared" si="66"/>
        <v>695</v>
      </c>
      <c r="T442" s="79">
        <f>50</f>
        <v>50</v>
      </c>
      <c r="U442" s="77"/>
      <c r="V442" s="77"/>
      <c r="W442" s="77"/>
      <c r="X442" s="77"/>
      <c r="Y442" s="77"/>
      <c r="Z442" s="77"/>
      <c r="AA442" s="77"/>
      <c r="AB442" s="77"/>
      <c r="AC442" s="77"/>
      <c r="AD442" s="77"/>
    </row>
    <row r="443" spans="1:30" ht="15.75" x14ac:dyDescent="0.25">
      <c r="A443" s="14">
        <v>54423</v>
      </c>
      <c r="B443" s="91">
        <v>31</v>
      </c>
      <c r="C443" s="79">
        <f>122.58</f>
        <v>122.58</v>
      </c>
      <c r="D443" s="79">
        <f>297.941</f>
        <v>297.94099999999997</v>
      </c>
      <c r="E443" s="87">
        <f>89.177</f>
        <v>89.177000000000007</v>
      </c>
      <c r="F443" s="79">
        <f>240.302-40-60</f>
        <v>140.30199999999999</v>
      </c>
      <c r="G443" s="81">
        <v>40</v>
      </c>
      <c r="H443" s="79">
        <v>60</v>
      </c>
      <c r="I443" s="79">
        <f t="shared" si="71"/>
        <v>0</v>
      </c>
      <c r="J443" s="81">
        <v>100</v>
      </c>
      <c r="K443" s="81">
        <v>300</v>
      </c>
      <c r="L443" s="79">
        <f t="shared" si="63"/>
        <v>1150</v>
      </c>
      <c r="M443" s="89">
        <v>600</v>
      </c>
      <c r="N443" s="79">
        <f>100</f>
        <v>100</v>
      </c>
      <c r="O443" s="81">
        <v>240</v>
      </c>
      <c r="P443" s="81">
        <v>40</v>
      </c>
      <c r="Q443" s="81">
        <f t="shared" si="64"/>
        <v>315</v>
      </c>
      <c r="R443" s="81">
        <f t="shared" si="65"/>
        <v>100</v>
      </c>
      <c r="S443" s="79">
        <f t="shared" si="66"/>
        <v>695</v>
      </c>
      <c r="T443" s="79">
        <f>50</f>
        <v>50</v>
      </c>
      <c r="U443" s="77"/>
      <c r="V443" s="77"/>
      <c r="W443" s="77"/>
      <c r="X443" s="77"/>
      <c r="Y443" s="77"/>
      <c r="Z443" s="77"/>
      <c r="AA443" s="77"/>
      <c r="AB443" s="77"/>
      <c r="AC443" s="77"/>
      <c r="AD443" s="77"/>
    </row>
    <row r="444" spans="1:30" ht="15.75" x14ac:dyDescent="0.25">
      <c r="A444" s="14">
        <v>54454</v>
      </c>
      <c r="B444" s="91">
        <v>31</v>
      </c>
      <c r="C444" s="79">
        <f>122.58</f>
        <v>122.58</v>
      </c>
      <c r="D444" s="79">
        <f>297.941</f>
        <v>297.94099999999997</v>
      </c>
      <c r="E444" s="87">
        <f>89.177</f>
        <v>89.177000000000007</v>
      </c>
      <c r="F444" s="79">
        <f>240.302-40-60</f>
        <v>140.30199999999999</v>
      </c>
      <c r="G444" s="81">
        <v>40</v>
      </c>
      <c r="H444" s="79">
        <v>60</v>
      </c>
      <c r="I444" s="79">
        <f t="shared" si="71"/>
        <v>0</v>
      </c>
      <c r="J444" s="81">
        <v>100</v>
      </c>
      <c r="K444" s="81">
        <v>300</v>
      </c>
      <c r="L444" s="79">
        <f t="shared" si="63"/>
        <v>1150</v>
      </c>
      <c r="M444" s="89">
        <v>600</v>
      </c>
      <c r="N444" s="79">
        <f>100</f>
        <v>100</v>
      </c>
      <c r="O444" s="81">
        <v>240</v>
      </c>
      <c r="P444" s="81">
        <v>40</v>
      </c>
      <c r="Q444" s="81">
        <f t="shared" si="64"/>
        <v>315</v>
      </c>
      <c r="R444" s="81">
        <f t="shared" si="65"/>
        <v>100</v>
      </c>
      <c r="S444" s="79">
        <f t="shared" si="66"/>
        <v>695</v>
      </c>
      <c r="T444" s="79">
        <f>50</f>
        <v>50</v>
      </c>
      <c r="U444" s="77"/>
      <c r="V444" s="77"/>
      <c r="W444" s="77"/>
      <c r="X444" s="77"/>
      <c r="Y444" s="77"/>
      <c r="Z444" s="77"/>
      <c r="AA444" s="77"/>
      <c r="AB444" s="77"/>
      <c r="AC444" s="77"/>
      <c r="AD444" s="77"/>
    </row>
    <row r="445" spans="1:30" ht="15.75" x14ac:dyDescent="0.25">
      <c r="A445" s="14">
        <v>54482</v>
      </c>
      <c r="B445" s="91">
        <v>28</v>
      </c>
      <c r="C445" s="79">
        <f>122.58</f>
        <v>122.58</v>
      </c>
      <c r="D445" s="79">
        <f>297.941</f>
        <v>297.94099999999997</v>
      </c>
      <c r="E445" s="87">
        <f>89.177</f>
        <v>89.177000000000007</v>
      </c>
      <c r="F445" s="79">
        <f>240.302-40-60</f>
        <v>140.30199999999999</v>
      </c>
      <c r="G445" s="81">
        <v>40</v>
      </c>
      <c r="H445" s="79">
        <v>60</v>
      </c>
      <c r="I445" s="79">
        <f t="shared" si="71"/>
        <v>0</v>
      </c>
      <c r="J445" s="81">
        <v>100</v>
      </c>
      <c r="K445" s="81">
        <v>300</v>
      </c>
      <c r="L445" s="79">
        <f t="shared" si="63"/>
        <v>1150</v>
      </c>
      <c r="M445" s="89">
        <v>600</v>
      </c>
      <c r="N445" s="79">
        <f>100</f>
        <v>100</v>
      </c>
      <c r="O445" s="81">
        <v>240</v>
      </c>
      <c r="P445" s="81">
        <v>40</v>
      </c>
      <c r="Q445" s="81">
        <f t="shared" si="64"/>
        <v>315</v>
      </c>
      <c r="R445" s="81">
        <f t="shared" si="65"/>
        <v>100</v>
      </c>
      <c r="S445" s="79">
        <f t="shared" si="66"/>
        <v>695</v>
      </c>
      <c r="T445" s="79">
        <f>50</f>
        <v>50</v>
      </c>
      <c r="U445" s="77"/>
      <c r="V445" s="77"/>
      <c r="W445" s="77"/>
      <c r="X445" s="77"/>
      <c r="Y445" s="77"/>
      <c r="Z445" s="77"/>
      <c r="AA445" s="77"/>
      <c r="AB445" s="77"/>
      <c r="AC445" s="77"/>
      <c r="AD445" s="77"/>
    </row>
    <row r="446" spans="1:30" ht="15.75" x14ac:dyDescent="0.25">
      <c r="A446" s="14">
        <v>54513</v>
      </c>
      <c r="B446" s="91">
        <v>31</v>
      </c>
      <c r="C446" s="79">
        <f>122.58</f>
        <v>122.58</v>
      </c>
      <c r="D446" s="79">
        <f>297.941</f>
        <v>297.94099999999997</v>
      </c>
      <c r="E446" s="87">
        <f>89.177</f>
        <v>89.177000000000007</v>
      </c>
      <c r="F446" s="79">
        <f>240.302-40-60</f>
        <v>140.30199999999999</v>
      </c>
      <c r="G446" s="81">
        <v>40</v>
      </c>
      <c r="H446" s="79">
        <v>60</v>
      </c>
      <c r="I446" s="79">
        <f t="shared" si="71"/>
        <v>0</v>
      </c>
      <c r="J446" s="81">
        <v>100</v>
      </c>
      <c r="K446" s="81">
        <v>300</v>
      </c>
      <c r="L446" s="79">
        <f t="shared" si="63"/>
        <v>1150</v>
      </c>
      <c r="M446" s="89">
        <v>600</v>
      </c>
      <c r="N446" s="79">
        <f>100</f>
        <v>100</v>
      </c>
      <c r="O446" s="81">
        <v>240</v>
      </c>
      <c r="P446" s="81">
        <v>40</v>
      </c>
      <c r="Q446" s="81">
        <f t="shared" si="64"/>
        <v>315</v>
      </c>
      <c r="R446" s="81">
        <f t="shared" si="65"/>
        <v>100</v>
      </c>
      <c r="S446" s="79">
        <f t="shared" si="66"/>
        <v>695</v>
      </c>
      <c r="T446" s="79">
        <f>50</f>
        <v>50</v>
      </c>
      <c r="U446" s="77"/>
      <c r="V446" s="77"/>
      <c r="W446" s="77"/>
      <c r="X446" s="77"/>
      <c r="Y446" s="77"/>
      <c r="Z446" s="77"/>
      <c r="AA446" s="77"/>
      <c r="AB446" s="77"/>
      <c r="AC446" s="77"/>
      <c r="AD446" s="77"/>
    </row>
    <row r="447" spans="1:30" ht="15.75" x14ac:dyDescent="0.25">
      <c r="A447" s="14">
        <v>54543</v>
      </c>
      <c r="B447" s="91">
        <v>30</v>
      </c>
      <c r="C447" s="79">
        <f>141.293</f>
        <v>141.29300000000001</v>
      </c>
      <c r="D447" s="79">
        <f>267.993</f>
        <v>267.99299999999999</v>
      </c>
      <c r="E447" s="87">
        <f>115.016</f>
        <v>115.01600000000001</v>
      </c>
      <c r="F447" s="79">
        <f>314.698-40-25-60</f>
        <v>189.69799999999998</v>
      </c>
      <c r="G447" s="81">
        <v>40</v>
      </c>
      <c r="H447" s="79">
        <f t="shared" ref="H447:H453" si="72">25+60</f>
        <v>85</v>
      </c>
      <c r="I447" s="79">
        <f t="shared" si="71"/>
        <v>0</v>
      </c>
      <c r="J447" s="81">
        <v>100</v>
      </c>
      <c r="K447" s="81">
        <v>300</v>
      </c>
      <c r="L447" s="79">
        <f t="shared" si="63"/>
        <v>1239</v>
      </c>
      <c r="M447" s="89">
        <v>600</v>
      </c>
      <c r="N447" s="79">
        <f>100</f>
        <v>100</v>
      </c>
      <c r="O447" s="81">
        <v>240</v>
      </c>
      <c r="P447" s="81">
        <v>160</v>
      </c>
      <c r="Q447" s="81">
        <f t="shared" si="64"/>
        <v>195</v>
      </c>
      <c r="R447" s="81">
        <f t="shared" si="65"/>
        <v>100</v>
      </c>
      <c r="S447" s="79">
        <f t="shared" si="66"/>
        <v>695</v>
      </c>
      <c r="T447" s="79">
        <f>50</f>
        <v>50</v>
      </c>
      <c r="U447" s="77"/>
      <c r="V447" s="77"/>
      <c r="W447" s="77"/>
      <c r="X447" s="77"/>
      <c r="Y447" s="77"/>
      <c r="Z447" s="77"/>
      <c r="AA447" s="77"/>
      <c r="AB447" s="77"/>
      <c r="AC447" s="77"/>
      <c r="AD447" s="77"/>
    </row>
    <row r="448" spans="1:30" ht="15.75" x14ac:dyDescent="0.25">
      <c r="A448" s="14">
        <v>54574</v>
      </c>
      <c r="B448" s="91">
        <v>31</v>
      </c>
      <c r="C448" s="79">
        <f>194.205</f>
        <v>194.20500000000001</v>
      </c>
      <c r="D448" s="79">
        <f>267.466</f>
        <v>267.46600000000001</v>
      </c>
      <c r="E448" s="87">
        <f>133.845</f>
        <v>133.845</v>
      </c>
      <c r="F448" s="79">
        <f>278.484-40-25-60</f>
        <v>153.48399999999998</v>
      </c>
      <c r="G448" s="81">
        <v>40</v>
      </c>
      <c r="H448" s="79">
        <f t="shared" si="72"/>
        <v>85</v>
      </c>
      <c r="I448" s="79">
        <f t="shared" si="71"/>
        <v>0</v>
      </c>
      <c r="J448" s="81">
        <v>100</v>
      </c>
      <c r="K448" s="81">
        <v>300</v>
      </c>
      <c r="L448" s="79">
        <f t="shared" si="63"/>
        <v>1274</v>
      </c>
      <c r="M448" s="89">
        <v>600</v>
      </c>
      <c r="N448" s="79">
        <f>75</f>
        <v>75</v>
      </c>
      <c r="O448" s="81">
        <v>240</v>
      </c>
      <c r="P448" s="81">
        <v>160</v>
      </c>
      <c r="Q448" s="81">
        <f t="shared" si="64"/>
        <v>195</v>
      </c>
      <c r="R448" s="81">
        <f t="shared" si="65"/>
        <v>100</v>
      </c>
      <c r="S448" s="79">
        <f t="shared" si="66"/>
        <v>695</v>
      </c>
      <c r="T448" s="79">
        <f>50</f>
        <v>50</v>
      </c>
      <c r="U448" s="77"/>
      <c r="V448" s="77"/>
      <c r="W448" s="77"/>
      <c r="X448" s="77"/>
      <c r="Y448" s="77"/>
      <c r="Z448" s="77"/>
      <c r="AA448" s="77"/>
      <c r="AB448" s="77"/>
      <c r="AC448" s="77"/>
      <c r="AD448" s="77"/>
    </row>
    <row r="449" spans="1:30" ht="15.75" x14ac:dyDescent="0.25">
      <c r="A449" s="14">
        <v>54604</v>
      </c>
      <c r="B449" s="91">
        <v>30</v>
      </c>
      <c r="C449" s="79">
        <f>194.205</f>
        <v>194.20500000000001</v>
      </c>
      <c r="D449" s="79">
        <f>267.466</f>
        <v>267.46600000000001</v>
      </c>
      <c r="E449" s="87">
        <f>133.845</f>
        <v>133.845</v>
      </c>
      <c r="F449" s="79">
        <f>278.484-40-25-60</f>
        <v>153.48399999999998</v>
      </c>
      <c r="G449" s="81">
        <v>40</v>
      </c>
      <c r="H449" s="79">
        <f t="shared" si="72"/>
        <v>85</v>
      </c>
      <c r="I449" s="79">
        <f t="shared" si="71"/>
        <v>0</v>
      </c>
      <c r="J449" s="81">
        <v>100</v>
      </c>
      <c r="K449" s="81">
        <v>300</v>
      </c>
      <c r="L449" s="79">
        <f t="shared" si="63"/>
        <v>1274</v>
      </c>
      <c r="M449" s="89">
        <v>600</v>
      </c>
      <c r="N449" s="79">
        <f>30</f>
        <v>30</v>
      </c>
      <c r="O449" s="81">
        <v>240</v>
      </c>
      <c r="P449" s="81">
        <v>160</v>
      </c>
      <c r="Q449" s="81">
        <f t="shared" si="64"/>
        <v>195</v>
      </c>
      <c r="R449" s="81">
        <f t="shared" si="65"/>
        <v>100</v>
      </c>
      <c r="S449" s="79">
        <f t="shared" si="66"/>
        <v>695</v>
      </c>
      <c r="T449" s="79">
        <f>50</f>
        <v>50</v>
      </c>
      <c r="U449" s="77"/>
      <c r="V449" s="77"/>
      <c r="W449" s="77"/>
      <c r="X449" s="77"/>
      <c r="Y449" s="77"/>
      <c r="Z449" s="77"/>
      <c r="AA449" s="77"/>
      <c r="AB449" s="77"/>
      <c r="AC449" s="77"/>
      <c r="AD449" s="77"/>
    </row>
    <row r="450" spans="1:30" ht="15.75" x14ac:dyDescent="0.25">
      <c r="A450" s="14">
        <v>54635</v>
      </c>
      <c r="B450" s="91">
        <v>31</v>
      </c>
      <c r="C450" s="79">
        <f>194.205</f>
        <v>194.20500000000001</v>
      </c>
      <c r="D450" s="79">
        <f>267.466</f>
        <v>267.46600000000001</v>
      </c>
      <c r="E450" s="87">
        <f>133.845</f>
        <v>133.845</v>
      </c>
      <c r="F450" s="79">
        <f>278.484-40-25-60</f>
        <v>153.48399999999998</v>
      </c>
      <c r="G450" s="81">
        <v>40</v>
      </c>
      <c r="H450" s="79">
        <f t="shared" si="72"/>
        <v>85</v>
      </c>
      <c r="I450" s="79">
        <f t="shared" si="71"/>
        <v>0</v>
      </c>
      <c r="J450" s="81">
        <v>100</v>
      </c>
      <c r="K450" s="81">
        <v>300</v>
      </c>
      <c r="L450" s="79">
        <f t="shared" si="63"/>
        <v>1274</v>
      </c>
      <c r="M450" s="89">
        <v>600</v>
      </c>
      <c r="N450" s="79">
        <f>30</f>
        <v>30</v>
      </c>
      <c r="O450" s="81">
        <v>240</v>
      </c>
      <c r="P450" s="81">
        <v>160</v>
      </c>
      <c r="Q450" s="81">
        <f t="shared" si="64"/>
        <v>195</v>
      </c>
      <c r="R450" s="81">
        <f t="shared" si="65"/>
        <v>100</v>
      </c>
      <c r="S450" s="79">
        <f t="shared" si="66"/>
        <v>695</v>
      </c>
      <c r="T450" s="79">
        <f>0</f>
        <v>0</v>
      </c>
      <c r="U450" s="77"/>
      <c r="V450" s="77"/>
      <c r="W450" s="77"/>
      <c r="X450" s="77"/>
      <c r="Y450" s="77"/>
      <c r="Z450" s="77"/>
      <c r="AA450" s="77"/>
      <c r="AB450" s="77"/>
      <c r="AC450" s="77"/>
      <c r="AD450" s="77"/>
    </row>
    <row r="451" spans="1:30" ht="15.75" x14ac:dyDescent="0.25">
      <c r="A451" s="14">
        <v>54666</v>
      </c>
      <c r="B451" s="91">
        <v>31</v>
      </c>
      <c r="C451" s="79">
        <f>194.205</f>
        <v>194.20500000000001</v>
      </c>
      <c r="D451" s="79">
        <f>267.466</f>
        <v>267.46600000000001</v>
      </c>
      <c r="E451" s="87">
        <f>133.845</f>
        <v>133.845</v>
      </c>
      <c r="F451" s="79">
        <f>278.484-40-25-60</f>
        <v>153.48399999999998</v>
      </c>
      <c r="G451" s="81">
        <v>40</v>
      </c>
      <c r="H451" s="79">
        <f t="shared" si="72"/>
        <v>85</v>
      </c>
      <c r="I451" s="79">
        <f t="shared" si="71"/>
        <v>0</v>
      </c>
      <c r="J451" s="81">
        <v>100</v>
      </c>
      <c r="K451" s="81">
        <v>300</v>
      </c>
      <c r="L451" s="79">
        <f t="shared" si="63"/>
        <v>1274</v>
      </c>
      <c r="M451" s="89">
        <v>600</v>
      </c>
      <c r="N451" s="79">
        <f>30</f>
        <v>30</v>
      </c>
      <c r="O451" s="81">
        <v>240</v>
      </c>
      <c r="P451" s="81">
        <v>160</v>
      </c>
      <c r="Q451" s="81">
        <f t="shared" si="64"/>
        <v>195</v>
      </c>
      <c r="R451" s="81">
        <f t="shared" si="65"/>
        <v>100</v>
      </c>
      <c r="S451" s="79">
        <f t="shared" si="66"/>
        <v>695</v>
      </c>
      <c r="T451" s="79">
        <f>0</f>
        <v>0</v>
      </c>
      <c r="U451" s="77"/>
      <c r="V451" s="77"/>
      <c r="W451" s="77"/>
      <c r="X451" s="77"/>
      <c r="Y451" s="77"/>
      <c r="Z451" s="77"/>
      <c r="AA451" s="77"/>
      <c r="AB451" s="77"/>
      <c r="AC451" s="77"/>
      <c r="AD451" s="77"/>
    </row>
    <row r="452" spans="1:30" ht="15.75" x14ac:dyDescent="0.25">
      <c r="A452" s="14">
        <v>54696</v>
      </c>
      <c r="B452" s="91">
        <v>30</v>
      </c>
      <c r="C452" s="79">
        <f>194.205</f>
        <v>194.20500000000001</v>
      </c>
      <c r="D452" s="79">
        <f>267.466</f>
        <v>267.46600000000001</v>
      </c>
      <c r="E452" s="87">
        <f>133.845</f>
        <v>133.845</v>
      </c>
      <c r="F452" s="79">
        <f>278.484-40-25-60</f>
        <v>153.48399999999998</v>
      </c>
      <c r="G452" s="81">
        <v>40</v>
      </c>
      <c r="H452" s="79">
        <f t="shared" si="72"/>
        <v>85</v>
      </c>
      <c r="I452" s="79">
        <f t="shared" si="71"/>
        <v>0</v>
      </c>
      <c r="J452" s="81">
        <v>100</v>
      </c>
      <c r="K452" s="81">
        <v>300</v>
      </c>
      <c r="L452" s="79">
        <f t="shared" si="63"/>
        <v>1274</v>
      </c>
      <c r="M452" s="89">
        <v>600</v>
      </c>
      <c r="N452" s="79">
        <f>30</f>
        <v>30</v>
      </c>
      <c r="O452" s="81">
        <v>240</v>
      </c>
      <c r="P452" s="81">
        <v>160</v>
      </c>
      <c r="Q452" s="81">
        <f t="shared" si="64"/>
        <v>195</v>
      </c>
      <c r="R452" s="81">
        <f t="shared" si="65"/>
        <v>100</v>
      </c>
      <c r="S452" s="79">
        <f t="shared" si="66"/>
        <v>695</v>
      </c>
      <c r="T452" s="79">
        <f>0</f>
        <v>0</v>
      </c>
      <c r="U452" s="77"/>
      <c r="V452" s="77"/>
      <c r="W452" s="77"/>
      <c r="X452" s="77"/>
      <c r="Y452" s="77"/>
      <c r="Z452" s="77"/>
      <c r="AA452" s="77"/>
      <c r="AB452" s="77"/>
      <c r="AC452" s="77"/>
      <c r="AD452" s="77"/>
    </row>
    <row r="453" spans="1:30" ht="15.75" x14ac:dyDescent="0.25">
      <c r="A453" s="14">
        <v>54727</v>
      </c>
      <c r="B453" s="91">
        <v>31</v>
      </c>
      <c r="C453" s="79">
        <f>131.881</f>
        <v>131.881</v>
      </c>
      <c r="D453" s="79">
        <f>277.167</f>
        <v>277.16699999999997</v>
      </c>
      <c r="E453" s="87">
        <f>79.08</f>
        <v>79.08</v>
      </c>
      <c r="F453" s="79">
        <f>350.872-40-25-60</f>
        <v>225.87200000000001</v>
      </c>
      <c r="G453" s="81">
        <v>40</v>
      </c>
      <c r="H453" s="79">
        <f t="shared" si="72"/>
        <v>85</v>
      </c>
      <c r="I453" s="79">
        <f t="shared" si="71"/>
        <v>0</v>
      </c>
      <c r="J453" s="81">
        <v>100</v>
      </c>
      <c r="K453" s="81">
        <v>300</v>
      </c>
      <c r="L453" s="79">
        <f t="shared" si="63"/>
        <v>1239</v>
      </c>
      <c r="M453" s="89">
        <v>600</v>
      </c>
      <c r="N453" s="79">
        <f>75</f>
        <v>75</v>
      </c>
      <c r="O453" s="81">
        <v>240</v>
      </c>
      <c r="P453" s="81">
        <v>160</v>
      </c>
      <c r="Q453" s="81">
        <f t="shared" si="64"/>
        <v>195</v>
      </c>
      <c r="R453" s="81">
        <f t="shared" si="65"/>
        <v>100</v>
      </c>
      <c r="S453" s="79">
        <f t="shared" si="66"/>
        <v>695</v>
      </c>
      <c r="T453" s="79">
        <f>0</f>
        <v>0</v>
      </c>
      <c r="U453" s="77"/>
      <c r="V453" s="77"/>
      <c r="W453" s="77"/>
      <c r="X453" s="77"/>
      <c r="Y453" s="77"/>
      <c r="Z453" s="77"/>
      <c r="AA453" s="77"/>
      <c r="AB453" s="77"/>
      <c r="AC453" s="77"/>
      <c r="AD453" s="77"/>
    </row>
    <row r="454" spans="1:30" ht="15.75" x14ac:dyDescent="0.25">
      <c r="A454" s="14">
        <v>54757</v>
      </c>
      <c r="B454" s="91">
        <v>30</v>
      </c>
      <c r="C454" s="79">
        <f>122.58</f>
        <v>122.58</v>
      </c>
      <c r="D454" s="79">
        <f>297.941</f>
        <v>297.94099999999997</v>
      </c>
      <c r="E454" s="87">
        <f>89.177</f>
        <v>89.177000000000007</v>
      </c>
      <c r="F454" s="79">
        <f>240.302-40-60</f>
        <v>140.30199999999999</v>
      </c>
      <c r="G454" s="81">
        <v>40</v>
      </c>
      <c r="H454" s="79">
        <v>60</v>
      </c>
      <c r="I454" s="79">
        <f t="shared" si="71"/>
        <v>0</v>
      </c>
      <c r="J454" s="81">
        <v>100</v>
      </c>
      <c r="K454" s="81">
        <v>300</v>
      </c>
      <c r="L454" s="79">
        <f t="shared" si="63"/>
        <v>1150</v>
      </c>
      <c r="M454" s="89">
        <v>600</v>
      </c>
      <c r="N454" s="79">
        <f>100</f>
        <v>100</v>
      </c>
      <c r="O454" s="81">
        <v>240</v>
      </c>
      <c r="P454" s="81">
        <v>40</v>
      </c>
      <c r="Q454" s="81">
        <f t="shared" si="64"/>
        <v>315</v>
      </c>
      <c r="R454" s="81">
        <f t="shared" si="65"/>
        <v>100</v>
      </c>
      <c r="S454" s="79">
        <f t="shared" si="66"/>
        <v>695</v>
      </c>
      <c r="T454" s="79">
        <f>50</f>
        <v>50</v>
      </c>
      <c r="U454" s="77"/>
      <c r="V454" s="77"/>
      <c r="W454" s="77"/>
      <c r="X454" s="77"/>
      <c r="Y454" s="77"/>
      <c r="Z454" s="77"/>
      <c r="AA454" s="77"/>
      <c r="AB454" s="77"/>
      <c r="AC454" s="77"/>
      <c r="AD454" s="77"/>
    </row>
    <row r="455" spans="1:30" ht="15.75" x14ac:dyDescent="0.25">
      <c r="A455" s="14">
        <v>54788</v>
      </c>
      <c r="B455" s="91">
        <v>31</v>
      </c>
      <c r="C455" s="79">
        <f>122.58</f>
        <v>122.58</v>
      </c>
      <c r="D455" s="79">
        <f>297.941</f>
        <v>297.94099999999997</v>
      </c>
      <c r="E455" s="87">
        <f>89.177</f>
        <v>89.177000000000007</v>
      </c>
      <c r="F455" s="79">
        <f>240.302-40-60</f>
        <v>140.30199999999999</v>
      </c>
      <c r="G455" s="81">
        <v>40</v>
      </c>
      <c r="H455" s="79">
        <v>60</v>
      </c>
      <c r="I455" s="79">
        <f t="shared" si="71"/>
        <v>0</v>
      </c>
      <c r="J455" s="81">
        <v>100</v>
      </c>
      <c r="K455" s="81">
        <v>300</v>
      </c>
      <c r="L455" s="79">
        <f t="shared" si="63"/>
        <v>1150</v>
      </c>
      <c r="M455" s="89">
        <v>600</v>
      </c>
      <c r="N455" s="79">
        <f>100</f>
        <v>100</v>
      </c>
      <c r="O455" s="81">
        <v>240</v>
      </c>
      <c r="P455" s="81">
        <v>40</v>
      </c>
      <c r="Q455" s="81">
        <f t="shared" si="64"/>
        <v>315</v>
      </c>
      <c r="R455" s="81">
        <f t="shared" si="65"/>
        <v>100</v>
      </c>
      <c r="S455" s="79">
        <f t="shared" si="66"/>
        <v>695</v>
      </c>
      <c r="T455" s="79">
        <f>50</f>
        <v>50</v>
      </c>
      <c r="U455" s="77"/>
      <c r="V455" s="77"/>
      <c r="W455" s="77"/>
      <c r="X455" s="77"/>
      <c r="Y455" s="77"/>
      <c r="Z455" s="77"/>
      <c r="AA455" s="77"/>
      <c r="AB455" s="77"/>
      <c r="AC455" s="77"/>
      <c r="AD455" s="77"/>
    </row>
    <row r="456" spans="1:30" ht="15.75" x14ac:dyDescent="0.25">
      <c r="A456" s="14">
        <v>54819</v>
      </c>
      <c r="B456" s="91">
        <v>31</v>
      </c>
      <c r="C456" s="79">
        <f>122.58</f>
        <v>122.58</v>
      </c>
      <c r="D456" s="79">
        <f>297.941</f>
        <v>297.94099999999997</v>
      </c>
      <c r="E456" s="87">
        <f>89.177</f>
        <v>89.177000000000007</v>
      </c>
      <c r="F456" s="79">
        <f>240.302-40-60</f>
        <v>140.30199999999999</v>
      </c>
      <c r="G456" s="81">
        <v>40</v>
      </c>
      <c r="H456" s="79">
        <v>60</v>
      </c>
      <c r="I456" s="79">
        <f t="shared" si="71"/>
        <v>0</v>
      </c>
      <c r="J456" s="81">
        <v>100</v>
      </c>
      <c r="K456" s="81">
        <v>300</v>
      </c>
      <c r="L456" s="79">
        <f t="shared" si="63"/>
        <v>1150</v>
      </c>
      <c r="M456" s="89">
        <v>600</v>
      </c>
      <c r="N456" s="79">
        <f>100</f>
        <v>100</v>
      </c>
      <c r="O456" s="81">
        <v>240</v>
      </c>
      <c r="P456" s="81">
        <v>40</v>
      </c>
      <c r="Q456" s="81">
        <f t="shared" si="64"/>
        <v>315</v>
      </c>
      <c r="R456" s="81">
        <f t="shared" si="65"/>
        <v>100</v>
      </c>
      <c r="S456" s="79">
        <f t="shared" si="66"/>
        <v>695</v>
      </c>
      <c r="T456" s="79">
        <f>50</f>
        <v>50</v>
      </c>
      <c r="U456" s="77"/>
      <c r="V456" s="77"/>
      <c r="W456" s="77"/>
      <c r="X456" s="77"/>
      <c r="Y456" s="77"/>
      <c r="Z456" s="77"/>
      <c r="AA456" s="77"/>
      <c r="AB456" s="77"/>
      <c r="AC456" s="77"/>
      <c r="AD456" s="77"/>
    </row>
    <row r="457" spans="1:30" ht="15.75" x14ac:dyDescent="0.25">
      <c r="A457" s="14">
        <v>54847</v>
      </c>
      <c r="B457" s="91">
        <v>28</v>
      </c>
      <c r="C457" s="79">
        <f>122.58</f>
        <v>122.58</v>
      </c>
      <c r="D457" s="79">
        <f>297.941</f>
        <v>297.94099999999997</v>
      </c>
      <c r="E457" s="87">
        <f>89.177</f>
        <v>89.177000000000007</v>
      </c>
      <c r="F457" s="79">
        <f>240.302-40-60</f>
        <v>140.30199999999999</v>
      </c>
      <c r="G457" s="81">
        <v>40</v>
      </c>
      <c r="H457" s="79">
        <v>60</v>
      </c>
      <c r="I457" s="79">
        <f t="shared" si="71"/>
        <v>0</v>
      </c>
      <c r="J457" s="81">
        <v>100</v>
      </c>
      <c r="K457" s="81">
        <v>300</v>
      </c>
      <c r="L457" s="79">
        <f t="shared" si="63"/>
        <v>1150</v>
      </c>
      <c r="M457" s="89">
        <v>600</v>
      </c>
      <c r="N457" s="79">
        <f>100</f>
        <v>100</v>
      </c>
      <c r="O457" s="81">
        <v>240</v>
      </c>
      <c r="P457" s="81">
        <v>40</v>
      </c>
      <c r="Q457" s="81">
        <f t="shared" si="64"/>
        <v>315</v>
      </c>
      <c r="R457" s="81">
        <f t="shared" si="65"/>
        <v>100</v>
      </c>
      <c r="S457" s="79">
        <f t="shared" si="66"/>
        <v>695</v>
      </c>
      <c r="T457" s="79">
        <f>50</f>
        <v>50</v>
      </c>
      <c r="U457" s="77"/>
      <c r="V457" s="77"/>
      <c r="W457" s="77"/>
      <c r="X457" s="77"/>
      <c r="Y457" s="77"/>
      <c r="Z457" s="77"/>
      <c r="AA457" s="77"/>
      <c r="AB457" s="77"/>
      <c r="AC457" s="77"/>
      <c r="AD457" s="77"/>
    </row>
    <row r="458" spans="1:30" ht="15.75" x14ac:dyDescent="0.25">
      <c r="A458" s="14">
        <v>54878</v>
      </c>
      <c r="B458" s="91">
        <v>31</v>
      </c>
      <c r="C458" s="79">
        <f>122.58</f>
        <v>122.58</v>
      </c>
      <c r="D458" s="79">
        <f>297.941</f>
        <v>297.94099999999997</v>
      </c>
      <c r="E458" s="87">
        <f>89.177</f>
        <v>89.177000000000007</v>
      </c>
      <c r="F458" s="79">
        <f>240.302-40-60</f>
        <v>140.30199999999999</v>
      </c>
      <c r="G458" s="81">
        <v>40</v>
      </c>
      <c r="H458" s="79">
        <v>60</v>
      </c>
      <c r="I458" s="79">
        <f t="shared" si="71"/>
        <v>0</v>
      </c>
      <c r="J458" s="81">
        <v>100</v>
      </c>
      <c r="K458" s="81">
        <v>300</v>
      </c>
      <c r="L458" s="79">
        <f t="shared" si="63"/>
        <v>1150</v>
      </c>
      <c r="M458" s="89">
        <v>600</v>
      </c>
      <c r="N458" s="79">
        <f>100</f>
        <v>100</v>
      </c>
      <c r="O458" s="81">
        <v>240</v>
      </c>
      <c r="P458" s="81">
        <v>40</v>
      </c>
      <c r="Q458" s="81">
        <f t="shared" si="64"/>
        <v>315</v>
      </c>
      <c r="R458" s="81">
        <f t="shared" si="65"/>
        <v>100</v>
      </c>
      <c r="S458" s="79">
        <f t="shared" si="66"/>
        <v>695</v>
      </c>
      <c r="T458" s="79">
        <f>50</f>
        <v>50</v>
      </c>
      <c r="U458" s="77"/>
      <c r="V458" s="77"/>
      <c r="W458" s="77"/>
      <c r="X458" s="77"/>
      <c r="Y458" s="77"/>
      <c r="Z458" s="77"/>
      <c r="AA458" s="77"/>
      <c r="AB458" s="77"/>
      <c r="AC458" s="77"/>
      <c r="AD458" s="77"/>
    </row>
    <row r="459" spans="1:30" ht="15.75" x14ac:dyDescent="0.25">
      <c r="A459" s="14">
        <v>54908</v>
      </c>
      <c r="B459" s="91">
        <v>30</v>
      </c>
      <c r="C459" s="79">
        <f>141.293</f>
        <v>141.29300000000001</v>
      </c>
      <c r="D459" s="79">
        <f>267.993</f>
        <v>267.99299999999999</v>
      </c>
      <c r="E459" s="87">
        <f>115.016</f>
        <v>115.01600000000001</v>
      </c>
      <c r="F459" s="79">
        <f>314.698-40-25-60</f>
        <v>189.69799999999998</v>
      </c>
      <c r="G459" s="81">
        <v>40</v>
      </c>
      <c r="H459" s="79">
        <f t="shared" ref="H459:H465" si="73">25+60</f>
        <v>85</v>
      </c>
      <c r="I459" s="79">
        <f t="shared" si="71"/>
        <v>0</v>
      </c>
      <c r="J459" s="81">
        <v>100</v>
      </c>
      <c r="K459" s="81">
        <v>300</v>
      </c>
      <c r="L459" s="79">
        <f t="shared" si="63"/>
        <v>1239</v>
      </c>
      <c r="M459" s="89">
        <v>600</v>
      </c>
      <c r="N459" s="79">
        <f>100</f>
        <v>100</v>
      </c>
      <c r="O459" s="81">
        <v>240</v>
      </c>
      <c r="P459" s="81">
        <v>160</v>
      </c>
      <c r="Q459" s="81">
        <f t="shared" si="64"/>
        <v>195</v>
      </c>
      <c r="R459" s="81">
        <f t="shared" si="65"/>
        <v>100</v>
      </c>
      <c r="S459" s="79">
        <f t="shared" si="66"/>
        <v>695</v>
      </c>
      <c r="T459" s="79">
        <f>50</f>
        <v>50</v>
      </c>
      <c r="U459" s="77"/>
      <c r="V459" s="77"/>
      <c r="W459" s="77"/>
      <c r="X459" s="77"/>
      <c r="Y459" s="77"/>
      <c r="Z459" s="77"/>
      <c r="AA459" s="77"/>
      <c r="AB459" s="77"/>
      <c r="AC459" s="77"/>
      <c r="AD459" s="77"/>
    </row>
    <row r="460" spans="1:30" ht="15.75" x14ac:dyDescent="0.25">
      <c r="A460" s="14">
        <v>54939</v>
      </c>
      <c r="B460" s="91">
        <v>31</v>
      </c>
      <c r="C460" s="79">
        <f>194.205</f>
        <v>194.20500000000001</v>
      </c>
      <c r="D460" s="79">
        <f>267.466</f>
        <v>267.46600000000001</v>
      </c>
      <c r="E460" s="87">
        <f>133.845</f>
        <v>133.845</v>
      </c>
      <c r="F460" s="79">
        <f>278.484-40-25-60</f>
        <v>153.48399999999998</v>
      </c>
      <c r="G460" s="81">
        <v>40</v>
      </c>
      <c r="H460" s="79">
        <f t="shared" si="73"/>
        <v>85</v>
      </c>
      <c r="I460" s="79">
        <f t="shared" si="71"/>
        <v>0</v>
      </c>
      <c r="J460" s="81">
        <v>100</v>
      </c>
      <c r="K460" s="81">
        <v>300</v>
      </c>
      <c r="L460" s="79">
        <f t="shared" si="63"/>
        <v>1274</v>
      </c>
      <c r="M460" s="89">
        <v>600</v>
      </c>
      <c r="N460" s="79">
        <f>75</f>
        <v>75</v>
      </c>
      <c r="O460" s="81">
        <v>240</v>
      </c>
      <c r="P460" s="81">
        <v>160</v>
      </c>
      <c r="Q460" s="81">
        <f t="shared" si="64"/>
        <v>195</v>
      </c>
      <c r="R460" s="81">
        <f t="shared" si="65"/>
        <v>100</v>
      </c>
      <c r="S460" s="79">
        <f t="shared" si="66"/>
        <v>695</v>
      </c>
      <c r="T460" s="79">
        <f>50</f>
        <v>50</v>
      </c>
      <c r="U460" s="77"/>
      <c r="V460" s="77"/>
      <c r="W460" s="77"/>
      <c r="X460" s="77"/>
      <c r="Y460" s="77"/>
      <c r="Z460" s="77"/>
      <c r="AA460" s="77"/>
      <c r="AB460" s="77"/>
      <c r="AC460" s="77"/>
      <c r="AD460" s="77"/>
    </row>
    <row r="461" spans="1:30" ht="15.75" x14ac:dyDescent="0.25">
      <c r="A461" s="14">
        <v>54969</v>
      </c>
      <c r="B461" s="91">
        <v>30</v>
      </c>
      <c r="C461" s="79">
        <f>194.205</f>
        <v>194.20500000000001</v>
      </c>
      <c r="D461" s="79">
        <f>267.466</f>
        <v>267.46600000000001</v>
      </c>
      <c r="E461" s="87">
        <f>133.845</f>
        <v>133.845</v>
      </c>
      <c r="F461" s="79">
        <f>278.484-40-25-60</f>
        <v>153.48399999999998</v>
      </c>
      <c r="G461" s="81">
        <v>40</v>
      </c>
      <c r="H461" s="79">
        <f t="shared" si="73"/>
        <v>85</v>
      </c>
      <c r="I461" s="79">
        <f t="shared" si="71"/>
        <v>0</v>
      </c>
      <c r="J461" s="81">
        <v>100</v>
      </c>
      <c r="K461" s="81">
        <v>300</v>
      </c>
      <c r="L461" s="79">
        <f t="shared" ref="L461:L524" si="74">SUM(C461:K461)</f>
        <v>1274</v>
      </c>
      <c r="M461" s="89">
        <v>600</v>
      </c>
      <c r="N461" s="79">
        <f>30</f>
        <v>30</v>
      </c>
      <c r="O461" s="81">
        <v>240</v>
      </c>
      <c r="P461" s="81">
        <v>160</v>
      </c>
      <c r="Q461" s="81">
        <f t="shared" ref="Q461:Q524" si="75">695-R461-O461-P461</f>
        <v>195</v>
      </c>
      <c r="R461" s="81">
        <f t="shared" ref="R461:R524" si="76">200-J461</f>
        <v>100</v>
      </c>
      <c r="S461" s="79">
        <f t="shared" ref="S461:S524" si="77">SUM(O461:R461)</f>
        <v>695</v>
      </c>
      <c r="T461" s="79">
        <f>50</f>
        <v>50</v>
      </c>
      <c r="U461" s="77"/>
      <c r="V461" s="77"/>
      <c r="W461" s="77"/>
      <c r="X461" s="77"/>
      <c r="Y461" s="77"/>
      <c r="Z461" s="77"/>
      <c r="AA461" s="77"/>
      <c r="AB461" s="77"/>
      <c r="AC461" s="77"/>
      <c r="AD461" s="77"/>
    </row>
    <row r="462" spans="1:30" ht="15.75" x14ac:dyDescent="0.25">
      <c r="A462" s="14">
        <v>55000</v>
      </c>
      <c r="B462" s="91">
        <v>31</v>
      </c>
      <c r="C462" s="79">
        <f>194.205</f>
        <v>194.20500000000001</v>
      </c>
      <c r="D462" s="79">
        <f>267.466</f>
        <v>267.46600000000001</v>
      </c>
      <c r="E462" s="87">
        <f>133.845</f>
        <v>133.845</v>
      </c>
      <c r="F462" s="79">
        <f>278.484-40-25-60</f>
        <v>153.48399999999998</v>
      </c>
      <c r="G462" s="81">
        <v>40</v>
      </c>
      <c r="H462" s="79">
        <f t="shared" si="73"/>
        <v>85</v>
      </c>
      <c r="I462" s="79">
        <f t="shared" si="71"/>
        <v>0</v>
      </c>
      <c r="J462" s="81">
        <v>100</v>
      </c>
      <c r="K462" s="81">
        <v>300</v>
      </c>
      <c r="L462" s="79">
        <f t="shared" si="74"/>
        <v>1274</v>
      </c>
      <c r="M462" s="89">
        <v>600</v>
      </c>
      <c r="N462" s="79">
        <f>30</f>
        <v>30</v>
      </c>
      <c r="O462" s="81">
        <v>240</v>
      </c>
      <c r="P462" s="81">
        <v>160</v>
      </c>
      <c r="Q462" s="81">
        <f t="shared" si="75"/>
        <v>195</v>
      </c>
      <c r="R462" s="81">
        <f t="shared" si="76"/>
        <v>100</v>
      </c>
      <c r="S462" s="79">
        <f t="shared" si="77"/>
        <v>695</v>
      </c>
      <c r="T462" s="79">
        <f>0</f>
        <v>0</v>
      </c>
      <c r="U462" s="77"/>
      <c r="V462" s="77"/>
      <c r="W462" s="77"/>
      <c r="X462" s="77"/>
      <c r="Y462" s="77"/>
      <c r="Z462" s="77"/>
      <c r="AA462" s="77"/>
      <c r="AB462" s="77"/>
      <c r="AC462" s="77"/>
      <c r="AD462" s="77"/>
    </row>
    <row r="463" spans="1:30" ht="15.75" x14ac:dyDescent="0.25">
      <c r="A463" s="14">
        <v>55031</v>
      </c>
      <c r="B463" s="91">
        <v>31</v>
      </c>
      <c r="C463" s="79">
        <f>194.205</f>
        <v>194.20500000000001</v>
      </c>
      <c r="D463" s="79">
        <f>267.466</f>
        <v>267.46600000000001</v>
      </c>
      <c r="E463" s="87">
        <f>133.845</f>
        <v>133.845</v>
      </c>
      <c r="F463" s="79">
        <f>278.484-40-25-60</f>
        <v>153.48399999999998</v>
      </c>
      <c r="G463" s="81">
        <v>40</v>
      </c>
      <c r="H463" s="79">
        <f t="shared" si="73"/>
        <v>85</v>
      </c>
      <c r="I463" s="79">
        <f t="shared" si="71"/>
        <v>0</v>
      </c>
      <c r="J463" s="81">
        <v>100</v>
      </c>
      <c r="K463" s="81">
        <v>300</v>
      </c>
      <c r="L463" s="79">
        <f t="shared" si="74"/>
        <v>1274</v>
      </c>
      <c r="M463" s="89">
        <v>600</v>
      </c>
      <c r="N463" s="79">
        <f>30</f>
        <v>30</v>
      </c>
      <c r="O463" s="81">
        <v>240</v>
      </c>
      <c r="P463" s="81">
        <v>160</v>
      </c>
      <c r="Q463" s="81">
        <f t="shared" si="75"/>
        <v>195</v>
      </c>
      <c r="R463" s="81">
        <f t="shared" si="76"/>
        <v>100</v>
      </c>
      <c r="S463" s="79">
        <f t="shared" si="77"/>
        <v>695</v>
      </c>
      <c r="T463" s="79">
        <f>0</f>
        <v>0</v>
      </c>
      <c r="U463" s="77"/>
      <c r="V463" s="77"/>
      <c r="W463" s="77"/>
      <c r="X463" s="77"/>
      <c r="Y463" s="77"/>
      <c r="Z463" s="77"/>
      <c r="AA463" s="77"/>
      <c r="AB463" s="77"/>
      <c r="AC463" s="77"/>
      <c r="AD463" s="77"/>
    </row>
    <row r="464" spans="1:30" ht="15.75" x14ac:dyDescent="0.25">
      <c r="A464" s="14">
        <v>55061</v>
      </c>
      <c r="B464" s="91">
        <v>30</v>
      </c>
      <c r="C464" s="79">
        <f>194.205</f>
        <v>194.20500000000001</v>
      </c>
      <c r="D464" s="79">
        <f>267.466</f>
        <v>267.46600000000001</v>
      </c>
      <c r="E464" s="87">
        <f>133.845</f>
        <v>133.845</v>
      </c>
      <c r="F464" s="79">
        <f>278.484-40-25-60</f>
        <v>153.48399999999998</v>
      </c>
      <c r="G464" s="81">
        <v>40</v>
      </c>
      <c r="H464" s="79">
        <f t="shared" si="73"/>
        <v>85</v>
      </c>
      <c r="I464" s="79">
        <f t="shared" si="71"/>
        <v>0</v>
      </c>
      <c r="J464" s="81">
        <v>100</v>
      </c>
      <c r="K464" s="81">
        <v>300</v>
      </c>
      <c r="L464" s="79">
        <f t="shared" si="74"/>
        <v>1274</v>
      </c>
      <c r="M464" s="89">
        <v>600</v>
      </c>
      <c r="N464" s="79">
        <f>30</f>
        <v>30</v>
      </c>
      <c r="O464" s="81">
        <v>240</v>
      </c>
      <c r="P464" s="81">
        <v>160</v>
      </c>
      <c r="Q464" s="81">
        <f t="shared" si="75"/>
        <v>195</v>
      </c>
      <c r="R464" s="81">
        <f t="shared" si="76"/>
        <v>100</v>
      </c>
      <c r="S464" s="79">
        <f t="shared" si="77"/>
        <v>695</v>
      </c>
      <c r="T464" s="79">
        <f>0</f>
        <v>0</v>
      </c>
      <c r="U464" s="77"/>
      <c r="V464" s="77"/>
      <c r="W464" s="77"/>
      <c r="X464" s="77"/>
      <c r="Y464" s="77"/>
      <c r="Z464" s="77"/>
      <c r="AA464" s="77"/>
      <c r="AB464" s="77"/>
      <c r="AC464" s="77"/>
      <c r="AD464" s="77"/>
    </row>
    <row r="465" spans="1:30" ht="15.75" x14ac:dyDescent="0.25">
      <c r="A465" s="14">
        <v>55092</v>
      </c>
      <c r="B465" s="91">
        <v>31</v>
      </c>
      <c r="C465" s="79">
        <f>131.881</f>
        <v>131.881</v>
      </c>
      <c r="D465" s="79">
        <f>277.167</f>
        <v>277.16699999999997</v>
      </c>
      <c r="E465" s="87">
        <f>79.08</f>
        <v>79.08</v>
      </c>
      <c r="F465" s="79">
        <f>350.872-40-25-60</f>
        <v>225.87200000000001</v>
      </c>
      <c r="G465" s="81">
        <v>40</v>
      </c>
      <c r="H465" s="79">
        <f t="shared" si="73"/>
        <v>85</v>
      </c>
      <c r="I465" s="79">
        <f t="shared" si="71"/>
        <v>0</v>
      </c>
      <c r="J465" s="81">
        <v>100</v>
      </c>
      <c r="K465" s="81">
        <v>300</v>
      </c>
      <c r="L465" s="79">
        <f t="shared" si="74"/>
        <v>1239</v>
      </c>
      <c r="M465" s="89">
        <v>600</v>
      </c>
      <c r="N465" s="79">
        <f>75</f>
        <v>75</v>
      </c>
      <c r="O465" s="81">
        <v>240</v>
      </c>
      <c r="P465" s="81">
        <v>160</v>
      </c>
      <c r="Q465" s="81">
        <f t="shared" si="75"/>
        <v>195</v>
      </c>
      <c r="R465" s="81">
        <f t="shared" si="76"/>
        <v>100</v>
      </c>
      <c r="S465" s="79">
        <f t="shared" si="77"/>
        <v>695</v>
      </c>
      <c r="T465" s="79">
        <f>0</f>
        <v>0</v>
      </c>
      <c r="U465" s="77"/>
      <c r="V465" s="77"/>
      <c r="W465" s="77"/>
      <c r="X465" s="77"/>
      <c r="Y465" s="77"/>
      <c r="Z465" s="77"/>
      <c r="AA465" s="77"/>
      <c r="AB465" s="77"/>
      <c r="AC465" s="77"/>
      <c r="AD465" s="77"/>
    </row>
    <row r="466" spans="1:30" ht="15.75" x14ac:dyDescent="0.25">
      <c r="A466" s="14">
        <v>55122</v>
      </c>
      <c r="B466" s="91">
        <v>30</v>
      </c>
      <c r="C466" s="79">
        <f>122.58</f>
        <v>122.58</v>
      </c>
      <c r="D466" s="79">
        <f>297.941</f>
        <v>297.94099999999997</v>
      </c>
      <c r="E466" s="87">
        <f>89.177</f>
        <v>89.177000000000007</v>
      </c>
      <c r="F466" s="79">
        <f>240.302-40-60</f>
        <v>140.30199999999999</v>
      </c>
      <c r="G466" s="81">
        <v>40</v>
      </c>
      <c r="H466" s="79">
        <v>60</v>
      </c>
      <c r="I466" s="79">
        <f t="shared" si="71"/>
        <v>0</v>
      </c>
      <c r="J466" s="81">
        <v>100</v>
      </c>
      <c r="K466" s="81">
        <v>300</v>
      </c>
      <c r="L466" s="79">
        <f t="shared" si="74"/>
        <v>1150</v>
      </c>
      <c r="M466" s="89">
        <v>600</v>
      </c>
      <c r="N466" s="79">
        <f>100</f>
        <v>100</v>
      </c>
      <c r="O466" s="81">
        <v>240</v>
      </c>
      <c r="P466" s="81">
        <v>40</v>
      </c>
      <c r="Q466" s="81">
        <f t="shared" si="75"/>
        <v>315</v>
      </c>
      <c r="R466" s="81">
        <f t="shared" si="76"/>
        <v>100</v>
      </c>
      <c r="S466" s="79">
        <f t="shared" si="77"/>
        <v>695</v>
      </c>
      <c r="T466" s="79">
        <f>50</f>
        <v>50</v>
      </c>
      <c r="U466" s="77"/>
      <c r="V466" s="77"/>
      <c r="W466" s="77"/>
      <c r="X466" s="77"/>
      <c r="Y466" s="77"/>
      <c r="Z466" s="77"/>
      <c r="AA466" s="77"/>
      <c r="AB466" s="77"/>
      <c r="AC466" s="77"/>
      <c r="AD466" s="77"/>
    </row>
    <row r="467" spans="1:30" ht="15.75" x14ac:dyDescent="0.25">
      <c r="A467" s="14">
        <v>55153</v>
      </c>
      <c r="B467" s="91">
        <v>31</v>
      </c>
      <c r="C467" s="79">
        <f>122.58</f>
        <v>122.58</v>
      </c>
      <c r="D467" s="79">
        <f>297.941</f>
        <v>297.94099999999997</v>
      </c>
      <c r="E467" s="87">
        <f>89.177</f>
        <v>89.177000000000007</v>
      </c>
      <c r="F467" s="79">
        <f>240.302-40-60</f>
        <v>140.30199999999999</v>
      </c>
      <c r="G467" s="81">
        <v>40</v>
      </c>
      <c r="H467" s="79">
        <v>60</v>
      </c>
      <c r="I467" s="79">
        <f t="shared" si="71"/>
        <v>0</v>
      </c>
      <c r="J467" s="81">
        <v>100</v>
      </c>
      <c r="K467" s="81">
        <v>300</v>
      </c>
      <c r="L467" s="79">
        <f t="shared" si="74"/>
        <v>1150</v>
      </c>
      <c r="M467" s="89">
        <v>600</v>
      </c>
      <c r="N467" s="79">
        <f>100</f>
        <v>100</v>
      </c>
      <c r="O467" s="81">
        <v>240</v>
      </c>
      <c r="P467" s="81">
        <v>40</v>
      </c>
      <c r="Q467" s="81">
        <f t="shared" si="75"/>
        <v>315</v>
      </c>
      <c r="R467" s="81">
        <f t="shared" si="76"/>
        <v>100</v>
      </c>
      <c r="S467" s="79">
        <f t="shared" si="77"/>
        <v>695</v>
      </c>
      <c r="T467" s="79">
        <f>50</f>
        <v>50</v>
      </c>
      <c r="U467" s="77"/>
      <c r="V467" s="77"/>
      <c r="W467" s="77"/>
      <c r="X467" s="77"/>
      <c r="Y467" s="77"/>
      <c r="Z467" s="77"/>
      <c r="AA467" s="77"/>
      <c r="AB467" s="77"/>
      <c r="AC467" s="77"/>
      <c r="AD467" s="77"/>
    </row>
    <row r="468" spans="1:30" ht="15.75" x14ac:dyDescent="0.25">
      <c r="A468" s="14">
        <v>55184</v>
      </c>
      <c r="B468" s="91">
        <v>31</v>
      </c>
      <c r="C468" s="79">
        <f>122.58</f>
        <v>122.58</v>
      </c>
      <c r="D468" s="79">
        <f>297.941</f>
        <v>297.94099999999997</v>
      </c>
      <c r="E468" s="87">
        <f>89.177</f>
        <v>89.177000000000007</v>
      </c>
      <c r="F468" s="79">
        <f>240.302-40-60</f>
        <v>140.30199999999999</v>
      </c>
      <c r="G468" s="81">
        <v>40</v>
      </c>
      <c r="H468" s="79">
        <v>60</v>
      </c>
      <c r="I468" s="79">
        <f t="shared" si="71"/>
        <v>0</v>
      </c>
      <c r="J468" s="81">
        <v>100</v>
      </c>
      <c r="K468" s="81">
        <v>300</v>
      </c>
      <c r="L468" s="79">
        <f t="shared" si="74"/>
        <v>1150</v>
      </c>
      <c r="M468" s="89">
        <v>600</v>
      </c>
      <c r="N468" s="79">
        <f>100</f>
        <v>100</v>
      </c>
      <c r="O468" s="81">
        <v>240</v>
      </c>
      <c r="P468" s="81">
        <v>40</v>
      </c>
      <c r="Q468" s="81">
        <f t="shared" si="75"/>
        <v>315</v>
      </c>
      <c r="R468" s="81">
        <f t="shared" si="76"/>
        <v>100</v>
      </c>
      <c r="S468" s="79">
        <f t="shared" si="77"/>
        <v>695</v>
      </c>
      <c r="T468" s="79">
        <f>50</f>
        <v>50</v>
      </c>
      <c r="U468" s="77"/>
      <c r="V468" s="77"/>
      <c r="W468" s="77"/>
      <c r="X468" s="77"/>
      <c r="Y468" s="77"/>
      <c r="Z468" s="77"/>
      <c r="AA468" s="77"/>
      <c r="AB468" s="77"/>
      <c r="AC468" s="77"/>
      <c r="AD468" s="77"/>
    </row>
    <row r="469" spans="1:30" ht="15.75" x14ac:dyDescent="0.25">
      <c r="A469" s="14">
        <v>55212</v>
      </c>
      <c r="B469" s="91">
        <v>28</v>
      </c>
      <c r="C469" s="79">
        <f>122.58</f>
        <v>122.58</v>
      </c>
      <c r="D469" s="79">
        <f>297.941</f>
        <v>297.94099999999997</v>
      </c>
      <c r="E469" s="87">
        <f>89.177</f>
        <v>89.177000000000007</v>
      </c>
      <c r="F469" s="79">
        <f>240.302-40-60</f>
        <v>140.30199999999999</v>
      </c>
      <c r="G469" s="81">
        <v>40</v>
      </c>
      <c r="H469" s="79">
        <v>60</v>
      </c>
      <c r="I469" s="79">
        <f t="shared" si="71"/>
        <v>0</v>
      </c>
      <c r="J469" s="81">
        <v>100</v>
      </c>
      <c r="K469" s="81">
        <v>300</v>
      </c>
      <c r="L469" s="79">
        <f t="shared" si="74"/>
        <v>1150</v>
      </c>
      <c r="M469" s="89">
        <v>600</v>
      </c>
      <c r="N469" s="79">
        <f>100</f>
        <v>100</v>
      </c>
      <c r="O469" s="81">
        <v>240</v>
      </c>
      <c r="P469" s="81">
        <v>40</v>
      </c>
      <c r="Q469" s="81">
        <f t="shared" si="75"/>
        <v>315</v>
      </c>
      <c r="R469" s="81">
        <f t="shared" si="76"/>
        <v>100</v>
      </c>
      <c r="S469" s="79">
        <f t="shared" si="77"/>
        <v>695</v>
      </c>
      <c r="T469" s="79">
        <f>50</f>
        <v>50</v>
      </c>
      <c r="U469" s="77"/>
      <c r="V469" s="77"/>
      <c r="W469" s="77"/>
      <c r="X469" s="77"/>
      <c r="Y469" s="77"/>
      <c r="Z469" s="77"/>
      <c r="AA469" s="77"/>
      <c r="AB469" s="77"/>
      <c r="AC469" s="77"/>
      <c r="AD469" s="77"/>
    </row>
    <row r="470" spans="1:30" ht="15.75" x14ac:dyDescent="0.25">
      <c r="A470" s="14">
        <v>55243</v>
      </c>
      <c r="B470" s="91">
        <v>31</v>
      </c>
      <c r="C470" s="79">
        <f>122.58</f>
        <v>122.58</v>
      </c>
      <c r="D470" s="79">
        <f>297.941</f>
        <v>297.94099999999997</v>
      </c>
      <c r="E470" s="87">
        <f>89.177</f>
        <v>89.177000000000007</v>
      </c>
      <c r="F470" s="79">
        <f>240.302-40-60</f>
        <v>140.30199999999999</v>
      </c>
      <c r="G470" s="81">
        <v>40</v>
      </c>
      <c r="H470" s="79">
        <v>60</v>
      </c>
      <c r="I470" s="79">
        <f t="shared" si="71"/>
        <v>0</v>
      </c>
      <c r="J470" s="81">
        <v>100</v>
      </c>
      <c r="K470" s="81">
        <v>300</v>
      </c>
      <c r="L470" s="79">
        <f t="shared" si="74"/>
        <v>1150</v>
      </c>
      <c r="M470" s="89">
        <v>600</v>
      </c>
      <c r="N470" s="79">
        <f>100</f>
        <v>100</v>
      </c>
      <c r="O470" s="81">
        <v>240</v>
      </c>
      <c r="P470" s="81">
        <v>40</v>
      </c>
      <c r="Q470" s="81">
        <f t="shared" si="75"/>
        <v>315</v>
      </c>
      <c r="R470" s="81">
        <f t="shared" si="76"/>
        <v>100</v>
      </c>
      <c r="S470" s="79">
        <f t="shared" si="77"/>
        <v>695</v>
      </c>
      <c r="T470" s="79">
        <f>50</f>
        <v>50</v>
      </c>
      <c r="U470" s="77"/>
      <c r="V470" s="77"/>
      <c r="W470" s="77"/>
      <c r="X470" s="77"/>
      <c r="Y470" s="77"/>
      <c r="Z470" s="77"/>
      <c r="AA470" s="77"/>
      <c r="AB470" s="77"/>
      <c r="AC470" s="77"/>
      <c r="AD470" s="77"/>
    </row>
    <row r="471" spans="1:30" ht="15.75" x14ac:dyDescent="0.25">
      <c r="A471" s="14">
        <v>55273</v>
      </c>
      <c r="B471" s="91">
        <v>30</v>
      </c>
      <c r="C471" s="79">
        <f>141.293</f>
        <v>141.29300000000001</v>
      </c>
      <c r="D471" s="79">
        <f>267.993</f>
        <v>267.99299999999999</v>
      </c>
      <c r="E471" s="87">
        <f>115.016</f>
        <v>115.01600000000001</v>
      </c>
      <c r="F471" s="79">
        <f>314.698-40-25-60</f>
        <v>189.69799999999998</v>
      </c>
      <c r="G471" s="81">
        <v>40</v>
      </c>
      <c r="H471" s="79">
        <f t="shared" ref="H471:H477" si="78">25+60</f>
        <v>85</v>
      </c>
      <c r="I471" s="79">
        <f t="shared" si="71"/>
        <v>0</v>
      </c>
      <c r="J471" s="81">
        <v>100</v>
      </c>
      <c r="K471" s="81">
        <v>300</v>
      </c>
      <c r="L471" s="79">
        <f t="shared" si="74"/>
        <v>1239</v>
      </c>
      <c r="M471" s="89">
        <v>600</v>
      </c>
      <c r="N471" s="79">
        <f>100</f>
        <v>100</v>
      </c>
      <c r="O471" s="81">
        <v>240</v>
      </c>
      <c r="P471" s="81">
        <v>160</v>
      </c>
      <c r="Q471" s="81">
        <f t="shared" si="75"/>
        <v>195</v>
      </c>
      <c r="R471" s="81">
        <f t="shared" si="76"/>
        <v>100</v>
      </c>
      <c r="S471" s="79">
        <f t="shared" si="77"/>
        <v>695</v>
      </c>
      <c r="T471" s="79">
        <f>50</f>
        <v>50</v>
      </c>
      <c r="U471" s="77"/>
      <c r="V471" s="77"/>
      <c r="W471" s="77"/>
      <c r="X471" s="77"/>
      <c r="Y471" s="77"/>
      <c r="Z471" s="77"/>
      <c r="AA471" s="77"/>
      <c r="AB471" s="77"/>
      <c r="AC471" s="77"/>
      <c r="AD471" s="77"/>
    </row>
    <row r="472" spans="1:30" ht="15.75" x14ac:dyDescent="0.25">
      <c r="A472" s="14">
        <v>55304</v>
      </c>
      <c r="B472" s="91">
        <v>31</v>
      </c>
      <c r="C472" s="79">
        <f>194.205</f>
        <v>194.20500000000001</v>
      </c>
      <c r="D472" s="79">
        <f>267.466</f>
        <v>267.46600000000001</v>
      </c>
      <c r="E472" s="87">
        <f>133.845</f>
        <v>133.845</v>
      </c>
      <c r="F472" s="79">
        <f>278.484-40-25-60</f>
        <v>153.48399999999998</v>
      </c>
      <c r="G472" s="81">
        <v>40</v>
      </c>
      <c r="H472" s="79">
        <f t="shared" si="78"/>
        <v>85</v>
      </c>
      <c r="I472" s="79">
        <f t="shared" si="71"/>
        <v>0</v>
      </c>
      <c r="J472" s="81">
        <v>100</v>
      </c>
      <c r="K472" s="81">
        <v>300</v>
      </c>
      <c r="L472" s="79">
        <f t="shared" si="74"/>
        <v>1274</v>
      </c>
      <c r="M472" s="89">
        <v>600</v>
      </c>
      <c r="N472" s="79">
        <f>75</f>
        <v>75</v>
      </c>
      <c r="O472" s="81">
        <v>240</v>
      </c>
      <c r="P472" s="81">
        <v>160</v>
      </c>
      <c r="Q472" s="81">
        <f t="shared" si="75"/>
        <v>195</v>
      </c>
      <c r="R472" s="81">
        <f t="shared" si="76"/>
        <v>100</v>
      </c>
      <c r="S472" s="79">
        <f t="shared" si="77"/>
        <v>695</v>
      </c>
      <c r="T472" s="79">
        <f>50</f>
        <v>50</v>
      </c>
      <c r="U472" s="77"/>
      <c r="V472" s="77"/>
      <c r="W472" s="77"/>
      <c r="X472" s="77"/>
      <c r="Y472" s="77"/>
      <c r="Z472" s="77"/>
      <c r="AA472" s="77"/>
      <c r="AB472" s="77"/>
      <c r="AC472" s="77"/>
      <c r="AD472" s="77"/>
    </row>
    <row r="473" spans="1:30" ht="15.75" x14ac:dyDescent="0.25">
      <c r="A473" s="14">
        <v>55334</v>
      </c>
      <c r="B473" s="91">
        <v>30</v>
      </c>
      <c r="C473" s="79">
        <f>194.205</f>
        <v>194.20500000000001</v>
      </c>
      <c r="D473" s="79">
        <f>267.466</f>
        <v>267.46600000000001</v>
      </c>
      <c r="E473" s="87">
        <f>133.845</f>
        <v>133.845</v>
      </c>
      <c r="F473" s="79">
        <f>278.484-40-25-60</f>
        <v>153.48399999999998</v>
      </c>
      <c r="G473" s="81">
        <v>40</v>
      </c>
      <c r="H473" s="79">
        <f t="shared" si="78"/>
        <v>85</v>
      </c>
      <c r="I473" s="79">
        <f t="shared" si="71"/>
        <v>0</v>
      </c>
      <c r="J473" s="81">
        <v>100</v>
      </c>
      <c r="K473" s="81">
        <v>300</v>
      </c>
      <c r="L473" s="79">
        <f t="shared" si="74"/>
        <v>1274</v>
      </c>
      <c r="M473" s="89">
        <v>600</v>
      </c>
      <c r="N473" s="79">
        <f>30</f>
        <v>30</v>
      </c>
      <c r="O473" s="81">
        <v>240</v>
      </c>
      <c r="P473" s="81">
        <v>160</v>
      </c>
      <c r="Q473" s="81">
        <f t="shared" si="75"/>
        <v>195</v>
      </c>
      <c r="R473" s="81">
        <f t="shared" si="76"/>
        <v>100</v>
      </c>
      <c r="S473" s="79">
        <f t="shared" si="77"/>
        <v>695</v>
      </c>
      <c r="T473" s="79">
        <f>50</f>
        <v>50</v>
      </c>
      <c r="U473" s="77"/>
      <c r="V473" s="77"/>
      <c r="W473" s="77"/>
      <c r="X473" s="77"/>
      <c r="Y473" s="77"/>
      <c r="Z473" s="77"/>
      <c r="AA473" s="77"/>
      <c r="AB473" s="77"/>
      <c r="AC473" s="77"/>
      <c r="AD473" s="77"/>
    </row>
    <row r="474" spans="1:30" ht="15.75" x14ac:dyDescent="0.25">
      <c r="A474" s="14">
        <v>55365</v>
      </c>
      <c r="B474" s="91">
        <v>31</v>
      </c>
      <c r="C474" s="79">
        <f>194.205</f>
        <v>194.20500000000001</v>
      </c>
      <c r="D474" s="79">
        <f>267.466</f>
        <v>267.46600000000001</v>
      </c>
      <c r="E474" s="87">
        <f>133.845</f>
        <v>133.845</v>
      </c>
      <c r="F474" s="79">
        <f>278.484-40-25-60</f>
        <v>153.48399999999998</v>
      </c>
      <c r="G474" s="81">
        <v>40</v>
      </c>
      <c r="H474" s="79">
        <f t="shared" si="78"/>
        <v>85</v>
      </c>
      <c r="I474" s="79">
        <f t="shared" si="71"/>
        <v>0</v>
      </c>
      <c r="J474" s="81">
        <v>100</v>
      </c>
      <c r="K474" s="81">
        <v>300</v>
      </c>
      <c r="L474" s="79">
        <f t="shared" si="74"/>
        <v>1274</v>
      </c>
      <c r="M474" s="89">
        <v>600</v>
      </c>
      <c r="N474" s="79">
        <f>30</f>
        <v>30</v>
      </c>
      <c r="O474" s="81">
        <v>240</v>
      </c>
      <c r="P474" s="81">
        <v>160</v>
      </c>
      <c r="Q474" s="81">
        <f t="shared" si="75"/>
        <v>195</v>
      </c>
      <c r="R474" s="81">
        <f t="shared" si="76"/>
        <v>100</v>
      </c>
      <c r="S474" s="79">
        <f t="shared" si="77"/>
        <v>695</v>
      </c>
      <c r="T474" s="79">
        <f>0</f>
        <v>0</v>
      </c>
      <c r="U474" s="77"/>
      <c r="V474" s="77"/>
      <c r="W474" s="77"/>
      <c r="X474" s="77"/>
      <c r="Y474" s="77"/>
      <c r="Z474" s="77"/>
      <c r="AA474" s="77"/>
      <c r="AB474" s="77"/>
      <c r="AC474" s="77"/>
      <c r="AD474" s="77"/>
    </row>
    <row r="475" spans="1:30" ht="15.75" x14ac:dyDescent="0.25">
      <c r="A475" s="14">
        <v>55396</v>
      </c>
      <c r="B475" s="91">
        <v>31</v>
      </c>
      <c r="C475" s="79">
        <f>194.205</f>
        <v>194.20500000000001</v>
      </c>
      <c r="D475" s="79">
        <f>267.466</f>
        <v>267.46600000000001</v>
      </c>
      <c r="E475" s="87">
        <f>133.845</f>
        <v>133.845</v>
      </c>
      <c r="F475" s="79">
        <f>278.484-40-25-60</f>
        <v>153.48399999999998</v>
      </c>
      <c r="G475" s="81">
        <v>40</v>
      </c>
      <c r="H475" s="79">
        <f t="shared" si="78"/>
        <v>85</v>
      </c>
      <c r="I475" s="79">
        <f t="shared" si="71"/>
        <v>0</v>
      </c>
      <c r="J475" s="81">
        <v>100</v>
      </c>
      <c r="K475" s="81">
        <v>300</v>
      </c>
      <c r="L475" s="79">
        <f t="shared" si="74"/>
        <v>1274</v>
      </c>
      <c r="M475" s="89">
        <v>600</v>
      </c>
      <c r="N475" s="79">
        <f>30</f>
        <v>30</v>
      </c>
      <c r="O475" s="81">
        <v>240</v>
      </c>
      <c r="P475" s="81">
        <v>160</v>
      </c>
      <c r="Q475" s="81">
        <f t="shared" si="75"/>
        <v>195</v>
      </c>
      <c r="R475" s="81">
        <f t="shared" si="76"/>
        <v>100</v>
      </c>
      <c r="S475" s="79">
        <f t="shared" si="77"/>
        <v>695</v>
      </c>
      <c r="T475" s="79">
        <f>0</f>
        <v>0</v>
      </c>
      <c r="U475" s="77"/>
      <c r="V475" s="77"/>
      <c r="W475" s="77"/>
      <c r="X475" s="77"/>
      <c r="Y475" s="77"/>
      <c r="Z475" s="77"/>
      <c r="AA475" s="77"/>
      <c r="AB475" s="77"/>
      <c r="AC475" s="77"/>
      <c r="AD475" s="77"/>
    </row>
    <row r="476" spans="1:30" ht="15.75" x14ac:dyDescent="0.25">
      <c r="A476" s="14">
        <v>55426</v>
      </c>
      <c r="B476" s="91">
        <v>30</v>
      </c>
      <c r="C476" s="79">
        <f>194.205</f>
        <v>194.20500000000001</v>
      </c>
      <c r="D476" s="79">
        <f>267.466</f>
        <v>267.46600000000001</v>
      </c>
      <c r="E476" s="87">
        <f>133.845</f>
        <v>133.845</v>
      </c>
      <c r="F476" s="79">
        <f>278.484-40-25-60</f>
        <v>153.48399999999998</v>
      </c>
      <c r="G476" s="81">
        <v>40</v>
      </c>
      <c r="H476" s="79">
        <f t="shared" si="78"/>
        <v>85</v>
      </c>
      <c r="I476" s="79">
        <f t="shared" si="71"/>
        <v>0</v>
      </c>
      <c r="J476" s="81">
        <v>100</v>
      </c>
      <c r="K476" s="81">
        <v>300</v>
      </c>
      <c r="L476" s="79">
        <f t="shared" si="74"/>
        <v>1274</v>
      </c>
      <c r="M476" s="89">
        <v>600</v>
      </c>
      <c r="N476" s="79">
        <f>30</f>
        <v>30</v>
      </c>
      <c r="O476" s="81">
        <v>240</v>
      </c>
      <c r="P476" s="81">
        <v>160</v>
      </c>
      <c r="Q476" s="81">
        <f t="shared" si="75"/>
        <v>195</v>
      </c>
      <c r="R476" s="81">
        <f t="shared" si="76"/>
        <v>100</v>
      </c>
      <c r="S476" s="79">
        <f t="shared" si="77"/>
        <v>695</v>
      </c>
      <c r="T476" s="79">
        <f>0</f>
        <v>0</v>
      </c>
      <c r="U476" s="77"/>
      <c r="V476" s="77"/>
      <c r="W476" s="77"/>
      <c r="X476" s="77"/>
      <c r="Y476" s="77"/>
      <c r="Z476" s="77"/>
      <c r="AA476" s="77"/>
      <c r="AB476" s="77"/>
      <c r="AC476" s="77"/>
      <c r="AD476" s="77"/>
    </row>
    <row r="477" spans="1:30" ht="15.75" x14ac:dyDescent="0.25">
      <c r="A477" s="14">
        <v>55457</v>
      </c>
      <c r="B477" s="91">
        <v>31</v>
      </c>
      <c r="C477" s="79">
        <f>131.881</f>
        <v>131.881</v>
      </c>
      <c r="D477" s="79">
        <f>277.167</f>
        <v>277.16699999999997</v>
      </c>
      <c r="E477" s="87">
        <f>79.08</f>
        <v>79.08</v>
      </c>
      <c r="F477" s="79">
        <f>350.872-40-25-60</f>
        <v>225.87200000000001</v>
      </c>
      <c r="G477" s="81">
        <v>40</v>
      </c>
      <c r="H477" s="79">
        <f t="shared" si="78"/>
        <v>85</v>
      </c>
      <c r="I477" s="79">
        <f t="shared" si="71"/>
        <v>0</v>
      </c>
      <c r="J477" s="81">
        <v>100</v>
      </c>
      <c r="K477" s="81">
        <v>300</v>
      </c>
      <c r="L477" s="79">
        <f t="shared" si="74"/>
        <v>1239</v>
      </c>
      <c r="M477" s="89">
        <v>600</v>
      </c>
      <c r="N477" s="79">
        <f>75</f>
        <v>75</v>
      </c>
      <c r="O477" s="81">
        <v>240</v>
      </c>
      <c r="P477" s="81">
        <v>160</v>
      </c>
      <c r="Q477" s="81">
        <f t="shared" si="75"/>
        <v>195</v>
      </c>
      <c r="R477" s="81">
        <f t="shared" si="76"/>
        <v>100</v>
      </c>
      <c r="S477" s="79">
        <f t="shared" si="77"/>
        <v>695</v>
      </c>
      <c r="T477" s="79">
        <f>0</f>
        <v>0</v>
      </c>
      <c r="U477" s="77"/>
      <c r="V477" s="77"/>
      <c r="W477" s="77"/>
      <c r="X477" s="77"/>
      <c r="Y477" s="77"/>
      <c r="Z477" s="77"/>
      <c r="AA477" s="77"/>
      <c r="AB477" s="77"/>
      <c r="AC477" s="77"/>
      <c r="AD477" s="77"/>
    </row>
    <row r="478" spans="1:30" ht="15.75" x14ac:dyDescent="0.25">
      <c r="A478" s="14">
        <v>55487</v>
      </c>
      <c r="B478" s="91">
        <v>30</v>
      </c>
      <c r="C478" s="79">
        <f>122.58</f>
        <v>122.58</v>
      </c>
      <c r="D478" s="79">
        <f>297.941</f>
        <v>297.94099999999997</v>
      </c>
      <c r="E478" s="87">
        <f>89.177</f>
        <v>89.177000000000007</v>
      </c>
      <c r="F478" s="79">
        <f>240.302-40-60</f>
        <v>140.30199999999999</v>
      </c>
      <c r="G478" s="81">
        <v>40</v>
      </c>
      <c r="H478" s="79">
        <v>60</v>
      </c>
      <c r="I478" s="79">
        <f t="shared" si="71"/>
        <v>0</v>
      </c>
      <c r="J478" s="81">
        <v>100</v>
      </c>
      <c r="K478" s="81">
        <v>300</v>
      </c>
      <c r="L478" s="79">
        <f t="shared" si="74"/>
        <v>1150</v>
      </c>
      <c r="M478" s="89">
        <v>600</v>
      </c>
      <c r="N478" s="79">
        <f>100</f>
        <v>100</v>
      </c>
      <c r="O478" s="81">
        <v>240</v>
      </c>
      <c r="P478" s="81">
        <v>40</v>
      </c>
      <c r="Q478" s="81">
        <f t="shared" si="75"/>
        <v>315</v>
      </c>
      <c r="R478" s="81">
        <f t="shared" si="76"/>
        <v>100</v>
      </c>
      <c r="S478" s="79">
        <f t="shared" si="77"/>
        <v>695</v>
      </c>
      <c r="T478" s="79">
        <f>50</f>
        <v>50</v>
      </c>
      <c r="U478" s="77"/>
      <c r="V478" s="77"/>
      <c r="W478" s="77"/>
      <c r="X478" s="77"/>
      <c r="Y478" s="77"/>
      <c r="Z478" s="77"/>
      <c r="AA478" s="77"/>
      <c r="AB478" s="77"/>
      <c r="AC478" s="77"/>
      <c r="AD478" s="77"/>
    </row>
    <row r="479" spans="1:30" ht="15.75" x14ac:dyDescent="0.25">
      <c r="A479" s="14">
        <v>55518</v>
      </c>
      <c r="B479" s="91">
        <v>31</v>
      </c>
      <c r="C479" s="79">
        <f>122.58</f>
        <v>122.58</v>
      </c>
      <c r="D479" s="79">
        <f>297.941</f>
        <v>297.94099999999997</v>
      </c>
      <c r="E479" s="87">
        <f>89.177</f>
        <v>89.177000000000007</v>
      </c>
      <c r="F479" s="79">
        <f>240.302-40-60</f>
        <v>140.30199999999999</v>
      </c>
      <c r="G479" s="81">
        <v>40</v>
      </c>
      <c r="H479" s="79">
        <v>60</v>
      </c>
      <c r="I479" s="79">
        <f t="shared" si="71"/>
        <v>0</v>
      </c>
      <c r="J479" s="81">
        <v>100</v>
      </c>
      <c r="K479" s="81">
        <v>300</v>
      </c>
      <c r="L479" s="79">
        <f t="shared" si="74"/>
        <v>1150</v>
      </c>
      <c r="M479" s="89">
        <v>600</v>
      </c>
      <c r="N479" s="79">
        <f>100</f>
        <v>100</v>
      </c>
      <c r="O479" s="81">
        <v>240</v>
      </c>
      <c r="P479" s="81">
        <v>40</v>
      </c>
      <c r="Q479" s="81">
        <f t="shared" si="75"/>
        <v>315</v>
      </c>
      <c r="R479" s="81">
        <f t="shared" si="76"/>
        <v>100</v>
      </c>
      <c r="S479" s="79">
        <f t="shared" si="77"/>
        <v>695</v>
      </c>
      <c r="T479" s="79">
        <f>50</f>
        <v>50</v>
      </c>
      <c r="U479" s="77"/>
      <c r="V479" s="77"/>
      <c r="W479" s="77"/>
      <c r="X479" s="77"/>
      <c r="Y479" s="77"/>
      <c r="Z479" s="77"/>
      <c r="AA479" s="77"/>
      <c r="AB479" s="77"/>
      <c r="AC479" s="77"/>
      <c r="AD479" s="77"/>
    </row>
    <row r="480" spans="1:30" ht="15.75" x14ac:dyDescent="0.25">
      <c r="A480" s="14">
        <v>55549</v>
      </c>
      <c r="B480" s="91">
        <v>31</v>
      </c>
      <c r="C480" s="79">
        <f>122.58</f>
        <v>122.58</v>
      </c>
      <c r="D480" s="79">
        <f>297.941</f>
        <v>297.94099999999997</v>
      </c>
      <c r="E480" s="87">
        <f>89.177</f>
        <v>89.177000000000007</v>
      </c>
      <c r="F480" s="79">
        <f>240.302-40-60</f>
        <v>140.30199999999999</v>
      </c>
      <c r="G480" s="81">
        <v>40</v>
      </c>
      <c r="H480" s="79">
        <v>60</v>
      </c>
      <c r="I480" s="79">
        <f t="shared" si="71"/>
        <v>0</v>
      </c>
      <c r="J480" s="81">
        <v>100</v>
      </c>
      <c r="K480" s="81">
        <v>300</v>
      </c>
      <c r="L480" s="79">
        <f t="shared" si="74"/>
        <v>1150</v>
      </c>
      <c r="M480" s="89">
        <v>600</v>
      </c>
      <c r="N480" s="79">
        <f>100</f>
        <v>100</v>
      </c>
      <c r="O480" s="81">
        <v>240</v>
      </c>
      <c r="P480" s="81">
        <v>40</v>
      </c>
      <c r="Q480" s="81">
        <f t="shared" si="75"/>
        <v>315</v>
      </c>
      <c r="R480" s="81">
        <f t="shared" si="76"/>
        <v>100</v>
      </c>
      <c r="S480" s="79">
        <f t="shared" si="77"/>
        <v>695</v>
      </c>
      <c r="T480" s="79">
        <f>50</f>
        <v>50</v>
      </c>
      <c r="U480" s="77"/>
      <c r="V480" s="77"/>
      <c r="W480" s="77"/>
      <c r="X480" s="77"/>
      <c r="Y480" s="77"/>
      <c r="Z480" s="77"/>
      <c r="AA480" s="77"/>
      <c r="AB480" s="77"/>
      <c r="AC480" s="77"/>
      <c r="AD480" s="77"/>
    </row>
    <row r="481" spans="1:30" ht="15.75" x14ac:dyDescent="0.25">
      <c r="A481" s="14">
        <v>55577</v>
      </c>
      <c r="B481" s="91">
        <v>29</v>
      </c>
      <c r="C481" s="79">
        <f>122.58</f>
        <v>122.58</v>
      </c>
      <c r="D481" s="79">
        <f>297.941</f>
        <v>297.94099999999997</v>
      </c>
      <c r="E481" s="87">
        <f>89.177</f>
        <v>89.177000000000007</v>
      </c>
      <c r="F481" s="79">
        <f>240.302-40-60</f>
        <v>140.30199999999999</v>
      </c>
      <c r="G481" s="81">
        <v>40</v>
      </c>
      <c r="H481" s="79">
        <v>60</v>
      </c>
      <c r="I481" s="79">
        <f t="shared" si="71"/>
        <v>0</v>
      </c>
      <c r="J481" s="81">
        <v>100</v>
      </c>
      <c r="K481" s="81">
        <v>300</v>
      </c>
      <c r="L481" s="79">
        <f t="shared" si="74"/>
        <v>1150</v>
      </c>
      <c r="M481" s="89">
        <v>600</v>
      </c>
      <c r="N481" s="79">
        <f>100</f>
        <v>100</v>
      </c>
      <c r="O481" s="81">
        <v>240</v>
      </c>
      <c r="P481" s="81">
        <v>40</v>
      </c>
      <c r="Q481" s="81">
        <f t="shared" si="75"/>
        <v>315</v>
      </c>
      <c r="R481" s="81">
        <f t="shared" si="76"/>
        <v>100</v>
      </c>
      <c r="S481" s="79">
        <f t="shared" si="77"/>
        <v>695</v>
      </c>
      <c r="T481" s="79">
        <f>50</f>
        <v>50</v>
      </c>
      <c r="U481" s="77"/>
      <c r="V481" s="77"/>
      <c r="W481" s="77"/>
      <c r="X481" s="77"/>
      <c r="Y481" s="77"/>
      <c r="Z481" s="77"/>
      <c r="AA481" s="77"/>
      <c r="AB481" s="77"/>
      <c r="AC481" s="77"/>
      <c r="AD481" s="77"/>
    </row>
    <row r="482" spans="1:30" ht="15.75" x14ac:dyDescent="0.25">
      <c r="A482" s="14">
        <v>55609</v>
      </c>
      <c r="B482" s="91">
        <v>31</v>
      </c>
      <c r="C482" s="79">
        <f>122.58</f>
        <v>122.58</v>
      </c>
      <c r="D482" s="79">
        <f>297.941</f>
        <v>297.94099999999997</v>
      </c>
      <c r="E482" s="87">
        <f>89.177</f>
        <v>89.177000000000007</v>
      </c>
      <c r="F482" s="79">
        <f>240.302-40-60</f>
        <v>140.30199999999999</v>
      </c>
      <c r="G482" s="81">
        <v>40</v>
      </c>
      <c r="H482" s="79">
        <v>60</v>
      </c>
      <c r="I482" s="79">
        <f t="shared" si="71"/>
        <v>0</v>
      </c>
      <c r="J482" s="81">
        <v>100</v>
      </c>
      <c r="K482" s="81">
        <v>300</v>
      </c>
      <c r="L482" s="79">
        <f t="shared" si="74"/>
        <v>1150</v>
      </c>
      <c r="M482" s="89">
        <v>600</v>
      </c>
      <c r="N482" s="79">
        <f>100</f>
        <v>100</v>
      </c>
      <c r="O482" s="81">
        <v>240</v>
      </c>
      <c r="P482" s="81">
        <v>40</v>
      </c>
      <c r="Q482" s="81">
        <f t="shared" si="75"/>
        <v>315</v>
      </c>
      <c r="R482" s="81">
        <f t="shared" si="76"/>
        <v>100</v>
      </c>
      <c r="S482" s="79">
        <f t="shared" si="77"/>
        <v>695</v>
      </c>
      <c r="T482" s="79">
        <f>50</f>
        <v>50</v>
      </c>
      <c r="U482" s="77"/>
      <c r="V482" s="77"/>
      <c r="W482" s="77"/>
      <c r="X482" s="77"/>
      <c r="Y482" s="77"/>
      <c r="Z482" s="77"/>
      <c r="AA482" s="77"/>
      <c r="AB482" s="77"/>
      <c r="AC482" s="77"/>
      <c r="AD482" s="77"/>
    </row>
    <row r="483" spans="1:30" ht="15.75" x14ac:dyDescent="0.25">
      <c r="A483" s="14">
        <v>55639</v>
      </c>
      <c r="B483" s="91">
        <v>30</v>
      </c>
      <c r="C483" s="79">
        <f>141.293</f>
        <v>141.29300000000001</v>
      </c>
      <c r="D483" s="79">
        <f>267.993</f>
        <v>267.99299999999999</v>
      </c>
      <c r="E483" s="87">
        <f>115.016</f>
        <v>115.01600000000001</v>
      </c>
      <c r="F483" s="79">
        <f>314.698-40-25-60</f>
        <v>189.69799999999998</v>
      </c>
      <c r="G483" s="81">
        <v>40</v>
      </c>
      <c r="H483" s="79">
        <f t="shared" ref="H483:H489" si="79">25+60</f>
        <v>85</v>
      </c>
      <c r="I483" s="79">
        <f t="shared" si="71"/>
        <v>0</v>
      </c>
      <c r="J483" s="81">
        <v>100</v>
      </c>
      <c r="K483" s="81">
        <v>300</v>
      </c>
      <c r="L483" s="79">
        <f t="shared" si="74"/>
        <v>1239</v>
      </c>
      <c r="M483" s="89">
        <v>600</v>
      </c>
      <c r="N483" s="79">
        <f>100</f>
        <v>100</v>
      </c>
      <c r="O483" s="81">
        <v>240</v>
      </c>
      <c r="P483" s="81">
        <v>160</v>
      </c>
      <c r="Q483" s="81">
        <f t="shared" si="75"/>
        <v>195</v>
      </c>
      <c r="R483" s="81">
        <f t="shared" si="76"/>
        <v>100</v>
      </c>
      <c r="S483" s="79">
        <f t="shared" si="77"/>
        <v>695</v>
      </c>
      <c r="T483" s="79">
        <f>50</f>
        <v>50</v>
      </c>
      <c r="U483" s="77"/>
      <c r="V483" s="77"/>
      <c r="W483" s="77"/>
      <c r="X483" s="77"/>
      <c r="Y483" s="77"/>
      <c r="Z483" s="77"/>
      <c r="AA483" s="77"/>
      <c r="AB483" s="77"/>
      <c r="AC483" s="77"/>
      <c r="AD483" s="77"/>
    </row>
    <row r="484" spans="1:30" ht="15.75" x14ac:dyDescent="0.25">
      <c r="A484" s="14">
        <v>55670</v>
      </c>
      <c r="B484" s="91">
        <v>31</v>
      </c>
      <c r="C484" s="79">
        <f>194.205</f>
        <v>194.20500000000001</v>
      </c>
      <c r="D484" s="79">
        <f>267.466</f>
        <v>267.46600000000001</v>
      </c>
      <c r="E484" s="87">
        <f>133.845</f>
        <v>133.845</v>
      </c>
      <c r="F484" s="79">
        <f>278.484-40-25-60</f>
        <v>153.48399999999998</v>
      </c>
      <c r="G484" s="81">
        <v>40</v>
      </c>
      <c r="H484" s="79">
        <f t="shared" si="79"/>
        <v>85</v>
      </c>
      <c r="I484" s="79">
        <f t="shared" si="71"/>
        <v>0</v>
      </c>
      <c r="J484" s="81">
        <v>100</v>
      </c>
      <c r="K484" s="81">
        <v>300</v>
      </c>
      <c r="L484" s="79">
        <f t="shared" si="74"/>
        <v>1274</v>
      </c>
      <c r="M484" s="89">
        <v>600</v>
      </c>
      <c r="N484" s="79">
        <f>75</f>
        <v>75</v>
      </c>
      <c r="O484" s="81">
        <v>240</v>
      </c>
      <c r="P484" s="81">
        <v>160</v>
      </c>
      <c r="Q484" s="81">
        <f t="shared" si="75"/>
        <v>195</v>
      </c>
      <c r="R484" s="81">
        <f t="shared" si="76"/>
        <v>100</v>
      </c>
      <c r="S484" s="79">
        <f t="shared" si="77"/>
        <v>695</v>
      </c>
      <c r="T484" s="79">
        <f>50</f>
        <v>50</v>
      </c>
      <c r="U484" s="77"/>
      <c r="V484" s="77"/>
      <c r="W484" s="77"/>
      <c r="X484" s="77"/>
      <c r="Y484" s="77"/>
      <c r="Z484" s="77"/>
      <c r="AA484" s="77"/>
      <c r="AB484" s="77"/>
      <c r="AC484" s="77"/>
      <c r="AD484" s="77"/>
    </row>
    <row r="485" spans="1:30" ht="15.75" x14ac:dyDescent="0.25">
      <c r="A485" s="14">
        <v>55700</v>
      </c>
      <c r="B485" s="91">
        <v>30</v>
      </c>
      <c r="C485" s="79">
        <f>194.205</f>
        <v>194.20500000000001</v>
      </c>
      <c r="D485" s="79">
        <f>267.466</f>
        <v>267.46600000000001</v>
      </c>
      <c r="E485" s="87">
        <f>133.845</f>
        <v>133.845</v>
      </c>
      <c r="F485" s="79">
        <f>278.484-40-25-60</f>
        <v>153.48399999999998</v>
      </c>
      <c r="G485" s="81">
        <v>40</v>
      </c>
      <c r="H485" s="79">
        <f t="shared" si="79"/>
        <v>85</v>
      </c>
      <c r="I485" s="79">
        <f t="shared" si="71"/>
        <v>0</v>
      </c>
      <c r="J485" s="81">
        <v>100</v>
      </c>
      <c r="K485" s="81">
        <v>300</v>
      </c>
      <c r="L485" s="79">
        <f t="shared" si="74"/>
        <v>1274</v>
      </c>
      <c r="M485" s="89">
        <v>600</v>
      </c>
      <c r="N485" s="79">
        <f>30</f>
        <v>30</v>
      </c>
      <c r="O485" s="81">
        <v>240</v>
      </c>
      <c r="P485" s="81">
        <v>160</v>
      </c>
      <c r="Q485" s="81">
        <f t="shared" si="75"/>
        <v>195</v>
      </c>
      <c r="R485" s="81">
        <f t="shared" si="76"/>
        <v>100</v>
      </c>
      <c r="S485" s="79">
        <f t="shared" si="77"/>
        <v>695</v>
      </c>
      <c r="T485" s="79">
        <f>50</f>
        <v>50</v>
      </c>
      <c r="U485" s="77"/>
      <c r="V485" s="77"/>
      <c r="W485" s="77"/>
      <c r="X485" s="77"/>
      <c r="Y485" s="77"/>
      <c r="Z485" s="77"/>
      <c r="AA485" s="77"/>
      <c r="AB485" s="77"/>
      <c r="AC485" s="77"/>
      <c r="AD485" s="77"/>
    </row>
    <row r="486" spans="1:30" ht="15.75" x14ac:dyDescent="0.25">
      <c r="A486" s="14">
        <v>55731</v>
      </c>
      <c r="B486" s="91">
        <v>31</v>
      </c>
      <c r="C486" s="79">
        <f>194.205</f>
        <v>194.20500000000001</v>
      </c>
      <c r="D486" s="79">
        <f>267.466</f>
        <v>267.46600000000001</v>
      </c>
      <c r="E486" s="87">
        <f>133.845</f>
        <v>133.845</v>
      </c>
      <c r="F486" s="79">
        <f>278.484-40-25-60</f>
        <v>153.48399999999998</v>
      </c>
      <c r="G486" s="81">
        <v>40</v>
      </c>
      <c r="H486" s="79">
        <f t="shared" si="79"/>
        <v>85</v>
      </c>
      <c r="I486" s="79">
        <f t="shared" si="71"/>
        <v>0</v>
      </c>
      <c r="J486" s="81">
        <v>100</v>
      </c>
      <c r="K486" s="81">
        <v>300</v>
      </c>
      <c r="L486" s="79">
        <f t="shared" si="74"/>
        <v>1274</v>
      </c>
      <c r="M486" s="89">
        <v>600</v>
      </c>
      <c r="N486" s="79">
        <f>30</f>
        <v>30</v>
      </c>
      <c r="O486" s="81">
        <v>240</v>
      </c>
      <c r="P486" s="81">
        <v>160</v>
      </c>
      <c r="Q486" s="81">
        <f t="shared" si="75"/>
        <v>195</v>
      </c>
      <c r="R486" s="81">
        <f t="shared" si="76"/>
        <v>100</v>
      </c>
      <c r="S486" s="79">
        <f t="shared" si="77"/>
        <v>695</v>
      </c>
      <c r="T486" s="79">
        <f>0</f>
        <v>0</v>
      </c>
      <c r="U486" s="77"/>
      <c r="V486" s="77"/>
      <c r="W486" s="77"/>
      <c r="X486" s="77"/>
      <c r="Y486" s="77"/>
      <c r="Z486" s="77"/>
      <c r="AA486" s="77"/>
      <c r="AB486" s="77"/>
      <c r="AC486" s="77"/>
      <c r="AD486" s="77"/>
    </row>
    <row r="487" spans="1:30" ht="15.75" x14ac:dyDescent="0.25">
      <c r="A487" s="14">
        <v>55762</v>
      </c>
      <c r="B487" s="91">
        <v>31</v>
      </c>
      <c r="C487" s="79">
        <f>194.205</f>
        <v>194.20500000000001</v>
      </c>
      <c r="D487" s="79">
        <f>267.466</f>
        <v>267.46600000000001</v>
      </c>
      <c r="E487" s="87">
        <f>133.845</f>
        <v>133.845</v>
      </c>
      <c r="F487" s="79">
        <f>278.484-40-25-60</f>
        <v>153.48399999999998</v>
      </c>
      <c r="G487" s="81">
        <v>40</v>
      </c>
      <c r="H487" s="79">
        <f t="shared" si="79"/>
        <v>85</v>
      </c>
      <c r="I487" s="79">
        <f t="shared" si="71"/>
        <v>0</v>
      </c>
      <c r="J487" s="81">
        <v>100</v>
      </c>
      <c r="K487" s="81">
        <v>300</v>
      </c>
      <c r="L487" s="79">
        <f t="shared" si="74"/>
        <v>1274</v>
      </c>
      <c r="M487" s="89">
        <v>600</v>
      </c>
      <c r="N487" s="79">
        <f>30</f>
        <v>30</v>
      </c>
      <c r="O487" s="81">
        <v>240</v>
      </c>
      <c r="P487" s="81">
        <v>160</v>
      </c>
      <c r="Q487" s="81">
        <f t="shared" si="75"/>
        <v>195</v>
      </c>
      <c r="R487" s="81">
        <f t="shared" si="76"/>
        <v>100</v>
      </c>
      <c r="S487" s="79">
        <f t="shared" si="77"/>
        <v>695</v>
      </c>
      <c r="T487" s="79">
        <f>0</f>
        <v>0</v>
      </c>
      <c r="U487" s="77"/>
      <c r="V487" s="77"/>
      <c r="W487" s="77"/>
      <c r="X487" s="77"/>
      <c r="Y487" s="77"/>
      <c r="Z487" s="77"/>
      <c r="AA487" s="77"/>
      <c r="AB487" s="77"/>
      <c r="AC487" s="77"/>
      <c r="AD487" s="77"/>
    </row>
    <row r="488" spans="1:30" ht="15.75" x14ac:dyDescent="0.25">
      <c r="A488" s="14">
        <v>55792</v>
      </c>
      <c r="B488" s="91">
        <v>30</v>
      </c>
      <c r="C488" s="79">
        <f>194.205</f>
        <v>194.20500000000001</v>
      </c>
      <c r="D488" s="79">
        <f>267.466</f>
        <v>267.46600000000001</v>
      </c>
      <c r="E488" s="87">
        <f>133.845</f>
        <v>133.845</v>
      </c>
      <c r="F488" s="79">
        <f>278.484-40-25-60</f>
        <v>153.48399999999998</v>
      </c>
      <c r="G488" s="81">
        <v>40</v>
      </c>
      <c r="H488" s="79">
        <f t="shared" si="79"/>
        <v>85</v>
      </c>
      <c r="I488" s="79">
        <f t="shared" si="71"/>
        <v>0</v>
      </c>
      <c r="J488" s="81">
        <v>100</v>
      </c>
      <c r="K488" s="81">
        <v>300</v>
      </c>
      <c r="L488" s="79">
        <f t="shared" si="74"/>
        <v>1274</v>
      </c>
      <c r="M488" s="89">
        <v>600</v>
      </c>
      <c r="N488" s="79">
        <f>30</f>
        <v>30</v>
      </c>
      <c r="O488" s="81">
        <v>240</v>
      </c>
      <c r="P488" s="81">
        <v>160</v>
      </c>
      <c r="Q488" s="81">
        <f t="shared" si="75"/>
        <v>195</v>
      </c>
      <c r="R488" s="81">
        <f t="shared" si="76"/>
        <v>100</v>
      </c>
      <c r="S488" s="79">
        <f t="shared" si="77"/>
        <v>695</v>
      </c>
      <c r="T488" s="79">
        <f>0</f>
        <v>0</v>
      </c>
      <c r="U488" s="77"/>
      <c r="V488" s="77"/>
      <c r="W488" s="77"/>
      <c r="X488" s="77"/>
      <c r="Y488" s="77"/>
      <c r="Z488" s="77"/>
      <c r="AA488" s="77"/>
      <c r="AB488" s="77"/>
      <c r="AC488" s="77"/>
      <c r="AD488" s="77"/>
    </row>
    <row r="489" spans="1:30" ht="15.75" x14ac:dyDescent="0.25">
      <c r="A489" s="14">
        <v>55823</v>
      </c>
      <c r="B489" s="91">
        <v>31</v>
      </c>
      <c r="C489" s="79">
        <f>131.881</f>
        <v>131.881</v>
      </c>
      <c r="D489" s="79">
        <f>277.167</f>
        <v>277.16699999999997</v>
      </c>
      <c r="E489" s="87">
        <f>79.08</f>
        <v>79.08</v>
      </c>
      <c r="F489" s="79">
        <f>350.872-40-25-60</f>
        <v>225.87200000000001</v>
      </c>
      <c r="G489" s="81">
        <v>40</v>
      </c>
      <c r="H489" s="79">
        <f t="shared" si="79"/>
        <v>85</v>
      </c>
      <c r="I489" s="79">
        <f t="shared" si="71"/>
        <v>0</v>
      </c>
      <c r="J489" s="81">
        <v>100</v>
      </c>
      <c r="K489" s="81">
        <v>300</v>
      </c>
      <c r="L489" s="79">
        <f t="shared" si="74"/>
        <v>1239</v>
      </c>
      <c r="M489" s="89">
        <v>600</v>
      </c>
      <c r="N489" s="79">
        <f>75</f>
        <v>75</v>
      </c>
      <c r="O489" s="81">
        <v>240</v>
      </c>
      <c r="P489" s="81">
        <v>160</v>
      </c>
      <c r="Q489" s="81">
        <f t="shared" si="75"/>
        <v>195</v>
      </c>
      <c r="R489" s="81">
        <f t="shared" si="76"/>
        <v>100</v>
      </c>
      <c r="S489" s="79">
        <f t="shared" si="77"/>
        <v>695</v>
      </c>
      <c r="T489" s="79">
        <f>0</f>
        <v>0</v>
      </c>
      <c r="U489" s="77"/>
      <c r="V489" s="77"/>
      <c r="W489" s="77"/>
      <c r="X489" s="77"/>
      <c r="Y489" s="77"/>
      <c r="Z489" s="77"/>
      <c r="AA489" s="77"/>
      <c r="AB489" s="77"/>
      <c r="AC489" s="77"/>
      <c r="AD489" s="77"/>
    </row>
    <row r="490" spans="1:30" ht="15.75" x14ac:dyDescent="0.25">
      <c r="A490" s="14">
        <v>55853</v>
      </c>
      <c r="B490" s="91">
        <v>30</v>
      </c>
      <c r="C490" s="79">
        <f>122.58</f>
        <v>122.58</v>
      </c>
      <c r="D490" s="79">
        <f>297.941</f>
        <v>297.94099999999997</v>
      </c>
      <c r="E490" s="87">
        <f>89.177</f>
        <v>89.177000000000007</v>
      </c>
      <c r="F490" s="79">
        <f>240.302-40-60</f>
        <v>140.30199999999999</v>
      </c>
      <c r="G490" s="81">
        <v>40</v>
      </c>
      <c r="H490" s="79">
        <v>60</v>
      </c>
      <c r="I490" s="79">
        <f t="shared" si="71"/>
        <v>0</v>
      </c>
      <c r="J490" s="81">
        <v>100</v>
      </c>
      <c r="K490" s="81">
        <v>300</v>
      </c>
      <c r="L490" s="79">
        <f t="shared" si="74"/>
        <v>1150</v>
      </c>
      <c r="M490" s="89">
        <v>600</v>
      </c>
      <c r="N490" s="79">
        <f>100</f>
        <v>100</v>
      </c>
      <c r="O490" s="81">
        <v>240</v>
      </c>
      <c r="P490" s="81">
        <v>40</v>
      </c>
      <c r="Q490" s="81">
        <f t="shared" si="75"/>
        <v>315</v>
      </c>
      <c r="R490" s="81">
        <f t="shared" si="76"/>
        <v>100</v>
      </c>
      <c r="S490" s="79">
        <f t="shared" si="77"/>
        <v>695</v>
      </c>
      <c r="T490" s="79">
        <f>50</f>
        <v>50</v>
      </c>
      <c r="U490" s="77"/>
      <c r="V490" s="77"/>
      <c r="W490" s="77"/>
      <c r="X490" s="77"/>
      <c r="Y490" s="77"/>
      <c r="Z490" s="77"/>
      <c r="AA490" s="77"/>
      <c r="AB490" s="77"/>
      <c r="AC490" s="77"/>
      <c r="AD490" s="77"/>
    </row>
    <row r="491" spans="1:30" ht="15.75" x14ac:dyDescent="0.25">
      <c r="A491" s="14">
        <v>55884</v>
      </c>
      <c r="B491" s="91">
        <v>31</v>
      </c>
      <c r="C491" s="79">
        <f>122.58</f>
        <v>122.58</v>
      </c>
      <c r="D491" s="79">
        <f>297.941</f>
        <v>297.94099999999997</v>
      </c>
      <c r="E491" s="87">
        <f>89.177</f>
        <v>89.177000000000007</v>
      </c>
      <c r="F491" s="79">
        <f>240.302-40-60</f>
        <v>140.30199999999999</v>
      </c>
      <c r="G491" s="81">
        <v>40</v>
      </c>
      <c r="H491" s="79">
        <v>60</v>
      </c>
      <c r="I491" s="79">
        <f t="shared" si="71"/>
        <v>0</v>
      </c>
      <c r="J491" s="81">
        <v>100</v>
      </c>
      <c r="K491" s="81">
        <v>300</v>
      </c>
      <c r="L491" s="79">
        <f t="shared" si="74"/>
        <v>1150</v>
      </c>
      <c r="M491" s="89">
        <v>600</v>
      </c>
      <c r="N491" s="79">
        <f>100</f>
        <v>100</v>
      </c>
      <c r="O491" s="81">
        <v>240</v>
      </c>
      <c r="P491" s="81">
        <v>40</v>
      </c>
      <c r="Q491" s="81">
        <f t="shared" si="75"/>
        <v>315</v>
      </c>
      <c r="R491" s="81">
        <f t="shared" si="76"/>
        <v>100</v>
      </c>
      <c r="S491" s="79">
        <f t="shared" si="77"/>
        <v>695</v>
      </c>
      <c r="T491" s="79">
        <f>50</f>
        <v>50</v>
      </c>
      <c r="U491" s="77"/>
      <c r="V491" s="77"/>
      <c r="W491" s="77"/>
      <c r="X491" s="77"/>
      <c r="Y491" s="77"/>
      <c r="Z491" s="77"/>
      <c r="AA491" s="77"/>
      <c r="AB491" s="77"/>
      <c r="AC491" s="77"/>
      <c r="AD491" s="77"/>
    </row>
    <row r="492" spans="1:30" ht="15.75" x14ac:dyDescent="0.25">
      <c r="A492" s="14">
        <v>55915</v>
      </c>
      <c r="B492" s="91">
        <v>31</v>
      </c>
      <c r="C492" s="79">
        <f>122.58</f>
        <v>122.58</v>
      </c>
      <c r="D492" s="79">
        <f>297.941</f>
        <v>297.94099999999997</v>
      </c>
      <c r="E492" s="87">
        <f>89.177</f>
        <v>89.177000000000007</v>
      </c>
      <c r="F492" s="79">
        <f>240.302-40-60</f>
        <v>140.30199999999999</v>
      </c>
      <c r="G492" s="81">
        <v>40</v>
      </c>
      <c r="H492" s="79">
        <v>60</v>
      </c>
      <c r="I492" s="79">
        <f t="shared" si="71"/>
        <v>0</v>
      </c>
      <c r="J492" s="81">
        <v>100</v>
      </c>
      <c r="K492" s="81">
        <v>300</v>
      </c>
      <c r="L492" s="79">
        <f t="shared" si="74"/>
        <v>1150</v>
      </c>
      <c r="M492" s="89">
        <v>600</v>
      </c>
      <c r="N492" s="79">
        <f>100</f>
        <v>100</v>
      </c>
      <c r="O492" s="81">
        <v>240</v>
      </c>
      <c r="P492" s="81">
        <v>40</v>
      </c>
      <c r="Q492" s="81">
        <f t="shared" si="75"/>
        <v>315</v>
      </c>
      <c r="R492" s="81">
        <f t="shared" si="76"/>
        <v>100</v>
      </c>
      <c r="S492" s="79">
        <f t="shared" si="77"/>
        <v>695</v>
      </c>
      <c r="T492" s="79">
        <f>50</f>
        <v>50</v>
      </c>
      <c r="U492" s="77"/>
      <c r="V492" s="77"/>
      <c r="W492" s="77"/>
      <c r="X492" s="77"/>
      <c r="Y492" s="77"/>
      <c r="Z492" s="77"/>
      <c r="AA492" s="77"/>
      <c r="AB492" s="77"/>
      <c r="AC492" s="77"/>
      <c r="AD492" s="77"/>
    </row>
    <row r="493" spans="1:30" ht="15.75" x14ac:dyDescent="0.25">
      <c r="A493" s="14">
        <v>55943</v>
      </c>
      <c r="B493" s="91">
        <v>28</v>
      </c>
      <c r="C493" s="79">
        <f>122.58</f>
        <v>122.58</v>
      </c>
      <c r="D493" s="79">
        <f>297.941</f>
        <v>297.94099999999997</v>
      </c>
      <c r="E493" s="87">
        <f>89.177</f>
        <v>89.177000000000007</v>
      </c>
      <c r="F493" s="79">
        <f>240.302-40-60</f>
        <v>140.30199999999999</v>
      </c>
      <c r="G493" s="81">
        <v>40</v>
      </c>
      <c r="H493" s="79">
        <v>60</v>
      </c>
      <c r="I493" s="79">
        <f t="shared" si="71"/>
        <v>0</v>
      </c>
      <c r="J493" s="81">
        <v>100</v>
      </c>
      <c r="K493" s="81">
        <v>300</v>
      </c>
      <c r="L493" s="79">
        <f t="shared" si="74"/>
        <v>1150</v>
      </c>
      <c r="M493" s="89">
        <v>600</v>
      </c>
      <c r="N493" s="79">
        <f>100</f>
        <v>100</v>
      </c>
      <c r="O493" s="81">
        <v>240</v>
      </c>
      <c r="P493" s="81">
        <v>40</v>
      </c>
      <c r="Q493" s="81">
        <f t="shared" si="75"/>
        <v>315</v>
      </c>
      <c r="R493" s="81">
        <f t="shared" si="76"/>
        <v>100</v>
      </c>
      <c r="S493" s="79">
        <f t="shared" si="77"/>
        <v>695</v>
      </c>
      <c r="T493" s="79">
        <f>50</f>
        <v>50</v>
      </c>
      <c r="U493" s="77"/>
      <c r="V493" s="77"/>
      <c r="W493" s="77"/>
      <c r="X493" s="77"/>
      <c r="Y493" s="77"/>
      <c r="Z493" s="77"/>
      <c r="AA493" s="77"/>
      <c r="AB493" s="77"/>
      <c r="AC493" s="77"/>
      <c r="AD493" s="77"/>
    </row>
    <row r="494" spans="1:30" ht="15.75" x14ac:dyDescent="0.25">
      <c r="A494" s="14">
        <v>55974</v>
      </c>
      <c r="B494" s="91">
        <v>31</v>
      </c>
      <c r="C494" s="79">
        <f>122.58</f>
        <v>122.58</v>
      </c>
      <c r="D494" s="79">
        <f>297.941</f>
        <v>297.94099999999997</v>
      </c>
      <c r="E494" s="87">
        <f>89.177</f>
        <v>89.177000000000007</v>
      </c>
      <c r="F494" s="79">
        <f>240.302-40-60</f>
        <v>140.30199999999999</v>
      </c>
      <c r="G494" s="81">
        <v>40</v>
      </c>
      <c r="H494" s="79">
        <v>60</v>
      </c>
      <c r="I494" s="79">
        <f t="shared" si="71"/>
        <v>0</v>
      </c>
      <c r="J494" s="81">
        <v>100</v>
      </c>
      <c r="K494" s="81">
        <v>300</v>
      </c>
      <c r="L494" s="79">
        <f t="shared" si="74"/>
        <v>1150</v>
      </c>
      <c r="M494" s="89">
        <v>600</v>
      </c>
      <c r="N494" s="79">
        <f>100</f>
        <v>100</v>
      </c>
      <c r="O494" s="81">
        <v>240</v>
      </c>
      <c r="P494" s="81">
        <v>40</v>
      </c>
      <c r="Q494" s="81">
        <f t="shared" si="75"/>
        <v>315</v>
      </c>
      <c r="R494" s="81">
        <f t="shared" si="76"/>
        <v>100</v>
      </c>
      <c r="S494" s="79">
        <f t="shared" si="77"/>
        <v>695</v>
      </c>
      <c r="T494" s="79">
        <f>50</f>
        <v>50</v>
      </c>
      <c r="U494" s="77"/>
      <c r="V494" s="77"/>
      <c r="W494" s="77"/>
      <c r="X494" s="77"/>
      <c r="Y494" s="77"/>
      <c r="Z494" s="77"/>
      <c r="AA494" s="77"/>
      <c r="AB494" s="77"/>
      <c r="AC494" s="77"/>
      <c r="AD494" s="77"/>
    </row>
    <row r="495" spans="1:30" ht="15.75" x14ac:dyDescent="0.25">
      <c r="A495" s="14">
        <v>56004</v>
      </c>
      <c r="B495" s="91">
        <v>30</v>
      </c>
      <c r="C495" s="79">
        <f>141.293</f>
        <v>141.29300000000001</v>
      </c>
      <c r="D495" s="79">
        <f>267.993</f>
        <v>267.99299999999999</v>
      </c>
      <c r="E495" s="87">
        <f>115.016</f>
        <v>115.01600000000001</v>
      </c>
      <c r="F495" s="79">
        <f>314.698-40-25-60</f>
        <v>189.69799999999998</v>
      </c>
      <c r="G495" s="81">
        <v>40</v>
      </c>
      <c r="H495" s="79">
        <f t="shared" ref="H495:H501" si="80">25+60</f>
        <v>85</v>
      </c>
      <c r="I495" s="79">
        <f t="shared" si="71"/>
        <v>0</v>
      </c>
      <c r="J495" s="81">
        <v>100</v>
      </c>
      <c r="K495" s="81">
        <v>300</v>
      </c>
      <c r="L495" s="79">
        <f t="shared" si="74"/>
        <v>1239</v>
      </c>
      <c r="M495" s="89">
        <v>600</v>
      </c>
      <c r="N495" s="79">
        <f>100</f>
        <v>100</v>
      </c>
      <c r="O495" s="81">
        <v>240</v>
      </c>
      <c r="P495" s="81">
        <v>160</v>
      </c>
      <c r="Q495" s="81">
        <f t="shared" si="75"/>
        <v>195</v>
      </c>
      <c r="R495" s="81">
        <f t="shared" si="76"/>
        <v>100</v>
      </c>
      <c r="S495" s="79">
        <f t="shared" si="77"/>
        <v>695</v>
      </c>
      <c r="T495" s="79">
        <f>50</f>
        <v>50</v>
      </c>
      <c r="U495" s="77"/>
      <c r="V495" s="77"/>
      <c r="W495" s="77"/>
      <c r="X495" s="77"/>
      <c r="Y495" s="77"/>
      <c r="Z495" s="77"/>
      <c r="AA495" s="77"/>
      <c r="AB495" s="77"/>
      <c r="AC495" s="77"/>
      <c r="AD495" s="77"/>
    </row>
    <row r="496" spans="1:30" ht="15.75" x14ac:dyDescent="0.25">
      <c r="A496" s="14">
        <v>56035</v>
      </c>
      <c r="B496" s="91">
        <v>31</v>
      </c>
      <c r="C496" s="79">
        <f>194.205</f>
        <v>194.20500000000001</v>
      </c>
      <c r="D496" s="79">
        <f>267.466</f>
        <v>267.46600000000001</v>
      </c>
      <c r="E496" s="87">
        <f>133.845</f>
        <v>133.845</v>
      </c>
      <c r="F496" s="79">
        <f>278.484-40-25-60</f>
        <v>153.48399999999998</v>
      </c>
      <c r="G496" s="81">
        <v>40</v>
      </c>
      <c r="H496" s="79">
        <f t="shared" si="80"/>
        <v>85</v>
      </c>
      <c r="I496" s="79">
        <f t="shared" si="71"/>
        <v>0</v>
      </c>
      <c r="J496" s="81">
        <v>100</v>
      </c>
      <c r="K496" s="81">
        <v>300</v>
      </c>
      <c r="L496" s="79">
        <f t="shared" si="74"/>
        <v>1274</v>
      </c>
      <c r="M496" s="89">
        <v>600</v>
      </c>
      <c r="N496" s="79">
        <f>75</f>
        <v>75</v>
      </c>
      <c r="O496" s="81">
        <v>240</v>
      </c>
      <c r="P496" s="81">
        <v>160</v>
      </c>
      <c r="Q496" s="81">
        <f t="shared" si="75"/>
        <v>195</v>
      </c>
      <c r="R496" s="81">
        <f t="shared" si="76"/>
        <v>100</v>
      </c>
      <c r="S496" s="79">
        <f t="shared" si="77"/>
        <v>695</v>
      </c>
      <c r="T496" s="79">
        <f>50</f>
        <v>50</v>
      </c>
      <c r="U496" s="77"/>
      <c r="V496" s="77"/>
      <c r="W496" s="77"/>
      <c r="X496" s="77"/>
      <c r="Y496" s="77"/>
      <c r="Z496" s="77"/>
      <c r="AA496" s="77"/>
      <c r="AB496" s="77"/>
      <c r="AC496" s="77"/>
      <c r="AD496" s="77"/>
    </row>
    <row r="497" spans="1:30" ht="15.75" x14ac:dyDescent="0.25">
      <c r="A497" s="14">
        <v>56065</v>
      </c>
      <c r="B497" s="91">
        <v>30</v>
      </c>
      <c r="C497" s="79">
        <f>194.205</f>
        <v>194.20500000000001</v>
      </c>
      <c r="D497" s="79">
        <f>267.466</f>
        <v>267.46600000000001</v>
      </c>
      <c r="E497" s="87">
        <f>133.845</f>
        <v>133.845</v>
      </c>
      <c r="F497" s="79">
        <f>278.484-40-25-60</f>
        <v>153.48399999999998</v>
      </c>
      <c r="G497" s="81">
        <v>40</v>
      </c>
      <c r="H497" s="79">
        <f t="shared" si="80"/>
        <v>85</v>
      </c>
      <c r="I497" s="79">
        <f t="shared" si="71"/>
        <v>0</v>
      </c>
      <c r="J497" s="81">
        <v>100</v>
      </c>
      <c r="K497" s="81">
        <v>300</v>
      </c>
      <c r="L497" s="79">
        <f t="shared" si="74"/>
        <v>1274</v>
      </c>
      <c r="M497" s="89">
        <v>600</v>
      </c>
      <c r="N497" s="79">
        <f>30</f>
        <v>30</v>
      </c>
      <c r="O497" s="81">
        <v>240</v>
      </c>
      <c r="P497" s="81">
        <v>160</v>
      </c>
      <c r="Q497" s="81">
        <f t="shared" si="75"/>
        <v>195</v>
      </c>
      <c r="R497" s="81">
        <f t="shared" si="76"/>
        <v>100</v>
      </c>
      <c r="S497" s="79">
        <f t="shared" si="77"/>
        <v>695</v>
      </c>
      <c r="T497" s="79">
        <f>50</f>
        <v>50</v>
      </c>
      <c r="U497" s="77"/>
      <c r="V497" s="77"/>
      <c r="W497" s="77"/>
      <c r="X497" s="77"/>
      <c r="Y497" s="77"/>
      <c r="Z497" s="77"/>
      <c r="AA497" s="77"/>
      <c r="AB497" s="77"/>
      <c r="AC497" s="77"/>
      <c r="AD497" s="77"/>
    </row>
    <row r="498" spans="1:30" ht="15.75" x14ac:dyDescent="0.25">
      <c r="A498" s="14">
        <v>56096</v>
      </c>
      <c r="B498" s="91">
        <v>31</v>
      </c>
      <c r="C498" s="79">
        <f>194.205</f>
        <v>194.20500000000001</v>
      </c>
      <c r="D498" s="79">
        <f>267.466</f>
        <v>267.46600000000001</v>
      </c>
      <c r="E498" s="87">
        <f>133.845</f>
        <v>133.845</v>
      </c>
      <c r="F498" s="79">
        <f>278.484-40-25-60</f>
        <v>153.48399999999998</v>
      </c>
      <c r="G498" s="81">
        <v>40</v>
      </c>
      <c r="H498" s="79">
        <f t="shared" si="80"/>
        <v>85</v>
      </c>
      <c r="I498" s="79">
        <f t="shared" si="71"/>
        <v>0</v>
      </c>
      <c r="J498" s="81">
        <v>100</v>
      </c>
      <c r="K498" s="81">
        <v>300</v>
      </c>
      <c r="L498" s="79">
        <f t="shared" si="74"/>
        <v>1274</v>
      </c>
      <c r="M498" s="89">
        <v>600</v>
      </c>
      <c r="N498" s="79">
        <f>30</f>
        <v>30</v>
      </c>
      <c r="O498" s="81">
        <v>240</v>
      </c>
      <c r="P498" s="81">
        <v>160</v>
      </c>
      <c r="Q498" s="81">
        <f t="shared" si="75"/>
        <v>195</v>
      </c>
      <c r="R498" s="81">
        <f t="shared" si="76"/>
        <v>100</v>
      </c>
      <c r="S498" s="79">
        <f t="shared" si="77"/>
        <v>695</v>
      </c>
      <c r="T498" s="79">
        <f>0</f>
        <v>0</v>
      </c>
      <c r="U498" s="77"/>
      <c r="V498" s="77"/>
      <c r="W498" s="77"/>
      <c r="X498" s="77"/>
      <c r="Y498" s="77"/>
      <c r="Z498" s="77"/>
      <c r="AA498" s="77"/>
      <c r="AB498" s="77"/>
      <c r="AC498" s="77"/>
      <c r="AD498" s="77"/>
    </row>
    <row r="499" spans="1:30" ht="15.75" x14ac:dyDescent="0.25">
      <c r="A499" s="14">
        <v>56127</v>
      </c>
      <c r="B499" s="91">
        <v>31</v>
      </c>
      <c r="C499" s="79">
        <f>194.205</f>
        <v>194.20500000000001</v>
      </c>
      <c r="D499" s="79">
        <f>267.466</f>
        <v>267.46600000000001</v>
      </c>
      <c r="E499" s="87">
        <f>133.845</f>
        <v>133.845</v>
      </c>
      <c r="F499" s="79">
        <f>278.484-40-25-60</f>
        <v>153.48399999999998</v>
      </c>
      <c r="G499" s="81">
        <v>40</v>
      </c>
      <c r="H499" s="79">
        <f t="shared" si="80"/>
        <v>85</v>
      </c>
      <c r="I499" s="79">
        <f t="shared" si="71"/>
        <v>0</v>
      </c>
      <c r="J499" s="81">
        <v>100</v>
      </c>
      <c r="K499" s="81">
        <v>300</v>
      </c>
      <c r="L499" s="79">
        <f t="shared" si="74"/>
        <v>1274</v>
      </c>
      <c r="M499" s="89">
        <v>600</v>
      </c>
      <c r="N499" s="79">
        <f>30</f>
        <v>30</v>
      </c>
      <c r="O499" s="81">
        <v>240</v>
      </c>
      <c r="P499" s="81">
        <v>160</v>
      </c>
      <c r="Q499" s="81">
        <f t="shared" si="75"/>
        <v>195</v>
      </c>
      <c r="R499" s="81">
        <f t="shared" si="76"/>
        <v>100</v>
      </c>
      <c r="S499" s="79">
        <f t="shared" si="77"/>
        <v>695</v>
      </c>
      <c r="T499" s="79">
        <f>0</f>
        <v>0</v>
      </c>
      <c r="U499" s="77"/>
      <c r="V499" s="77"/>
      <c r="W499" s="77"/>
      <c r="X499" s="77"/>
      <c r="Y499" s="77"/>
      <c r="Z499" s="77"/>
      <c r="AA499" s="77"/>
      <c r="AB499" s="77"/>
      <c r="AC499" s="77"/>
      <c r="AD499" s="77"/>
    </row>
    <row r="500" spans="1:30" ht="15.75" x14ac:dyDescent="0.25">
      <c r="A500" s="14">
        <v>56157</v>
      </c>
      <c r="B500" s="91">
        <v>30</v>
      </c>
      <c r="C500" s="79">
        <f>194.205</f>
        <v>194.20500000000001</v>
      </c>
      <c r="D500" s="79">
        <f>267.466</f>
        <v>267.46600000000001</v>
      </c>
      <c r="E500" s="87">
        <f>133.845</f>
        <v>133.845</v>
      </c>
      <c r="F500" s="79">
        <f>278.484-40-25-60</f>
        <v>153.48399999999998</v>
      </c>
      <c r="G500" s="81">
        <v>40</v>
      </c>
      <c r="H500" s="79">
        <f t="shared" si="80"/>
        <v>85</v>
      </c>
      <c r="I500" s="79">
        <f t="shared" ref="I500:I563" si="81">400-J500-K500</f>
        <v>0</v>
      </c>
      <c r="J500" s="81">
        <v>100</v>
      </c>
      <c r="K500" s="81">
        <v>300</v>
      </c>
      <c r="L500" s="79">
        <f t="shared" si="74"/>
        <v>1274</v>
      </c>
      <c r="M500" s="89">
        <v>600</v>
      </c>
      <c r="N500" s="79">
        <f>30</f>
        <v>30</v>
      </c>
      <c r="O500" s="81">
        <v>240</v>
      </c>
      <c r="P500" s="81">
        <v>160</v>
      </c>
      <c r="Q500" s="81">
        <f t="shared" si="75"/>
        <v>195</v>
      </c>
      <c r="R500" s="81">
        <f t="shared" si="76"/>
        <v>100</v>
      </c>
      <c r="S500" s="79">
        <f t="shared" si="77"/>
        <v>695</v>
      </c>
      <c r="T500" s="79">
        <f>0</f>
        <v>0</v>
      </c>
      <c r="U500" s="77"/>
      <c r="V500" s="77"/>
      <c r="W500" s="77"/>
      <c r="X500" s="77"/>
      <c r="Y500" s="77"/>
      <c r="Z500" s="77"/>
      <c r="AA500" s="77"/>
      <c r="AB500" s="77"/>
      <c r="AC500" s="77"/>
      <c r="AD500" s="77"/>
    </row>
    <row r="501" spans="1:30" ht="15.75" x14ac:dyDescent="0.25">
      <c r="A501" s="14">
        <v>56188</v>
      </c>
      <c r="B501" s="91">
        <v>31</v>
      </c>
      <c r="C501" s="79">
        <f>131.881</f>
        <v>131.881</v>
      </c>
      <c r="D501" s="79">
        <f>277.167</f>
        <v>277.16699999999997</v>
      </c>
      <c r="E501" s="87">
        <f>79.08</f>
        <v>79.08</v>
      </c>
      <c r="F501" s="79">
        <f>350.872-40-25-60</f>
        <v>225.87200000000001</v>
      </c>
      <c r="G501" s="81">
        <v>40</v>
      </c>
      <c r="H501" s="79">
        <f t="shared" si="80"/>
        <v>85</v>
      </c>
      <c r="I501" s="79">
        <f t="shared" si="81"/>
        <v>0</v>
      </c>
      <c r="J501" s="81">
        <v>100</v>
      </c>
      <c r="K501" s="81">
        <v>300</v>
      </c>
      <c r="L501" s="79">
        <f t="shared" si="74"/>
        <v>1239</v>
      </c>
      <c r="M501" s="89">
        <v>600</v>
      </c>
      <c r="N501" s="79">
        <f>75</f>
        <v>75</v>
      </c>
      <c r="O501" s="81">
        <v>240</v>
      </c>
      <c r="P501" s="81">
        <v>160</v>
      </c>
      <c r="Q501" s="81">
        <f t="shared" si="75"/>
        <v>195</v>
      </c>
      <c r="R501" s="81">
        <f t="shared" si="76"/>
        <v>100</v>
      </c>
      <c r="S501" s="79">
        <f t="shared" si="77"/>
        <v>695</v>
      </c>
      <c r="T501" s="79">
        <f>0</f>
        <v>0</v>
      </c>
      <c r="U501" s="77"/>
      <c r="V501" s="77"/>
      <c r="W501" s="77"/>
      <c r="X501" s="77"/>
      <c r="Y501" s="77"/>
      <c r="Z501" s="77"/>
      <c r="AA501" s="77"/>
      <c r="AB501" s="77"/>
      <c r="AC501" s="77"/>
      <c r="AD501" s="77"/>
    </row>
    <row r="502" spans="1:30" ht="15.75" x14ac:dyDescent="0.25">
      <c r="A502" s="14">
        <v>56218</v>
      </c>
      <c r="B502" s="91">
        <v>30</v>
      </c>
      <c r="C502" s="79">
        <f>122.58</f>
        <v>122.58</v>
      </c>
      <c r="D502" s="79">
        <f>297.941</f>
        <v>297.94099999999997</v>
      </c>
      <c r="E502" s="87">
        <f>89.177</f>
        <v>89.177000000000007</v>
      </c>
      <c r="F502" s="79">
        <f>240.302-40-60</f>
        <v>140.30199999999999</v>
      </c>
      <c r="G502" s="81">
        <v>40</v>
      </c>
      <c r="H502" s="79">
        <v>60</v>
      </c>
      <c r="I502" s="79">
        <f t="shared" si="81"/>
        <v>0</v>
      </c>
      <c r="J502" s="81">
        <v>100</v>
      </c>
      <c r="K502" s="81">
        <v>300</v>
      </c>
      <c r="L502" s="79">
        <f t="shared" si="74"/>
        <v>1150</v>
      </c>
      <c r="M502" s="89">
        <v>600</v>
      </c>
      <c r="N502" s="79">
        <f>100</f>
        <v>100</v>
      </c>
      <c r="O502" s="81">
        <v>240</v>
      </c>
      <c r="P502" s="81">
        <v>40</v>
      </c>
      <c r="Q502" s="81">
        <f t="shared" si="75"/>
        <v>315</v>
      </c>
      <c r="R502" s="81">
        <f t="shared" si="76"/>
        <v>100</v>
      </c>
      <c r="S502" s="79">
        <f t="shared" si="77"/>
        <v>695</v>
      </c>
      <c r="T502" s="79">
        <f>50</f>
        <v>50</v>
      </c>
      <c r="U502" s="77"/>
      <c r="V502" s="77"/>
      <c r="W502" s="77"/>
      <c r="X502" s="77"/>
      <c r="Y502" s="77"/>
      <c r="Z502" s="77"/>
      <c r="AA502" s="77"/>
      <c r="AB502" s="77"/>
      <c r="AC502" s="77"/>
      <c r="AD502" s="77"/>
    </row>
    <row r="503" spans="1:30" ht="15.75" x14ac:dyDescent="0.25">
      <c r="A503" s="14">
        <v>56249</v>
      </c>
      <c r="B503" s="91">
        <v>31</v>
      </c>
      <c r="C503" s="79">
        <f>122.58</f>
        <v>122.58</v>
      </c>
      <c r="D503" s="79">
        <f>297.941</f>
        <v>297.94099999999997</v>
      </c>
      <c r="E503" s="87">
        <f>89.177</f>
        <v>89.177000000000007</v>
      </c>
      <c r="F503" s="79">
        <f>240.302-40-60</f>
        <v>140.30199999999999</v>
      </c>
      <c r="G503" s="81">
        <v>40</v>
      </c>
      <c r="H503" s="79">
        <v>60</v>
      </c>
      <c r="I503" s="79">
        <f t="shared" si="81"/>
        <v>0</v>
      </c>
      <c r="J503" s="81">
        <v>100</v>
      </c>
      <c r="K503" s="81">
        <v>300</v>
      </c>
      <c r="L503" s="79">
        <f t="shared" si="74"/>
        <v>1150</v>
      </c>
      <c r="M503" s="89">
        <v>600</v>
      </c>
      <c r="N503" s="79">
        <f>100</f>
        <v>100</v>
      </c>
      <c r="O503" s="81">
        <v>240</v>
      </c>
      <c r="P503" s="81">
        <v>40</v>
      </c>
      <c r="Q503" s="81">
        <f t="shared" si="75"/>
        <v>315</v>
      </c>
      <c r="R503" s="81">
        <f t="shared" si="76"/>
        <v>100</v>
      </c>
      <c r="S503" s="79">
        <f t="shared" si="77"/>
        <v>695</v>
      </c>
      <c r="T503" s="79">
        <f>50</f>
        <v>50</v>
      </c>
      <c r="U503" s="77"/>
      <c r="V503" s="77"/>
      <c r="W503" s="77"/>
      <c r="X503" s="77"/>
      <c r="Y503" s="77"/>
      <c r="Z503" s="77"/>
      <c r="AA503" s="77"/>
      <c r="AB503" s="77"/>
      <c r="AC503" s="77"/>
      <c r="AD503" s="77"/>
    </row>
    <row r="504" spans="1:30" ht="15.75" x14ac:dyDescent="0.25">
      <c r="A504" s="14">
        <v>56280</v>
      </c>
      <c r="B504" s="91">
        <v>31</v>
      </c>
      <c r="C504" s="79">
        <f>122.58</f>
        <v>122.58</v>
      </c>
      <c r="D504" s="79">
        <f>297.941</f>
        <v>297.94099999999997</v>
      </c>
      <c r="E504" s="87">
        <f>89.177</f>
        <v>89.177000000000007</v>
      </c>
      <c r="F504" s="79">
        <f>240.302-40-60</f>
        <v>140.30199999999999</v>
      </c>
      <c r="G504" s="81">
        <v>40</v>
      </c>
      <c r="H504" s="79">
        <v>60</v>
      </c>
      <c r="I504" s="79">
        <f t="shared" si="81"/>
        <v>0</v>
      </c>
      <c r="J504" s="81">
        <v>100</v>
      </c>
      <c r="K504" s="81">
        <v>300</v>
      </c>
      <c r="L504" s="79">
        <f t="shared" si="74"/>
        <v>1150</v>
      </c>
      <c r="M504" s="89">
        <v>600</v>
      </c>
      <c r="N504" s="79">
        <f>100</f>
        <v>100</v>
      </c>
      <c r="O504" s="81">
        <v>240</v>
      </c>
      <c r="P504" s="81">
        <v>40</v>
      </c>
      <c r="Q504" s="81">
        <f t="shared" si="75"/>
        <v>315</v>
      </c>
      <c r="R504" s="81">
        <f t="shared" si="76"/>
        <v>100</v>
      </c>
      <c r="S504" s="79">
        <f t="shared" si="77"/>
        <v>695</v>
      </c>
      <c r="T504" s="79">
        <f>50</f>
        <v>50</v>
      </c>
      <c r="U504" s="77"/>
      <c r="V504" s="77"/>
      <c r="W504" s="77"/>
      <c r="X504" s="77"/>
      <c r="Y504" s="77"/>
      <c r="Z504" s="77"/>
      <c r="AA504" s="77"/>
      <c r="AB504" s="77"/>
      <c r="AC504" s="77"/>
      <c r="AD504" s="77"/>
    </row>
    <row r="505" spans="1:30" ht="15.75" x14ac:dyDescent="0.25">
      <c r="A505" s="14">
        <v>56308</v>
      </c>
      <c r="B505" s="91">
        <v>28</v>
      </c>
      <c r="C505" s="79">
        <f>122.58</f>
        <v>122.58</v>
      </c>
      <c r="D505" s="79">
        <f>297.941</f>
        <v>297.94099999999997</v>
      </c>
      <c r="E505" s="87">
        <f>89.177</f>
        <v>89.177000000000007</v>
      </c>
      <c r="F505" s="79">
        <f>240.302-40-60</f>
        <v>140.30199999999999</v>
      </c>
      <c r="G505" s="81">
        <v>40</v>
      </c>
      <c r="H505" s="79">
        <v>60</v>
      </c>
      <c r="I505" s="79">
        <f t="shared" si="81"/>
        <v>0</v>
      </c>
      <c r="J505" s="81">
        <v>100</v>
      </c>
      <c r="K505" s="81">
        <v>300</v>
      </c>
      <c r="L505" s="79">
        <f t="shared" si="74"/>
        <v>1150</v>
      </c>
      <c r="M505" s="89">
        <v>600</v>
      </c>
      <c r="N505" s="79">
        <f>100</f>
        <v>100</v>
      </c>
      <c r="O505" s="81">
        <v>240</v>
      </c>
      <c r="P505" s="81">
        <v>40</v>
      </c>
      <c r="Q505" s="81">
        <f t="shared" si="75"/>
        <v>315</v>
      </c>
      <c r="R505" s="81">
        <f t="shared" si="76"/>
        <v>100</v>
      </c>
      <c r="S505" s="79">
        <f t="shared" si="77"/>
        <v>695</v>
      </c>
      <c r="T505" s="79">
        <f>50</f>
        <v>50</v>
      </c>
      <c r="U505" s="77"/>
      <c r="V505" s="77"/>
      <c r="W505" s="77"/>
      <c r="X505" s="77"/>
      <c r="Y505" s="77"/>
      <c r="Z505" s="77"/>
      <c r="AA505" s="77"/>
      <c r="AB505" s="77"/>
      <c r="AC505" s="77"/>
      <c r="AD505" s="77"/>
    </row>
    <row r="506" spans="1:30" ht="15.75" x14ac:dyDescent="0.25">
      <c r="A506" s="14">
        <v>56339</v>
      </c>
      <c r="B506" s="91">
        <v>31</v>
      </c>
      <c r="C506" s="79">
        <f>122.58</f>
        <v>122.58</v>
      </c>
      <c r="D506" s="79">
        <f>297.941</f>
        <v>297.94099999999997</v>
      </c>
      <c r="E506" s="87">
        <f>89.177</f>
        <v>89.177000000000007</v>
      </c>
      <c r="F506" s="79">
        <f>240.302-40-60</f>
        <v>140.30199999999999</v>
      </c>
      <c r="G506" s="81">
        <v>40</v>
      </c>
      <c r="H506" s="79">
        <v>60</v>
      </c>
      <c r="I506" s="79">
        <f t="shared" si="81"/>
        <v>0</v>
      </c>
      <c r="J506" s="81">
        <v>100</v>
      </c>
      <c r="K506" s="81">
        <v>300</v>
      </c>
      <c r="L506" s="79">
        <f t="shared" si="74"/>
        <v>1150</v>
      </c>
      <c r="M506" s="89">
        <v>600</v>
      </c>
      <c r="N506" s="79">
        <f>100</f>
        <v>100</v>
      </c>
      <c r="O506" s="81">
        <v>240</v>
      </c>
      <c r="P506" s="81">
        <v>40</v>
      </c>
      <c r="Q506" s="81">
        <f t="shared" si="75"/>
        <v>315</v>
      </c>
      <c r="R506" s="81">
        <f t="shared" si="76"/>
        <v>100</v>
      </c>
      <c r="S506" s="79">
        <f t="shared" si="77"/>
        <v>695</v>
      </c>
      <c r="T506" s="79">
        <f>50</f>
        <v>50</v>
      </c>
      <c r="U506" s="77"/>
      <c r="V506" s="77"/>
      <c r="W506" s="77"/>
      <c r="X506" s="77"/>
      <c r="Y506" s="77"/>
      <c r="Z506" s="77"/>
      <c r="AA506" s="77"/>
      <c r="AB506" s="77"/>
      <c r="AC506" s="77"/>
      <c r="AD506" s="77"/>
    </row>
    <row r="507" spans="1:30" ht="15.75" x14ac:dyDescent="0.25">
      <c r="A507" s="14">
        <v>56369</v>
      </c>
      <c r="B507" s="91">
        <v>30</v>
      </c>
      <c r="C507" s="79">
        <f>141.293</f>
        <v>141.29300000000001</v>
      </c>
      <c r="D507" s="79">
        <f>267.993</f>
        <v>267.99299999999999</v>
      </c>
      <c r="E507" s="87">
        <f>115.016</f>
        <v>115.01600000000001</v>
      </c>
      <c r="F507" s="79">
        <f>314.698-40-25-60</f>
        <v>189.69799999999998</v>
      </c>
      <c r="G507" s="81">
        <v>40</v>
      </c>
      <c r="H507" s="79">
        <f t="shared" ref="H507:H513" si="82">25+60</f>
        <v>85</v>
      </c>
      <c r="I507" s="79">
        <f t="shared" si="81"/>
        <v>0</v>
      </c>
      <c r="J507" s="81">
        <v>100</v>
      </c>
      <c r="K507" s="81">
        <v>300</v>
      </c>
      <c r="L507" s="79">
        <f t="shared" si="74"/>
        <v>1239</v>
      </c>
      <c r="M507" s="89">
        <v>600</v>
      </c>
      <c r="N507" s="79">
        <f>100</f>
        <v>100</v>
      </c>
      <c r="O507" s="81">
        <v>240</v>
      </c>
      <c r="P507" s="81">
        <v>160</v>
      </c>
      <c r="Q507" s="81">
        <f t="shared" si="75"/>
        <v>195</v>
      </c>
      <c r="R507" s="81">
        <f t="shared" si="76"/>
        <v>100</v>
      </c>
      <c r="S507" s="79">
        <f t="shared" si="77"/>
        <v>695</v>
      </c>
      <c r="T507" s="79">
        <f>50</f>
        <v>50</v>
      </c>
      <c r="U507" s="77"/>
      <c r="V507" s="77"/>
      <c r="W507" s="77"/>
      <c r="X507" s="77"/>
      <c r="Y507" s="77"/>
      <c r="Z507" s="77"/>
      <c r="AA507" s="77"/>
      <c r="AB507" s="77"/>
      <c r="AC507" s="77"/>
      <c r="AD507" s="77"/>
    </row>
    <row r="508" spans="1:30" ht="15.75" x14ac:dyDescent="0.25">
      <c r="A508" s="14">
        <v>56400</v>
      </c>
      <c r="B508" s="91">
        <v>31</v>
      </c>
      <c r="C508" s="79">
        <f>194.205</f>
        <v>194.20500000000001</v>
      </c>
      <c r="D508" s="79">
        <f>267.466</f>
        <v>267.46600000000001</v>
      </c>
      <c r="E508" s="87">
        <f>133.845</f>
        <v>133.845</v>
      </c>
      <c r="F508" s="79">
        <f>278.484-40-25-60</f>
        <v>153.48399999999998</v>
      </c>
      <c r="G508" s="81">
        <v>40</v>
      </c>
      <c r="H508" s="79">
        <f t="shared" si="82"/>
        <v>85</v>
      </c>
      <c r="I508" s="79">
        <f t="shared" si="81"/>
        <v>0</v>
      </c>
      <c r="J508" s="81">
        <v>100</v>
      </c>
      <c r="K508" s="81">
        <v>300</v>
      </c>
      <c r="L508" s="79">
        <f t="shared" si="74"/>
        <v>1274</v>
      </c>
      <c r="M508" s="89">
        <v>600</v>
      </c>
      <c r="N508" s="79">
        <f>75</f>
        <v>75</v>
      </c>
      <c r="O508" s="81">
        <v>240</v>
      </c>
      <c r="P508" s="81">
        <v>160</v>
      </c>
      <c r="Q508" s="81">
        <f t="shared" si="75"/>
        <v>195</v>
      </c>
      <c r="R508" s="81">
        <f t="shared" si="76"/>
        <v>100</v>
      </c>
      <c r="S508" s="79">
        <f t="shared" si="77"/>
        <v>695</v>
      </c>
      <c r="T508" s="79">
        <f>50</f>
        <v>50</v>
      </c>
      <c r="U508" s="77"/>
      <c r="V508" s="77"/>
      <c r="W508" s="77"/>
      <c r="X508" s="77"/>
      <c r="Y508" s="77"/>
      <c r="Z508" s="77"/>
      <c r="AA508" s="77"/>
      <c r="AB508" s="77"/>
      <c r="AC508" s="77"/>
      <c r="AD508" s="77"/>
    </row>
    <row r="509" spans="1:30" ht="15.75" x14ac:dyDescent="0.25">
      <c r="A509" s="14">
        <v>56430</v>
      </c>
      <c r="B509" s="91">
        <v>30</v>
      </c>
      <c r="C509" s="79">
        <f>194.205</f>
        <v>194.20500000000001</v>
      </c>
      <c r="D509" s="79">
        <f>267.466</f>
        <v>267.46600000000001</v>
      </c>
      <c r="E509" s="87">
        <f>133.845</f>
        <v>133.845</v>
      </c>
      <c r="F509" s="79">
        <f>278.484-40-25-60</f>
        <v>153.48399999999998</v>
      </c>
      <c r="G509" s="81">
        <v>40</v>
      </c>
      <c r="H509" s="79">
        <f t="shared" si="82"/>
        <v>85</v>
      </c>
      <c r="I509" s="79">
        <f t="shared" si="81"/>
        <v>0</v>
      </c>
      <c r="J509" s="81">
        <v>100</v>
      </c>
      <c r="K509" s="81">
        <v>300</v>
      </c>
      <c r="L509" s="79">
        <f t="shared" si="74"/>
        <v>1274</v>
      </c>
      <c r="M509" s="89">
        <v>600</v>
      </c>
      <c r="N509" s="79">
        <f>30</f>
        <v>30</v>
      </c>
      <c r="O509" s="81">
        <v>240</v>
      </c>
      <c r="P509" s="81">
        <v>160</v>
      </c>
      <c r="Q509" s="81">
        <f t="shared" si="75"/>
        <v>195</v>
      </c>
      <c r="R509" s="81">
        <f t="shared" si="76"/>
        <v>100</v>
      </c>
      <c r="S509" s="79">
        <f t="shared" si="77"/>
        <v>695</v>
      </c>
      <c r="T509" s="79">
        <f>50</f>
        <v>50</v>
      </c>
      <c r="U509" s="77"/>
      <c r="V509" s="77"/>
      <c r="W509" s="77"/>
      <c r="X509" s="77"/>
      <c r="Y509" s="77"/>
      <c r="Z509" s="77"/>
      <c r="AA509" s="77"/>
      <c r="AB509" s="77"/>
      <c r="AC509" s="77"/>
      <c r="AD509" s="77"/>
    </row>
    <row r="510" spans="1:30" ht="15.75" x14ac:dyDescent="0.25">
      <c r="A510" s="14">
        <v>56461</v>
      </c>
      <c r="B510" s="91">
        <v>31</v>
      </c>
      <c r="C510" s="79">
        <f>194.205</f>
        <v>194.20500000000001</v>
      </c>
      <c r="D510" s="79">
        <f>267.466</f>
        <v>267.46600000000001</v>
      </c>
      <c r="E510" s="87">
        <f>133.845</f>
        <v>133.845</v>
      </c>
      <c r="F510" s="79">
        <f>278.484-40-25-60</f>
        <v>153.48399999999998</v>
      </c>
      <c r="G510" s="81">
        <v>40</v>
      </c>
      <c r="H510" s="79">
        <f t="shared" si="82"/>
        <v>85</v>
      </c>
      <c r="I510" s="79">
        <f t="shared" si="81"/>
        <v>0</v>
      </c>
      <c r="J510" s="81">
        <v>100</v>
      </c>
      <c r="K510" s="81">
        <v>300</v>
      </c>
      <c r="L510" s="79">
        <f t="shared" si="74"/>
        <v>1274</v>
      </c>
      <c r="M510" s="89">
        <v>600</v>
      </c>
      <c r="N510" s="79">
        <f>30</f>
        <v>30</v>
      </c>
      <c r="O510" s="81">
        <v>240</v>
      </c>
      <c r="P510" s="81">
        <v>160</v>
      </c>
      <c r="Q510" s="81">
        <f t="shared" si="75"/>
        <v>195</v>
      </c>
      <c r="R510" s="81">
        <f t="shared" si="76"/>
        <v>100</v>
      </c>
      <c r="S510" s="79">
        <f t="shared" si="77"/>
        <v>695</v>
      </c>
      <c r="T510" s="79">
        <f>0</f>
        <v>0</v>
      </c>
      <c r="U510" s="77"/>
      <c r="V510" s="77"/>
      <c r="W510" s="77"/>
      <c r="X510" s="77"/>
      <c r="Y510" s="77"/>
      <c r="Z510" s="77"/>
      <c r="AA510" s="77"/>
      <c r="AB510" s="77"/>
      <c r="AC510" s="77"/>
      <c r="AD510" s="77"/>
    </row>
    <row r="511" spans="1:30" ht="15.75" x14ac:dyDescent="0.25">
      <c r="A511" s="14">
        <v>56492</v>
      </c>
      <c r="B511" s="91">
        <v>31</v>
      </c>
      <c r="C511" s="79">
        <f>194.205</f>
        <v>194.20500000000001</v>
      </c>
      <c r="D511" s="79">
        <f>267.466</f>
        <v>267.46600000000001</v>
      </c>
      <c r="E511" s="87">
        <f>133.845</f>
        <v>133.845</v>
      </c>
      <c r="F511" s="79">
        <f>278.484-40-25-60</f>
        <v>153.48399999999998</v>
      </c>
      <c r="G511" s="81">
        <v>40</v>
      </c>
      <c r="H511" s="79">
        <f t="shared" si="82"/>
        <v>85</v>
      </c>
      <c r="I511" s="79">
        <f t="shared" si="81"/>
        <v>0</v>
      </c>
      <c r="J511" s="81">
        <v>100</v>
      </c>
      <c r="K511" s="81">
        <v>300</v>
      </c>
      <c r="L511" s="79">
        <f t="shared" si="74"/>
        <v>1274</v>
      </c>
      <c r="M511" s="89">
        <v>600</v>
      </c>
      <c r="N511" s="79">
        <f>30</f>
        <v>30</v>
      </c>
      <c r="O511" s="81">
        <v>240</v>
      </c>
      <c r="P511" s="81">
        <v>160</v>
      </c>
      <c r="Q511" s="81">
        <f t="shared" si="75"/>
        <v>195</v>
      </c>
      <c r="R511" s="81">
        <f t="shared" si="76"/>
        <v>100</v>
      </c>
      <c r="S511" s="79">
        <f t="shared" si="77"/>
        <v>695</v>
      </c>
      <c r="T511" s="79">
        <f>0</f>
        <v>0</v>
      </c>
      <c r="U511" s="77"/>
      <c r="V511" s="77"/>
      <c r="W511" s="77"/>
      <c r="X511" s="77"/>
      <c r="Y511" s="77"/>
      <c r="Z511" s="77"/>
      <c r="AA511" s="77"/>
      <c r="AB511" s="77"/>
      <c r="AC511" s="77"/>
      <c r="AD511" s="77"/>
    </row>
    <row r="512" spans="1:30" ht="15.75" x14ac:dyDescent="0.25">
      <c r="A512" s="14">
        <v>56522</v>
      </c>
      <c r="B512" s="91">
        <v>30</v>
      </c>
      <c r="C512" s="79">
        <f>194.205</f>
        <v>194.20500000000001</v>
      </c>
      <c r="D512" s="79">
        <f>267.466</f>
        <v>267.46600000000001</v>
      </c>
      <c r="E512" s="87">
        <f>133.845</f>
        <v>133.845</v>
      </c>
      <c r="F512" s="79">
        <f>278.484-40-25-60</f>
        <v>153.48399999999998</v>
      </c>
      <c r="G512" s="81">
        <v>40</v>
      </c>
      <c r="H512" s="79">
        <f t="shared" si="82"/>
        <v>85</v>
      </c>
      <c r="I512" s="79">
        <f t="shared" si="81"/>
        <v>0</v>
      </c>
      <c r="J512" s="81">
        <v>100</v>
      </c>
      <c r="K512" s="81">
        <v>300</v>
      </c>
      <c r="L512" s="79">
        <f t="shared" si="74"/>
        <v>1274</v>
      </c>
      <c r="M512" s="89">
        <v>600</v>
      </c>
      <c r="N512" s="79">
        <f>30</f>
        <v>30</v>
      </c>
      <c r="O512" s="81">
        <v>240</v>
      </c>
      <c r="P512" s="81">
        <v>160</v>
      </c>
      <c r="Q512" s="81">
        <f t="shared" si="75"/>
        <v>195</v>
      </c>
      <c r="R512" s="81">
        <f t="shared" si="76"/>
        <v>100</v>
      </c>
      <c r="S512" s="79">
        <f t="shared" si="77"/>
        <v>695</v>
      </c>
      <c r="T512" s="79">
        <f>0</f>
        <v>0</v>
      </c>
      <c r="U512" s="77"/>
      <c r="V512" s="77"/>
      <c r="W512" s="77"/>
      <c r="X512" s="77"/>
      <c r="Y512" s="77"/>
      <c r="Z512" s="77"/>
      <c r="AA512" s="77"/>
      <c r="AB512" s="77"/>
      <c r="AC512" s="77"/>
      <c r="AD512" s="77"/>
    </row>
    <row r="513" spans="1:30" ht="15.75" x14ac:dyDescent="0.25">
      <c r="A513" s="14">
        <v>56553</v>
      </c>
      <c r="B513" s="91">
        <v>31</v>
      </c>
      <c r="C513" s="79">
        <f>131.881</f>
        <v>131.881</v>
      </c>
      <c r="D513" s="79">
        <f>277.167</f>
        <v>277.16699999999997</v>
      </c>
      <c r="E513" s="87">
        <f>79.08</f>
        <v>79.08</v>
      </c>
      <c r="F513" s="79">
        <f>350.872-40-25-60</f>
        <v>225.87200000000001</v>
      </c>
      <c r="G513" s="81">
        <v>40</v>
      </c>
      <c r="H513" s="79">
        <f t="shared" si="82"/>
        <v>85</v>
      </c>
      <c r="I513" s="79">
        <f t="shared" si="81"/>
        <v>0</v>
      </c>
      <c r="J513" s="81">
        <v>100</v>
      </c>
      <c r="K513" s="81">
        <v>300</v>
      </c>
      <c r="L513" s="79">
        <f t="shared" si="74"/>
        <v>1239</v>
      </c>
      <c r="M513" s="89">
        <v>600</v>
      </c>
      <c r="N513" s="79">
        <f>75</f>
        <v>75</v>
      </c>
      <c r="O513" s="81">
        <v>240</v>
      </c>
      <c r="P513" s="81">
        <v>160</v>
      </c>
      <c r="Q513" s="81">
        <f t="shared" si="75"/>
        <v>195</v>
      </c>
      <c r="R513" s="81">
        <f t="shared" si="76"/>
        <v>100</v>
      </c>
      <c r="S513" s="79">
        <f t="shared" si="77"/>
        <v>695</v>
      </c>
      <c r="T513" s="79">
        <f>0</f>
        <v>0</v>
      </c>
      <c r="U513" s="77"/>
      <c r="V513" s="77"/>
      <c r="W513" s="77"/>
      <c r="X513" s="77"/>
      <c r="Y513" s="77"/>
      <c r="Z513" s="77"/>
      <c r="AA513" s="77"/>
      <c r="AB513" s="77"/>
      <c r="AC513" s="77"/>
      <c r="AD513" s="77"/>
    </row>
    <row r="514" spans="1:30" ht="15.75" x14ac:dyDescent="0.25">
      <c r="A514" s="14">
        <v>56583</v>
      </c>
      <c r="B514" s="91">
        <v>30</v>
      </c>
      <c r="C514" s="79">
        <f>122.58</f>
        <v>122.58</v>
      </c>
      <c r="D514" s="79">
        <f>297.941</f>
        <v>297.94099999999997</v>
      </c>
      <c r="E514" s="87">
        <f>89.177</f>
        <v>89.177000000000007</v>
      </c>
      <c r="F514" s="79">
        <f>240.302-40-60</f>
        <v>140.30199999999999</v>
      </c>
      <c r="G514" s="81">
        <v>40</v>
      </c>
      <c r="H514" s="79">
        <v>60</v>
      </c>
      <c r="I514" s="79">
        <f t="shared" si="81"/>
        <v>0</v>
      </c>
      <c r="J514" s="81">
        <v>100</v>
      </c>
      <c r="K514" s="81">
        <v>300</v>
      </c>
      <c r="L514" s="79">
        <f t="shared" si="74"/>
        <v>1150</v>
      </c>
      <c r="M514" s="89">
        <v>600</v>
      </c>
      <c r="N514" s="79">
        <f>100</f>
        <v>100</v>
      </c>
      <c r="O514" s="81">
        <v>240</v>
      </c>
      <c r="P514" s="81">
        <v>40</v>
      </c>
      <c r="Q514" s="81">
        <f t="shared" si="75"/>
        <v>315</v>
      </c>
      <c r="R514" s="81">
        <f t="shared" si="76"/>
        <v>100</v>
      </c>
      <c r="S514" s="79">
        <f t="shared" si="77"/>
        <v>695</v>
      </c>
      <c r="T514" s="79">
        <f>50</f>
        <v>50</v>
      </c>
      <c r="U514" s="77"/>
      <c r="V514" s="77"/>
      <c r="W514" s="77"/>
      <c r="X514" s="77"/>
      <c r="Y514" s="77"/>
      <c r="Z514" s="77"/>
      <c r="AA514" s="77"/>
      <c r="AB514" s="77"/>
      <c r="AC514" s="77"/>
      <c r="AD514" s="77"/>
    </row>
    <row r="515" spans="1:30" ht="15.75" x14ac:dyDescent="0.25">
      <c r="A515" s="14">
        <v>56614</v>
      </c>
      <c r="B515" s="91">
        <v>31</v>
      </c>
      <c r="C515" s="79">
        <f>122.58</f>
        <v>122.58</v>
      </c>
      <c r="D515" s="79">
        <f>297.941</f>
        <v>297.94099999999997</v>
      </c>
      <c r="E515" s="87">
        <f>89.177</f>
        <v>89.177000000000007</v>
      </c>
      <c r="F515" s="79">
        <f>240.302-40-60</f>
        <v>140.30199999999999</v>
      </c>
      <c r="G515" s="81">
        <v>40</v>
      </c>
      <c r="H515" s="79">
        <v>60</v>
      </c>
      <c r="I515" s="79">
        <f t="shared" si="81"/>
        <v>0</v>
      </c>
      <c r="J515" s="81">
        <v>100</v>
      </c>
      <c r="K515" s="81">
        <v>300</v>
      </c>
      <c r="L515" s="79">
        <f t="shared" si="74"/>
        <v>1150</v>
      </c>
      <c r="M515" s="89">
        <v>600</v>
      </c>
      <c r="N515" s="79">
        <f>100</f>
        <v>100</v>
      </c>
      <c r="O515" s="81">
        <v>240</v>
      </c>
      <c r="P515" s="81">
        <v>40</v>
      </c>
      <c r="Q515" s="81">
        <f t="shared" si="75"/>
        <v>315</v>
      </c>
      <c r="R515" s="81">
        <f t="shared" si="76"/>
        <v>100</v>
      </c>
      <c r="S515" s="79">
        <f t="shared" si="77"/>
        <v>695</v>
      </c>
      <c r="T515" s="79">
        <f>50</f>
        <v>50</v>
      </c>
      <c r="U515" s="77"/>
      <c r="V515" s="77"/>
      <c r="W515" s="77"/>
      <c r="X515" s="77"/>
      <c r="Y515" s="77"/>
      <c r="Z515" s="77"/>
      <c r="AA515" s="77"/>
      <c r="AB515" s="77"/>
      <c r="AC515" s="77"/>
      <c r="AD515" s="77"/>
    </row>
    <row r="516" spans="1:30" ht="15.75" x14ac:dyDescent="0.25">
      <c r="A516" s="13">
        <v>56645</v>
      </c>
      <c r="B516" s="90">
        <v>31</v>
      </c>
      <c r="C516" s="79">
        <f>122.58</f>
        <v>122.58</v>
      </c>
      <c r="D516" s="79">
        <f>297.941</f>
        <v>297.94099999999997</v>
      </c>
      <c r="E516" s="87">
        <f>89.177</f>
        <v>89.177000000000007</v>
      </c>
      <c r="F516" s="79">
        <f>240.302-40-60</f>
        <v>140.30199999999999</v>
      </c>
      <c r="G516" s="81">
        <v>40</v>
      </c>
      <c r="H516" s="79">
        <v>60</v>
      </c>
      <c r="I516" s="79">
        <f t="shared" si="81"/>
        <v>0</v>
      </c>
      <c r="J516" s="81">
        <v>100</v>
      </c>
      <c r="K516" s="81">
        <v>300</v>
      </c>
      <c r="L516" s="79">
        <f t="shared" si="74"/>
        <v>1150</v>
      </c>
      <c r="M516" s="89">
        <v>600</v>
      </c>
      <c r="N516" s="79">
        <f>100</f>
        <v>100</v>
      </c>
      <c r="O516" s="81">
        <v>240</v>
      </c>
      <c r="P516" s="81">
        <v>40</v>
      </c>
      <c r="Q516" s="81">
        <f t="shared" si="75"/>
        <v>315</v>
      </c>
      <c r="R516" s="81">
        <f t="shared" si="76"/>
        <v>100</v>
      </c>
      <c r="S516" s="79">
        <f t="shared" si="77"/>
        <v>695</v>
      </c>
      <c r="T516" s="79">
        <f>50</f>
        <v>50</v>
      </c>
      <c r="U516" s="77"/>
      <c r="V516" s="77"/>
      <c r="W516" s="77"/>
      <c r="X516" s="77"/>
      <c r="Y516" s="77"/>
      <c r="Z516" s="77"/>
      <c r="AA516" s="77"/>
      <c r="AB516" s="77"/>
      <c r="AC516" s="77"/>
      <c r="AD516" s="77"/>
    </row>
    <row r="517" spans="1:30" ht="15.75" x14ac:dyDescent="0.25">
      <c r="A517" s="13">
        <v>56673</v>
      </c>
      <c r="B517" s="90">
        <v>28</v>
      </c>
      <c r="C517" s="79">
        <f>122.58</f>
        <v>122.58</v>
      </c>
      <c r="D517" s="79">
        <f>297.941</f>
        <v>297.94099999999997</v>
      </c>
      <c r="E517" s="87">
        <f>89.177</f>
        <v>89.177000000000007</v>
      </c>
      <c r="F517" s="79">
        <f>240.302-40-60</f>
        <v>140.30199999999999</v>
      </c>
      <c r="G517" s="81">
        <v>40</v>
      </c>
      <c r="H517" s="79">
        <v>60</v>
      </c>
      <c r="I517" s="79">
        <f t="shared" si="81"/>
        <v>0</v>
      </c>
      <c r="J517" s="81">
        <v>100</v>
      </c>
      <c r="K517" s="81">
        <v>300</v>
      </c>
      <c r="L517" s="79">
        <f t="shared" si="74"/>
        <v>1150</v>
      </c>
      <c r="M517" s="89">
        <v>600</v>
      </c>
      <c r="N517" s="79">
        <f>100</f>
        <v>100</v>
      </c>
      <c r="O517" s="81">
        <v>240</v>
      </c>
      <c r="P517" s="81">
        <v>40</v>
      </c>
      <c r="Q517" s="81">
        <f t="shared" si="75"/>
        <v>315</v>
      </c>
      <c r="R517" s="81">
        <f t="shared" si="76"/>
        <v>100</v>
      </c>
      <c r="S517" s="79">
        <f t="shared" si="77"/>
        <v>695</v>
      </c>
      <c r="T517" s="79">
        <f>50</f>
        <v>50</v>
      </c>
      <c r="U517" s="77"/>
      <c r="V517" s="77"/>
      <c r="W517" s="77"/>
      <c r="X517" s="77"/>
      <c r="Y517" s="77"/>
      <c r="Z517" s="77"/>
      <c r="AA517" s="77"/>
      <c r="AB517" s="77"/>
      <c r="AC517" s="77"/>
      <c r="AD517" s="77"/>
    </row>
    <row r="518" spans="1:30" ht="15.75" x14ac:dyDescent="0.25">
      <c r="A518" s="13">
        <v>56704</v>
      </c>
      <c r="B518" s="90">
        <v>31</v>
      </c>
      <c r="C518" s="79">
        <f>122.58</f>
        <v>122.58</v>
      </c>
      <c r="D518" s="79">
        <f>297.941</f>
        <v>297.94099999999997</v>
      </c>
      <c r="E518" s="87">
        <f>89.177</f>
        <v>89.177000000000007</v>
      </c>
      <c r="F518" s="79">
        <f>240.302-40-60</f>
        <v>140.30199999999999</v>
      </c>
      <c r="G518" s="81">
        <v>40</v>
      </c>
      <c r="H518" s="79">
        <v>60</v>
      </c>
      <c r="I518" s="79">
        <f t="shared" si="81"/>
        <v>0</v>
      </c>
      <c r="J518" s="81">
        <v>100</v>
      </c>
      <c r="K518" s="81">
        <v>300</v>
      </c>
      <c r="L518" s="79">
        <f t="shared" si="74"/>
        <v>1150</v>
      </c>
      <c r="M518" s="89">
        <v>600</v>
      </c>
      <c r="N518" s="79">
        <f>100</f>
        <v>100</v>
      </c>
      <c r="O518" s="81">
        <v>240</v>
      </c>
      <c r="P518" s="81">
        <v>40</v>
      </c>
      <c r="Q518" s="81">
        <f t="shared" si="75"/>
        <v>315</v>
      </c>
      <c r="R518" s="81">
        <f t="shared" si="76"/>
        <v>100</v>
      </c>
      <c r="S518" s="79">
        <f t="shared" si="77"/>
        <v>695</v>
      </c>
      <c r="T518" s="79">
        <f>50</f>
        <v>50</v>
      </c>
      <c r="U518" s="77"/>
      <c r="V518" s="77"/>
      <c r="W518" s="77"/>
      <c r="X518" s="77"/>
      <c r="Y518" s="77"/>
      <c r="Z518" s="77"/>
      <c r="AA518" s="77"/>
      <c r="AB518" s="77"/>
      <c r="AC518" s="77"/>
      <c r="AD518" s="77"/>
    </row>
    <row r="519" spans="1:30" ht="15.75" x14ac:dyDescent="0.25">
      <c r="A519" s="13">
        <v>56734</v>
      </c>
      <c r="B519" s="90">
        <v>30</v>
      </c>
      <c r="C519" s="79">
        <f>141.293</f>
        <v>141.29300000000001</v>
      </c>
      <c r="D519" s="79">
        <f>267.993</f>
        <v>267.99299999999999</v>
      </c>
      <c r="E519" s="87">
        <f>115.016</f>
        <v>115.01600000000001</v>
      </c>
      <c r="F519" s="79">
        <f>314.698-40-25-60</f>
        <v>189.69799999999998</v>
      </c>
      <c r="G519" s="81">
        <v>40</v>
      </c>
      <c r="H519" s="79">
        <f t="shared" ref="H519:H525" si="83">25+60</f>
        <v>85</v>
      </c>
      <c r="I519" s="79">
        <f t="shared" si="81"/>
        <v>0</v>
      </c>
      <c r="J519" s="81">
        <v>100</v>
      </c>
      <c r="K519" s="81">
        <v>300</v>
      </c>
      <c r="L519" s="79">
        <f t="shared" si="74"/>
        <v>1239</v>
      </c>
      <c r="M519" s="89">
        <v>600</v>
      </c>
      <c r="N519" s="79">
        <f>100</f>
        <v>100</v>
      </c>
      <c r="O519" s="81">
        <v>240</v>
      </c>
      <c r="P519" s="81">
        <v>160</v>
      </c>
      <c r="Q519" s="81">
        <f t="shared" si="75"/>
        <v>195</v>
      </c>
      <c r="R519" s="81">
        <f t="shared" si="76"/>
        <v>100</v>
      </c>
      <c r="S519" s="79">
        <f t="shared" si="77"/>
        <v>695</v>
      </c>
      <c r="T519" s="79">
        <f>50</f>
        <v>50</v>
      </c>
      <c r="U519" s="77"/>
      <c r="V519" s="77"/>
      <c r="W519" s="77"/>
      <c r="X519" s="77"/>
      <c r="Y519" s="77"/>
      <c r="Z519" s="77"/>
      <c r="AA519" s="77"/>
      <c r="AB519" s="77"/>
      <c r="AC519" s="77"/>
      <c r="AD519" s="77"/>
    </row>
    <row r="520" spans="1:30" ht="15.75" x14ac:dyDescent="0.25">
      <c r="A520" s="13">
        <v>56765</v>
      </c>
      <c r="B520" s="90">
        <v>31</v>
      </c>
      <c r="C520" s="79">
        <f>194.205</f>
        <v>194.20500000000001</v>
      </c>
      <c r="D520" s="79">
        <f>267.466</f>
        <v>267.46600000000001</v>
      </c>
      <c r="E520" s="87">
        <f>133.845</f>
        <v>133.845</v>
      </c>
      <c r="F520" s="79">
        <f>278.484-40-25-60</f>
        <v>153.48399999999998</v>
      </c>
      <c r="G520" s="81">
        <v>40</v>
      </c>
      <c r="H520" s="79">
        <f t="shared" si="83"/>
        <v>85</v>
      </c>
      <c r="I520" s="79">
        <f t="shared" si="81"/>
        <v>0</v>
      </c>
      <c r="J520" s="81">
        <v>100</v>
      </c>
      <c r="K520" s="81">
        <v>300</v>
      </c>
      <c r="L520" s="79">
        <f t="shared" si="74"/>
        <v>1274</v>
      </c>
      <c r="M520" s="89">
        <v>600</v>
      </c>
      <c r="N520" s="79">
        <f>75</f>
        <v>75</v>
      </c>
      <c r="O520" s="81">
        <v>240</v>
      </c>
      <c r="P520" s="81">
        <v>160</v>
      </c>
      <c r="Q520" s="81">
        <f t="shared" si="75"/>
        <v>195</v>
      </c>
      <c r="R520" s="81">
        <f t="shared" si="76"/>
        <v>100</v>
      </c>
      <c r="S520" s="79">
        <f t="shared" si="77"/>
        <v>695</v>
      </c>
      <c r="T520" s="79">
        <f>50</f>
        <v>50</v>
      </c>
      <c r="U520" s="77"/>
      <c r="V520" s="77"/>
      <c r="W520" s="77"/>
      <c r="X520" s="77"/>
      <c r="Y520" s="77"/>
      <c r="Z520" s="77"/>
      <c r="AA520" s="77"/>
      <c r="AB520" s="77"/>
      <c r="AC520" s="77"/>
      <c r="AD520" s="77"/>
    </row>
    <row r="521" spans="1:30" ht="15.75" x14ac:dyDescent="0.25">
      <c r="A521" s="13">
        <v>56795</v>
      </c>
      <c r="B521" s="90">
        <v>30</v>
      </c>
      <c r="C521" s="79">
        <f>194.205</f>
        <v>194.20500000000001</v>
      </c>
      <c r="D521" s="79">
        <f>267.466</f>
        <v>267.46600000000001</v>
      </c>
      <c r="E521" s="87">
        <f>133.845</f>
        <v>133.845</v>
      </c>
      <c r="F521" s="79">
        <f>278.484-40-25-60</f>
        <v>153.48399999999998</v>
      </c>
      <c r="G521" s="81">
        <v>40</v>
      </c>
      <c r="H521" s="79">
        <f t="shared" si="83"/>
        <v>85</v>
      </c>
      <c r="I521" s="79">
        <f t="shared" si="81"/>
        <v>0</v>
      </c>
      <c r="J521" s="81">
        <v>100</v>
      </c>
      <c r="K521" s="81">
        <v>300</v>
      </c>
      <c r="L521" s="79">
        <f t="shared" si="74"/>
        <v>1274</v>
      </c>
      <c r="M521" s="89">
        <v>600</v>
      </c>
      <c r="N521" s="79">
        <f>30</f>
        <v>30</v>
      </c>
      <c r="O521" s="81">
        <v>240</v>
      </c>
      <c r="P521" s="81">
        <v>160</v>
      </c>
      <c r="Q521" s="81">
        <f t="shared" si="75"/>
        <v>195</v>
      </c>
      <c r="R521" s="81">
        <f t="shared" si="76"/>
        <v>100</v>
      </c>
      <c r="S521" s="79">
        <f t="shared" si="77"/>
        <v>695</v>
      </c>
      <c r="T521" s="79">
        <f>50</f>
        <v>50</v>
      </c>
      <c r="U521" s="77"/>
      <c r="V521" s="77"/>
      <c r="W521" s="77"/>
      <c r="X521" s="77"/>
      <c r="Y521" s="77"/>
      <c r="Z521" s="77"/>
      <c r="AA521" s="77"/>
      <c r="AB521" s="77"/>
      <c r="AC521" s="77"/>
      <c r="AD521" s="77"/>
    </row>
    <row r="522" spans="1:30" ht="15.75" x14ac:dyDescent="0.25">
      <c r="A522" s="13">
        <v>56826</v>
      </c>
      <c r="B522" s="90">
        <v>31</v>
      </c>
      <c r="C522" s="79">
        <f>194.205</f>
        <v>194.20500000000001</v>
      </c>
      <c r="D522" s="79">
        <f>267.466</f>
        <v>267.46600000000001</v>
      </c>
      <c r="E522" s="87">
        <f>133.845</f>
        <v>133.845</v>
      </c>
      <c r="F522" s="79">
        <f>278.484-40-25-60</f>
        <v>153.48399999999998</v>
      </c>
      <c r="G522" s="81">
        <v>40</v>
      </c>
      <c r="H522" s="79">
        <f t="shared" si="83"/>
        <v>85</v>
      </c>
      <c r="I522" s="79">
        <f t="shared" si="81"/>
        <v>0</v>
      </c>
      <c r="J522" s="81">
        <v>100</v>
      </c>
      <c r="K522" s="81">
        <v>300</v>
      </c>
      <c r="L522" s="79">
        <f t="shared" si="74"/>
        <v>1274</v>
      </c>
      <c r="M522" s="89">
        <v>600</v>
      </c>
      <c r="N522" s="79">
        <f>30</f>
        <v>30</v>
      </c>
      <c r="O522" s="81">
        <v>240</v>
      </c>
      <c r="P522" s="81">
        <v>160</v>
      </c>
      <c r="Q522" s="81">
        <f t="shared" si="75"/>
        <v>195</v>
      </c>
      <c r="R522" s="81">
        <f t="shared" si="76"/>
        <v>100</v>
      </c>
      <c r="S522" s="79">
        <f t="shared" si="77"/>
        <v>695</v>
      </c>
      <c r="T522" s="79">
        <f>0</f>
        <v>0</v>
      </c>
      <c r="U522" s="77"/>
      <c r="V522" s="77"/>
      <c r="W522" s="77"/>
      <c r="X522" s="77"/>
      <c r="Y522" s="77"/>
      <c r="Z522" s="77"/>
      <c r="AA522" s="77"/>
      <c r="AB522" s="77"/>
      <c r="AC522" s="77"/>
      <c r="AD522" s="77"/>
    </row>
    <row r="523" spans="1:30" ht="15.75" x14ac:dyDescent="0.25">
      <c r="A523" s="13">
        <v>56857</v>
      </c>
      <c r="B523" s="90">
        <v>31</v>
      </c>
      <c r="C523" s="79">
        <f>194.205</f>
        <v>194.20500000000001</v>
      </c>
      <c r="D523" s="79">
        <f>267.466</f>
        <v>267.46600000000001</v>
      </c>
      <c r="E523" s="87">
        <f>133.845</f>
        <v>133.845</v>
      </c>
      <c r="F523" s="79">
        <f>278.484-40-25-60</f>
        <v>153.48399999999998</v>
      </c>
      <c r="G523" s="81">
        <v>40</v>
      </c>
      <c r="H523" s="79">
        <f t="shared" si="83"/>
        <v>85</v>
      </c>
      <c r="I523" s="79">
        <f t="shared" si="81"/>
        <v>0</v>
      </c>
      <c r="J523" s="81">
        <v>100</v>
      </c>
      <c r="K523" s="81">
        <v>300</v>
      </c>
      <c r="L523" s="79">
        <f t="shared" si="74"/>
        <v>1274</v>
      </c>
      <c r="M523" s="89">
        <v>600</v>
      </c>
      <c r="N523" s="79">
        <f>30</f>
        <v>30</v>
      </c>
      <c r="O523" s="81">
        <v>240</v>
      </c>
      <c r="P523" s="81">
        <v>160</v>
      </c>
      <c r="Q523" s="81">
        <f t="shared" si="75"/>
        <v>195</v>
      </c>
      <c r="R523" s="81">
        <f t="shared" si="76"/>
        <v>100</v>
      </c>
      <c r="S523" s="79">
        <f t="shared" si="77"/>
        <v>695</v>
      </c>
      <c r="T523" s="79">
        <f>0</f>
        <v>0</v>
      </c>
      <c r="U523" s="77"/>
      <c r="V523" s="77"/>
      <c r="W523" s="77"/>
      <c r="X523" s="77"/>
      <c r="Y523" s="77"/>
      <c r="Z523" s="77"/>
      <c r="AA523" s="77"/>
      <c r="AB523" s="77"/>
      <c r="AC523" s="77"/>
      <c r="AD523" s="77"/>
    </row>
    <row r="524" spans="1:30" ht="15.75" x14ac:dyDescent="0.25">
      <c r="A524" s="13">
        <v>56887</v>
      </c>
      <c r="B524" s="90">
        <v>30</v>
      </c>
      <c r="C524" s="79">
        <f>194.205</f>
        <v>194.20500000000001</v>
      </c>
      <c r="D524" s="79">
        <f>267.466</f>
        <v>267.46600000000001</v>
      </c>
      <c r="E524" s="87">
        <f>133.845</f>
        <v>133.845</v>
      </c>
      <c r="F524" s="79">
        <f>278.484-40-25-60</f>
        <v>153.48399999999998</v>
      </c>
      <c r="G524" s="81">
        <v>40</v>
      </c>
      <c r="H524" s="79">
        <f t="shared" si="83"/>
        <v>85</v>
      </c>
      <c r="I524" s="79">
        <f t="shared" si="81"/>
        <v>0</v>
      </c>
      <c r="J524" s="81">
        <v>100</v>
      </c>
      <c r="K524" s="81">
        <v>300</v>
      </c>
      <c r="L524" s="79">
        <f t="shared" si="74"/>
        <v>1274</v>
      </c>
      <c r="M524" s="89">
        <v>600</v>
      </c>
      <c r="N524" s="79">
        <f>30</f>
        <v>30</v>
      </c>
      <c r="O524" s="81">
        <v>240</v>
      </c>
      <c r="P524" s="81">
        <v>160</v>
      </c>
      <c r="Q524" s="81">
        <f t="shared" si="75"/>
        <v>195</v>
      </c>
      <c r="R524" s="81">
        <f t="shared" si="76"/>
        <v>100</v>
      </c>
      <c r="S524" s="79">
        <f t="shared" si="77"/>
        <v>695</v>
      </c>
      <c r="T524" s="79">
        <f>0</f>
        <v>0</v>
      </c>
      <c r="U524" s="77"/>
      <c r="V524" s="77"/>
      <c r="W524" s="77"/>
      <c r="X524" s="77"/>
      <c r="Y524" s="77"/>
      <c r="Z524" s="77"/>
      <c r="AA524" s="77"/>
      <c r="AB524" s="77"/>
      <c r="AC524" s="77"/>
      <c r="AD524" s="77"/>
    </row>
    <row r="525" spans="1:30" ht="15.75" x14ac:dyDescent="0.25">
      <c r="A525" s="13">
        <v>56918</v>
      </c>
      <c r="B525" s="90">
        <v>31</v>
      </c>
      <c r="C525" s="79">
        <f>131.881</f>
        <v>131.881</v>
      </c>
      <c r="D525" s="79">
        <f>277.167</f>
        <v>277.16699999999997</v>
      </c>
      <c r="E525" s="87">
        <f>79.08</f>
        <v>79.08</v>
      </c>
      <c r="F525" s="79">
        <f>350.872-40-25-60</f>
        <v>225.87200000000001</v>
      </c>
      <c r="G525" s="81">
        <v>40</v>
      </c>
      <c r="H525" s="79">
        <f t="shared" si="83"/>
        <v>85</v>
      </c>
      <c r="I525" s="79">
        <f t="shared" si="81"/>
        <v>0</v>
      </c>
      <c r="J525" s="81">
        <v>100</v>
      </c>
      <c r="K525" s="81">
        <v>300</v>
      </c>
      <c r="L525" s="79">
        <f t="shared" ref="L525:L588" si="84">SUM(C525:K525)</f>
        <v>1239</v>
      </c>
      <c r="M525" s="89">
        <v>600</v>
      </c>
      <c r="N525" s="79">
        <f>75</f>
        <v>75</v>
      </c>
      <c r="O525" s="81">
        <v>240</v>
      </c>
      <c r="P525" s="81">
        <v>160</v>
      </c>
      <c r="Q525" s="81">
        <f t="shared" ref="Q525:Q588" si="85">695-R525-O525-P525</f>
        <v>195</v>
      </c>
      <c r="R525" s="81">
        <f t="shared" ref="R525:R588" si="86">200-J525</f>
        <v>100</v>
      </c>
      <c r="S525" s="79">
        <f t="shared" ref="S525:S588" si="87">SUM(O525:R525)</f>
        <v>695</v>
      </c>
      <c r="T525" s="79">
        <f>0</f>
        <v>0</v>
      </c>
      <c r="U525" s="77"/>
      <c r="V525" s="77"/>
      <c r="W525" s="77"/>
      <c r="X525" s="77"/>
      <c r="Y525" s="77"/>
      <c r="Z525" s="77"/>
      <c r="AA525" s="77"/>
      <c r="AB525" s="77"/>
      <c r="AC525" s="77"/>
      <c r="AD525" s="77"/>
    </row>
    <row r="526" spans="1:30" ht="15.75" x14ac:dyDescent="0.25">
      <c r="A526" s="13">
        <v>56948</v>
      </c>
      <c r="B526" s="90">
        <v>30</v>
      </c>
      <c r="C526" s="79">
        <f>122.58</f>
        <v>122.58</v>
      </c>
      <c r="D526" s="79">
        <f>297.941</f>
        <v>297.94099999999997</v>
      </c>
      <c r="E526" s="87">
        <f>89.177</f>
        <v>89.177000000000007</v>
      </c>
      <c r="F526" s="79">
        <f>240.302-40-60</f>
        <v>140.30199999999999</v>
      </c>
      <c r="G526" s="81">
        <v>40</v>
      </c>
      <c r="H526" s="79">
        <v>60</v>
      </c>
      <c r="I526" s="79">
        <f t="shared" si="81"/>
        <v>0</v>
      </c>
      <c r="J526" s="81">
        <v>100</v>
      </c>
      <c r="K526" s="81">
        <v>300</v>
      </c>
      <c r="L526" s="79">
        <f t="shared" si="84"/>
        <v>1150</v>
      </c>
      <c r="M526" s="89">
        <v>600</v>
      </c>
      <c r="N526" s="79">
        <f>100</f>
        <v>100</v>
      </c>
      <c r="O526" s="81">
        <v>240</v>
      </c>
      <c r="P526" s="81">
        <v>40</v>
      </c>
      <c r="Q526" s="81">
        <f t="shared" si="85"/>
        <v>315</v>
      </c>
      <c r="R526" s="81">
        <f t="shared" si="86"/>
        <v>100</v>
      </c>
      <c r="S526" s="79">
        <f t="shared" si="87"/>
        <v>695</v>
      </c>
      <c r="T526" s="79">
        <f>50</f>
        <v>50</v>
      </c>
      <c r="U526" s="77"/>
      <c r="V526" s="77"/>
      <c r="W526" s="77"/>
      <c r="X526" s="77"/>
      <c r="Y526" s="77"/>
      <c r="Z526" s="77"/>
      <c r="AA526" s="77"/>
      <c r="AB526" s="77"/>
      <c r="AC526" s="77"/>
      <c r="AD526" s="77"/>
    </row>
    <row r="527" spans="1:30" ht="15.75" x14ac:dyDescent="0.25">
      <c r="A527" s="13">
        <v>56979</v>
      </c>
      <c r="B527" s="90">
        <v>31</v>
      </c>
      <c r="C527" s="79">
        <f>122.58</f>
        <v>122.58</v>
      </c>
      <c r="D527" s="79">
        <f>297.941</f>
        <v>297.94099999999997</v>
      </c>
      <c r="E527" s="87">
        <f>89.177</f>
        <v>89.177000000000007</v>
      </c>
      <c r="F527" s="79">
        <f>240.302-40-60</f>
        <v>140.30199999999999</v>
      </c>
      <c r="G527" s="81">
        <v>40</v>
      </c>
      <c r="H527" s="79">
        <v>60</v>
      </c>
      <c r="I527" s="79">
        <f t="shared" si="81"/>
        <v>0</v>
      </c>
      <c r="J527" s="81">
        <v>100</v>
      </c>
      <c r="K527" s="81">
        <v>300</v>
      </c>
      <c r="L527" s="79">
        <f t="shared" si="84"/>
        <v>1150</v>
      </c>
      <c r="M527" s="89">
        <v>600</v>
      </c>
      <c r="N527" s="79">
        <f>100</f>
        <v>100</v>
      </c>
      <c r="O527" s="81">
        <v>240</v>
      </c>
      <c r="P527" s="81">
        <v>40</v>
      </c>
      <c r="Q527" s="81">
        <f t="shared" si="85"/>
        <v>315</v>
      </c>
      <c r="R527" s="81">
        <f t="shared" si="86"/>
        <v>100</v>
      </c>
      <c r="S527" s="79">
        <f t="shared" si="87"/>
        <v>695</v>
      </c>
      <c r="T527" s="79">
        <f>50</f>
        <v>50</v>
      </c>
      <c r="U527" s="77"/>
      <c r="V527" s="77"/>
      <c r="W527" s="77"/>
      <c r="X527" s="77"/>
      <c r="Y527" s="77"/>
      <c r="Z527" s="77"/>
      <c r="AA527" s="77"/>
      <c r="AB527" s="77"/>
      <c r="AC527" s="77"/>
      <c r="AD527" s="77"/>
    </row>
    <row r="528" spans="1:30" ht="15.75" x14ac:dyDescent="0.25">
      <c r="A528" s="13">
        <v>57010</v>
      </c>
      <c r="B528" s="90">
        <v>31</v>
      </c>
      <c r="C528" s="79">
        <f>122.58</f>
        <v>122.58</v>
      </c>
      <c r="D528" s="79">
        <f>297.941</f>
        <v>297.94099999999997</v>
      </c>
      <c r="E528" s="87">
        <f>89.177</f>
        <v>89.177000000000007</v>
      </c>
      <c r="F528" s="79">
        <f>240.302-40-60</f>
        <v>140.30199999999999</v>
      </c>
      <c r="G528" s="81">
        <v>40</v>
      </c>
      <c r="H528" s="79">
        <v>60</v>
      </c>
      <c r="I528" s="79">
        <f t="shared" si="81"/>
        <v>0</v>
      </c>
      <c r="J528" s="81">
        <v>100</v>
      </c>
      <c r="K528" s="81">
        <v>300</v>
      </c>
      <c r="L528" s="79">
        <f t="shared" si="84"/>
        <v>1150</v>
      </c>
      <c r="M528" s="89">
        <v>600</v>
      </c>
      <c r="N528" s="79">
        <f>100</f>
        <v>100</v>
      </c>
      <c r="O528" s="81">
        <v>240</v>
      </c>
      <c r="P528" s="81">
        <v>40</v>
      </c>
      <c r="Q528" s="81">
        <f t="shared" si="85"/>
        <v>315</v>
      </c>
      <c r="R528" s="81">
        <f t="shared" si="86"/>
        <v>100</v>
      </c>
      <c r="S528" s="79">
        <f t="shared" si="87"/>
        <v>695</v>
      </c>
      <c r="T528" s="79">
        <f>50</f>
        <v>50</v>
      </c>
      <c r="U528" s="77"/>
      <c r="V528" s="77"/>
      <c r="W528" s="77"/>
      <c r="X528" s="77"/>
      <c r="Y528" s="77"/>
      <c r="Z528" s="77"/>
      <c r="AA528" s="77"/>
      <c r="AB528" s="77"/>
      <c r="AC528" s="77"/>
      <c r="AD528" s="77"/>
    </row>
    <row r="529" spans="1:30" ht="15.75" x14ac:dyDescent="0.25">
      <c r="A529" s="13">
        <v>57038</v>
      </c>
      <c r="B529" s="90">
        <v>29</v>
      </c>
      <c r="C529" s="79">
        <f>122.58</f>
        <v>122.58</v>
      </c>
      <c r="D529" s="79">
        <f>297.941</f>
        <v>297.94099999999997</v>
      </c>
      <c r="E529" s="87">
        <f>89.177</f>
        <v>89.177000000000007</v>
      </c>
      <c r="F529" s="79">
        <f>240.302-40-60</f>
        <v>140.30199999999999</v>
      </c>
      <c r="G529" s="81">
        <v>40</v>
      </c>
      <c r="H529" s="79">
        <v>60</v>
      </c>
      <c r="I529" s="79">
        <f t="shared" si="81"/>
        <v>0</v>
      </c>
      <c r="J529" s="81">
        <v>100</v>
      </c>
      <c r="K529" s="81">
        <v>300</v>
      </c>
      <c r="L529" s="79">
        <f t="shared" si="84"/>
        <v>1150</v>
      </c>
      <c r="M529" s="89">
        <v>600</v>
      </c>
      <c r="N529" s="79">
        <f>100</f>
        <v>100</v>
      </c>
      <c r="O529" s="81">
        <v>240</v>
      </c>
      <c r="P529" s="81">
        <v>40</v>
      </c>
      <c r="Q529" s="81">
        <f t="shared" si="85"/>
        <v>315</v>
      </c>
      <c r="R529" s="81">
        <f t="shared" si="86"/>
        <v>100</v>
      </c>
      <c r="S529" s="79">
        <f t="shared" si="87"/>
        <v>695</v>
      </c>
      <c r="T529" s="79">
        <f>50</f>
        <v>50</v>
      </c>
      <c r="U529" s="77"/>
      <c r="V529" s="77"/>
      <c r="W529" s="77"/>
      <c r="X529" s="77"/>
      <c r="Y529" s="77"/>
      <c r="Z529" s="77"/>
      <c r="AA529" s="77"/>
      <c r="AB529" s="77"/>
      <c r="AC529" s="77"/>
      <c r="AD529" s="77"/>
    </row>
    <row r="530" spans="1:30" ht="15.75" x14ac:dyDescent="0.25">
      <c r="A530" s="13">
        <v>57070</v>
      </c>
      <c r="B530" s="90">
        <v>31</v>
      </c>
      <c r="C530" s="79">
        <f>122.58</f>
        <v>122.58</v>
      </c>
      <c r="D530" s="79">
        <f>297.941</f>
        <v>297.94099999999997</v>
      </c>
      <c r="E530" s="87">
        <f>89.177</f>
        <v>89.177000000000007</v>
      </c>
      <c r="F530" s="79">
        <f>240.302-40-60</f>
        <v>140.30199999999999</v>
      </c>
      <c r="G530" s="81">
        <v>40</v>
      </c>
      <c r="H530" s="79">
        <v>60</v>
      </c>
      <c r="I530" s="79">
        <f t="shared" si="81"/>
        <v>0</v>
      </c>
      <c r="J530" s="81">
        <v>100</v>
      </c>
      <c r="K530" s="81">
        <v>300</v>
      </c>
      <c r="L530" s="79">
        <f t="shared" si="84"/>
        <v>1150</v>
      </c>
      <c r="M530" s="89">
        <v>600</v>
      </c>
      <c r="N530" s="79">
        <f>100</f>
        <v>100</v>
      </c>
      <c r="O530" s="81">
        <v>240</v>
      </c>
      <c r="P530" s="81">
        <v>40</v>
      </c>
      <c r="Q530" s="81">
        <f t="shared" si="85"/>
        <v>315</v>
      </c>
      <c r="R530" s="81">
        <f t="shared" si="86"/>
        <v>100</v>
      </c>
      <c r="S530" s="79">
        <f t="shared" si="87"/>
        <v>695</v>
      </c>
      <c r="T530" s="79">
        <f>50</f>
        <v>50</v>
      </c>
      <c r="U530" s="77"/>
      <c r="V530" s="77"/>
      <c r="W530" s="77"/>
      <c r="X530" s="77"/>
      <c r="Y530" s="77"/>
      <c r="Z530" s="77"/>
      <c r="AA530" s="77"/>
      <c r="AB530" s="77"/>
      <c r="AC530" s="77"/>
      <c r="AD530" s="77"/>
    </row>
    <row r="531" spans="1:30" ht="15.75" x14ac:dyDescent="0.25">
      <c r="A531" s="13">
        <v>57100</v>
      </c>
      <c r="B531" s="90">
        <v>30</v>
      </c>
      <c r="C531" s="79">
        <f>141.293</f>
        <v>141.29300000000001</v>
      </c>
      <c r="D531" s="79">
        <f>267.993</f>
        <v>267.99299999999999</v>
      </c>
      <c r="E531" s="87">
        <f>115.016</f>
        <v>115.01600000000001</v>
      </c>
      <c r="F531" s="79">
        <f>314.698-40-25-60</f>
        <v>189.69799999999998</v>
      </c>
      <c r="G531" s="81">
        <v>40</v>
      </c>
      <c r="H531" s="79">
        <f t="shared" ref="H531:H537" si="88">25+60</f>
        <v>85</v>
      </c>
      <c r="I531" s="79">
        <f t="shared" si="81"/>
        <v>0</v>
      </c>
      <c r="J531" s="81">
        <v>100</v>
      </c>
      <c r="K531" s="81">
        <v>300</v>
      </c>
      <c r="L531" s="79">
        <f t="shared" si="84"/>
        <v>1239</v>
      </c>
      <c r="M531" s="89">
        <v>600</v>
      </c>
      <c r="N531" s="79">
        <f>100</f>
        <v>100</v>
      </c>
      <c r="O531" s="81">
        <v>240</v>
      </c>
      <c r="P531" s="81">
        <v>160</v>
      </c>
      <c r="Q531" s="81">
        <f t="shared" si="85"/>
        <v>195</v>
      </c>
      <c r="R531" s="81">
        <f t="shared" si="86"/>
        <v>100</v>
      </c>
      <c r="S531" s="79">
        <f t="shared" si="87"/>
        <v>695</v>
      </c>
      <c r="T531" s="79">
        <f>50</f>
        <v>50</v>
      </c>
      <c r="U531" s="77"/>
      <c r="V531" s="77"/>
      <c r="W531" s="77"/>
      <c r="X531" s="77"/>
      <c r="Y531" s="77"/>
      <c r="Z531" s="77"/>
      <c r="AA531" s="77"/>
      <c r="AB531" s="77"/>
      <c r="AC531" s="77"/>
      <c r="AD531" s="77"/>
    </row>
    <row r="532" spans="1:30" ht="15.75" x14ac:dyDescent="0.25">
      <c r="A532" s="13">
        <v>57131</v>
      </c>
      <c r="B532" s="90">
        <v>31</v>
      </c>
      <c r="C532" s="79">
        <f>194.205</f>
        <v>194.20500000000001</v>
      </c>
      <c r="D532" s="79">
        <f>267.466</f>
        <v>267.46600000000001</v>
      </c>
      <c r="E532" s="87">
        <f>133.845</f>
        <v>133.845</v>
      </c>
      <c r="F532" s="79">
        <f>278.484-40-25-60</f>
        <v>153.48399999999998</v>
      </c>
      <c r="G532" s="81">
        <v>40</v>
      </c>
      <c r="H532" s="79">
        <f t="shared" si="88"/>
        <v>85</v>
      </c>
      <c r="I532" s="79">
        <f t="shared" si="81"/>
        <v>0</v>
      </c>
      <c r="J532" s="81">
        <v>100</v>
      </c>
      <c r="K532" s="81">
        <v>300</v>
      </c>
      <c r="L532" s="79">
        <f t="shared" si="84"/>
        <v>1274</v>
      </c>
      <c r="M532" s="89">
        <v>600</v>
      </c>
      <c r="N532" s="79">
        <f>75</f>
        <v>75</v>
      </c>
      <c r="O532" s="81">
        <v>240</v>
      </c>
      <c r="P532" s="81">
        <v>160</v>
      </c>
      <c r="Q532" s="81">
        <f t="shared" si="85"/>
        <v>195</v>
      </c>
      <c r="R532" s="81">
        <f t="shared" si="86"/>
        <v>100</v>
      </c>
      <c r="S532" s="79">
        <f t="shared" si="87"/>
        <v>695</v>
      </c>
      <c r="T532" s="79">
        <f>50</f>
        <v>50</v>
      </c>
      <c r="U532" s="77"/>
      <c r="V532" s="77"/>
      <c r="W532" s="77"/>
      <c r="X532" s="77"/>
      <c r="Y532" s="77"/>
      <c r="Z532" s="77"/>
      <c r="AA532" s="77"/>
      <c r="AB532" s="77"/>
      <c r="AC532" s="77"/>
      <c r="AD532" s="77"/>
    </row>
    <row r="533" spans="1:30" ht="15.75" x14ac:dyDescent="0.25">
      <c r="A533" s="13">
        <v>57161</v>
      </c>
      <c r="B533" s="90">
        <v>30</v>
      </c>
      <c r="C533" s="79">
        <f>194.205</f>
        <v>194.20500000000001</v>
      </c>
      <c r="D533" s="79">
        <f>267.466</f>
        <v>267.46600000000001</v>
      </c>
      <c r="E533" s="87">
        <f>133.845</f>
        <v>133.845</v>
      </c>
      <c r="F533" s="79">
        <f>278.484-40-25-60</f>
        <v>153.48399999999998</v>
      </c>
      <c r="G533" s="81">
        <v>40</v>
      </c>
      <c r="H533" s="79">
        <f t="shared" si="88"/>
        <v>85</v>
      </c>
      <c r="I533" s="79">
        <f t="shared" si="81"/>
        <v>0</v>
      </c>
      <c r="J533" s="81">
        <v>100</v>
      </c>
      <c r="K533" s="81">
        <v>300</v>
      </c>
      <c r="L533" s="79">
        <f t="shared" si="84"/>
        <v>1274</v>
      </c>
      <c r="M533" s="89">
        <v>600</v>
      </c>
      <c r="N533" s="79">
        <f>30</f>
        <v>30</v>
      </c>
      <c r="O533" s="81">
        <v>240</v>
      </c>
      <c r="P533" s="81">
        <v>160</v>
      </c>
      <c r="Q533" s="81">
        <f t="shared" si="85"/>
        <v>195</v>
      </c>
      <c r="R533" s="81">
        <f t="shared" si="86"/>
        <v>100</v>
      </c>
      <c r="S533" s="79">
        <f t="shared" si="87"/>
        <v>695</v>
      </c>
      <c r="T533" s="79">
        <f>50</f>
        <v>50</v>
      </c>
      <c r="U533" s="77"/>
      <c r="V533" s="77"/>
      <c r="W533" s="77"/>
      <c r="X533" s="77"/>
      <c r="Y533" s="77"/>
      <c r="Z533" s="77"/>
      <c r="AA533" s="77"/>
      <c r="AB533" s="77"/>
      <c r="AC533" s="77"/>
      <c r="AD533" s="77"/>
    </row>
    <row r="534" spans="1:30" ht="15.75" x14ac:dyDescent="0.25">
      <c r="A534" s="13">
        <v>57192</v>
      </c>
      <c r="B534" s="90">
        <v>31</v>
      </c>
      <c r="C534" s="79">
        <f>194.205</f>
        <v>194.20500000000001</v>
      </c>
      <c r="D534" s="79">
        <f>267.466</f>
        <v>267.46600000000001</v>
      </c>
      <c r="E534" s="87">
        <f>133.845</f>
        <v>133.845</v>
      </c>
      <c r="F534" s="79">
        <f>278.484-40-25-60</f>
        <v>153.48399999999998</v>
      </c>
      <c r="G534" s="81">
        <v>40</v>
      </c>
      <c r="H534" s="79">
        <f t="shared" si="88"/>
        <v>85</v>
      </c>
      <c r="I534" s="79">
        <f t="shared" si="81"/>
        <v>0</v>
      </c>
      <c r="J534" s="81">
        <v>100</v>
      </c>
      <c r="K534" s="81">
        <v>300</v>
      </c>
      <c r="L534" s="79">
        <f t="shared" si="84"/>
        <v>1274</v>
      </c>
      <c r="M534" s="89">
        <v>600</v>
      </c>
      <c r="N534" s="79">
        <f>30</f>
        <v>30</v>
      </c>
      <c r="O534" s="81">
        <v>240</v>
      </c>
      <c r="P534" s="81">
        <v>160</v>
      </c>
      <c r="Q534" s="81">
        <f t="shared" si="85"/>
        <v>195</v>
      </c>
      <c r="R534" s="81">
        <f t="shared" si="86"/>
        <v>100</v>
      </c>
      <c r="S534" s="79">
        <f t="shared" si="87"/>
        <v>695</v>
      </c>
      <c r="T534" s="79">
        <f>0</f>
        <v>0</v>
      </c>
      <c r="U534" s="77"/>
      <c r="V534" s="77"/>
      <c r="W534" s="77"/>
      <c r="X534" s="77"/>
      <c r="Y534" s="77"/>
      <c r="Z534" s="77"/>
      <c r="AA534" s="77"/>
      <c r="AB534" s="77"/>
      <c r="AC534" s="77"/>
      <c r="AD534" s="77"/>
    </row>
    <row r="535" spans="1:30" ht="15.75" x14ac:dyDescent="0.25">
      <c r="A535" s="13">
        <v>57223</v>
      </c>
      <c r="B535" s="90">
        <v>31</v>
      </c>
      <c r="C535" s="79">
        <f>194.205</f>
        <v>194.20500000000001</v>
      </c>
      <c r="D535" s="79">
        <f>267.466</f>
        <v>267.46600000000001</v>
      </c>
      <c r="E535" s="87">
        <f>133.845</f>
        <v>133.845</v>
      </c>
      <c r="F535" s="79">
        <f>278.484-40-25-60</f>
        <v>153.48399999999998</v>
      </c>
      <c r="G535" s="81">
        <v>40</v>
      </c>
      <c r="H535" s="79">
        <f t="shared" si="88"/>
        <v>85</v>
      </c>
      <c r="I535" s="79">
        <f t="shared" si="81"/>
        <v>0</v>
      </c>
      <c r="J535" s="81">
        <v>100</v>
      </c>
      <c r="K535" s="81">
        <v>300</v>
      </c>
      <c r="L535" s="79">
        <f t="shared" si="84"/>
        <v>1274</v>
      </c>
      <c r="M535" s="89">
        <v>600</v>
      </c>
      <c r="N535" s="79">
        <f>30</f>
        <v>30</v>
      </c>
      <c r="O535" s="81">
        <v>240</v>
      </c>
      <c r="P535" s="81">
        <v>160</v>
      </c>
      <c r="Q535" s="81">
        <f t="shared" si="85"/>
        <v>195</v>
      </c>
      <c r="R535" s="81">
        <f t="shared" si="86"/>
        <v>100</v>
      </c>
      <c r="S535" s="79">
        <f t="shared" si="87"/>
        <v>695</v>
      </c>
      <c r="T535" s="79">
        <f>0</f>
        <v>0</v>
      </c>
      <c r="U535" s="77"/>
      <c r="V535" s="77"/>
      <c r="W535" s="77"/>
      <c r="X535" s="77"/>
      <c r="Y535" s="77"/>
      <c r="Z535" s="77"/>
      <c r="AA535" s="77"/>
      <c r="AB535" s="77"/>
      <c r="AC535" s="77"/>
      <c r="AD535" s="77"/>
    </row>
    <row r="536" spans="1:30" ht="15.75" x14ac:dyDescent="0.25">
      <c r="A536" s="13">
        <v>57253</v>
      </c>
      <c r="B536" s="90">
        <v>30</v>
      </c>
      <c r="C536" s="79">
        <f>194.205</f>
        <v>194.20500000000001</v>
      </c>
      <c r="D536" s="79">
        <f>267.466</f>
        <v>267.46600000000001</v>
      </c>
      <c r="E536" s="87">
        <f>133.845</f>
        <v>133.845</v>
      </c>
      <c r="F536" s="79">
        <f>278.484-40-25-60</f>
        <v>153.48399999999998</v>
      </c>
      <c r="G536" s="81">
        <v>40</v>
      </c>
      <c r="H536" s="79">
        <f t="shared" si="88"/>
        <v>85</v>
      </c>
      <c r="I536" s="79">
        <f t="shared" si="81"/>
        <v>0</v>
      </c>
      <c r="J536" s="81">
        <v>100</v>
      </c>
      <c r="K536" s="81">
        <v>300</v>
      </c>
      <c r="L536" s="79">
        <f t="shared" si="84"/>
        <v>1274</v>
      </c>
      <c r="M536" s="89">
        <v>600</v>
      </c>
      <c r="N536" s="79">
        <f>30</f>
        <v>30</v>
      </c>
      <c r="O536" s="81">
        <v>240</v>
      </c>
      <c r="P536" s="81">
        <v>160</v>
      </c>
      <c r="Q536" s="81">
        <f t="shared" si="85"/>
        <v>195</v>
      </c>
      <c r="R536" s="81">
        <f t="shared" si="86"/>
        <v>100</v>
      </c>
      <c r="S536" s="79">
        <f t="shared" si="87"/>
        <v>695</v>
      </c>
      <c r="T536" s="79">
        <f>0</f>
        <v>0</v>
      </c>
      <c r="U536" s="77"/>
      <c r="V536" s="77"/>
      <c r="W536" s="77"/>
      <c r="X536" s="77"/>
      <c r="Y536" s="77"/>
      <c r="Z536" s="77"/>
      <c r="AA536" s="77"/>
      <c r="AB536" s="77"/>
      <c r="AC536" s="77"/>
      <c r="AD536" s="77"/>
    </row>
    <row r="537" spans="1:30" ht="15.75" x14ac:dyDescent="0.25">
      <c r="A537" s="13">
        <v>57284</v>
      </c>
      <c r="B537" s="90">
        <v>31</v>
      </c>
      <c r="C537" s="79">
        <f>131.881</f>
        <v>131.881</v>
      </c>
      <c r="D537" s="79">
        <f>277.167</f>
        <v>277.16699999999997</v>
      </c>
      <c r="E537" s="87">
        <f>79.08</f>
        <v>79.08</v>
      </c>
      <c r="F537" s="79">
        <f>350.872-40-25-60</f>
        <v>225.87200000000001</v>
      </c>
      <c r="G537" s="81">
        <v>40</v>
      </c>
      <c r="H537" s="79">
        <f t="shared" si="88"/>
        <v>85</v>
      </c>
      <c r="I537" s="79">
        <f t="shared" si="81"/>
        <v>0</v>
      </c>
      <c r="J537" s="81">
        <v>100</v>
      </c>
      <c r="K537" s="81">
        <v>300</v>
      </c>
      <c r="L537" s="79">
        <f t="shared" si="84"/>
        <v>1239</v>
      </c>
      <c r="M537" s="89">
        <v>600</v>
      </c>
      <c r="N537" s="79">
        <f>75</f>
        <v>75</v>
      </c>
      <c r="O537" s="81">
        <v>240</v>
      </c>
      <c r="P537" s="81">
        <v>160</v>
      </c>
      <c r="Q537" s="81">
        <f t="shared" si="85"/>
        <v>195</v>
      </c>
      <c r="R537" s="81">
        <f t="shared" si="86"/>
        <v>100</v>
      </c>
      <c r="S537" s="79">
        <f t="shared" si="87"/>
        <v>695</v>
      </c>
      <c r="T537" s="79">
        <f>0</f>
        <v>0</v>
      </c>
      <c r="U537" s="77"/>
      <c r="V537" s="77"/>
      <c r="W537" s="77"/>
      <c r="X537" s="77"/>
      <c r="Y537" s="77"/>
      <c r="Z537" s="77"/>
      <c r="AA537" s="77"/>
      <c r="AB537" s="77"/>
      <c r="AC537" s="77"/>
      <c r="AD537" s="77"/>
    </row>
    <row r="538" spans="1:30" ht="15.75" x14ac:dyDescent="0.25">
      <c r="A538" s="13">
        <v>57314</v>
      </c>
      <c r="B538" s="90">
        <v>30</v>
      </c>
      <c r="C538" s="79">
        <f>122.58</f>
        <v>122.58</v>
      </c>
      <c r="D538" s="79">
        <f>297.941</f>
        <v>297.94099999999997</v>
      </c>
      <c r="E538" s="87">
        <f>89.177</f>
        <v>89.177000000000007</v>
      </c>
      <c r="F538" s="79">
        <f>240.302-40-60</f>
        <v>140.30199999999999</v>
      </c>
      <c r="G538" s="81">
        <v>40</v>
      </c>
      <c r="H538" s="79">
        <v>60</v>
      </c>
      <c r="I538" s="79">
        <f t="shared" si="81"/>
        <v>0</v>
      </c>
      <c r="J538" s="81">
        <v>100</v>
      </c>
      <c r="K538" s="81">
        <v>300</v>
      </c>
      <c r="L538" s="79">
        <f t="shared" si="84"/>
        <v>1150</v>
      </c>
      <c r="M538" s="89">
        <v>600</v>
      </c>
      <c r="N538" s="79">
        <f>100</f>
        <v>100</v>
      </c>
      <c r="O538" s="81">
        <v>240</v>
      </c>
      <c r="P538" s="81">
        <v>40</v>
      </c>
      <c r="Q538" s="81">
        <f t="shared" si="85"/>
        <v>315</v>
      </c>
      <c r="R538" s="81">
        <f t="shared" si="86"/>
        <v>100</v>
      </c>
      <c r="S538" s="79">
        <f t="shared" si="87"/>
        <v>695</v>
      </c>
      <c r="T538" s="79">
        <f>50</f>
        <v>50</v>
      </c>
      <c r="U538" s="77"/>
      <c r="V538" s="77"/>
      <c r="W538" s="77"/>
      <c r="X538" s="77"/>
      <c r="Y538" s="77"/>
      <c r="Z538" s="77"/>
      <c r="AA538" s="77"/>
      <c r="AB538" s="77"/>
      <c r="AC538" s="77"/>
      <c r="AD538" s="77"/>
    </row>
    <row r="539" spans="1:30" ht="15.75" x14ac:dyDescent="0.25">
      <c r="A539" s="13">
        <v>57345</v>
      </c>
      <c r="B539" s="90">
        <v>31</v>
      </c>
      <c r="C539" s="79">
        <f>122.58</f>
        <v>122.58</v>
      </c>
      <c r="D539" s="79">
        <f>297.941</f>
        <v>297.94099999999997</v>
      </c>
      <c r="E539" s="87">
        <f>89.177</f>
        <v>89.177000000000007</v>
      </c>
      <c r="F539" s="79">
        <f>240.302-40-60</f>
        <v>140.30199999999999</v>
      </c>
      <c r="G539" s="81">
        <v>40</v>
      </c>
      <c r="H539" s="79">
        <v>60</v>
      </c>
      <c r="I539" s="79">
        <f t="shared" si="81"/>
        <v>0</v>
      </c>
      <c r="J539" s="81">
        <v>100</v>
      </c>
      <c r="K539" s="81">
        <v>300</v>
      </c>
      <c r="L539" s="79">
        <f t="shared" si="84"/>
        <v>1150</v>
      </c>
      <c r="M539" s="89">
        <v>600</v>
      </c>
      <c r="N539" s="79">
        <f>100</f>
        <v>100</v>
      </c>
      <c r="O539" s="81">
        <v>240</v>
      </c>
      <c r="P539" s="81">
        <v>40</v>
      </c>
      <c r="Q539" s="81">
        <f t="shared" si="85"/>
        <v>315</v>
      </c>
      <c r="R539" s="81">
        <f t="shared" si="86"/>
        <v>100</v>
      </c>
      <c r="S539" s="79">
        <f t="shared" si="87"/>
        <v>695</v>
      </c>
      <c r="T539" s="79">
        <f>50</f>
        <v>50</v>
      </c>
      <c r="U539" s="77"/>
      <c r="V539" s="77"/>
      <c r="W539" s="77"/>
      <c r="X539" s="77"/>
      <c r="Y539" s="77"/>
      <c r="Z539" s="77"/>
      <c r="AA539" s="77"/>
      <c r="AB539" s="77"/>
      <c r="AC539" s="77"/>
      <c r="AD539" s="77"/>
    </row>
    <row r="540" spans="1:30" ht="15.75" x14ac:dyDescent="0.25">
      <c r="A540" s="13">
        <v>57376</v>
      </c>
      <c r="B540" s="90">
        <v>31</v>
      </c>
      <c r="C540" s="79">
        <f>122.58</f>
        <v>122.58</v>
      </c>
      <c r="D540" s="79">
        <f>297.941</f>
        <v>297.94099999999997</v>
      </c>
      <c r="E540" s="87">
        <f>89.177</f>
        <v>89.177000000000007</v>
      </c>
      <c r="F540" s="79">
        <f>240.302-40-60</f>
        <v>140.30199999999999</v>
      </c>
      <c r="G540" s="81">
        <v>40</v>
      </c>
      <c r="H540" s="79">
        <v>60</v>
      </c>
      <c r="I540" s="79">
        <f t="shared" si="81"/>
        <v>0</v>
      </c>
      <c r="J540" s="81">
        <v>100</v>
      </c>
      <c r="K540" s="81">
        <v>300</v>
      </c>
      <c r="L540" s="79">
        <f t="shared" si="84"/>
        <v>1150</v>
      </c>
      <c r="M540" s="89">
        <v>600</v>
      </c>
      <c r="N540" s="79">
        <f>100</f>
        <v>100</v>
      </c>
      <c r="O540" s="81">
        <v>240</v>
      </c>
      <c r="P540" s="81">
        <v>40</v>
      </c>
      <c r="Q540" s="81">
        <f t="shared" si="85"/>
        <v>315</v>
      </c>
      <c r="R540" s="81">
        <f t="shared" si="86"/>
        <v>100</v>
      </c>
      <c r="S540" s="79">
        <f t="shared" si="87"/>
        <v>695</v>
      </c>
      <c r="T540" s="79">
        <f>50</f>
        <v>50</v>
      </c>
      <c r="U540" s="77"/>
      <c r="V540" s="77"/>
      <c r="W540" s="77"/>
      <c r="X540" s="77"/>
      <c r="Y540" s="77"/>
      <c r="Z540" s="77"/>
      <c r="AA540" s="77"/>
      <c r="AB540" s="77"/>
      <c r="AC540" s="77"/>
      <c r="AD540" s="77"/>
    </row>
    <row r="541" spans="1:30" ht="15.75" x14ac:dyDescent="0.25">
      <c r="A541" s="13">
        <v>57404</v>
      </c>
      <c r="B541" s="90">
        <v>28</v>
      </c>
      <c r="C541" s="79">
        <f>122.58</f>
        <v>122.58</v>
      </c>
      <c r="D541" s="79">
        <f>297.941</f>
        <v>297.94099999999997</v>
      </c>
      <c r="E541" s="87">
        <f>89.177</f>
        <v>89.177000000000007</v>
      </c>
      <c r="F541" s="79">
        <f>240.302-40-60</f>
        <v>140.30199999999999</v>
      </c>
      <c r="G541" s="81">
        <v>40</v>
      </c>
      <c r="H541" s="79">
        <v>60</v>
      </c>
      <c r="I541" s="79">
        <f t="shared" si="81"/>
        <v>0</v>
      </c>
      <c r="J541" s="81">
        <v>100</v>
      </c>
      <c r="K541" s="81">
        <v>300</v>
      </c>
      <c r="L541" s="79">
        <f t="shared" si="84"/>
        <v>1150</v>
      </c>
      <c r="M541" s="89">
        <v>600</v>
      </c>
      <c r="N541" s="79">
        <f>100</f>
        <v>100</v>
      </c>
      <c r="O541" s="81">
        <v>240</v>
      </c>
      <c r="P541" s="81">
        <v>40</v>
      </c>
      <c r="Q541" s="81">
        <f t="shared" si="85"/>
        <v>315</v>
      </c>
      <c r="R541" s="81">
        <f t="shared" si="86"/>
        <v>100</v>
      </c>
      <c r="S541" s="79">
        <f t="shared" si="87"/>
        <v>695</v>
      </c>
      <c r="T541" s="79">
        <f>50</f>
        <v>50</v>
      </c>
      <c r="U541" s="77"/>
      <c r="V541" s="77"/>
      <c r="W541" s="77"/>
      <c r="X541" s="77"/>
      <c r="Y541" s="77"/>
      <c r="Z541" s="77"/>
      <c r="AA541" s="77"/>
      <c r="AB541" s="77"/>
      <c r="AC541" s="77"/>
      <c r="AD541" s="77"/>
    </row>
    <row r="542" spans="1:30" ht="15.75" x14ac:dyDescent="0.25">
      <c r="A542" s="13">
        <v>57435</v>
      </c>
      <c r="B542" s="90">
        <v>31</v>
      </c>
      <c r="C542" s="79">
        <f>122.58</f>
        <v>122.58</v>
      </c>
      <c r="D542" s="79">
        <f>297.941</f>
        <v>297.94099999999997</v>
      </c>
      <c r="E542" s="87">
        <f>89.177</f>
        <v>89.177000000000007</v>
      </c>
      <c r="F542" s="79">
        <f>240.302-40-60</f>
        <v>140.30199999999999</v>
      </c>
      <c r="G542" s="81">
        <v>40</v>
      </c>
      <c r="H542" s="79">
        <v>60</v>
      </c>
      <c r="I542" s="79">
        <f t="shared" si="81"/>
        <v>0</v>
      </c>
      <c r="J542" s="81">
        <v>100</v>
      </c>
      <c r="K542" s="81">
        <v>300</v>
      </c>
      <c r="L542" s="79">
        <f t="shared" si="84"/>
        <v>1150</v>
      </c>
      <c r="M542" s="89">
        <v>600</v>
      </c>
      <c r="N542" s="79">
        <f>100</f>
        <v>100</v>
      </c>
      <c r="O542" s="81">
        <v>240</v>
      </c>
      <c r="P542" s="81">
        <v>40</v>
      </c>
      <c r="Q542" s="81">
        <f t="shared" si="85"/>
        <v>315</v>
      </c>
      <c r="R542" s="81">
        <f t="shared" si="86"/>
        <v>100</v>
      </c>
      <c r="S542" s="79">
        <f t="shared" si="87"/>
        <v>695</v>
      </c>
      <c r="T542" s="79">
        <f>50</f>
        <v>50</v>
      </c>
      <c r="U542" s="77"/>
      <c r="V542" s="77"/>
      <c r="W542" s="77"/>
      <c r="X542" s="77"/>
      <c r="Y542" s="77"/>
      <c r="Z542" s="77"/>
      <c r="AA542" s="77"/>
      <c r="AB542" s="77"/>
      <c r="AC542" s="77"/>
      <c r="AD542" s="77"/>
    </row>
    <row r="543" spans="1:30" ht="15.75" x14ac:dyDescent="0.25">
      <c r="A543" s="13">
        <v>57465</v>
      </c>
      <c r="B543" s="90">
        <v>30</v>
      </c>
      <c r="C543" s="79">
        <f>141.293</f>
        <v>141.29300000000001</v>
      </c>
      <c r="D543" s="79">
        <f>267.993</f>
        <v>267.99299999999999</v>
      </c>
      <c r="E543" s="87">
        <f>115.016</f>
        <v>115.01600000000001</v>
      </c>
      <c r="F543" s="79">
        <f>314.698-40-25-60</f>
        <v>189.69799999999998</v>
      </c>
      <c r="G543" s="81">
        <v>40</v>
      </c>
      <c r="H543" s="79">
        <f t="shared" ref="H543:H549" si="89">25+60</f>
        <v>85</v>
      </c>
      <c r="I543" s="79">
        <f t="shared" si="81"/>
        <v>0</v>
      </c>
      <c r="J543" s="81">
        <v>100</v>
      </c>
      <c r="K543" s="81">
        <v>300</v>
      </c>
      <c r="L543" s="79">
        <f t="shared" si="84"/>
        <v>1239</v>
      </c>
      <c r="M543" s="89">
        <v>600</v>
      </c>
      <c r="N543" s="79">
        <f>100</f>
        <v>100</v>
      </c>
      <c r="O543" s="81">
        <v>240</v>
      </c>
      <c r="P543" s="81">
        <v>160</v>
      </c>
      <c r="Q543" s="81">
        <f t="shared" si="85"/>
        <v>195</v>
      </c>
      <c r="R543" s="81">
        <f t="shared" si="86"/>
        <v>100</v>
      </c>
      <c r="S543" s="79">
        <f t="shared" si="87"/>
        <v>695</v>
      </c>
      <c r="T543" s="79">
        <f>50</f>
        <v>50</v>
      </c>
      <c r="U543" s="77"/>
      <c r="V543" s="77"/>
      <c r="W543" s="77"/>
      <c r="X543" s="77"/>
      <c r="Y543" s="77"/>
      <c r="Z543" s="77"/>
      <c r="AA543" s="77"/>
      <c r="AB543" s="77"/>
      <c r="AC543" s="77"/>
      <c r="AD543" s="77"/>
    </row>
    <row r="544" spans="1:30" ht="15.75" x14ac:dyDescent="0.25">
      <c r="A544" s="13">
        <v>57496</v>
      </c>
      <c r="B544" s="90">
        <v>31</v>
      </c>
      <c r="C544" s="79">
        <f>194.205</f>
        <v>194.20500000000001</v>
      </c>
      <c r="D544" s="79">
        <f>267.466</f>
        <v>267.46600000000001</v>
      </c>
      <c r="E544" s="87">
        <f>133.845</f>
        <v>133.845</v>
      </c>
      <c r="F544" s="79">
        <f>278.484-40-25-60</f>
        <v>153.48399999999998</v>
      </c>
      <c r="G544" s="81">
        <v>40</v>
      </c>
      <c r="H544" s="79">
        <f t="shared" si="89"/>
        <v>85</v>
      </c>
      <c r="I544" s="79">
        <f t="shared" si="81"/>
        <v>0</v>
      </c>
      <c r="J544" s="81">
        <v>100</v>
      </c>
      <c r="K544" s="81">
        <v>300</v>
      </c>
      <c r="L544" s="79">
        <f t="shared" si="84"/>
        <v>1274</v>
      </c>
      <c r="M544" s="89">
        <v>600</v>
      </c>
      <c r="N544" s="79">
        <f>75</f>
        <v>75</v>
      </c>
      <c r="O544" s="81">
        <v>240</v>
      </c>
      <c r="P544" s="81">
        <v>160</v>
      </c>
      <c r="Q544" s="81">
        <f t="shared" si="85"/>
        <v>195</v>
      </c>
      <c r="R544" s="81">
        <f t="shared" si="86"/>
        <v>100</v>
      </c>
      <c r="S544" s="79">
        <f t="shared" si="87"/>
        <v>695</v>
      </c>
      <c r="T544" s="79">
        <f>50</f>
        <v>50</v>
      </c>
      <c r="U544" s="77"/>
      <c r="V544" s="77"/>
      <c r="W544" s="77"/>
      <c r="X544" s="77"/>
      <c r="Y544" s="77"/>
      <c r="Z544" s="77"/>
      <c r="AA544" s="77"/>
      <c r="AB544" s="77"/>
      <c r="AC544" s="77"/>
      <c r="AD544" s="77"/>
    </row>
    <row r="545" spans="1:30" ht="15.75" x14ac:dyDescent="0.25">
      <c r="A545" s="13">
        <v>57526</v>
      </c>
      <c r="B545" s="90">
        <v>30</v>
      </c>
      <c r="C545" s="79">
        <f>194.205</f>
        <v>194.20500000000001</v>
      </c>
      <c r="D545" s="79">
        <f>267.466</f>
        <v>267.46600000000001</v>
      </c>
      <c r="E545" s="87">
        <f>133.845</f>
        <v>133.845</v>
      </c>
      <c r="F545" s="79">
        <f>278.484-40-25-60</f>
        <v>153.48399999999998</v>
      </c>
      <c r="G545" s="81">
        <v>40</v>
      </c>
      <c r="H545" s="79">
        <f t="shared" si="89"/>
        <v>85</v>
      </c>
      <c r="I545" s="79">
        <f t="shared" si="81"/>
        <v>0</v>
      </c>
      <c r="J545" s="81">
        <v>100</v>
      </c>
      <c r="K545" s="81">
        <v>300</v>
      </c>
      <c r="L545" s="79">
        <f t="shared" si="84"/>
        <v>1274</v>
      </c>
      <c r="M545" s="89">
        <v>600</v>
      </c>
      <c r="N545" s="79">
        <f>30</f>
        <v>30</v>
      </c>
      <c r="O545" s="81">
        <v>240</v>
      </c>
      <c r="P545" s="81">
        <v>160</v>
      </c>
      <c r="Q545" s="81">
        <f t="shared" si="85"/>
        <v>195</v>
      </c>
      <c r="R545" s="81">
        <f t="shared" si="86"/>
        <v>100</v>
      </c>
      <c r="S545" s="79">
        <f t="shared" si="87"/>
        <v>695</v>
      </c>
      <c r="T545" s="79">
        <f>50</f>
        <v>50</v>
      </c>
      <c r="U545" s="77"/>
      <c r="V545" s="77"/>
      <c r="W545" s="77"/>
      <c r="X545" s="77"/>
      <c r="Y545" s="77"/>
      <c r="Z545" s="77"/>
      <c r="AA545" s="77"/>
      <c r="AB545" s="77"/>
      <c r="AC545" s="77"/>
      <c r="AD545" s="77"/>
    </row>
    <row r="546" spans="1:30" ht="15.75" x14ac:dyDescent="0.25">
      <c r="A546" s="13">
        <v>57557</v>
      </c>
      <c r="B546" s="90">
        <v>31</v>
      </c>
      <c r="C546" s="79">
        <f>194.205</f>
        <v>194.20500000000001</v>
      </c>
      <c r="D546" s="79">
        <f>267.466</f>
        <v>267.46600000000001</v>
      </c>
      <c r="E546" s="87">
        <f>133.845</f>
        <v>133.845</v>
      </c>
      <c r="F546" s="79">
        <f>278.484-40-25-60</f>
        <v>153.48399999999998</v>
      </c>
      <c r="G546" s="81">
        <v>40</v>
      </c>
      <c r="H546" s="79">
        <f t="shared" si="89"/>
        <v>85</v>
      </c>
      <c r="I546" s="79">
        <f t="shared" si="81"/>
        <v>0</v>
      </c>
      <c r="J546" s="81">
        <v>100</v>
      </c>
      <c r="K546" s="81">
        <v>300</v>
      </c>
      <c r="L546" s="79">
        <f t="shared" si="84"/>
        <v>1274</v>
      </c>
      <c r="M546" s="89">
        <v>600</v>
      </c>
      <c r="N546" s="79">
        <f>30</f>
        <v>30</v>
      </c>
      <c r="O546" s="81">
        <v>240</v>
      </c>
      <c r="P546" s="81">
        <v>160</v>
      </c>
      <c r="Q546" s="81">
        <f t="shared" si="85"/>
        <v>195</v>
      </c>
      <c r="R546" s="81">
        <f t="shared" si="86"/>
        <v>100</v>
      </c>
      <c r="S546" s="79">
        <f t="shared" si="87"/>
        <v>695</v>
      </c>
      <c r="T546" s="79">
        <f>0</f>
        <v>0</v>
      </c>
      <c r="U546" s="77"/>
      <c r="V546" s="77"/>
      <c r="W546" s="77"/>
      <c r="X546" s="77"/>
      <c r="Y546" s="77"/>
      <c r="Z546" s="77"/>
      <c r="AA546" s="77"/>
      <c r="AB546" s="77"/>
      <c r="AC546" s="77"/>
      <c r="AD546" s="77"/>
    </row>
    <row r="547" spans="1:30" ht="15.75" x14ac:dyDescent="0.25">
      <c r="A547" s="13">
        <v>57588</v>
      </c>
      <c r="B547" s="90">
        <v>31</v>
      </c>
      <c r="C547" s="79">
        <f>194.205</f>
        <v>194.20500000000001</v>
      </c>
      <c r="D547" s="79">
        <f>267.466</f>
        <v>267.46600000000001</v>
      </c>
      <c r="E547" s="87">
        <f>133.845</f>
        <v>133.845</v>
      </c>
      <c r="F547" s="79">
        <f>278.484-40-25-60</f>
        <v>153.48399999999998</v>
      </c>
      <c r="G547" s="81">
        <v>40</v>
      </c>
      <c r="H547" s="79">
        <f t="shared" si="89"/>
        <v>85</v>
      </c>
      <c r="I547" s="79">
        <f t="shared" si="81"/>
        <v>0</v>
      </c>
      <c r="J547" s="81">
        <v>100</v>
      </c>
      <c r="K547" s="81">
        <v>300</v>
      </c>
      <c r="L547" s="79">
        <f t="shared" si="84"/>
        <v>1274</v>
      </c>
      <c r="M547" s="89">
        <v>600</v>
      </c>
      <c r="N547" s="79">
        <f>30</f>
        <v>30</v>
      </c>
      <c r="O547" s="81">
        <v>240</v>
      </c>
      <c r="P547" s="81">
        <v>160</v>
      </c>
      <c r="Q547" s="81">
        <f t="shared" si="85"/>
        <v>195</v>
      </c>
      <c r="R547" s="81">
        <f t="shared" si="86"/>
        <v>100</v>
      </c>
      <c r="S547" s="79">
        <f t="shared" si="87"/>
        <v>695</v>
      </c>
      <c r="T547" s="79">
        <f>0</f>
        <v>0</v>
      </c>
      <c r="U547" s="77"/>
      <c r="V547" s="77"/>
      <c r="W547" s="77"/>
      <c r="X547" s="77"/>
      <c r="Y547" s="77"/>
      <c r="Z547" s="77"/>
      <c r="AA547" s="77"/>
      <c r="AB547" s="77"/>
      <c r="AC547" s="77"/>
      <c r="AD547" s="77"/>
    </row>
    <row r="548" spans="1:30" ht="15.75" x14ac:dyDescent="0.25">
      <c r="A548" s="13">
        <v>57618</v>
      </c>
      <c r="B548" s="90">
        <v>30</v>
      </c>
      <c r="C548" s="79">
        <f>194.205</f>
        <v>194.20500000000001</v>
      </c>
      <c r="D548" s="79">
        <f>267.466</f>
        <v>267.46600000000001</v>
      </c>
      <c r="E548" s="87">
        <f>133.845</f>
        <v>133.845</v>
      </c>
      <c r="F548" s="79">
        <f>278.484-40-25-60</f>
        <v>153.48399999999998</v>
      </c>
      <c r="G548" s="81">
        <v>40</v>
      </c>
      <c r="H548" s="79">
        <f t="shared" si="89"/>
        <v>85</v>
      </c>
      <c r="I548" s="79">
        <f t="shared" si="81"/>
        <v>0</v>
      </c>
      <c r="J548" s="81">
        <v>100</v>
      </c>
      <c r="K548" s="81">
        <v>300</v>
      </c>
      <c r="L548" s="79">
        <f t="shared" si="84"/>
        <v>1274</v>
      </c>
      <c r="M548" s="89">
        <v>600</v>
      </c>
      <c r="N548" s="79">
        <f>30</f>
        <v>30</v>
      </c>
      <c r="O548" s="81">
        <v>240</v>
      </c>
      <c r="P548" s="81">
        <v>160</v>
      </c>
      <c r="Q548" s="81">
        <f t="shared" si="85"/>
        <v>195</v>
      </c>
      <c r="R548" s="81">
        <f t="shared" si="86"/>
        <v>100</v>
      </c>
      <c r="S548" s="79">
        <f t="shared" si="87"/>
        <v>695</v>
      </c>
      <c r="T548" s="79">
        <f>0</f>
        <v>0</v>
      </c>
      <c r="U548" s="77"/>
      <c r="V548" s="77"/>
      <c r="W548" s="77"/>
      <c r="X548" s="77"/>
      <c r="Y548" s="77"/>
      <c r="Z548" s="77"/>
      <c r="AA548" s="77"/>
      <c r="AB548" s="77"/>
      <c r="AC548" s="77"/>
      <c r="AD548" s="77"/>
    </row>
    <row r="549" spans="1:30" ht="15.75" x14ac:dyDescent="0.25">
      <c r="A549" s="13">
        <v>57649</v>
      </c>
      <c r="B549" s="90">
        <v>31</v>
      </c>
      <c r="C549" s="79">
        <f>131.881</f>
        <v>131.881</v>
      </c>
      <c r="D549" s="79">
        <f>277.167</f>
        <v>277.16699999999997</v>
      </c>
      <c r="E549" s="87">
        <f>79.08</f>
        <v>79.08</v>
      </c>
      <c r="F549" s="79">
        <f>350.872-40-25-60</f>
        <v>225.87200000000001</v>
      </c>
      <c r="G549" s="81">
        <v>40</v>
      </c>
      <c r="H549" s="79">
        <f t="shared" si="89"/>
        <v>85</v>
      </c>
      <c r="I549" s="79">
        <f t="shared" si="81"/>
        <v>0</v>
      </c>
      <c r="J549" s="81">
        <v>100</v>
      </c>
      <c r="K549" s="81">
        <v>300</v>
      </c>
      <c r="L549" s="79">
        <f t="shared" si="84"/>
        <v>1239</v>
      </c>
      <c r="M549" s="89">
        <v>600</v>
      </c>
      <c r="N549" s="79">
        <f>75</f>
        <v>75</v>
      </c>
      <c r="O549" s="81">
        <v>240</v>
      </c>
      <c r="P549" s="81">
        <v>160</v>
      </c>
      <c r="Q549" s="81">
        <f t="shared" si="85"/>
        <v>195</v>
      </c>
      <c r="R549" s="81">
        <f t="shared" si="86"/>
        <v>100</v>
      </c>
      <c r="S549" s="79">
        <f t="shared" si="87"/>
        <v>695</v>
      </c>
      <c r="T549" s="79">
        <f>0</f>
        <v>0</v>
      </c>
      <c r="U549" s="77"/>
      <c r="V549" s="77"/>
      <c r="W549" s="77"/>
      <c r="X549" s="77"/>
      <c r="Y549" s="77"/>
      <c r="Z549" s="77"/>
      <c r="AA549" s="77"/>
      <c r="AB549" s="77"/>
      <c r="AC549" s="77"/>
      <c r="AD549" s="77"/>
    </row>
    <row r="550" spans="1:30" ht="15.75" x14ac:dyDescent="0.25">
      <c r="A550" s="13">
        <v>57679</v>
      </c>
      <c r="B550" s="90">
        <v>30</v>
      </c>
      <c r="C550" s="79">
        <f>122.58</f>
        <v>122.58</v>
      </c>
      <c r="D550" s="79">
        <f>297.941</f>
        <v>297.94099999999997</v>
      </c>
      <c r="E550" s="87">
        <f>89.177</f>
        <v>89.177000000000007</v>
      </c>
      <c r="F550" s="79">
        <f>240.302-40-60</f>
        <v>140.30199999999999</v>
      </c>
      <c r="G550" s="81">
        <v>40</v>
      </c>
      <c r="H550" s="79">
        <v>60</v>
      </c>
      <c r="I550" s="79">
        <f t="shared" si="81"/>
        <v>0</v>
      </c>
      <c r="J550" s="81">
        <v>100</v>
      </c>
      <c r="K550" s="81">
        <v>300</v>
      </c>
      <c r="L550" s="79">
        <f t="shared" si="84"/>
        <v>1150</v>
      </c>
      <c r="M550" s="89">
        <v>600</v>
      </c>
      <c r="N550" s="79">
        <f>100</f>
        <v>100</v>
      </c>
      <c r="O550" s="81">
        <v>240</v>
      </c>
      <c r="P550" s="81">
        <v>40</v>
      </c>
      <c r="Q550" s="81">
        <f t="shared" si="85"/>
        <v>315</v>
      </c>
      <c r="R550" s="81">
        <f t="shared" si="86"/>
        <v>100</v>
      </c>
      <c r="S550" s="79">
        <f t="shared" si="87"/>
        <v>695</v>
      </c>
      <c r="T550" s="79">
        <f>50</f>
        <v>50</v>
      </c>
      <c r="U550" s="77"/>
      <c r="V550" s="77"/>
      <c r="W550" s="77"/>
      <c r="X550" s="77"/>
      <c r="Y550" s="77"/>
      <c r="Z550" s="77"/>
      <c r="AA550" s="77"/>
      <c r="AB550" s="77"/>
      <c r="AC550" s="77"/>
      <c r="AD550" s="77"/>
    </row>
    <row r="551" spans="1:30" ht="15.75" x14ac:dyDescent="0.25">
      <c r="A551" s="13">
        <v>57710</v>
      </c>
      <c r="B551" s="90">
        <v>31</v>
      </c>
      <c r="C551" s="79">
        <f>122.58</f>
        <v>122.58</v>
      </c>
      <c r="D551" s="79">
        <f>297.941</f>
        <v>297.94099999999997</v>
      </c>
      <c r="E551" s="87">
        <f>89.177</f>
        <v>89.177000000000007</v>
      </c>
      <c r="F551" s="79">
        <f>240.302-40-60</f>
        <v>140.30199999999999</v>
      </c>
      <c r="G551" s="81">
        <v>40</v>
      </c>
      <c r="H551" s="79">
        <v>60</v>
      </c>
      <c r="I551" s="79">
        <f t="shared" si="81"/>
        <v>0</v>
      </c>
      <c r="J551" s="81">
        <v>100</v>
      </c>
      <c r="K551" s="81">
        <v>300</v>
      </c>
      <c r="L551" s="79">
        <f t="shared" si="84"/>
        <v>1150</v>
      </c>
      <c r="M551" s="89">
        <v>600</v>
      </c>
      <c r="N551" s="79">
        <f>100</f>
        <v>100</v>
      </c>
      <c r="O551" s="81">
        <v>240</v>
      </c>
      <c r="P551" s="81">
        <v>40</v>
      </c>
      <c r="Q551" s="81">
        <f t="shared" si="85"/>
        <v>315</v>
      </c>
      <c r="R551" s="81">
        <f t="shared" si="86"/>
        <v>100</v>
      </c>
      <c r="S551" s="79">
        <f t="shared" si="87"/>
        <v>695</v>
      </c>
      <c r="T551" s="79">
        <f>50</f>
        <v>50</v>
      </c>
      <c r="U551" s="77"/>
      <c r="V551" s="77"/>
      <c r="W551" s="77"/>
      <c r="X551" s="77"/>
      <c r="Y551" s="77"/>
      <c r="Z551" s="77"/>
      <c r="AA551" s="77"/>
      <c r="AB551" s="77"/>
      <c r="AC551" s="77"/>
      <c r="AD551" s="77"/>
    </row>
    <row r="552" spans="1:30" ht="15.75" x14ac:dyDescent="0.25">
      <c r="A552" s="13">
        <v>57741</v>
      </c>
      <c r="B552" s="90">
        <v>31</v>
      </c>
      <c r="C552" s="79">
        <f>122.58</f>
        <v>122.58</v>
      </c>
      <c r="D552" s="79">
        <f>297.941</f>
        <v>297.94099999999997</v>
      </c>
      <c r="E552" s="87">
        <f>89.177</f>
        <v>89.177000000000007</v>
      </c>
      <c r="F552" s="79">
        <f>240.302-40-60</f>
        <v>140.30199999999999</v>
      </c>
      <c r="G552" s="81">
        <v>40</v>
      </c>
      <c r="H552" s="79">
        <v>60</v>
      </c>
      <c r="I552" s="79">
        <f t="shared" si="81"/>
        <v>0</v>
      </c>
      <c r="J552" s="81">
        <v>100</v>
      </c>
      <c r="K552" s="81">
        <v>300</v>
      </c>
      <c r="L552" s="79">
        <f t="shared" si="84"/>
        <v>1150</v>
      </c>
      <c r="M552" s="89">
        <v>600</v>
      </c>
      <c r="N552" s="79">
        <f>100</f>
        <v>100</v>
      </c>
      <c r="O552" s="81">
        <v>240</v>
      </c>
      <c r="P552" s="81">
        <v>40</v>
      </c>
      <c r="Q552" s="81">
        <f t="shared" si="85"/>
        <v>315</v>
      </c>
      <c r="R552" s="81">
        <f t="shared" si="86"/>
        <v>100</v>
      </c>
      <c r="S552" s="79">
        <f t="shared" si="87"/>
        <v>695</v>
      </c>
      <c r="T552" s="79">
        <f>50</f>
        <v>50</v>
      </c>
      <c r="U552" s="77"/>
      <c r="V552" s="77"/>
      <c r="W552" s="77"/>
      <c r="X552" s="77"/>
      <c r="Y552" s="77"/>
      <c r="Z552" s="77"/>
      <c r="AA552" s="77"/>
      <c r="AB552" s="77"/>
      <c r="AC552" s="77"/>
      <c r="AD552" s="77"/>
    </row>
    <row r="553" spans="1:30" ht="15.75" x14ac:dyDescent="0.25">
      <c r="A553" s="13">
        <v>57769</v>
      </c>
      <c r="B553" s="90">
        <v>28</v>
      </c>
      <c r="C553" s="79">
        <f>122.58</f>
        <v>122.58</v>
      </c>
      <c r="D553" s="79">
        <f>297.941</f>
        <v>297.94099999999997</v>
      </c>
      <c r="E553" s="87">
        <f>89.177</f>
        <v>89.177000000000007</v>
      </c>
      <c r="F553" s="79">
        <f>240.302-40-60</f>
        <v>140.30199999999999</v>
      </c>
      <c r="G553" s="81">
        <v>40</v>
      </c>
      <c r="H553" s="79">
        <v>60</v>
      </c>
      <c r="I553" s="79">
        <f t="shared" si="81"/>
        <v>0</v>
      </c>
      <c r="J553" s="81">
        <v>100</v>
      </c>
      <c r="K553" s="81">
        <v>300</v>
      </c>
      <c r="L553" s="79">
        <f t="shared" si="84"/>
        <v>1150</v>
      </c>
      <c r="M553" s="89">
        <v>600</v>
      </c>
      <c r="N553" s="79">
        <f>100</f>
        <v>100</v>
      </c>
      <c r="O553" s="81">
        <v>240</v>
      </c>
      <c r="P553" s="81">
        <v>40</v>
      </c>
      <c r="Q553" s="81">
        <f t="shared" si="85"/>
        <v>315</v>
      </c>
      <c r="R553" s="81">
        <f t="shared" si="86"/>
        <v>100</v>
      </c>
      <c r="S553" s="79">
        <f t="shared" si="87"/>
        <v>695</v>
      </c>
      <c r="T553" s="79">
        <f>50</f>
        <v>50</v>
      </c>
      <c r="U553" s="77"/>
      <c r="V553" s="77"/>
      <c r="W553" s="77"/>
      <c r="X553" s="77"/>
      <c r="Y553" s="77"/>
      <c r="Z553" s="77"/>
      <c r="AA553" s="77"/>
      <c r="AB553" s="77"/>
      <c r="AC553" s="77"/>
      <c r="AD553" s="77"/>
    </row>
    <row r="554" spans="1:30" ht="15.75" x14ac:dyDescent="0.25">
      <c r="A554" s="13">
        <v>57800</v>
      </c>
      <c r="B554" s="90">
        <v>31</v>
      </c>
      <c r="C554" s="79">
        <f>122.58</f>
        <v>122.58</v>
      </c>
      <c r="D554" s="79">
        <f>297.941</f>
        <v>297.94099999999997</v>
      </c>
      <c r="E554" s="87">
        <f>89.177</f>
        <v>89.177000000000007</v>
      </c>
      <c r="F554" s="79">
        <f>240.302-40-60</f>
        <v>140.30199999999999</v>
      </c>
      <c r="G554" s="81">
        <v>40</v>
      </c>
      <c r="H554" s="79">
        <v>60</v>
      </c>
      <c r="I554" s="79">
        <f t="shared" si="81"/>
        <v>0</v>
      </c>
      <c r="J554" s="81">
        <v>100</v>
      </c>
      <c r="K554" s="81">
        <v>300</v>
      </c>
      <c r="L554" s="79">
        <f t="shared" si="84"/>
        <v>1150</v>
      </c>
      <c r="M554" s="89">
        <v>600</v>
      </c>
      <c r="N554" s="79">
        <f>100</f>
        <v>100</v>
      </c>
      <c r="O554" s="81">
        <v>240</v>
      </c>
      <c r="P554" s="81">
        <v>40</v>
      </c>
      <c r="Q554" s="81">
        <f t="shared" si="85"/>
        <v>315</v>
      </c>
      <c r="R554" s="81">
        <f t="shared" si="86"/>
        <v>100</v>
      </c>
      <c r="S554" s="79">
        <f t="shared" si="87"/>
        <v>695</v>
      </c>
      <c r="T554" s="79">
        <f>50</f>
        <v>50</v>
      </c>
      <c r="U554" s="77"/>
      <c r="V554" s="77"/>
      <c r="W554" s="77"/>
      <c r="X554" s="77"/>
      <c r="Y554" s="77"/>
      <c r="Z554" s="77"/>
      <c r="AA554" s="77"/>
      <c r="AB554" s="77"/>
      <c r="AC554" s="77"/>
      <c r="AD554" s="77"/>
    </row>
    <row r="555" spans="1:30" ht="15.75" x14ac:dyDescent="0.25">
      <c r="A555" s="13">
        <v>57830</v>
      </c>
      <c r="B555" s="90">
        <v>30</v>
      </c>
      <c r="C555" s="79">
        <f>141.293</f>
        <v>141.29300000000001</v>
      </c>
      <c r="D555" s="79">
        <f>267.993</f>
        <v>267.99299999999999</v>
      </c>
      <c r="E555" s="87">
        <f>115.016</f>
        <v>115.01600000000001</v>
      </c>
      <c r="F555" s="79">
        <f>314.698-40-25-60</f>
        <v>189.69799999999998</v>
      </c>
      <c r="G555" s="81">
        <v>40</v>
      </c>
      <c r="H555" s="79">
        <f t="shared" ref="H555:H561" si="90">25+60</f>
        <v>85</v>
      </c>
      <c r="I555" s="79">
        <f t="shared" si="81"/>
        <v>0</v>
      </c>
      <c r="J555" s="81">
        <v>100</v>
      </c>
      <c r="K555" s="81">
        <v>300</v>
      </c>
      <c r="L555" s="79">
        <f t="shared" si="84"/>
        <v>1239</v>
      </c>
      <c r="M555" s="89">
        <v>600</v>
      </c>
      <c r="N555" s="79">
        <f>100</f>
        <v>100</v>
      </c>
      <c r="O555" s="81">
        <v>240</v>
      </c>
      <c r="P555" s="81">
        <v>160</v>
      </c>
      <c r="Q555" s="81">
        <f t="shared" si="85"/>
        <v>195</v>
      </c>
      <c r="R555" s="81">
        <f t="shared" si="86"/>
        <v>100</v>
      </c>
      <c r="S555" s="79">
        <f t="shared" si="87"/>
        <v>695</v>
      </c>
      <c r="T555" s="79">
        <f>50</f>
        <v>50</v>
      </c>
      <c r="U555" s="77"/>
      <c r="V555" s="77"/>
      <c r="W555" s="77"/>
      <c r="X555" s="77"/>
      <c r="Y555" s="77"/>
      <c r="Z555" s="77"/>
      <c r="AA555" s="77"/>
      <c r="AB555" s="77"/>
      <c r="AC555" s="77"/>
      <c r="AD555" s="77"/>
    </row>
    <row r="556" spans="1:30" ht="15.75" x14ac:dyDescent="0.25">
      <c r="A556" s="13">
        <v>57861</v>
      </c>
      <c r="B556" s="90">
        <v>31</v>
      </c>
      <c r="C556" s="79">
        <f>194.205</f>
        <v>194.20500000000001</v>
      </c>
      <c r="D556" s="79">
        <f>267.466</f>
        <v>267.46600000000001</v>
      </c>
      <c r="E556" s="87">
        <f>133.845</f>
        <v>133.845</v>
      </c>
      <c r="F556" s="79">
        <f>278.484-40-25-60</f>
        <v>153.48399999999998</v>
      </c>
      <c r="G556" s="81">
        <v>40</v>
      </c>
      <c r="H556" s="79">
        <f t="shared" si="90"/>
        <v>85</v>
      </c>
      <c r="I556" s="79">
        <f t="shared" si="81"/>
        <v>0</v>
      </c>
      <c r="J556" s="81">
        <v>100</v>
      </c>
      <c r="K556" s="81">
        <v>300</v>
      </c>
      <c r="L556" s="79">
        <f t="shared" si="84"/>
        <v>1274</v>
      </c>
      <c r="M556" s="89">
        <v>600</v>
      </c>
      <c r="N556" s="79">
        <f>75</f>
        <v>75</v>
      </c>
      <c r="O556" s="81">
        <v>240</v>
      </c>
      <c r="P556" s="81">
        <v>160</v>
      </c>
      <c r="Q556" s="81">
        <f t="shared" si="85"/>
        <v>195</v>
      </c>
      <c r="R556" s="81">
        <f t="shared" si="86"/>
        <v>100</v>
      </c>
      <c r="S556" s="79">
        <f t="shared" si="87"/>
        <v>695</v>
      </c>
      <c r="T556" s="79">
        <f>50</f>
        <v>50</v>
      </c>
      <c r="U556" s="77"/>
      <c r="V556" s="77"/>
      <c r="W556" s="77"/>
      <c r="X556" s="77"/>
      <c r="Y556" s="77"/>
      <c r="Z556" s="77"/>
      <c r="AA556" s="77"/>
      <c r="AB556" s="77"/>
      <c r="AC556" s="77"/>
      <c r="AD556" s="77"/>
    </row>
    <row r="557" spans="1:30" ht="15.75" x14ac:dyDescent="0.25">
      <c r="A557" s="13">
        <v>57891</v>
      </c>
      <c r="B557" s="90">
        <v>30</v>
      </c>
      <c r="C557" s="79">
        <f>194.205</f>
        <v>194.20500000000001</v>
      </c>
      <c r="D557" s="79">
        <f>267.466</f>
        <v>267.46600000000001</v>
      </c>
      <c r="E557" s="87">
        <f>133.845</f>
        <v>133.845</v>
      </c>
      <c r="F557" s="79">
        <f>278.484-40-25-60</f>
        <v>153.48399999999998</v>
      </c>
      <c r="G557" s="81">
        <v>40</v>
      </c>
      <c r="H557" s="79">
        <f t="shared" si="90"/>
        <v>85</v>
      </c>
      <c r="I557" s="79">
        <f t="shared" si="81"/>
        <v>0</v>
      </c>
      <c r="J557" s="81">
        <v>100</v>
      </c>
      <c r="K557" s="81">
        <v>300</v>
      </c>
      <c r="L557" s="79">
        <f t="shared" si="84"/>
        <v>1274</v>
      </c>
      <c r="M557" s="89">
        <v>600</v>
      </c>
      <c r="N557" s="79">
        <f>30</f>
        <v>30</v>
      </c>
      <c r="O557" s="81">
        <v>240</v>
      </c>
      <c r="P557" s="81">
        <v>160</v>
      </c>
      <c r="Q557" s="81">
        <f t="shared" si="85"/>
        <v>195</v>
      </c>
      <c r="R557" s="81">
        <f t="shared" si="86"/>
        <v>100</v>
      </c>
      <c r="S557" s="79">
        <f t="shared" si="87"/>
        <v>695</v>
      </c>
      <c r="T557" s="79">
        <f>50</f>
        <v>50</v>
      </c>
      <c r="U557" s="77"/>
      <c r="V557" s="77"/>
      <c r="W557" s="77"/>
      <c r="X557" s="77"/>
      <c r="Y557" s="77"/>
      <c r="Z557" s="77"/>
      <c r="AA557" s="77"/>
      <c r="AB557" s="77"/>
      <c r="AC557" s="77"/>
      <c r="AD557" s="77"/>
    </row>
    <row r="558" spans="1:30" ht="15.75" x14ac:dyDescent="0.25">
      <c r="A558" s="13">
        <v>57922</v>
      </c>
      <c r="B558" s="90">
        <v>31</v>
      </c>
      <c r="C558" s="79">
        <f>194.205</f>
        <v>194.20500000000001</v>
      </c>
      <c r="D558" s="79">
        <f>267.466</f>
        <v>267.46600000000001</v>
      </c>
      <c r="E558" s="87">
        <f>133.845</f>
        <v>133.845</v>
      </c>
      <c r="F558" s="79">
        <f>278.484-40-25-60</f>
        <v>153.48399999999998</v>
      </c>
      <c r="G558" s="81">
        <v>40</v>
      </c>
      <c r="H558" s="79">
        <f t="shared" si="90"/>
        <v>85</v>
      </c>
      <c r="I558" s="79">
        <f t="shared" si="81"/>
        <v>0</v>
      </c>
      <c r="J558" s="81">
        <v>100</v>
      </c>
      <c r="K558" s="81">
        <v>300</v>
      </c>
      <c r="L558" s="79">
        <f t="shared" si="84"/>
        <v>1274</v>
      </c>
      <c r="M558" s="89">
        <v>600</v>
      </c>
      <c r="N558" s="79">
        <f>30</f>
        <v>30</v>
      </c>
      <c r="O558" s="81">
        <v>240</v>
      </c>
      <c r="P558" s="81">
        <v>160</v>
      </c>
      <c r="Q558" s="81">
        <f t="shared" si="85"/>
        <v>195</v>
      </c>
      <c r="R558" s="81">
        <f t="shared" si="86"/>
        <v>100</v>
      </c>
      <c r="S558" s="79">
        <f t="shared" si="87"/>
        <v>695</v>
      </c>
      <c r="T558" s="79">
        <f>0</f>
        <v>0</v>
      </c>
      <c r="U558" s="77"/>
      <c r="V558" s="77"/>
      <c r="W558" s="77"/>
      <c r="X558" s="77"/>
      <c r="Y558" s="77"/>
      <c r="Z558" s="77"/>
      <c r="AA558" s="77"/>
      <c r="AB558" s="77"/>
      <c r="AC558" s="77"/>
      <c r="AD558" s="77"/>
    </row>
    <row r="559" spans="1:30" ht="15.75" x14ac:dyDescent="0.25">
      <c r="A559" s="13">
        <v>57953</v>
      </c>
      <c r="B559" s="90">
        <v>31</v>
      </c>
      <c r="C559" s="79">
        <f>194.205</f>
        <v>194.20500000000001</v>
      </c>
      <c r="D559" s="79">
        <f>267.466</f>
        <v>267.46600000000001</v>
      </c>
      <c r="E559" s="87">
        <f>133.845</f>
        <v>133.845</v>
      </c>
      <c r="F559" s="79">
        <f>278.484-40-25-60</f>
        <v>153.48399999999998</v>
      </c>
      <c r="G559" s="81">
        <v>40</v>
      </c>
      <c r="H559" s="79">
        <f t="shared" si="90"/>
        <v>85</v>
      </c>
      <c r="I559" s="79">
        <f t="shared" si="81"/>
        <v>0</v>
      </c>
      <c r="J559" s="81">
        <v>100</v>
      </c>
      <c r="K559" s="81">
        <v>300</v>
      </c>
      <c r="L559" s="79">
        <f t="shared" si="84"/>
        <v>1274</v>
      </c>
      <c r="M559" s="89">
        <v>600</v>
      </c>
      <c r="N559" s="79">
        <f>30</f>
        <v>30</v>
      </c>
      <c r="O559" s="81">
        <v>240</v>
      </c>
      <c r="P559" s="81">
        <v>160</v>
      </c>
      <c r="Q559" s="81">
        <f t="shared" si="85"/>
        <v>195</v>
      </c>
      <c r="R559" s="81">
        <f t="shared" si="86"/>
        <v>100</v>
      </c>
      <c r="S559" s="79">
        <f t="shared" si="87"/>
        <v>695</v>
      </c>
      <c r="T559" s="79">
        <f>0</f>
        <v>0</v>
      </c>
      <c r="U559" s="77"/>
      <c r="V559" s="77"/>
      <c r="W559" s="77"/>
      <c r="X559" s="77"/>
      <c r="Y559" s="77"/>
      <c r="Z559" s="77"/>
      <c r="AA559" s="77"/>
      <c r="AB559" s="77"/>
      <c r="AC559" s="77"/>
      <c r="AD559" s="77"/>
    </row>
    <row r="560" spans="1:30" ht="15.75" x14ac:dyDescent="0.25">
      <c r="A560" s="13">
        <v>57983</v>
      </c>
      <c r="B560" s="90">
        <v>30</v>
      </c>
      <c r="C560" s="79">
        <f>194.205</f>
        <v>194.20500000000001</v>
      </c>
      <c r="D560" s="79">
        <f>267.466</f>
        <v>267.46600000000001</v>
      </c>
      <c r="E560" s="87">
        <f>133.845</f>
        <v>133.845</v>
      </c>
      <c r="F560" s="79">
        <f>278.484-40-25-60</f>
        <v>153.48399999999998</v>
      </c>
      <c r="G560" s="81">
        <v>40</v>
      </c>
      <c r="H560" s="79">
        <f t="shared" si="90"/>
        <v>85</v>
      </c>
      <c r="I560" s="79">
        <f t="shared" si="81"/>
        <v>0</v>
      </c>
      <c r="J560" s="81">
        <v>100</v>
      </c>
      <c r="K560" s="81">
        <v>300</v>
      </c>
      <c r="L560" s="79">
        <f t="shared" si="84"/>
        <v>1274</v>
      </c>
      <c r="M560" s="89">
        <v>600</v>
      </c>
      <c r="N560" s="79">
        <f>30</f>
        <v>30</v>
      </c>
      <c r="O560" s="81">
        <v>240</v>
      </c>
      <c r="P560" s="81">
        <v>160</v>
      </c>
      <c r="Q560" s="81">
        <f t="shared" si="85"/>
        <v>195</v>
      </c>
      <c r="R560" s="81">
        <f t="shared" si="86"/>
        <v>100</v>
      </c>
      <c r="S560" s="79">
        <f t="shared" si="87"/>
        <v>695</v>
      </c>
      <c r="T560" s="79">
        <f>0</f>
        <v>0</v>
      </c>
      <c r="U560" s="77"/>
      <c r="V560" s="77"/>
      <c r="W560" s="77"/>
      <c r="X560" s="77"/>
      <c r="Y560" s="77"/>
      <c r="Z560" s="77"/>
      <c r="AA560" s="77"/>
      <c r="AB560" s="77"/>
      <c r="AC560" s="77"/>
      <c r="AD560" s="77"/>
    </row>
    <row r="561" spans="1:30" ht="15.75" x14ac:dyDescent="0.25">
      <c r="A561" s="13">
        <v>58014</v>
      </c>
      <c r="B561" s="90">
        <v>31</v>
      </c>
      <c r="C561" s="79">
        <f>131.881</f>
        <v>131.881</v>
      </c>
      <c r="D561" s="79">
        <f>277.167</f>
        <v>277.16699999999997</v>
      </c>
      <c r="E561" s="87">
        <f>79.08</f>
        <v>79.08</v>
      </c>
      <c r="F561" s="79">
        <f>350.872-40-25-60</f>
        <v>225.87200000000001</v>
      </c>
      <c r="G561" s="81">
        <v>40</v>
      </c>
      <c r="H561" s="79">
        <f t="shared" si="90"/>
        <v>85</v>
      </c>
      <c r="I561" s="79">
        <f t="shared" si="81"/>
        <v>0</v>
      </c>
      <c r="J561" s="81">
        <v>100</v>
      </c>
      <c r="K561" s="81">
        <v>300</v>
      </c>
      <c r="L561" s="79">
        <f t="shared" si="84"/>
        <v>1239</v>
      </c>
      <c r="M561" s="89">
        <v>600</v>
      </c>
      <c r="N561" s="79">
        <f>75</f>
        <v>75</v>
      </c>
      <c r="O561" s="81">
        <v>240</v>
      </c>
      <c r="P561" s="81">
        <v>160</v>
      </c>
      <c r="Q561" s="81">
        <f t="shared" si="85"/>
        <v>195</v>
      </c>
      <c r="R561" s="81">
        <f t="shared" si="86"/>
        <v>100</v>
      </c>
      <c r="S561" s="79">
        <f t="shared" si="87"/>
        <v>695</v>
      </c>
      <c r="T561" s="79">
        <f>0</f>
        <v>0</v>
      </c>
      <c r="U561" s="77"/>
      <c r="V561" s="77"/>
      <c r="W561" s="77"/>
      <c r="X561" s="77"/>
      <c r="Y561" s="77"/>
      <c r="Z561" s="77"/>
      <c r="AA561" s="77"/>
      <c r="AB561" s="77"/>
      <c r="AC561" s="77"/>
      <c r="AD561" s="77"/>
    </row>
    <row r="562" spans="1:30" ht="15.75" x14ac:dyDescent="0.25">
      <c r="A562" s="13">
        <v>58044</v>
      </c>
      <c r="B562" s="90">
        <v>30</v>
      </c>
      <c r="C562" s="79">
        <f>122.58</f>
        <v>122.58</v>
      </c>
      <c r="D562" s="79">
        <f>297.941</f>
        <v>297.94099999999997</v>
      </c>
      <c r="E562" s="87">
        <f>89.177</f>
        <v>89.177000000000007</v>
      </c>
      <c r="F562" s="79">
        <f>240.302-40-60</f>
        <v>140.30199999999999</v>
      </c>
      <c r="G562" s="81">
        <v>40</v>
      </c>
      <c r="H562" s="79">
        <v>60</v>
      </c>
      <c r="I562" s="79">
        <f t="shared" si="81"/>
        <v>0</v>
      </c>
      <c r="J562" s="81">
        <v>100</v>
      </c>
      <c r="K562" s="81">
        <v>300</v>
      </c>
      <c r="L562" s="79">
        <f t="shared" si="84"/>
        <v>1150</v>
      </c>
      <c r="M562" s="89">
        <v>600</v>
      </c>
      <c r="N562" s="79">
        <f>100</f>
        <v>100</v>
      </c>
      <c r="O562" s="81">
        <v>240</v>
      </c>
      <c r="P562" s="81">
        <v>40</v>
      </c>
      <c r="Q562" s="81">
        <f t="shared" si="85"/>
        <v>315</v>
      </c>
      <c r="R562" s="81">
        <f t="shared" si="86"/>
        <v>100</v>
      </c>
      <c r="S562" s="79">
        <f t="shared" si="87"/>
        <v>695</v>
      </c>
      <c r="T562" s="79">
        <f>50</f>
        <v>50</v>
      </c>
      <c r="U562" s="77"/>
      <c r="V562" s="77"/>
      <c r="W562" s="77"/>
      <c r="X562" s="77"/>
      <c r="Y562" s="77"/>
      <c r="Z562" s="77"/>
      <c r="AA562" s="77"/>
      <c r="AB562" s="77"/>
      <c r="AC562" s="77"/>
      <c r="AD562" s="77"/>
    </row>
    <row r="563" spans="1:30" ht="15.75" x14ac:dyDescent="0.25">
      <c r="A563" s="13">
        <v>58075</v>
      </c>
      <c r="B563" s="90">
        <v>31</v>
      </c>
      <c r="C563" s="79">
        <f>122.58</f>
        <v>122.58</v>
      </c>
      <c r="D563" s="79">
        <f>297.941</f>
        <v>297.94099999999997</v>
      </c>
      <c r="E563" s="87">
        <f>89.177</f>
        <v>89.177000000000007</v>
      </c>
      <c r="F563" s="79">
        <f>240.302-40-60</f>
        <v>140.30199999999999</v>
      </c>
      <c r="G563" s="81">
        <v>40</v>
      </c>
      <c r="H563" s="79">
        <v>60</v>
      </c>
      <c r="I563" s="79">
        <f t="shared" si="81"/>
        <v>0</v>
      </c>
      <c r="J563" s="81">
        <v>100</v>
      </c>
      <c r="K563" s="81">
        <v>300</v>
      </c>
      <c r="L563" s="79">
        <f t="shared" si="84"/>
        <v>1150</v>
      </c>
      <c r="M563" s="89">
        <v>600</v>
      </c>
      <c r="N563" s="79">
        <f>100</f>
        <v>100</v>
      </c>
      <c r="O563" s="81">
        <v>240</v>
      </c>
      <c r="P563" s="81">
        <v>40</v>
      </c>
      <c r="Q563" s="81">
        <f t="shared" si="85"/>
        <v>315</v>
      </c>
      <c r="R563" s="81">
        <f t="shared" si="86"/>
        <v>100</v>
      </c>
      <c r="S563" s="79">
        <f t="shared" si="87"/>
        <v>695</v>
      </c>
      <c r="T563" s="79">
        <f>50</f>
        <v>50</v>
      </c>
      <c r="U563" s="77"/>
      <c r="V563" s="77"/>
      <c r="W563" s="77"/>
      <c r="X563" s="77"/>
      <c r="Y563" s="77"/>
      <c r="Z563" s="77"/>
      <c r="AA563" s="77"/>
      <c r="AB563" s="77"/>
      <c r="AC563" s="77"/>
      <c r="AD563" s="77"/>
    </row>
    <row r="564" spans="1:30" ht="15.75" x14ac:dyDescent="0.25">
      <c r="A564" s="13">
        <v>58106</v>
      </c>
      <c r="B564" s="90">
        <v>31</v>
      </c>
      <c r="C564" s="79">
        <f>122.58</f>
        <v>122.58</v>
      </c>
      <c r="D564" s="79">
        <f>297.941</f>
        <v>297.94099999999997</v>
      </c>
      <c r="E564" s="87">
        <f>89.177</f>
        <v>89.177000000000007</v>
      </c>
      <c r="F564" s="79">
        <f>240.302-40-60</f>
        <v>140.30199999999999</v>
      </c>
      <c r="G564" s="81">
        <v>40</v>
      </c>
      <c r="H564" s="79">
        <v>60</v>
      </c>
      <c r="I564" s="79">
        <f t="shared" ref="I564:I599" si="91">400-J564-K564</f>
        <v>0</v>
      </c>
      <c r="J564" s="81">
        <v>100</v>
      </c>
      <c r="K564" s="81">
        <v>300</v>
      </c>
      <c r="L564" s="79">
        <f t="shared" si="84"/>
        <v>1150</v>
      </c>
      <c r="M564" s="89">
        <v>600</v>
      </c>
      <c r="N564" s="79">
        <f>100</f>
        <v>100</v>
      </c>
      <c r="O564" s="81">
        <v>240</v>
      </c>
      <c r="P564" s="81">
        <v>40</v>
      </c>
      <c r="Q564" s="81">
        <f t="shared" si="85"/>
        <v>315</v>
      </c>
      <c r="R564" s="81">
        <f t="shared" si="86"/>
        <v>100</v>
      </c>
      <c r="S564" s="79">
        <f t="shared" si="87"/>
        <v>695</v>
      </c>
      <c r="T564" s="79">
        <f>50</f>
        <v>50</v>
      </c>
      <c r="U564" s="77"/>
      <c r="V564" s="77"/>
      <c r="W564" s="77"/>
      <c r="X564" s="77"/>
      <c r="Y564" s="77"/>
      <c r="Z564" s="77"/>
      <c r="AA564" s="77"/>
      <c r="AB564" s="77"/>
      <c r="AC564" s="77"/>
      <c r="AD564" s="77"/>
    </row>
    <row r="565" spans="1:30" ht="15.75" x14ac:dyDescent="0.25">
      <c r="A565" s="13">
        <v>58134</v>
      </c>
      <c r="B565" s="90">
        <v>28</v>
      </c>
      <c r="C565" s="79">
        <f>122.58</f>
        <v>122.58</v>
      </c>
      <c r="D565" s="79">
        <f>297.941</f>
        <v>297.94099999999997</v>
      </c>
      <c r="E565" s="87">
        <f>89.177</f>
        <v>89.177000000000007</v>
      </c>
      <c r="F565" s="79">
        <f>240.302-40-60</f>
        <v>140.30199999999999</v>
      </c>
      <c r="G565" s="81">
        <v>40</v>
      </c>
      <c r="H565" s="79">
        <v>60</v>
      </c>
      <c r="I565" s="79">
        <f t="shared" si="91"/>
        <v>0</v>
      </c>
      <c r="J565" s="81">
        <v>100</v>
      </c>
      <c r="K565" s="81">
        <v>300</v>
      </c>
      <c r="L565" s="79">
        <f t="shared" si="84"/>
        <v>1150</v>
      </c>
      <c r="M565" s="89">
        <v>600</v>
      </c>
      <c r="N565" s="79">
        <f>100</f>
        <v>100</v>
      </c>
      <c r="O565" s="81">
        <v>240</v>
      </c>
      <c r="P565" s="81">
        <v>40</v>
      </c>
      <c r="Q565" s="81">
        <f t="shared" si="85"/>
        <v>315</v>
      </c>
      <c r="R565" s="81">
        <f t="shared" si="86"/>
        <v>100</v>
      </c>
      <c r="S565" s="79">
        <f t="shared" si="87"/>
        <v>695</v>
      </c>
      <c r="T565" s="79">
        <f>50</f>
        <v>50</v>
      </c>
      <c r="U565" s="77"/>
      <c r="V565" s="77"/>
      <c r="W565" s="77"/>
      <c r="X565" s="77"/>
      <c r="Y565" s="77"/>
      <c r="Z565" s="77"/>
      <c r="AA565" s="77"/>
      <c r="AB565" s="77"/>
      <c r="AC565" s="77"/>
      <c r="AD565" s="77"/>
    </row>
    <row r="566" spans="1:30" ht="15.75" x14ac:dyDescent="0.25">
      <c r="A566" s="13">
        <v>58165</v>
      </c>
      <c r="B566" s="90">
        <v>31</v>
      </c>
      <c r="C566" s="79">
        <f>122.58</f>
        <v>122.58</v>
      </c>
      <c r="D566" s="79">
        <f>297.941</f>
        <v>297.94099999999997</v>
      </c>
      <c r="E566" s="87">
        <f>89.177</f>
        <v>89.177000000000007</v>
      </c>
      <c r="F566" s="79">
        <f>240.302-40-60</f>
        <v>140.30199999999999</v>
      </c>
      <c r="G566" s="81">
        <v>40</v>
      </c>
      <c r="H566" s="79">
        <v>60</v>
      </c>
      <c r="I566" s="79">
        <f t="shared" si="91"/>
        <v>0</v>
      </c>
      <c r="J566" s="81">
        <v>100</v>
      </c>
      <c r="K566" s="81">
        <v>300</v>
      </c>
      <c r="L566" s="79">
        <f t="shared" si="84"/>
        <v>1150</v>
      </c>
      <c r="M566" s="89">
        <v>600</v>
      </c>
      <c r="N566" s="79">
        <f>100</f>
        <v>100</v>
      </c>
      <c r="O566" s="81">
        <v>240</v>
      </c>
      <c r="P566" s="81">
        <v>40</v>
      </c>
      <c r="Q566" s="81">
        <f t="shared" si="85"/>
        <v>315</v>
      </c>
      <c r="R566" s="81">
        <f t="shared" si="86"/>
        <v>100</v>
      </c>
      <c r="S566" s="79">
        <f t="shared" si="87"/>
        <v>695</v>
      </c>
      <c r="T566" s="79">
        <f>50</f>
        <v>50</v>
      </c>
      <c r="U566" s="77"/>
      <c r="V566" s="77"/>
      <c r="W566" s="77"/>
      <c r="X566" s="77"/>
      <c r="Y566" s="77"/>
      <c r="Z566" s="77"/>
      <c r="AA566" s="77"/>
      <c r="AB566" s="77"/>
      <c r="AC566" s="77"/>
      <c r="AD566" s="77"/>
    </row>
    <row r="567" spans="1:30" ht="15.75" x14ac:dyDescent="0.25">
      <c r="A567" s="13">
        <v>58195</v>
      </c>
      <c r="B567" s="90">
        <v>30</v>
      </c>
      <c r="C567" s="79">
        <f>141.293</f>
        <v>141.29300000000001</v>
      </c>
      <c r="D567" s="79">
        <f>267.993</f>
        <v>267.99299999999999</v>
      </c>
      <c r="E567" s="87">
        <f>115.016</f>
        <v>115.01600000000001</v>
      </c>
      <c r="F567" s="79">
        <f>314.698-40-25-60</f>
        <v>189.69799999999998</v>
      </c>
      <c r="G567" s="81">
        <v>40</v>
      </c>
      <c r="H567" s="79">
        <f t="shared" ref="H567:H573" si="92">25+60</f>
        <v>85</v>
      </c>
      <c r="I567" s="79">
        <f t="shared" si="91"/>
        <v>0</v>
      </c>
      <c r="J567" s="81">
        <v>100</v>
      </c>
      <c r="K567" s="81">
        <v>300</v>
      </c>
      <c r="L567" s="79">
        <f t="shared" si="84"/>
        <v>1239</v>
      </c>
      <c r="M567" s="89">
        <v>600</v>
      </c>
      <c r="N567" s="79">
        <f>100</f>
        <v>100</v>
      </c>
      <c r="O567" s="81">
        <v>240</v>
      </c>
      <c r="P567" s="81">
        <v>160</v>
      </c>
      <c r="Q567" s="81">
        <f t="shared" si="85"/>
        <v>195</v>
      </c>
      <c r="R567" s="81">
        <f t="shared" si="86"/>
        <v>100</v>
      </c>
      <c r="S567" s="79">
        <f t="shared" si="87"/>
        <v>695</v>
      </c>
      <c r="T567" s="79">
        <f>50</f>
        <v>50</v>
      </c>
      <c r="U567" s="77"/>
      <c r="V567" s="77"/>
      <c r="W567" s="77"/>
      <c r="X567" s="77"/>
      <c r="Y567" s="77"/>
      <c r="Z567" s="77"/>
      <c r="AA567" s="77"/>
      <c r="AB567" s="77"/>
      <c r="AC567" s="77"/>
      <c r="AD567" s="77"/>
    </row>
    <row r="568" spans="1:30" ht="15.75" x14ac:dyDescent="0.25">
      <c r="A568" s="13">
        <v>58226</v>
      </c>
      <c r="B568" s="90">
        <v>31</v>
      </c>
      <c r="C568" s="79">
        <f>194.205</f>
        <v>194.20500000000001</v>
      </c>
      <c r="D568" s="79">
        <f>267.466</f>
        <v>267.46600000000001</v>
      </c>
      <c r="E568" s="87">
        <f>133.845</f>
        <v>133.845</v>
      </c>
      <c r="F568" s="79">
        <f>278.484-40-25-60</f>
        <v>153.48399999999998</v>
      </c>
      <c r="G568" s="81">
        <v>40</v>
      </c>
      <c r="H568" s="79">
        <f t="shared" si="92"/>
        <v>85</v>
      </c>
      <c r="I568" s="79">
        <f t="shared" si="91"/>
        <v>0</v>
      </c>
      <c r="J568" s="81">
        <v>100</v>
      </c>
      <c r="K568" s="81">
        <v>300</v>
      </c>
      <c r="L568" s="79">
        <f t="shared" si="84"/>
        <v>1274</v>
      </c>
      <c r="M568" s="89">
        <v>600</v>
      </c>
      <c r="N568" s="79">
        <f>75</f>
        <v>75</v>
      </c>
      <c r="O568" s="81">
        <v>240</v>
      </c>
      <c r="P568" s="81">
        <v>160</v>
      </c>
      <c r="Q568" s="81">
        <f t="shared" si="85"/>
        <v>195</v>
      </c>
      <c r="R568" s="81">
        <f t="shared" si="86"/>
        <v>100</v>
      </c>
      <c r="S568" s="79">
        <f t="shared" si="87"/>
        <v>695</v>
      </c>
      <c r="T568" s="79">
        <f>50</f>
        <v>50</v>
      </c>
      <c r="U568" s="77"/>
      <c r="V568" s="77"/>
      <c r="W568" s="77"/>
      <c r="X568" s="77"/>
      <c r="Y568" s="77"/>
      <c r="Z568" s="77"/>
      <c r="AA568" s="77"/>
      <c r="AB568" s="77"/>
      <c r="AC568" s="77"/>
      <c r="AD568" s="77"/>
    </row>
    <row r="569" spans="1:30" ht="15.75" x14ac:dyDescent="0.25">
      <c r="A569" s="13">
        <v>58256</v>
      </c>
      <c r="B569" s="90">
        <v>30</v>
      </c>
      <c r="C569" s="79">
        <f>194.205</f>
        <v>194.20500000000001</v>
      </c>
      <c r="D569" s="79">
        <f>267.466</f>
        <v>267.46600000000001</v>
      </c>
      <c r="E569" s="87">
        <f>133.845</f>
        <v>133.845</v>
      </c>
      <c r="F569" s="79">
        <f>278.484-40-25-60</f>
        <v>153.48399999999998</v>
      </c>
      <c r="G569" s="81">
        <v>40</v>
      </c>
      <c r="H569" s="79">
        <f t="shared" si="92"/>
        <v>85</v>
      </c>
      <c r="I569" s="79">
        <f t="shared" si="91"/>
        <v>0</v>
      </c>
      <c r="J569" s="81">
        <v>100</v>
      </c>
      <c r="K569" s="81">
        <v>300</v>
      </c>
      <c r="L569" s="79">
        <f t="shared" si="84"/>
        <v>1274</v>
      </c>
      <c r="M569" s="89">
        <v>600</v>
      </c>
      <c r="N569" s="79">
        <f>30</f>
        <v>30</v>
      </c>
      <c r="O569" s="81">
        <v>240</v>
      </c>
      <c r="P569" s="81">
        <v>160</v>
      </c>
      <c r="Q569" s="81">
        <f t="shared" si="85"/>
        <v>195</v>
      </c>
      <c r="R569" s="81">
        <f t="shared" si="86"/>
        <v>100</v>
      </c>
      <c r="S569" s="79">
        <f t="shared" si="87"/>
        <v>695</v>
      </c>
      <c r="T569" s="79">
        <f>50</f>
        <v>50</v>
      </c>
      <c r="U569" s="77"/>
      <c r="V569" s="77"/>
      <c r="W569" s="77"/>
      <c r="X569" s="77"/>
      <c r="Y569" s="77"/>
      <c r="Z569" s="77"/>
      <c r="AA569" s="77"/>
      <c r="AB569" s="77"/>
      <c r="AC569" s="77"/>
      <c r="AD569" s="77"/>
    </row>
    <row r="570" spans="1:30" ht="15.75" x14ac:dyDescent="0.25">
      <c r="A570" s="13">
        <v>58287</v>
      </c>
      <c r="B570" s="90">
        <v>31</v>
      </c>
      <c r="C570" s="79">
        <f>194.205</f>
        <v>194.20500000000001</v>
      </c>
      <c r="D570" s="79">
        <f>267.466</f>
        <v>267.46600000000001</v>
      </c>
      <c r="E570" s="87">
        <f>133.845</f>
        <v>133.845</v>
      </c>
      <c r="F570" s="79">
        <f>278.484-40-25-60</f>
        <v>153.48399999999998</v>
      </c>
      <c r="G570" s="81">
        <v>40</v>
      </c>
      <c r="H570" s="79">
        <f t="shared" si="92"/>
        <v>85</v>
      </c>
      <c r="I570" s="79">
        <f t="shared" si="91"/>
        <v>0</v>
      </c>
      <c r="J570" s="81">
        <v>100</v>
      </c>
      <c r="K570" s="81">
        <v>300</v>
      </c>
      <c r="L570" s="79">
        <f t="shared" si="84"/>
        <v>1274</v>
      </c>
      <c r="M570" s="89">
        <v>600</v>
      </c>
      <c r="N570" s="79">
        <f>30</f>
        <v>30</v>
      </c>
      <c r="O570" s="81">
        <v>240</v>
      </c>
      <c r="P570" s="81">
        <v>160</v>
      </c>
      <c r="Q570" s="81">
        <f t="shared" si="85"/>
        <v>195</v>
      </c>
      <c r="R570" s="81">
        <f t="shared" si="86"/>
        <v>100</v>
      </c>
      <c r="S570" s="79">
        <f t="shared" si="87"/>
        <v>695</v>
      </c>
      <c r="T570" s="79">
        <f>0</f>
        <v>0</v>
      </c>
      <c r="U570" s="77"/>
      <c r="V570" s="77"/>
      <c r="W570" s="77"/>
      <c r="X570" s="77"/>
      <c r="Y570" s="77"/>
      <c r="Z570" s="77"/>
      <c r="AA570" s="77"/>
      <c r="AB570" s="77"/>
      <c r="AC570" s="77"/>
      <c r="AD570" s="77"/>
    </row>
    <row r="571" spans="1:30" ht="15.75" x14ac:dyDescent="0.25">
      <c r="A571" s="13">
        <v>58318</v>
      </c>
      <c r="B571" s="90">
        <v>31</v>
      </c>
      <c r="C571" s="79">
        <f>194.205</f>
        <v>194.20500000000001</v>
      </c>
      <c r="D571" s="79">
        <f>267.466</f>
        <v>267.46600000000001</v>
      </c>
      <c r="E571" s="87">
        <f>133.845</f>
        <v>133.845</v>
      </c>
      <c r="F571" s="79">
        <f>278.484-40-25-60</f>
        <v>153.48399999999998</v>
      </c>
      <c r="G571" s="81">
        <v>40</v>
      </c>
      <c r="H571" s="79">
        <f t="shared" si="92"/>
        <v>85</v>
      </c>
      <c r="I571" s="79">
        <f t="shared" si="91"/>
        <v>0</v>
      </c>
      <c r="J571" s="81">
        <v>100</v>
      </c>
      <c r="K571" s="81">
        <v>300</v>
      </c>
      <c r="L571" s="79">
        <f t="shared" si="84"/>
        <v>1274</v>
      </c>
      <c r="M571" s="89">
        <v>600</v>
      </c>
      <c r="N571" s="79">
        <f>30</f>
        <v>30</v>
      </c>
      <c r="O571" s="81">
        <v>240</v>
      </c>
      <c r="P571" s="81">
        <v>160</v>
      </c>
      <c r="Q571" s="81">
        <f t="shared" si="85"/>
        <v>195</v>
      </c>
      <c r="R571" s="81">
        <f t="shared" si="86"/>
        <v>100</v>
      </c>
      <c r="S571" s="79">
        <f t="shared" si="87"/>
        <v>695</v>
      </c>
      <c r="T571" s="79">
        <f>0</f>
        <v>0</v>
      </c>
      <c r="U571" s="77"/>
      <c r="V571" s="77"/>
      <c r="W571" s="77"/>
      <c r="X571" s="77"/>
      <c r="Y571" s="77"/>
      <c r="Z571" s="77"/>
      <c r="AA571" s="77"/>
      <c r="AB571" s="77"/>
      <c r="AC571" s="77"/>
      <c r="AD571" s="77"/>
    </row>
    <row r="572" spans="1:30" ht="15.75" x14ac:dyDescent="0.25">
      <c r="A572" s="13">
        <v>58348</v>
      </c>
      <c r="B572" s="90">
        <v>30</v>
      </c>
      <c r="C572" s="79">
        <f>194.205</f>
        <v>194.20500000000001</v>
      </c>
      <c r="D572" s="79">
        <f>267.466</f>
        <v>267.46600000000001</v>
      </c>
      <c r="E572" s="87">
        <f>133.845</f>
        <v>133.845</v>
      </c>
      <c r="F572" s="79">
        <f>278.484-40-25-60</f>
        <v>153.48399999999998</v>
      </c>
      <c r="G572" s="81">
        <v>40</v>
      </c>
      <c r="H572" s="79">
        <f t="shared" si="92"/>
        <v>85</v>
      </c>
      <c r="I572" s="79">
        <f t="shared" si="91"/>
        <v>0</v>
      </c>
      <c r="J572" s="81">
        <v>100</v>
      </c>
      <c r="K572" s="81">
        <v>300</v>
      </c>
      <c r="L572" s="79">
        <f t="shared" si="84"/>
        <v>1274</v>
      </c>
      <c r="M572" s="89">
        <v>600</v>
      </c>
      <c r="N572" s="79">
        <f>30</f>
        <v>30</v>
      </c>
      <c r="O572" s="81">
        <v>240</v>
      </c>
      <c r="P572" s="81">
        <v>160</v>
      </c>
      <c r="Q572" s="81">
        <f t="shared" si="85"/>
        <v>195</v>
      </c>
      <c r="R572" s="81">
        <f t="shared" si="86"/>
        <v>100</v>
      </c>
      <c r="S572" s="79">
        <f t="shared" si="87"/>
        <v>695</v>
      </c>
      <c r="T572" s="79">
        <f>0</f>
        <v>0</v>
      </c>
      <c r="U572" s="77"/>
      <c r="V572" s="77"/>
      <c r="W572" s="77"/>
      <c r="X572" s="77"/>
      <c r="Y572" s="77"/>
      <c r="Z572" s="77"/>
      <c r="AA572" s="77"/>
      <c r="AB572" s="77"/>
      <c r="AC572" s="77"/>
      <c r="AD572" s="77"/>
    </row>
    <row r="573" spans="1:30" ht="15.75" x14ac:dyDescent="0.25">
      <c r="A573" s="13">
        <v>58379</v>
      </c>
      <c r="B573" s="90">
        <v>31</v>
      </c>
      <c r="C573" s="79">
        <f>131.881</f>
        <v>131.881</v>
      </c>
      <c r="D573" s="79">
        <f>277.167</f>
        <v>277.16699999999997</v>
      </c>
      <c r="E573" s="87">
        <f>79.08</f>
        <v>79.08</v>
      </c>
      <c r="F573" s="79">
        <f>350.872-40-25-60</f>
        <v>225.87200000000001</v>
      </c>
      <c r="G573" s="81">
        <v>40</v>
      </c>
      <c r="H573" s="79">
        <f t="shared" si="92"/>
        <v>85</v>
      </c>
      <c r="I573" s="79">
        <f t="shared" si="91"/>
        <v>0</v>
      </c>
      <c r="J573" s="81">
        <v>100</v>
      </c>
      <c r="K573" s="81">
        <v>300</v>
      </c>
      <c r="L573" s="79">
        <f t="shared" si="84"/>
        <v>1239</v>
      </c>
      <c r="M573" s="89">
        <v>600</v>
      </c>
      <c r="N573" s="79">
        <f>75</f>
        <v>75</v>
      </c>
      <c r="O573" s="81">
        <v>240</v>
      </c>
      <c r="P573" s="81">
        <v>160</v>
      </c>
      <c r="Q573" s="81">
        <f t="shared" si="85"/>
        <v>195</v>
      </c>
      <c r="R573" s="81">
        <f t="shared" si="86"/>
        <v>100</v>
      </c>
      <c r="S573" s="79">
        <f t="shared" si="87"/>
        <v>695</v>
      </c>
      <c r="T573" s="79">
        <f>0</f>
        <v>0</v>
      </c>
      <c r="U573" s="77"/>
      <c r="V573" s="77"/>
      <c r="W573" s="77"/>
      <c r="X573" s="77"/>
      <c r="Y573" s="77"/>
      <c r="Z573" s="77"/>
      <c r="AA573" s="77"/>
      <c r="AB573" s="77"/>
      <c r="AC573" s="77"/>
      <c r="AD573" s="77"/>
    </row>
    <row r="574" spans="1:30" ht="15.75" x14ac:dyDescent="0.25">
      <c r="A574" s="13">
        <v>58409</v>
      </c>
      <c r="B574" s="90">
        <v>30</v>
      </c>
      <c r="C574" s="79">
        <f>122.58</f>
        <v>122.58</v>
      </c>
      <c r="D574" s="79">
        <f>297.941</f>
        <v>297.94099999999997</v>
      </c>
      <c r="E574" s="87">
        <f>89.177</f>
        <v>89.177000000000007</v>
      </c>
      <c r="F574" s="79">
        <f>240.302-40-60</f>
        <v>140.30199999999999</v>
      </c>
      <c r="G574" s="81">
        <v>40</v>
      </c>
      <c r="H574" s="79">
        <v>60</v>
      </c>
      <c r="I574" s="79">
        <f t="shared" si="91"/>
        <v>0</v>
      </c>
      <c r="J574" s="81">
        <v>100</v>
      </c>
      <c r="K574" s="81">
        <v>300</v>
      </c>
      <c r="L574" s="79">
        <f t="shared" si="84"/>
        <v>1150</v>
      </c>
      <c r="M574" s="89">
        <v>600</v>
      </c>
      <c r="N574" s="79">
        <f>100</f>
        <v>100</v>
      </c>
      <c r="O574" s="81">
        <v>240</v>
      </c>
      <c r="P574" s="81">
        <v>40</v>
      </c>
      <c r="Q574" s="81">
        <f t="shared" si="85"/>
        <v>315</v>
      </c>
      <c r="R574" s="81">
        <f t="shared" si="86"/>
        <v>100</v>
      </c>
      <c r="S574" s="79">
        <f t="shared" si="87"/>
        <v>695</v>
      </c>
      <c r="T574" s="79">
        <f>50</f>
        <v>50</v>
      </c>
      <c r="U574" s="77"/>
      <c r="V574" s="77"/>
      <c r="W574" s="77"/>
      <c r="X574" s="77"/>
      <c r="Y574" s="77"/>
      <c r="Z574" s="77"/>
      <c r="AA574" s="77"/>
      <c r="AB574" s="77"/>
      <c r="AC574" s="77"/>
      <c r="AD574" s="77"/>
    </row>
    <row r="575" spans="1:30" ht="15.75" x14ac:dyDescent="0.25">
      <c r="A575" s="13">
        <v>58440</v>
      </c>
      <c r="B575" s="90">
        <v>31</v>
      </c>
      <c r="C575" s="79">
        <f>122.58</f>
        <v>122.58</v>
      </c>
      <c r="D575" s="79">
        <f>297.941</f>
        <v>297.94099999999997</v>
      </c>
      <c r="E575" s="87">
        <f>89.177</f>
        <v>89.177000000000007</v>
      </c>
      <c r="F575" s="79">
        <f>240.302-40-60</f>
        <v>140.30199999999999</v>
      </c>
      <c r="G575" s="81">
        <v>40</v>
      </c>
      <c r="H575" s="79">
        <v>60</v>
      </c>
      <c r="I575" s="79">
        <f t="shared" si="91"/>
        <v>0</v>
      </c>
      <c r="J575" s="81">
        <v>100</v>
      </c>
      <c r="K575" s="81">
        <v>300</v>
      </c>
      <c r="L575" s="79">
        <f t="shared" si="84"/>
        <v>1150</v>
      </c>
      <c r="M575" s="89">
        <v>600</v>
      </c>
      <c r="N575" s="79">
        <f>100</f>
        <v>100</v>
      </c>
      <c r="O575" s="81">
        <v>240</v>
      </c>
      <c r="P575" s="81">
        <v>40</v>
      </c>
      <c r="Q575" s="81">
        <f t="shared" si="85"/>
        <v>315</v>
      </c>
      <c r="R575" s="81">
        <f t="shared" si="86"/>
        <v>100</v>
      </c>
      <c r="S575" s="79">
        <f t="shared" si="87"/>
        <v>695</v>
      </c>
      <c r="T575" s="79">
        <f>50</f>
        <v>50</v>
      </c>
      <c r="U575" s="77"/>
      <c r="V575" s="77"/>
      <c r="W575" s="77"/>
      <c r="X575" s="77"/>
      <c r="Y575" s="77"/>
      <c r="Z575" s="77"/>
      <c r="AA575" s="77"/>
      <c r="AB575" s="77"/>
      <c r="AC575" s="77"/>
      <c r="AD575" s="77"/>
    </row>
    <row r="576" spans="1:30" ht="15.75" x14ac:dyDescent="0.25">
      <c r="A576" s="13">
        <v>58471</v>
      </c>
      <c r="B576" s="90">
        <v>31</v>
      </c>
      <c r="C576" s="79">
        <f>122.58</f>
        <v>122.58</v>
      </c>
      <c r="D576" s="79">
        <f>297.941</f>
        <v>297.94099999999997</v>
      </c>
      <c r="E576" s="87">
        <f>89.177</f>
        <v>89.177000000000007</v>
      </c>
      <c r="F576" s="79">
        <f>240.302-40-60</f>
        <v>140.30199999999999</v>
      </c>
      <c r="G576" s="81">
        <v>40</v>
      </c>
      <c r="H576" s="79">
        <v>60</v>
      </c>
      <c r="I576" s="79">
        <f t="shared" si="91"/>
        <v>0</v>
      </c>
      <c r="J576" s="81">
        <v>100</v>
      </c>
      <c r="K576" s="81">
        <v>300</v>
      </c>
      <c r="L576" s="79">
        <f t="shared" si="84"/>
        <v>1150</v>
      </c>
      <c r="M576" s="89">
        <v>600</v>
      </c>
      <c r="N576" s="79">
        <f>100</f>
        <v>100</v>
      </c>
      <c r="O576" s="81">
        <v>240</v>
      </c>
      <c r="P576" s="81">
        <v>40</v>
      </c>
      <c r="Q576" s="81">
        <f t="shared" si="85"/>
        <v>315</v>
      </c>
      <c r="R576" s="81">
        <f t="shared" si="86"/>
        <v>100</v>
      </c>
      <c r="S576" s="79">
        <f t="shared" si="87"/>
        <v>695</v>
      </c>
      <c r="T576" s="79">
        <f>50</f>
        <v>50</v>
      </c>
      <c r="U576" s="77"/>
      <c r="V576" s="77"/>
      <c r="W576" s="77"/>
      <c r="X576" s="77"/>
      <c r="Y576" s="77"/>
      <c r="Z576" s="77"/>
      <c r="AA576" s="77"/>
      <c r="AB576" s="77"/>
      <c r="AC576" s="77"/>
      <c r="AD576" s="77"/>
    </row>
    <row r="577" spans="1:30" ht="15.75" x14ac:dyDescent="0.25">
      <c r="A577" s="13">
        <v>58499</v>
      </c>
      <c r="B577" s="90">
        <v>29</v>
      </c>
      <c r="C577" s="79">
        <f>122.58</f>
        <v>122.58</v>
      </c>
      <c r="D577" s="79">
        <f>297.941</f>
        <v>297.94099999999997</v>
      </c>
      <c r="E577" s="87">
        <f>89.177</f>
        <v>89.177000000000007</v>
      </c>
      <c r="F577" s="79">
        <f>240.302-40-60</f>
        <v>140.30199999999999</v>
      </c>
      <c r="G577" s="81">
        <v>40</v>
      </c>
      <c r="H577" s="79">
        <v>60</v>
      </c>
      <c r="I577" s="79">
        <f t="shared" si="91"/>
        <v>0</v>
      </c>
      <c r="J577" s="81">
        <v>100</v>
      </c>
      <c r="K577" s="81">
        <v>300</v>
      </c>
      <c r="L577" s="79">
        <f t="shared" si="84"/>
        <v>1150</v>
      </c>
      <c r="M577" s="89">
        <v>600</v>
      </c>
      <c r="N577" s="79">
        <f>100</f>
        <v>100</v>
      </c>
      <c r="O577" s="81">
        <v>240</v>
      </c>
      <c r="P577" s="81">
        <v>40</v>
      </c>
      <c r="Q577" s="81">
        <f t="shared" si="85"/>
        <v>315</v>
      </c>
      <c r="R577" s="81">
        <f t="shared" si="86"/>
        <v>100</v>
      </c>
      <c r="S577" s="79">
        <f t="shared" si="87"/>
        <v>695</v>
      </c>
      <c r="T577" s="79">
        <f>50</f>
        <v>50</v>
      </c>
      <c r="U577" s="77"/>
      <c r="V577" s="77"/>
      <c r="W577" s="77"/>
      <c r="X577" s="77"/>
      <c r="Y577" s="77"/>
      <c r="Z577" s="77"/>
      <c r="AA577" s="77"/>
      <c r="AB577" s="77"/>
      <c r="AC577" s="77"/>
      <c r="AD577" s="77"/>
    </row>
    <row r="578" spans="1:30" ht="15.75" x14ac:dyDescent="0.25">
      <c r="A578" s="13">
        <v>58531</v>
      </c>
      <c r="B578" s="90">
        <v>31</v>
      </c>
      <c r="C578" s="79">
        <f>122.58</f>
        <v>122.58</v>
      </c>
      <c r="D578" s="79">
        <f>297.941</f>
        <v>297.94099999999997</v>
      </c>
      <c r="E578" s="87">
        <f>89.177</f>
        <v>89.177000000000007</v>
      </c>
      <c r="F578" s="79">
        <f>240.302-40-60</f>
        <v>140.30199999999999</v>
      </c>
      <c r="G578" s="81">
        <v>40</v>
      </c>
      <c r="H578" s="79">
        <v>60</v>
      </c>
      <c r="I578" s="79">
        <f t="shared" si="91"/>
        <v>0</v>
      </c>
      <c r="J578" s="81">
        <v>100</v>
      </c>
      <c r="K578" s="81">
        <v>300</v>
      </c>
      <c r="L578" s="79">
        <f t="shared" si="84"/>
        <v>1150</v>
      </c>
      <c r="M578" s="89">
        <v>600</v>
      </c>
      <c r="N578" s="79">
        <f>100</f>
        <v>100</v>
      </c>
      <c r="O578" s="81">
        <v>240</v>
      </c>
      <c r="P578" s="81">
        <v>40</v>
      </c>
      <c r="Q578" s="81">
        <f t="shared" si="85"/>
        <v>315</v>
      </c>
      <c r="R578" s="81">
        <f t="shared" si="86"/>
        <v>100</v>
      </c>
      <c r="S578" s="79">
        <f t="shared" si="87"/>
        <v>695</v>
      </c>
      <c r="T578" s="79">
        <f>50</f>
        <v>50</v>
      </c>
      <c r="U578" s="77"/>
      <c r="V578" s="77"/>
      <c r="W578" s="77"/>
      <c r="X578" s="77"/>
      <c r="Y578" s="77"/>
      <c r="Z578" s="77"/>
      <c r="AA578" s="77"/>
      <c r="AB578" s="77"/>
      <c r="AC578" s="77"/>
      <c r="AD578" s="77"/>
    </row>
    <row r="579" spans="1:30" ht="15.75" x14ac:dyDescent="0.25">
      <c r="A579" s="13">
        <v>58561</v>
      </c>
      <c r="B579" s="90">
        <v>30</v>
      </c>
      <c r="C579" s="79">
        <f>141.293</f>
        <v>141.29300000000001</v>
      </c>
      <c r="D579" s="79">
        <f>267.993</f>
        <v>267.99299999999999</v>
      </c>
      <c r="E579" s="87">
        <f>115.016</f>
        <v>115.01600000000001</v>
      </c>
      <c r="F579" s="79">
        <f>314.698-40-25-60</f>
        <v>189.69799999999998</v>
      </c>
      <c r="G579" s="81">
        <v>40</v>
      </c>
      <c r="H579" s="79">
        <f t="shared" ref="H579:H585" si="93">25+60</f>
        <v>85</v>
      </c>
      <c r="I579" s="79">
        <f t="shared" si="91"/>
        <v>0</v>
      </c>
      <c r="J579" s="81">
        <v>100</v>
      </c>
      <c r="K579" s="81">
        <v>300</v>
      </c>
      <c r="L579" s="79">
        <f t="shared" si="84"/>
        <v>1239</v>
      </c>
      <c r="M579" s="89">
        <v>600</v>
      </c>
      <c r="N579" s="79">
        <f>100</f>
        <v>100</v>
      </c>
      <c r="O579" s="81">
        <v>240</v>
      </c>
      <c r="P579" s="81">
        <v>160</v>
      </c>
      <c r="Q579" s="81">
        <f t="shared" si="85"/>
        <v>195</v>
      </c>
      <c r="R579" s="81">
        <f t="shared" si="86"/>
        <v>100</v>
      </c>
      <c r="S579" s="79">
        <f t="shared" si="87"/>
        <v>695</v>
      </c>
      <c r="T579" s="79">
        <f>50</f>
        <v>50</v>
      </c>
      <c r="U579" s="77"/>
      <c r="V579" s="77"/>
      <c r="W579" s="77"/>
      <c r="X579" s="77"/>
      <c r="Y579" s="77"/>
      <c r="Z579" s="77"/>
      <c r="AA579" s="77"/>
      <c r="AB579" s="77"/>
      <c r="AC579" s="77"/>
      <c r="AD579" s="77"/>
    </row>
    <row r="580" spans="1:30" ht="15.75" x14ac:dyDescent="0.25">
      <c r="A580" s="13">
        <v>58592</v>
      </c>
      <c r="B580" s="90">
        <v>31</v>
      </c>
      <c r="C580" s="79">
        <f>194.205</f>
        <v>194.20500000000001</v>
      </c>
      <c r="D580" s="79">
        <f>267.466</f>
        <v>267.46600000000001</v>
      </c>
      <c r="E580" s="87">
        <f>133.845</f>
        <v>133.845</v>
      </c>
      <c r="F580" s="79">
        <f>278.484-40-25-60</f>
        <v>153.48399999999998</v>
      </c>
      <c r="G580" s="81">
        <v>40</v>
      </c>
      <c r="H580" s="79">
        <f t="shared" si="93"/>
        <v>85</v>
      </c>
      <c r="I580" s="79">
        <f t="shared" si="91"/>
        <v>0</v>
      </c>
      <c r="J580" s="81">
        <v>100</v>
      </c>
      <c r="K580" s="81">
        <v>300</v>
      </c>
      <c r="L580" s="79">
        <f t="shared" si="84"/>
        <v>1274</v>
      </c>
      <c r="M580" s="89">
        <v>600</v>
      </c>
      <c r="N580" s="79">
        <f>75</f>
        <v>75</v>
      </c>
      <c r="O580" s="81">
        <v>240</v>
      </c>
      <c r="P580" s="81">
        <v>160</v>
      </c>
      <c r="Q580" s="81">
        <f t="shared" si="85"/>
        <v>195</v>
      </c>
      <c r="R580" s="81">
        <f t="shared" si="86"/>
        <v>100</v>
      </c>
      <c r="S580" s="79">
        <f t="shared" si="87"/>
        <v>695</v>
      </c>
      <c r="T580" s="79">
        <f>50</f>
        <v>50</v>
      </c>
      <c r="U580" s="77"/>
      <c r="V580" s="77"/>
      <c r="W580" s="77"/>
      <c r="X580" s="77"/>
      <c r="Y580" s="77"/>
      <c r="Z580" s="77"/>
      <c r="AA580" s="77"/>
      <c r="AB580" s="77"/>
      <c r="AC580" s="77"/>
      <c r="AD580" s="77"/>
    </row>
    <row r="581" spans="1:30" ht="15.75" x14ac:dyDescent="0.25">
      <c r="A581" s="13">
        <v>58622</v>
      </c>
      <c r="B581" s="90">
        <v>30</v>
      </c>
      <c r="C581" s="79">
        <f>194.205</f>
        <v>194.20500000000001</v>
      </c>
      <c r="D581" s="79">
        <f>267.466</f>
        <v>267.46600000000001</v>
      </c>
      <c r="E581" s="87">
        <f>133.845</f>
        <v>133.845</v>
      </c>
      <c r="F581" s="79">
        <f>278.484-40-25-60</f>
        <v>153.48399999999998</v>
      </c>
      <c r="G581" s="81">
        <v>40</v>
      </c>
      <c r="H581" s="79">
        <f t="shared" si="93"/>
        <v>85</v>
      </c>
      <c r="I581" s="79">
        <f t="shared" si="91"/>
        <v>0</v>
      </c>
      <c r="J581" s="81">
        <v>100</v>
      </c>
      <c r="K581" s="81">
        <v>300</v>
      </c>
      <c r="L581" s="79">
        <f t="shared" si="84"/>
        <v>1274</v>
      </c>
      <c r="M581" s="89">
        <v>600</v>
      </c>
      <c r="N581" s="79">
        <f>30</f>
        <v>30</v>
      </c>
      <c r="O581" s="81">
        <v>240</v>
      </c>
      <c r="P581" s="81">
        <v>160</v>
      </c>
      <c r="Q581" s="81">
        <f t="shared" si="85"/>
        <v>195</v>
      </c>
      <c r="R581" s="81">
        <f t="shared" si="86"/>
        <v>100</v>
      </c>
      <c r="S581" s="79">
        <f t="shared" si="87"/>
        <v>695</v>
      </c>
      <c r="T581" s="79">
        <f>50</f>
        <v>50</v>
      </c>
      <c r="U581" s="77"/>
      <c r="V581" s="77"/>
      <c r="W581" s="77"/>
      <c r="X581" s="77"/>
      <c r="Y581" s="77"/>
      <c r="Z581" s="77"/>
      <c r="AA581" s="77"/>
      <c r="AB581" s="77"/>
      <c r="AC581" s="77"/>
      <c r="AD581" s="77"/>
    </row>
    <row r="582" spans="1:30" ht="15.75" x14ac:dyDescent="0.25">
      <c r="A582" s="13">
        <v>58653</v>
      </c>
      <c r="B582" s="90">
        <v>31</v>
      </c>
      <c r="C582" s="79">
        <f>194.205</f>
        <v>194.20500000000001</v>
      </c>
      <c r="D582" s="79">
        <f>267.466</f>
        <v>267.46600000000001</v>
      </c>
      <c r="E582" s="87">
        <f>133.845</f>
        <v>133.845</v>
      </c>
      <c r="F582" s="79">
        <f>278.484-40-25-60</f>
        <v>153.48399999999998</v>
      </c>
      <c r="G582" s="81">
        <v>40</v>
      </c>
      <c r="H582" s="79">
        <f t="shared" si="93"/>
        <v>85</v>
      </c>
      <c r="I582" s="79">
        <f t="shared" si="91"/>
        <v>0</v>
      </c>
      <c r="J582" s="81">
        <v>100</v>
      </c>
      <c r="K582" s="81">
        <v>300</v>
      </c>
      <c r="L582" s="79">
        <f t="shared" si="84"/>
        <v>1274</v>
      </c>
      <c r="M582" s="89">
        <v>600</v>
      </c>
      <c r="N582" s="79">
        <f>30</f>
        <v>30</v>
      </c>
      <c r="O582" s="81">
        <v>240</v>
      </c>
      <c r="P582" s="81">
        <v>160</v>
      </c>
      <c r="Q582" s="81">
        <f t="shared" si="85"/>
        <v>195</v>
      </c>
      <c r="R582" s="81">
        <f t="shared" si="86"/>
        <v>100</v>
      </c>
      <c r="S582" s="79">
        <f t="shared" si="87"/>
        <v>695</v>
      </c>
      <c r="T582" s="79">
        <f>0</f>
        <v>0</v>
      </c>
      <c r="U582" s="77"/>
      <c r="V582" s="77"/>
      <c r="W582" s="77"/>
      <c r="X582" s="77"/>
      <c r="Y582" s="77"/>
      <c r="Z582" s="77"/>
      <c r="AA582" s="77"/>
      <c r="AB582" s="77"/>
      <c r="AC582" s="77"/>
      <c r="AD582" s="77"/>
    </row>
    <row r="583" spans="1:30" ht="15.75" x14ac:dyDescent="0.25">
      <c r="A583" s="13">
        <v>58684</v>
      </c>
      <c r="B583" s="90">
        <v>31</v>
      </c>
      <c r="C583" s="79">
        <f>194.205</f>
        <v>194.20500000000001</v>
      </c>
      <c r="D583" s="79">
        <f>267.466</f>
        <v>267.46600000000001</v>
      </c>
      <c r="E583" s="87">
        <f>133.845</f>
        <v>133.845</v>
      </c>
      <c r="F583" s="79">
        <f>278.484-40-25-60</f>
        <v>153.48399999999998</v>
      </c>
      <c r="G583" s="81">
        <v>40</v>
      </c>
      <c r="H583" s="79">
        <f t="shared" si="93"/>
        <v>85</v>
      </c>
      <c r="I583" s="79">
        <f t="shared" si="91"/>
        <v>0</v>
      </c>
      <c r="J583" s="81">
        <v>100</v>
      </c>
      <c r="K583" s="81">
        <v>300</v>
      </c>
      <c r="L583" s="79">
        <f t="shared" si="84"/>
        <v>1274</v>
      </c>
      <c r="M583" s="89">
        <v>600</v>
      </c>
      <c r="N583" s="79">
        <f>30</f>
        <v>30</v>
      </c>
      <c r="O583" s="81">
        <v>240</v>
      </c>
      <c r="P583" s="81">
        <v>160</v>
      </c>
      <c r="Q583" s="81">
        <f t="shared" si="85"/>
        <v>195</v>
      </c>
      <c r="R583" s="81">
        <f t="shared" si="86"/>
        <v>100</v>
      </c>
      <c r="S583" s="79">
        <f t="shared" si="87"/>
        <v>695</v>
      </c>
      <c r="T583" s="79">
        <f>0</f>
        <v>0</v>
      </c>
      <c r="U583" s="77"/>
      <c r="V583" s="77"/>
      <c r="W583" s="77"/>
      <c r="X583" s="77"/>
      <c r="Y583" s="77"/>
      <c r="Z583" s="77"/>
      <c r="AA583" s="77"/>
      <c r="AB583" s="77"/>
      <c r="AC583" s="77"/>
      <c r="AD583" s="77"/>
    </row>
    <row r="584" spans="1:30" ht="15.75" x14ac:dyDescent="0.25">
      <c r="A584" s="13">
        <v>58714</v>
      </c>
      <c r="B584" s="90">
        <v>30</v>
      </c>
      <c r="C584" s="79">
        <f>194.205</f>
        <v>194.20500000000001</v>
      </c>
      <c r="D584" s="79">
        <f>267.466</f>
        <v>267.46600000000001</v>
      </c>
      <c r="E584" s="87">
        <f>133.845</f>
        <v>133.845</v>
      </c>
      <c r="F584" s="79">
        <f>278.484-40-25-60</f>
        <v>153.48399999999998</v>
      </c>
      <c r="G584" s="81">
        <v>40</v>
      </c>
      <c r="H584" s="79">
        <f t="shared" si="93"/>
        <v>85</v>
      </c>
      <c r="I584" s="79">
        <f t="shared" si="91"/>
        <v>0</v>
      </c>
      <c r="J584" s="81">
        <v>100</v>
      </c>
      <c r="K584" s="81">
        <v>300</v>
      </c>
      <c r="L584" s="79">
        <f t="shared" si="84"/>
        <v>1274</v>
      </c>
      <c r="M584" s="89">
        <v>600</v>
      </c>
      <c r="N584" s="79">
        <f>30</f>
        <v>30</v>
      </c>
      <c r="O584" s="81">
        <v>240</v>
      </c>
      <c r="P584" s="81">
        <v>160</v>
      </c>
      <c r="Q584" s="81">
        <f t="shared" si="85"/>
        <v>195</v>
      </c>
      <c r="R584" s="81">
        <f t="shared" si="86"/>
        <v>100</v>
      </c>
      <c r="S584" s="79">
        <f t="shared" si="87"/>
        <v>695</v>
      </c>
      <c r="T584" s="79">
        <f>0</f>
        <v>0</v>
      </c>
      <c r="U584" s="77"/>
      <c r="V584" s="77"/>
      <c r="W584" s="77"/>
      <c r="X584" s="77"/>
      <c r="Y584" s="77"/>
      <c r="Z584" s="77"/>
      <c r="AA584" s="77"/>
      <c r="AB584" s="77"/>
      <c r="AC584" s="77"/>
      <c r="AD584" s="77"/>
    </row>
    <row r="585" spans="1:30" ht="15.75" x14ac:dyDescent="0.25">
      <c r="A585" s="13">
        <v>58745</v>
      </c>
      <c r="B585" s="90">
        <v>31</v>
      </c>
      <c r="C585" s="79">
        <f>131.881</f>
        <v>131.881</v>
      </c>
      <c r="D585" s="79">
        <f>277.167</f>
        <v>277.16699999999997</v>
      </c>
      <c r="E585" s="87">
        <f>79.08</f>
        <v>79.08</v>
      </c>
      <c r="F585" s="79">
        <f>350.872-40-25-60</f>
        <v>225.87200000000001</v>
      </c>
      <c r="G585" s="81">
        <v>40</v>
      </c>
      <c r="H585" s="79">
        <f t="shared" si="93"/>
        <v>85</v>
      </c>
      <c r="I585" s="79">
        <f t="shared" si="91"/>
        <v>0</v>
      </c>
      <c r="J585" s="81">
        <v>100</v>
      </c>
      <c r="K585" s="81">
        <v>300</v>
      </c>
      <c r="L585" s="79">
        <f t="shared" si="84"/>
        <v>1239</v>
      </c>
      <c r="M585" s="89">
        <v>600</v>
      </c>
      <c r="N585" s="79">
        <f>75</f>
        <v>75</v>
      </c>
      <c r="O585" s="81">
        <v>240</v>
      </c>
      <c r="P585" s="81">
        <v>160</v>
      </c>
      <c r="Q585" s="81">
        <f t="shared" si="85"/>
        <v>195</v>
      </c>
      <c r="R585" s="81">
        <f t="shared" si="86"/>
        <v>100</v>
      </c>
      <c r="S585" s="79">
        <f t="shared" si="87"/>
        <v>695</v>
      </c>
      <c r="T585" s="79">
        <f>0</f>
        <v>0</v>
      </c>
      <c r="U585" s="77"/>
      <c r="V585" s="77"/>
      <c r="W585" s="77"/>
      <c r="X585" s="77"/>
      <c r="Y585" s="77"/>
      <c r="Z585" s="77"/>
      <c r="AA585" s="77"/>
      <c r="AB585" s="77"/>
      <c r="AC585" s="77"/>
      <c r="AD585" s="77"/>
    </row>
    <row r="586" spans="1:30" ht="15.75" x14ac:dyDescent="0.25">
      <c r="A586" s="13">
        <v>58775</v>
      </c>
      <c r="B586" s="90">
        <v>30</v>
      </c>
      <c r="C586" s="79">
        <f>122.58</f>
        <v>122.58</v>
      </c>
      <c r="D586" s="79">
        <f>297.941</f>
        <v>297.94099999999997</v>
      </c>
      <c r="E586" s="87">
        <f>89.177</f>
        <v>89.177000000000007</v>
      </c>
      <c r="F586" s="79">
        <f>240.302-40-60</f>
        <v>140.30199999999999</v>
      </c>
      <c r="G586" s="81">
        <v>40</v>
      </c>
      <c r="H586" s="79">
        <v>60</v>
      </c>
      <c r="I586" s="79">
        <f t="shared" si="91"/>
        <v>0</v>
      </c>
      <c r="J586" s="81">
        <v>100</v>
      </c>
      <c r="K586" s="81">
        <v>300</v>
      </c>
      <c r="L586" s="79">
        <f t="shared" si="84"/>
        <v>1150</v>
      </c>
      <c r="M586" s="89">
        <v>600</v>
      </c>
      <c r="N586" s="79">
        <f>100</f>
        <v>100</v>
      </c>
      <c r="O586" s="81">
        <v>240</v>
      </c>
      <c r="P586" s="81">
        <v>40</v>
      </c>
      <c r="Q586" s="81">
        <f t="shared" si="85"/>
        <v>315</v>
      </c>
      <c r="R586" s="81">
        <f t="shared" si="86"/>
        <v>100</v>
      </c>
      <c r="S586" s="79">
        <f t="shared" si="87"/>
        <v>695</v>
      </c>
      <c r="T586" s="79">
        <f>50</f>
        <v>50</v>
      </c>
      <c r="U586" s="77"/>
      <c r="V586" s="77"/>
      <c r="W586" s="77"/>
      <c r="X586" s="77"/>
      <c r="Y586" s="77"/>
      <c r="Z586" s="77"/>
      <c r="AA586" s="77"/>
      <c r="AB586" s="77"/>
      <c r="AC586" s="77"/>
      <c r="AD586" s="77"/>
    </row>
    <row r="587" spans="1:30" ht="15.75" x14ac:dyDescent="0.25">
      <c r="A587" s="13">
        <v>58806</v>
      </c>
      <c r="B587" s="90">
        <v>31</v>
      </c>
      <c r="C587" s="79">
        <f>122.58</f>
        <v>122.58</v>
      </c>
      <c r="D587" s="79">
        <f>297.941</f>
        <v>297.94099999999997</v>
      </c>
      <c r="E587" s="87">
        <f>89.177</f>
        <v>89.177000000000007</v>
      </c>
      <c r="F587" s="79">
        <f>240.302-40-60</f>
        <v>140.30199999999999</v>
      </c>
      <c r="G587" s="81">
        <v>40</v>
      </c>
      <c r="H587" s="79">
        <v>60</v>
      </c>
      <c r="I587" s="79">
        <f t="shared" si="91"/>
        <v>0</v>
      </c>
      <c r="J587" s="81">
        <v>100</v>
      </c>
      <c r="K587" s="81">
        <v>300</v>
      </c>
      <c r="L587" s="79">
        <f t="shared" si="84"/>
        <v>1150</v>
      </c>
      <c r="M587" s="89">
        <v>600</v>
      </c>
      <c r="N587" s="79">
        <f>100</f>
        <v>100</v>
      </c>
      <c r="O587" s="81">
        <v>240</v>
      </c>
      <c r="P587" s="81">
        <v>40</v>
      </c>
      <c r="Q587" s="81">
        <f t="shared" si="85"/>
        <v>315</v>
      </c>
      <c r="R587" s="81">
        <f t="shared" si="86"/>
        <v>100</v>
      </c>
      <c r="S587" s="79">
        <f t="shared" si="87"/>
        <v>695</v>
      </c>
      <c r="T587" s="79">
        <f>50</f>
        <v>50</v>
      </c>
      <c r="U587" s="77"/>
      <c r="V587" s="77"/>
      <c r="W587" s="77"/>
      <c r="X587" s="77"/>
      <c r="Y587" s="77"/>
      <c r="Z587" s="77"/>
      <c r="AA587" s="77"/>
      <c r="AB587" s="77"/>
      <c r="AC587" s="77"/>
      <c r="AD587" s="77"/>
    </row>
    <row r="588" spans="1:30" ht="15.75" x14ac:dyDescent="0.25">
      <c r="A588" s="13">
        <v>58837</v>
      </c>
      <c r="B588" s="90">
        <v>31</v>
      </c>
      <c r="C588" s="79">
        <f>122.58</f>
        <v>122.58</v>
      </c>
      <c r="D588" s="79">
        <f>297.941</f>
        <v>297.94099999999997</v>
      </c>
      <c r="E588" s="87">
        <f>89.177</f>
        <v>89.177000000000007</v>
      </c>
      <c r="F588" s="79">
        <f>240.302-40-60</f>
        <v>140.30199999999999</v>
      </c>
      <c r="G588" s="81">
        <v>40</v>
      </c>
      <c r="H588" s="79">
        <v>60</v>
      </c>
      <c r="I588" s="79">
        <f t="shared" si="91"/>
        <v>0</v>
      </c>
      <c r="J588" s="81">
        <v>100</v>
      </c>
      <c r="K588" s="81">
        <v>300</v>
      </c>
      <c r="L588" s="79">
        <f t="shared" si="84"/>
        <v>1150</v>
      </c>
      <c r="M588" s="89">
        <v>600</v>
      </c>
      <c r="N588" s="79">
        <f>100</f>
        <v>100</v>
      </c>
      <c r="O588" s="81">
        <v>240</v>
      </c>
      <c r="P588" s="81">
        <v>40</v>
      </c>
      <c r="Q588" s="81">
        <f t="shared" si="85"/>
        <v>315</v>
      </c>
      <c r="R588" s="81">
        <f t="shared" si="86"/>
        <v>100</v>
      </c>
      <c r="S588" s="79">
        <f t="shared" si="87"/>
        <v>695</v>
      </c>
      <c r="T588" s="79">
        <f>50</f>
        <v>50</v>
      </c>
      <c r="U588" s="77"/>
      <c r="V588" s="77"/>
      <c r="W588" s="77"/>
      <c r="X588" s="77"/>
      <c r="Y588" s="77"/>
      <c r="Z588" s="77"/>
      <c r="AA588" s="77"/>
      <c r="AB588" s="77"/>
      <c r="AC588" s="77"/>
      <c r="AD588" s="77"/>
    </row>
    <row r="589" spans="1:30" ht="15.75" x14ac:dyDescent="0.25">
      <c r="A589" s="13">
        <v>58865</v>
      </c>
      <c r="B589" s="90">
        <v>28</v>
      </c>
      <c r="C589" s="79">
        <f>122.58</f>
        <v>122.58</v>
      </c>
      <c r="D589" s="79">
        <f>297.941</f>
        <v>297.94099999999997</v>
      </c>
      <c r="E589" s="87">
        <f>89.177</f>
        <v>89.177000000000007</v>
      </c>
      <c r="F589" s="79">
        <f>240.302-40-60</f>
        <v>140.30199999999999</v>
      </c>
      <c r="G589" s="81">
        <v>40</v>
      </c>
      <c r="H589" s="79">
        <v>60</v>
      </c>
      <c r="I589" s="79">
        <f t="shared" si="91"/>
        <v>0</v>
      </c>
      <c r="J589" s="81">
        <v>100</v>
      </c>
      <c r="K589" s="81">
        <v>300</v>
      </c>
      <c r="L589" s="79">
        <f t="shared" ref="L589:L599" si="94">SUM(C589:K589)</f>
        <v>1150</v>
      </c>
      <c r="M589" s="89">
        <v>600</v>
      </c>
      <c r="N589" s="79">
        <f>100</f>
        <v>100</v>
      </c>
      <c r="O589" s="81">
        <v>240</v>
      </c>
      <c r="P589" s="81">
        <v>40</v>
      </c>
      <c r="Q589" s="81">
        <f t="shared" ref="Q589:Q599" si="95">695-R589-O589-P589</f>
        <v>315</v>
      </c>
      <c r="R589" s="81">
        <f t="shared" ref="R589:R599" si="96">200-J589</f>
        <v>100</v>
      </c>
      <c r="S589" s="79">
        <f t="shared" ref="S589:S599" si="97">SUM(O589:R589)</f>
        <v>695</v>
      </c>
      <c r="T589" s="79">
        <f>50</f>
        <v>50</v>
      </c>
      <c r="U589" s="77"/>
      <c r="V589" s="77"/>
      <c r="W589" s="77"/>
      <c r="X589" s="77"/>
      <c r="Y589" s="77"/>
      <c r="Z589" s="77"/>
      <c r="AA589" s="77"/>
      <c r="AB589" s="77"/>
      <c r="AC589" s="77"/>
      <c r="AD589" s="77"/>
    </row>
    <row r="590" spans="1:30" ht="15.75" x14ac:dyDescent="0.25">
      <c r="A590" s="13">
        <v>58893</v>
      </c>
      <c r="B590" s="90">
        <v>31</v>
      </c>
      <c r="C590" s="79">
        <f>122.58</f>
        <v>122.58</v>
      </c>
      <c r="D590" s="79">
        <f>297.941</f>
        <v>297.94099999999997</v>
      </c>
      <c r="E590" s="87">
        <f>89.177</f>
        <v>89.177000000000007</v>
      </c>
      <c r="F590" s="79">
        <f>240.302-40-60</f>
        <v>140.30199999999999</v>
      </c>
      <c r="G590" s="81">
        <v>40</v>
      </c>
      <c r="H590" s="79">
        <v>60</v>
      </c>
      <c r="I590" s="79">
        <f t="shared" si="91"/>
        <v>0</v>
      </c>
      <c r="J590" s="81">
        <v>100</v>
      </c>
      <c r="K590" s="81">
        <v>300</v>
      </c>
      <c r="L590" s="79">
        <f t="shared" si="94"/>
        <v>1150</v>
      </c>
      <c r="M590" s="89">
        <v>600</v>
      </c>
      <c r="N590" s="79">
        <f>100</f>
        <v>100</v>
      </c>
      <c r="O590" s="81">
        <v>240</v>
      </c>
      <c r="P590" s="81">
        <v>40</v>
      </c>
      <c r="Q590" s="81">
        <f t="shared" si="95"/>
        <v>315</v>
      </c>
      <c r="R590" s="81">
        <f t="shared" si="96"/>
        <v>100</v>
      </c>
      <c r="S590" s="79">
        <f t="shared" si="97"/>
        <v>695</v>
      </c>
      <c r="T590" s="79">
        <f>50</f>
        <v>50</v>
      </c>
      <c r="U590" s="77"/>
      <c r="V590" s="77"/>
      <c r="W590" s="77"/>
      <c r="X590" s="77"/>
      <c r="Y590" s="77"/>
      <c r="Z590" s="77"/>
      <c r="AA590" s="77"/>
      <c r="AB590" s="77"/>
      <c r="AC590" s="77"/>
      <c r="AD590" s="77"/>
    </row>
    <row r="591" spans="1:30" ht="15.75" x14ac:dyDescent="0.25">
      <c r="A591" s="13">
        <v>58926</v>
      </c>
      <c r="B591" s="90">
        <v>30</v>
      </c>
      <c r="C591" s="79">
        <f>141.293</f>
        <v>141.29300000000001</v>
      </c>
      <c r="D591" s="79">
        <f>267.993</f>
        <v>267.99299999999999</v>
      </c>
      <c r="E591" s="87">
        <f>115.016</f>
        <v>115.01600000000001</v>
      </c>
      <c r="F591" s="79">
        <f>314.698-40-25-60</f>
        <v>189.69799999999998</v>
      </c>
      <c r="G591" s="81">
        <v>40</v>
      </c>
      <c r="H591" s="79">
        <f t="shared" ref="H591:H597" si="98">25+60</f>
        <v>85</v>
      </c>
      <c r="I591" s="79">
        <f t="shared" si="91"/>
        <v>0</v>
      </c>
      <c r="J591" s="81">
        <v>100</v>
      </c>
      <c r="K591" s="81">
        <v>300</v>
      </c>
      <c r="L591" s="79">
        <f t="shared" si="94"/>
        <v>1239</v>
      </c>
      <c r="M591" s="89">
        <v>600</v>
      </c>
      <c r="N591" s="79">
        <f>100</f>
        <v>100</v>
      </c>
      <c r="O591" s="81">
        <v>240</v>
      </c>
      <c r="P591" s="81">
        <v>160</v>
      </c>
      <c r="Q591" s="81">
        <f t="shared" si="95"/>
        <v>195</v>
      </c>
      <c r="R591" s="81">
        <f t="shared" si="96"/>
        <v>100</v>
      </c>
      <c r="S591" s="79">
        <f t="shared" si="97"/>
        <v>695</v>
      </c>
      <c r="T591" s="79">
        <f>50</f>
        <v>50</v>
      </c>
      <c r="U591" s="77"/>
      <c r="V591" s="77"/>
      <c r="W591" s="77"/>
      <c r="X591" s="77"/>
      <c r="Y591" s="77"/>
      <c r="Z591" s="77"/>
      <c r="AA591" s="77"/>
      <c r="AB591" s="77"/>
      <c r="AC591" s="77"/>
      <c r="AD591" s="77"/>
    </row>
    <row r="592" spans="1:30" ht="15.75" x14ac:dyDescent="0.25">
      <c r="A592" s="13">
        <v>58957</v>
      </c>
      <c r="B592" s="90">
        <v>31</v>
      </c>
      <c r="C592" s="79">
        <f>194.205</f>
        <v>194.20500000000001</v>
      </c>
      <c r="D592" s="79">
        <f>267.466</f>
        <v>267.46600000000001</v>
      </c>
      <c r="E592" s="87">
        <f>133.845</f>
        <v>133.845</v>
      </c>
      <c r="F592" s="79">
        <f>278.484-40-25-60</f>
        <v>153.48399999999998</v>
      </c>
      <c r="G592" s="81">
        <v>40</v>
      </c>
      <c r="H592" s="79">
        <f t="shared" si="98"/>
        <v>85</v>
      </c>
      <c r="I592" s="79">
        <f t="shared" si="91"/>
        <v>0</v>
      </c>
      <c r="J592" s="81">
        <v>100</v>
      </c>
      <c r="K592" s="81">
        <v>300</v>
      </c>
      <c r="L592" s="79">
        <f t="shared" si="94"/>
        <v>1274</v>
      </c>
      <c r="M592" s="89">
        <v>600</v>
      </c>
      <c r="N592" s="79">
        <f>75</f>
        <v>75</v>
      </c>
      <c r="O592" s="81">
        <v>240</v>
      </c>
      <c r="P592" s="81">
        <v>160</v>
      </c>
      <c r="Q592" s="81">
        <f t="shared" si="95"/>
        <v>195</v>
      </c>
      <c r="R592" s="81">
        <f t="shared" si="96"/>
        <v>100</v>
      </c>
      <c r="S592" s="79">
        <f t="shared" si="97"/>
        <v>695</v>
      </c>
      <c r="T592" s="79">
        <f>50</f>
        <v>50</v>
      </c>
      <c r="U592" s="77"/>
      <c r="V592" s="77"/>
      <c r="W592" s="77"/>
      <c r="X592" s="77"/>
      <c r="Y592" s="77"/>
      <c r="Z592" s="77"/>
      <c r="AA592" s="77"/>
      <c r="AB592" s="77"/>
      <c r="AC592" s="77"/>
      <c r="AD592" s="77"/>
    </row>
    <row r="593" spans="1:30" ht="15.75" x14ac:dyDescent="0.25">
      <c r="A593" s="13">
        <v>58987</v>
      </c>
      <c r="B593" s="90">
        <v>30</v>
      </c>
      <c r="C593" s="79">
        <f>194.205</f>
        <v>194.20500000000001</v>
      </c>
      <c r="D593" s="79">
        <f>267.466</f>
        <v>267.46600000000001</v>
      </c>
      <c r="E593" s="87">
        <f>133.845</f>
        <v>133.845</v>
      </c>
      <c r="F593" s="79">
        <f>278.484-40-25-60</f>
        <v>153.48399999999998</v>
      </c>
      <c r="G593" s="81">
        <v>40</v>
      </c>
      <c r="H593" s="79">
        <f t="shared" si="98"/>
        <v>85</v>
      </c>
      <c r="I593" s="79">
        <f t="shared" si="91"/>
        <v>0</v>
      </c>
      <c r="J593" s="81">
        <v>100</v>
      </c>
      <c r="K593" s="81">
        <v>300</v>
      </c>
      <c r="L593" s="79">
        <f t="shared" si="94"/>
        <v>1274</v>
      </c>
      <c r="M593" s="89">
        <v>600</v>
      </c>
      <c r="N593" s="79">
        <f>30</f>
        <v>30</v>
      </c>
      <c r="O593" s="81">
        <v>240</v>
      </c>
      <c r="P593" s="81">
        <v>160</v>
      </c>
      <c r="Q593" s="81">
        <f t="shared" si="95"/>
        <v>195</v>
      </c>
      <c r="R593" s="81">
        <f t="shared" si="96"/>
        <v>100</v>
      </c>
      <c r="S593" s="79">
        <f t="shared" si="97"/>
        <v>695</v>
      </c>
      <c r="T593" s="79">
        <f>50</f>
        <v>50</v>
      </c>
      <c r="U593" s="77"/>
      <c r="V593" s="77"/>
      <c r="W593" s="77"/>
      <c r="X593" s="77"/>
      <c r="Y593" s="77"/>
      <c r="Z593" s="77"/>
      <c r="AA593" s="77"/>
      <c r="AB593" s="77"/>
      <c r="AC593" s="77"/>
      <c r="AD593" s="77"/>
    </row>
    <row r="594" spans="1:30" ht="15.75" x14ac:dyDescent="0.25">
      <c r="A594" s="13">
        <v>59018</v>
      </c>
      <c r="B594" s="90">
        <v>31</v>
      </c>
      <c r="C594" s="79">
        <f>194.205</f>
        <v>194.20500000000001</v>
      </c>
      <c r="D594" s="79">
        <f>267.466</f>
        <v>267.46600000000001</v>
      </c>
      <c r="E594" s="87">
        <f>133.845</f>
        <v>133.845</v>
      </c>
      <c r="F594" s="79">
        <f>278.484-40-25-60</f>
        <v>153.48399999999998</v>
      </c>
      <c r="G594" s="81">
        <v>40</v>
      </c>
      <c r="H594" s="79">
        <f t="shared" si="98"/>
        <v>85</v>
      </c>
      <c r="I594" s="79">
        <f t="shared" si="91"/>
        <v>0</v>
      </c>
      <c r="J594" s="81">
        <v>100</v>
      </c>
      <c r="K594" s="81">
        <v>300</v>
      </c>
      <c r="L594" s="79">
        <f t="shared" si="94"/>
        <v>1274</v>
      </c>
      <c r="M594" s="89">
        <v>600</v>
      </c>
      <c r="N594" s="79">
        <f>30</f>
        <v>30</v>
      </c>
      <c r="O594" s="81">
        <v>240</v>
      </c>
      <c r="P594" s="81">
        <v>160</v>
      </c>
      <c r="Q594" s="81">
        <f t="shared" si="95"/>
        <v>195</v>
      </c>
      <c r="R594" s="81">
        <f t="shared" si="96"/>
        <v>100</v>
      </c>
      <c r="S594" s="79">
        <f t="shared" si="97"/>
        <v>695</v>
      </c>
      <c r="T594" s="79">
        <f>0</f>
        <v>0</v>
      </c>
      <c r="U594" s="77"/>
      <c r="V594" s="77"/>
      <c r="W594" s="77"/>
      <c r="X594" s="77"/>
      <c r="Y594" s="77"/>
      <c r="Z594" s="77"/>
      <c r="AA594" s="77"/>
      <c r="AB594" s="77"/>
      <c r="AC594" s="77"/>
      <c r="AD594" s="77"/>
    </row>
    <row r="595" spans="1:30" ht="15.75" x14ac:dyDescent="0.25">
      <c r="A595" s="13">
        <v>59049</v>
      </c>
      <c r="B595" s="90">
        <v>31</v>
      </c>
      <c r="C595" s="79">
        <f>194.205</f>
        <v>194.20500000000001</v>
      </c>
      <c r="D595" s="79">
        <f>267.466</f>
        <v>267.46600000000001</v>
      </c>
      <c r="E595" s="87">
        <f>133.845</f>
        <v>133.845</v>
      </c>
      <c r="F595" s="79">
        <f>278.484-40-25-60</f>
        <v>153.48399999999998</v>
      </c>
      <c r="G595" s="81">
        <v>40</v>
      </c>
      <c r="H595" s="79">
        <f t="shared" si="98"/>
        <v>85</v>
      </c>
      <c r="I595" s="79">
        <f t="shared" si="91"/>
        <v>0</v>
      </c>
      <c r="J595" s="81">
        <v>100</v>
      </c>
      <c r="K595" s="81">
        <v>300</v>
      </c>
      <c r="L595" s="79">
        <f t="shared" si="94"/>
        <v>1274</v>
      </c>
      <c r="M595" s="89">
        <v>600</v>
      </c>
      <c r="N595" s="79">
        <f>30</f>
        <v>30</v>
      </c>
      <c r="O595" s="81">
        <v>240</v>
      </c>
      <c r="P595" s="81">
        <v>160</v>
      </c>
      <c r="Q595" s="81">
        <f t="shared" si="95"/>
        <v>195</v>
      </c>
      <c r="R595" s="81">
        <f t="shared" si="96"/>
        <v>100</v>
      </c>
      <c r="S595" s="79">
        <f t="shared" si="97"/>
        <v>695</v>
      </c>
      <c r="T595" s="79">
        <f>0</f>
        <v>0</v>
      </c>
      <c r="U595" s="77"/>
      <c r="V595" s="77"/>
      <c r="W595" s="77"/>
      <c r="X595" s="77"/>
      <c r="Y595" s="77"/>
      <c r="Z595" s="77"/>
      <c r="AA595" s="77"/>
      <c r="AB595" s="77"/>
      <c r="AC595" s="77"/>
      <c r="AD595" s="77"/>
    </row>
    <row r="596" spans="1:30" ht="15.75" x14ac:dyDescent="0.25">
      <c r="A596" s="13">
        <v>59079</v>
      </c>
      <c r="B596" s="90">
        <v>30</v>
      </c>
      <c r="C596" s="79">
        <f>194.205</f>
        <v>194.20500000000001</v>
      </c>
      <c r="D596" s="79">
        <f>267.466</f>
        <v>267.46600000000001</v>
      </c>
      <c r="E596" s="87">
        <f>133.845</f>
        <v>133.845</v>
      </c>
      <c r="F596" s="79">
        <f>278.484-40-25-60</f>
        <v>153.48399999999998</v>
      </c>
      <c r="G596" s="81">
        <v>40</v>
      </c>
      <c r="H596" s="79">
        <f t="shared" si="98"/>
        <v>85</v>
      </c>
      <c r="I596" s="79">
        <f t="shared" si="91"/>
        <v>0</v>
      </c>
      <c r="J596" s="81">
        <v>100</v>
      </c>
      <c r="K596" s="81">
        <v>300</v>
      </c>
      <c r="L596" s="79">
        <f t="shared" si="94"/>
        <v>1274</v>
      </c>
      <c r="M596" s="89">
        <v>600</v>
      </c>
      <c r="N596" s="79">
        <f>30</f>
        <v>30</v>
      </c>
      <c r="O596" s="81">
        <v>240</v>
      </c>
      <c r="P596" s="81">
        <v>160</v>
      </c>
      <c r="Q596" s="81">
        <f t="shared" si="95"/>
        <v>195</v>
      </c>
      <c r="R596" s="81">
        <f t="shared" si="96"/>
        <v>100</v>
      </c>
      <c r="S596" s="79">
        <f t="shared" si="97"/>
        <v>695</v>
      </c>
      <c r="T596" s="79">
        <f>0</f>
        <v>0</v>
      </c>
      <c r="U596" s="77"/>
      <c r="V596" s="77"/>
      <c r="W596" s="77"/>
      <c r="X596" s="77"/>
      <c r="Y596" s="77"/>
      <c r="Z596" s="77"/>
      <c r="AA596" s="77"/>
      <c r="AB596" s="77"/>
      <c r="AC596" s="77"/>
      <c r="AD596" s="77"/>
    </row>
    <row r="597" spans="1:30" ht="15.75" x14ac:dyDescent="0.25">
      <c r="A597" s="13">
        <v>59110</v>
      </c>
      <c r="B597" s="90">
        <v>31</v>
      </c>
      <c r="C597" s="79">
        <f>131.881</f>
        <v>131.881</v>
      </c>
      <c r="D597" s="79">
        <f>277.167</f>
        <v>277.16699999999997</v>
      </c>
      <c r="E597" s="87">
        <f>79.08</f>
        <v>79.08</v>
      </c>
      <c r="F597" s="79">
        <f>350.872-40-25-60</f>
        <v>225.87200000000001</v>
      </c>
      <c r="G597" s="81">
        <v>40</v>
      </c>
      <c r="H597" s="79">
        <f t="shared" si="98"/>
        <v>85</v>
      </c>
      <c r="I597" s="79">
        <f t="shared" si="91"/>
        <v>0</v>
      </c>
      <c r="J597" s="81">
        <v>100</v>
      </c>
      <c r="K597" s="81">
        <v>300</v>
      </c>
      <c r="L597" s="79">
        <f t="shared" si="94"/>
        <v>1239</v>
      </c>
      <c r="M597" s="89">
        <v>600</v>
      </c>
      <c r="N597" s="79">
        <f>75</f>
        <v>75</v>
      </c>
      <c r="O597" s="81">
        <v>240</v>
      </c>
      <c r="P597" s="81">
        <v>160</v>
      </c>
      <c r="Q597" s="81">
        <f t="shared" si="95"/>
        <v>195</v>
      </c>
      <c r="R597" s="81">
        <f t="shared" si="96"/>
        <v>100</v>
      </c>
      <c r="S597" s="79">
        <f t="shared" si="97"/>
        <v>695</v>
      </c>
      <c r="T597" s="79">
        <f>0</f>
        <v>0</v>
      </c>
      <c r="U597" s="77"/>
      <c r="V597" s="77"/>
      <c r="W597" s="77"/>
      <c r="X597" s="77"/>
      <c r="Y597" s="77"/>
      <c r="Z597" s="77"/>
      <c r="AA597" s="77"/>
      <c r="AB597" s="77"/>
      <c r="AC597" s="77"/>
      <c r="AD597" s="77"/>
    </row>
    <row r="598" spans="1:30" ht="15.75" x14ac:dyDescent="0.25">
      <c r="A598" s="13">
        <v>59140</v>
      </c>
      <c r="B598" s="90">
        <v>30</v>
      </c>
      <c r="C598" s="79">
        <f>122.58</f>
        <v>122.58</v>
      </c>
      <c r="D598" s="79">
        <f>297.941</f>
        <v>297.94099999999997</v>
      </c>
      <c r="E598" s="87">
        <f>89.177</f>
        <v>89.177000000000007</v>
      </c>
      <c r="F598" s="79">
        <f>240.302-40-60</f>
        <v>140.30199999999999</v>
      </c>
      <c r="G598" s="81">
        <v>40</v>
      </c>
      <c r="H598" s="79">
        <v>60</v>
      </c>
      <c r="I598" s="79">
        <f t="shared" si="91"/>
        <v>0</v>
      </c>
      <c r="J598" s="81">
        <v>100</v>
      </c>
      <c r="K598" s="81">
        <v>300</v>
      </c>
      <c r="L598" s="79">
        <f t="shared" si="94"/>
        <v>1150</v>
      </c>
      <c r="M598" s="89">
        <v>600</v>
      </c>
      <c r="N598" s="79">
        <f>100</f>
        <v>100</v>
      </c>
      <c r="O598" s="81">
        <v>240</v>
      </c>
      <c r="P598" s="81">
        <v>40</v>
      </c>
      <c r="Q598" s="81">
        <f t="shared" si="95"/>
        <v>315</v>
      </c>
      <c r="R598" s="81">
        <f t="shared" si="96"/>
        <v>100</v>
      </c>
      <c r="S598" s="79">
        <f t="shared" si="97"/>
        <v>695</v>
      </c>
      <c r="T598" s="79">
        <f>50</f>
        <v>50</v>
      </c>
      <c r="U598" s="77"/>
      <c r="V598" s="77"/>
      <c r="W598" s="77"/>
      <c r="X598" s="77"/>
      <c r="Y598" s="77"/>
      <c r="Z598" s="77"/>
      <c r="AA598" s="77"/>
      <c r="AB598" s="77"/>
      <c r="AC598" s="77"/>
      <c r="AD598" s="77"/>
    </row>
    <row r="599" spans="1:30" ht="15.75" x14ac:dyDescent="0.25">
      <c r="A599" s="13">
        <v>59171</v>
      </c>
      <c r="B599" s="90">
        <v>31</v>
      </c>
      <c r="C599" s="79">
        <f>122.58</f>
        <v>122.58</v>
      </c>
      <c r="D599" s="79">
        <f>297.941</f>
        <v>297.94099999999997</v>
      </c>
      <c r="E599" s="87">
        <f>89.177</f>
        <v>89.177000000000007</v>
      </c>
      <c r="F599" s="79">
        <f>240.302-40-60</f>
        <v>140.30199999999999</v>
      </c>
      <c r="G599" s="81">
        <v>40</v>
      </c>
      <c r="H599" s="79">
        <v>60</v>
      </c>
      <c r="I599" s="79">
        <f t="shared" si="91"/>
        <v>0</v>
      </c>
      <c r="J599" s="81">
        <v>100</v>
      </c>
      <c r="K599" s="81">
        <v>300</v>
      </c>
      <c r="L599" s="79">
        <f t="shared" si="94"/>
        <v>1150</v>
      </c>
      <c r="M599" s="89">
        <v>600</v>
      </c>
      <c r="N599" s="79">
        <f>100</f>
        <v>100</v>
      </c>
      <c r="O599" s="81">
        <v>240</v>
      </c>
      <c r="P599" s="81">
        <v>40</v>
      </c>
      <c r="Q599" s="81">
        <f t="shared" si="95"/>
        <v>315</v>
      </c>
      <c r="R599" s="81">
        <f t="shared" si="96"/>
        <v>100</v>
      </c>
      <c r="S599" s="79">
        <f t="shared" si="97"/>
        <v>695</v>
      </c>
      <c r="T599" s="79">
        <f>50</f>
        <v>50</v>
      </c>
      <c r="U599" s="77"/>
      <c r="V599" s="77"/>
      <c r="W599" s="77"/>
      <c r="X599" s="77"/>
      <c r="Y599" s="77"/>
      <c r="Z599" s="77"/>
      <c r="AA599" s="77"/>
      <c r="AB599" s="77"/>
      <c r="AC599" s="77"/>
      <c r="AD599" s="77"/>
    </row>
    <row r="600" spans="1:30" ht="15" x14ac:dyDescent="0.2">
      <c r="A600" s="12"/>
      <c r="B600" s="88"/>
      <c r="C600" s="79"/>
      <c r="D600" s="79"/>
      <c r="E600" s="87"/>
      <c r="F600" s="79"/>
      <c r="G600" s="79"/>
      <c r="H600" s="79"/>
      <c r="I600" s="79"/>
      <c r="J600" s="79"/>
      <c r="K600" s="79"/>
      <c r="L600" s="79"/>
      <c r="M600" s="79"/>
      <c r="N600" s="79"/>
      <c r="O600" s="81"/>
      <c r="P600" s="81"/>
      <c r="Q600" s="81"/>
      <c r="R600" s="81"/>
      <c r="S600" s="79"/>
      <c r="T600" s="79"/>
      <c r="U600" s="77"/>
      <c r="V600" s="77"/>
      <c r="W600" s="77"/>
      <c r="X600" s="77"/>
      <c r="Y600" s="77"/>
      <c r="Z600" s="77"/>
      <c r="AA600" s="77"/>
      <c r="AB600" s="77"/>
      <c r="AC600" s="77"/>
      <c r="AD600" s="77"/>
    </row>
    <row r="601" spans="1:30" ht="15" x14ac:dyDescent="0.2">
      <c r="A601" s="11">
        <v>2013</v>
      </c>
      <c r="B601" s="11"/>
      <c r="C601" s="82">
        <f t="shared" ref="C601:L601" si="99">AVERAGE(C12:C23)</f>
        <v>154.75825</v>
      </c>
      <c r="D601" s="82">
        <f t="shared" si="99"/>
        <v>281.0162499999999</v>
      </c>
      <c r="E601" s="82">
        <f t="shared" si="99"/>
        <v>109.1005</v>
      </c>
      <c r="F601" s="82">
        <f t="shared" si="99"/>
        <v>217.04166666666666</v>
      </c>
      <c r="G601" s="82">
        <f t="shared" si="99"/>
        <v>40</v>
      </c>
      <c r="H601" s="82">
        <f t="shared" si="99"/>
        <v>14.583333333333334</v>
      </c>
      <c r="I601" s="82">
        <f t="shared" si="99"/>
        <v>12.5</v>
      </c>
      <c r="J601" s="82">
        <f t="shared" si="99"/>
        <v>100</v>
      </c>
      <c r="K601" s="82">
        <f t="shared" si="99"/>
        <v>300</v>
      </c>
      <c r="L601" s="82">
        <f t="shared" si="99"/>
        <v>1229</v>
      </c>
      <c r="M601" s="86"/>
      <c r="N601" s="82">
        <f t="shared" ref="N601:T601" si="100">AVERAGE(N12:N23)</f>
        <v>97.5</v>
      </c>
      <c r="O601" s="83">
        <f t="shared" si="100"/>
        <v>240</v>
      </c>
      <c r="P601" s="83">
        <f t="shared" si="100"/>
        <v>70</v>
      </c>
      <c r="Q601" s="83">
        <f t="shared" si="100"/>
        <v>285</v>
      </c>
      <c r="R601" s="83">
        <f t="shared" si="100"/>
        <v>100</v>
      </c>
      <c r="S601" s="82">
        <f t="shared" si="100"/>
        <v>695</v>
      </c>
      <c r="T601" s="82">
        <f t="shared" si="100"/>
        <v>33.333333333333336</v>
      </c>
      <c r="U601" s="77"/>
      <c r="V601" s="77"/>
      <c r="W601" s="77"/>
      <c r="X601" s="77"/>
      <c r="Y601" s="77"/>
      <c r="Z601" s="77"/>
      <c r="AA601" s="77"/>
      <c r="AB601" s="77"/>
      <c r="AC601" s="77"/>
      <c r="AD601" s="77"/>
    </row>
    <row r="602" spans="1:30" ht="15.75" x14ac:dyDescent="0.25">
      <c r="A602" s="11">
        <v>2014</v>
      </c>
      <c r="B602" s="11"/>
      <c r="C602" s="82">
        <f t="shared" ref="C602:L602" si="101">AVERAGE(C24:C35)</f>
        <v>154.75825</v>
      </c>
      <c r="D602" s="82">
        <f t="shared" si="101"/>
        <v>281.0162499999999</v>
      </c>
      <c r="E602" s="82">
        <f t="shared" si="101"/>
        <v>109.1005</v>
      </c>
      <c r="F602" s="82">
        <f t="shared" si="101"/>
        <v>217.04166666666666</v>
      </c>
      <c r="G602" s="82">
        <f t="shared" si="101"/>
        <v>40</v>
      </c>
      <c r="H602" s="82">
        <f t="shared" si="101"/>
        <v>14.583333333333334</v>
      </c>
      <c r="I602" s="82">
        <f t="shared" si="101"/>
        <v>20.833333333333332</v>
      </c>
      <c r="J602" s="82">
        <f t="shared" si="101"/>
        <v>100</v>
      </c>
      <c r="K602" s="82">
        <f t="shared" si="101"/>
        <v>300</v>
      </c>
      <c r="L602" s="82">
        <f t="shared" si="101"/>
        <v>1237.3333333333333</v>
      </c>
      <c r="M602" s="85"/>
      <c r="N602" s="82">
        <f t="shared" ref="N602:T602" si="102">AVERAGE(N24:N35)</f>
        <v>72.5</v>
      </c>
      <c r="O602" s="83">
        <f t="shared" si="102"/>
        <v>240</v>
      </c>
      <c r="P602" s="83">
        <f t="shared" si="102"/>
        <v>70</v>
      </c>
      <c r="Q602" s="83">
        <f t="shared" si="102"/>
        <v>285</v>
      </c>
      <c r="R602" s="83">
        <f t="shared" si="102"/>
        <v>100</v>
      </c>
      <c r="S602" s="82">
        <f t="shared" si="102"/>
        <v>695</v>
      </c>
      <c r="T602" s="82">
        <f t="shared" si="102"/>
        <v>33.333333333333336</v>
      </c>
      <c r="U602" s="77"/>
      <c r="V602" s="77"/>
      <c r="W602" s="77"/>
      <c r="X602" s="77"/>
      <c r="Y602" s="77"/>
      <c r="Z602" s="77"/>
      <c r="AA602" s="77"/>
      <c r="AB602" s="77"/>
      <c r="AC602" s="77"/>
      <c r="AD602" s="77"/>
    </row>
    <row r="603" spans="1:30" ht="15.75" x14ac:dyDescent="0.25">
      <c r="A603" s="11">
        <v>2015</v>
      </c>
      <c r="B603" s="11"/>
      <c r="C603" s="82">
        <f t="shared" ref="C603:L603" si="103">AVERAGE(C36:C47)</f>
        <v>154.75825</v>
      </c>
      <c r="D603" s="82">
        <f t="shared" si="103"/>
        <v>281.0162499999999</v>
      </c>
      <c r="E603" s="82">
        <f t="shared" si="103"/>
        <v>109.1005</v>
      </c>
      <c r="F603" s="82">
        <f t="shared" si="103"/>
        <v>172.04166666666663</v>
      </c>
      <c r="G603" s="82">
        <f t="shared" si="103"/>
        <v>40</v>
      </c>
      <c r="H603" s="82">
        <f t="shared" si="103"/>
        <v>59.583333333333336</v>
      </c>
      <c r="I603" s="82">
        <f t="shared" si="103"/>
        <v>20.833333333333332</v>
      </c>
      <c r="J603" s="82">
        <f t="shared" si="103"/>
        <v>100</v>
      </c>
      <c r="K603" s="82">
        <f t="shared" si="103"/>
        <v>300</v>
      </c>
      <c r="L603" s="82">
        <f t="shared" si="103"/>
        <v>1237.3333333333333</v>
      </c>
      <c r="M603" s="85"/>
      <c r="N603" s="82">
        <f t="shared" ref="N603:T603" si="104">AVERAGE(N36:N47)</f>
        <v>72.5</v>
      </c>
      <c r="O603" s="83">
        <f t="shared" si="104"/>
        <v>240</v>
      </c>
      <c r="P603" s="83">
        <f t="shared" si="104"/>
        <v>100</v>
      </c>
      <c r="Q603" s="83">
        <f t="shared" si="104"/>
        <v>255</v>
      </c>
      <c r="R603" s="83">
        <f t="shared" si="104"/>
        <v>100</v>
      </c>
      <c r="S603" s="82">
        <f t="shared" si="104"/>
        <v>695</v>
      </c>
      <c r="T603" s="82">
        <f t="shared" si="104"/>
        <v>33.333333333333336</v>
      </c>
      <c r="U603" s="77"/>
      <c r="V603" s="77"/>
      <c r="W603" s="77"/>
      <c r="X603" s="77"/>
      <c r="Y603" s="77"/>
      <c r="Z603" s="77"/>
      <c r="AA603" s="77"/>
      <c r="AB603" s="77"/>
      <c r="AC603" s="77"/>
      <c r="AD603" s="77"/>
    </row>
    <row r="604" spans="1:30" ht="15.75" x14ac:dyDescent="0.25">
      <c r="A604" s="11">
        <v>2016</v>
      </c>
      <c r="B604" s="11"/>
      <c r="C604" s="82">
        <f t="shared" ref="C604:L604" si="105">AVERAGE(C48:C59)</f>
        <v>154.75825</v>
      </c>
      <c r="D604" s="82">
        <f t="shared" si="105"/>
        <v>281.0162499999999</v>
      </c>
      <c r="E604" s="82">
        <f t="shared" si="105"/>
        <v>109.1005</v>
      </c>
      <c r="F604" s="82">
        <f t="shared" si="105"/>
        <v>157.04166666666663</v>
      </c>
      <c r="G604" s="82">
        <f t="shared" si="105"/>
        <v>40</v>
      </c>
      <c r="H604" s="82">
        <f t="shared" si="105"/>
        <v>74.583333333333329</v>
      </c>
      <c r="I604" s="82">
        <f t="shared" si="105"/>
        <v>0</v>
      </c>
      <c r="J604" s="82">
        <f t="shared" si="105"/>
        <v>100</v>
      </c>
      <c r="K604" s="82">
        <f t="shared" si="105"/>
        <v>300</v>
      </c>
      <c r="L604" s="82">
        <f t="shared" si="105"/>
        <v>1216.5</v>
      </c>
      <c r="M604" s="85"/>
      <c r="N604" s="82">
        <f t="shared" ref="N604:T604" si="106">AVERAGE(N48:N59)</f>
        <v>72.5</v>
      </c>
      <c r="O604" s="83">
        <f t="shared" si="106"/>
        <v>240</v>
      </c>
      <c r="P604" s="83">
        <f t="shared" si="106"/>
        <v>110</v>
      </c>
      <c r="Q604" s="83">
        <f t="shared" si="106"/>
        <v>245</v>
      </c>
      <c r="R604" s="83">
        <f t="shared" si="106"/>
        <v>100</v>
      </c>
      <c r="S604" s="82">
        <f t="shared" si="106"/>
        <v>695</v>
      </c>
      <c r="T604" s="82">
        <f t="shared" si="106"/>
        <v>33.333333333333336</v>
      </c>
      <c r="U604" s="77"/>
      <c r="V604" s="77"/>
      <c r="W604" s="77"/>
      <c r="X604" s="77"/>
      <c r="Y604" s="77"/>
      <c r="Z604" s="77"/>
      <c r="AA604" s="77"/>
      <c r="AB604" s="77"/>
      <c r="AC604" s="77"/>
      <c r="AD604" s="77"/>
    </row>
    <row r="605" spans="1:30" ht="15" x14ac:dyDescent="0.2">
      <c r="A605" s="11">
        <v>2017</v>
      </c>
      <c r="B605" s="11"/>
      <c r="C605" s="82">
        <f t="shared" ref="C605:T605" si="107">AVERAGE(C60:C71)</f>
        <v>154.75825</v>
      </c>
      <c r="D605" s="82">
        <f t="shared" si="107"/>
        <v>281.0162499999999</v>
      </c>
      <c r="E605" s="82">
        <f t="shared" si="107"/>
        <v>109.1005</v>
      </c>
      <c r="F605" s="82">
        <f t="shared" si="107"/>
        <v>157.04166666666663</v>
      </c>
      <c r="G605" s="82">
        <f t="shared" si="107"/>
        <v>40</v>
      </c>
      <c r="H605" s="82">
        <f t="shared" si="107"/>
        <v>74.583333333333329</v>
      </c>
      <c r="I605" s="82">
        <f t="shared" si="107"/>
        <v>0</v>
      </c>
      <c r="J605" s="82">
        <f t="shared" si="107"/>
        <v>100</v>
      </c>
      <c r="K605" s="82">
        <f t="shared" si="107"/>
        <v>300</v>
      </c>
      <c r="L605" s="82">
        <f t="shared" si="107"/>
        <v>1216.5</v>
      </c>
      <c r="M605" s="84">
        <f t="shared" si="107"/>
        <v>400</v>
      </c>
      <c r="N605" s="82">
        <f t="shared" si="107"/>
        <v>72.5</v>
      </c>
      <c r="O605" s="83">
        <f t="shared" si="107"/>
        <v>240</v>
      </c>
      <c r="P605" s="83">
        <f t="shared" si="107"/>
        <v>110</v>
      </c>
      <c r="Q605" s="83">
        <f t="shared" si="107"/>
        <v>245</v>
      </c>
      <c r="R605" s="83">
        <f t="shared" si="107"/>
        <v>100</v>
      </c>
      <c r="S605" s="82">
        <f t="shared" si="107"/>
        <v>695</v>
      </c>
      <c r="T605" s="82">
        <f t="shared" si="107"/>
        <v>33.333333333333336</v>
      </c>
      <c r="U605" s="77"/>
      <c r="V605" s="77"/>
      <c r="W605" s="77"/>
      <c r="X605" s="77"/>
      <c r="Y605" s="77"/>
      <c r="Z605" s="77"/>
      <c r="AA605" s="77"/>
      <c r="AB605" s="77"/>
      <c r="AC605" s="77"/>
      <c r="AD605" s="77"/>
    </row>
    <row r="606" spans="1:30" ht="15" x14ac:dyDescent="0.2">
      <c r="A606" s="11">
        <v>2018</v>
      </c>
      <c r="B606" s="11"/>
      <c r="C606" s="82">
        <f t="shared" ref="C606:T606" si="108">AVERAGE(C72:C83)</f>
        <v>154.75825</v>
      </c>
      <c r="D606" s="82">
        <f t="shared" si="108"/>
        <v>281.0162499999999</v>
      </c>
      <c r="E606" s="82">
        <f t="shared" si="108"/>
        <v>109.1005</v>
      </c>
      <c r="F606" s="82">
        <f t="shared" si="108"/>
        <v>157.04166666666663</v>
      </c>
      <c r="G606" s="82">
        <f t="shared" si="108"/>
        <v>40</v>
      </c>
      <c r="H606" s="82">
        <f t="shared" si="108"/>
        <v>74.583333333333329</v>
      </c>
      <c r="I606" s="82">
        <f t="shared" si="108"/>
        <v>0</v>
      </c>
      <c r="J606" s="82">
        <f t="shared" si="108"/>
        <v>100</v>
      </c>
      <c r="K606" s="82">
        <f t="shared" si="108"/>
        <v>300</v>
      </c>
      <c r="L606" s="82">
        <f t="shared" si="108"/>
        <v>1216.5</v>
      </c>
      <c r="M606" s="84">
        <f t="shared" si="108"/>
        <v>400</v>
      </c>
      <c r="N606" s="82">
        <f t="shared" si="108"/>
        <v>72.5</v>
      </c>
      <c r="O606" s="83">
        <f t="shared" si="108"/>
        <v>240</v>
      </c>
      <c r="P606" s="83">
        <f t="shared" si="108"/>
        <v>110</v>
      </c>
      <c r="Q606" s="83">
        <f t="shared" si="108"/>
        <v>245</v>
      </c>
      <c r="R606" s="83">
        <f t="shared" si="108"/>
        <v>100</v>
      </c>
      <c r="S606" s="82">
        <f t="shared" si="108"/>
        <v>695</v>
      </c>
      <c r="T606" s="82">
        <f t="shared" si="108"/>
        <v>33.333333333333336</v>
      </c>
      <c r="U606" s="77"/>
      <c r="V606" s="77"/>
      <c r="W606" s="77"/>
      <c r="X606" s="77"/>
      <c r="Y606" s="77"/>
      <c r="Z606" s="77"/>
      <c r="AA606" s="77"/>
      <c r="AB606" s="77"/>
      <c r="AC606" s="77"/>
      <c r="AD606" s="77"/>
    </row>
    <row r="607" spans="1:30" ht="15" x14ac:dyDescent="0.2">
      <c r="A607" s="11">
        <v>2019</v>
      </c>
      <c r="B607" s="11"/>
      <c r="C607" s="82">
        <f t="shared" ref="C607:T607" si="109">AVERAGE(C84:C95)</f>
        <v>154.75825</v>
      </c>
      <c r="D607" s="82">
        <f t="shared" si="109"/>
        <v>281.0162499999999</v>
      </c>
      <c r="E607" s="82">
        <f t="shared" si="109"/>
        <v>109.1005</v>
      </c>
      <c r="F607" s="82">
        <f t="shared" si="109"/>
        <v>157.04166666666663</v>
      </c>
      <c r="G607" s="82">
        <f t="shared" si="109"/>
        <v>40</v>
      </c>
      <c r="H607" s="82">
        <f t="shared" si="109"/>
        <v>74.583333333333329</v>
      </c>
      <c r="I607" s="82">
        <f t="shared" si="109"/>
        <v>0</v>
      </c>
      <c r="J607" s="82">
        <f t="shared" si="109"/>
        <v>100</v>
      </c>
      <c r="K607" s="82">
        <f t="shared" si="109"/>
        <v>300</v>
      </c>
      <c r="L607" s="82">
        <f t="shared" si="109"/>
        <v>1216.5</v>
      </c>
      <c r="M607" s="84">
        <f t="shared" si="109"/>
        <v>400</v>
      </c>
      <c r="N607" s="82">
        <f t="shared" si="109"/>
        <v>72.5</v>
      </c>
      <c r="O607" s="83">
        <f t="shared" si="109"/>
        <v>240</v>
      </c>
      <c r="P607" s="83">
        <f t="shared" si="109"/>
        <v>110</v>
      </c>
      <c r="Q607" s="83">
        <f t="shared" si="109"/>
        <v>245</v>
      </c>
      <c r="R607" s="83">
        <f t="shared" si="109"/>
        <v>100</v>
      </c>
      <c r="S607" s="82">
        <f t="shared" si="109"/>
        <v>695</v>
      </c>
      <c r="T607" s="82">
        <f t="shared" si="109"/>
        <v>33.333333333333336</v>
      </c>
      <c r="U607" s="77"/>
      <c r="V607" s="77"/>
      <c r="W607" s="77"/>
      <c r="X607" s="77"/>
      <c r="Y607" s="77"/>
      <c r="Z607" s="77"/>
      <c r="AA607" s="77"/>
      <c r="AB607" s="77"/>
      <c r="AC607" s="77"/>
      <c r="AD607" s="77"/>
    </row>
    <row r="608" spans="1:30" ht="15" x14ac:dyDescent="0.2">
      <c r="A608" s="11">
        <v>2020</v>
      </c>
      <c r="B608" s="11"/>
      <c r="C608" s="82">
        <f t="shared" ref="C608:T608" si="110">AVERAGE(C96:C107)</f>
        <v>154.75825</v>
      </c>
      <c r="D608" s="82">
        <f t="shared" si="110"/>
        <v>281.0162499999999</v>
      </c>
      <c r="E608" s="82">
        <f t="shared" si="110"/>
        <v>109.1005</v>
      </c>
      <c r="F608" s="82">
        <f t="shared" si="110"/>
        <v>157.04166666666663</v>
      </c>
      <c r="G608" s="82">
        <f t="shared" si="110"/>
        <v>40</v>
      </c>
      <c r="H608" s="82">
        <f t="shared" si="110"/>
        <v>74.583333333333329</v>
      </c>
      <c r="I608" s="82">
        <f t="shared" si="110"/>
        <v>0</v>
      </c>
      <c r="J608" s="82">
        <f t="shared" si="110"/>
        <v>100</v>
      </c>
      <c r="K608" s="82">
        <f t="shared" si="110"/>
        <v>300</v>
      </c>
      <c r="L608" s="82">
        <f t="shared" si="110"/>
        <v>1216.5</v>
      </c>
      <c r="M608" s="84">
        <f t="shared" si="110"/>
        <v>533.33333333333337</v>
      </c>
      <c r="N608" s="82">
        <f t="shared" si="110"/>
        <v>72.5</v>
      </c>
      <c r="O608" s="83">
        <f t="shared" si="110"/>
        <v>240</v>
      </c>
      <c r="P608" s="83">
        <f t="shared" si="110"/>
        <v>110</v>
      </c>
      <c r="Q608" s="83">
        <f t="shared" si="110"/>
        <v>245</v>
      </c>
      <c r="R608" s="83">
        <f t="shared" si="110"/>
        <v>100</v>
      </c>
      <c r="S608" s="82">
        <f t="shared" si="110"/>
        <v>695</v>
      </c>
      <c r="T608" s="82">
        <f t="shared" si="110"/>
        <v>33.333333333333336</v>
      </c>
      <c r="U608" s="77"/>
      <c r="V608" s="77"/>
      <c r="W608" s="77"/>
      <c r="X608" s="77"/>
      <c r="Y608" s="77"/>
      <c r="Z608" s="77"/>
      <c r="AA608" s="77"/>
      <c r="AB608" s="77"/>
      <c r="AC608" s="77"/>
      <c r="AD608" s="77"/>
    </row>
    <row r="609" spans="1:30" ht="15" x14ac:dyDescent="0.2">
      <c r="A609" s="11">
        <v>2021</v>
      </c>
      <c r="B609" s="11"/>
      <c r="C609" s="82">
        <f t="shared" ref="C609:T609" si="111">AVERAGE(C108:C119)</f>
        <v>154.75825</v>
      </c>
      <c r="D609" s="82">
        <f t="shared" si="111"/>
        <v>281.0162499999999</v>
      </c>
      <c r="E609" s="82">
        <f t="shared" si="111"/>
        <v>109.1005</v>
      </c>
      <c r="F609" s="82">
        <f t="shared" si="111"/>
        <v>157.04166666666663</v>
      </c>
      <c r="G609" s="82">
        <f t="shared" si="111"/>
        <v>40</v>
      </c>
      <c r="H609" s="82">
        <f t="shared" si="111"/>
        <v>74.583333333333329</v>
      </c>
      <c r="I609" s="82">
        <f t="shared" si="111"/>
        <v>0</v>
      </c>
      <c r="J609" s="82">
        <f t="shared" si="111"/>
        <v>100</v>
      </c>
      <c r="K609" s="82">
        <f t="shared" si="111"/>
        <v>300</v>
      </c>
      <c r="L609" s="82">
        <f t="shared" si="111"/>
        <v>1216.5</v>
      </c>
      <c r="M609" s="84">
        <f t="shared" si="111"/>
        <v>600</v>
      </c>
      <c r="N609" s="82">
        <f t="shared" si="111"/>
        <v>72.5</v>
      </c>
      <c r="O609" s="83">
        <f t="shared" si="111"/>
        <v>240</v>
      </c>
      <c r="P609" s="83">
        <f t="shared" si="111"/>
        <v>110</v>
      </c>
      <c r="Q609" s="83">
        <f t="shared" si="111"/>
        <v>245</v>
      </c>
      <c r="R609" s="83">
        <f t="shared" si="111"/>
        <v>100</v>
      </c>
      <c r="S609" s="82">
        <f t="shared" si="111"/>
        <v>695</v>
      </c>
      <c r="T609" s="82">
        <f t="shared" si="111"/>
        <v>33.333333333333336</v>
      </c>
      <c r="U609" s="77"/>
      <c r="V609" s="77"/>
      <c r="W609" s="77"/>
      <c r="X609" s="77"/>
      <c r="Y609" s="77"/>
      <c r="Z609" s="77"/>
      <c r="AA609" s="77"/>
      <c r="AB609" s="77"/>
      <c r="AC609" s="77"/>
      <c r="AD609" s="77"/>
    </row>
    <row r="610" spans="1:30" ht="15" x14ac:dyDescent="0.2">
      <c r="A610" s="11">
        <v>2022</v>
      </c>
      <c r="B610" s="11"/>
      <c r="C610" s="82">
        <f t="shared" ref="C610:T610" si="112">AVERAGE(C120:C131)</f>
        <v>154.75825</v>
      </c>
      <c r="D610" s="82">
        <f t="shared" si="112"/>
        <v>281.0162499999999</v>
      </c>
      <c r="E610" s="82">
        <f t="shared" si="112"/>
        <v>109.1005</v>
      </c>
      <c r="F610" s="82">
        <f t="shared" si="112"/>
        <v>157.04166666666663</v>
      </c>
      <c r="G610" s="82">
        <f t="shared" si="112"/>
        <v>40</v>
      </c>
      <c r="H610" s="82">
        <f t="shared" si="112"/>
        <v>74.583333333333329</v>
      </c>
      <c r="I610" s="82">
        <f t="shared" si="112"/>
        <v>0</v>
      </c>
      <c r="J610" s="82">
        <f t="shared" si="112"/>
        <v>100</v>
      </c>
      <c r="K610" s="82">
        <f t="shared" si="112"/>
        <v>300</v>
      </c>
      <c r="L610" s="82">
        <f t="shared" si="112"/>
        <v>1216.5</v>
      </c>
      <c r="M610" s="84">
        <f t="shared" si="112"/>
        <v>600</v>
      </c>
      <c r="N610" s="82">
        <f t="shared" si="112"/>
        <v>72.5</v>
      </c>
      <c r="O610" s="83">
        <f t="shared" si="112"/>
        <v>240</v>
      </c>
      <c r="P610" s="83">
        <f t="shared" si="112"/>
        <v>110</v>
      </c>
      <c r="Q610" s="83">
        <f t="shared" si="112"/>
        <v>245</v>
      </c>
      <c r="R610" s="83">
        <f t="shared" si="112"/>
        <v>100</v>
      </c>
      <c r="S610" s="82">
        <f t="shared" si="112"/>
        <v>695</v>
      </c>
      <c r="T610" s="82">
        <f t="shared" si="112"/>
        <v>33.333333333333336</v>
      </c>
      <c r="U610" s="77"/>
      <c r="V610" s="77"/>
      <c r="W610" s="77"/>
      <c r="X610" s="77"/>
      <c r="Y610" s="77"/>
      <c r="Z610" s="77"/>
      <c r="AA610" s="77"/>
      <c r="AB610" s="77"/>
      <c r="AC610" s="77"/>
      <c r="AD610" s="77"/>
    </row>
    <row r="611" spans="1:30" ht="15" x14ac:dyDescent="0.2">
      <c r="A611" s="11">
        <v>2023</v>
      </c>
      <c r="B611" s="11"/>
      <c r="C611" s="82">
        <f t="shared" ref="C611:T611" si="113">AVERAGE(C132:C143)</f>
        <v>154.75825</v>
      </c>
      <c r="D611" s="82">
        <f t="shared" si="113"/>
        <v>281.0162499999999</v>
      </c>
      <c r="E611" s="82">
        <f t="shared" si="113"/>
        <v>109.1005</v>
      </c>
      <c r="F611" s="82">
        <f t="shared" si="113"/>
        <v>157.04166666666663</v>
      </c>
      <c r="G611" s="82">
        <f t="shared" si="113"/>
        <v>40</v>
      </c>
      <c r="H611" s="82">
        <f t="shared" si="113"/>
        <v>74.583333333333329</v>
      </c>
      <c r="I611" s="82">
        <f t="shared" si="113"/>
        <v>0</v>
      </c>
      <c r="J611" s="82">
        <f t="shared" si="113"/>
        <v>100</v>
      </c>
      <c r="K611" s="82">
        <f t="shared" si="113"/>
        <v>300</v>
      </c>
      <c r="L611" s="82">
        <f t="shared" si="113"/>
        <v>1216.5</v>
      </c>
      <c r="M611" s="84">
        <f t="shared" si="113"/>
        <v>600</v>
      </c>
      <c r="N611" s="82">
        <f t="shared" si="113"/>
        <v>72.5</v>
      </c>
      <c r="O611" s="83">
        <f t="shared" si="113"/>
        <v>240</v>
      </c>
      <c r="P611" s="83">
        <f t="shared" si="113"/>
        <v>110</v>
      </c>
      <c r="Q611" s="83">
        <f t="shared" si="113"/>
        <v>245</v>
      </c>
      <c r="R611" s="83">
        <f t="shared" si="113"/>
        <v>100</v>
      </c>
      <c r="S611" s="82">
        <f t="shared" si="113"/>
        <v>695</v>
      </c>
      <c r="T611" s="82">
        <f t="shared" si="113"/>
        <v>33.333333333333336</v>
      </c>
      <c r="U611" s="77"/>
      <c r="V611" s="77"/>
      <c r="W611" s="77"/>
      <c r="X611" s="77"/>
      <c r="Y611" s="77"/>
      <c r="Z611" s="77"/>
      <c r="AA611" s="77"/>
      <c r="AB611" s="77"/>
      <c r="AC611" s="77"/>
      <c r="AD611" s="77"/>
    </row>
    <row r="612" spans="1:30" ht="15" x14ac:dyDescent="0.2">
      <c r="A612" s="11">
        <v>2024</v>
      </c>
      <c r="B612" s="11"/>
      <c r="C612" s="82">
        <f t="shared" ref="C612:T612" si="114">AVERAGE(C144:C155)</f>
        <v>154.75825</v>
      </c>
      <c r="D612" s="82">
        <f t="shared" si="114"/>
        <v>281.0162499999999</v>
      </c>
      <c r="E612" s="82">
        <f t="shared" si="114"/>
        <v>109.1005</v>
      </c>
      <c r="F612" s="82">
        <f t="shared" si="114"/>
        <v>157.04166666666663</v>
      </c>
      <c r="G612" s="82">
        <f t="shared" si="114"/>
        <v>40</v>
      </c>
      <c r="H612" s="82">
        <f t="shared" si="114"/>
        <v>74.583333333333329</v>
      </c>
      <c r="I612" s="82">
        <f t="shared" si="114"/>
        <v>0</v>
      </c>
      <c r="J612" s="82">
        <f t="shared" si="114"/>
        <v>100</v>
      </c>
      <c r="K612" s="82">
        <f t="shared" si="114"/>
        <v>300</v>
      </c>
      <c r="L612" s="82">
        <f t="shared" si="114"/>
        <v>1216.5</v>
      </c>
      <c r="M612" s="84">
        <f t="shared" si="114"/>
        <v>600</v>
      </c>
      <c r="N612" s="82">
        <f t="shared" si="114"/>
        <v>72.5</v>
      </c>
      <c r="O612" s="83">
        <f t="shared" si="114"/>
        <v>240</v>
      </c>
      <c r="P612" s="83">
        <f t="shared" si="114"/>
        <v>110</v>
      </c>
      <c r="Q612" s="83">
        <f t="shared" si="114"/>
        <v>245</v>
      </c>
      <c r="R612" s="83">
        <f t="shared" si="114"/>
        <v>100</v>
      </c>
      <c r="S612" s="82">
        <f t="shared" si="114"/>
        <v>695</v>
      </c>
      <c r="T612" s="82">
        <f t="shared" si="114"/>
        <v>33.333333333333336</v>
      </c>
      <c r="U612" s="77"/>
      <c r="V612" s="77"/>
      <c r="W612" s="77"/>
      <c r="X612" s="77"/>
      <c r="Y612" s="77"/>
      <c r="Z612" s="77"/>
      <c r="AA612" s="77"/>
      <c r="AB612" s="77"/>
      <c r="AC612" s="77"/>
      <c r="AD612" s="77"/>
    </row>
    <row r="613" spans="1:30" ht="15" x14ac:dyDescent="0.2">
      <c r="A613" s="11">
        <v>2025</v>
      </c>
      <c r="B613" s="11"/>
      <c r="C613" s="82">
        <f t="shared" ref="C613:T613" si="115">AVERAGE(C156:C167)</f>
        <v>154.75825</v>
      </c>
      <c r="D613" s="82">
        <f t="shared" si="115"/>
        <v>281.0162499999999</v>
      </c>
      <c r="E613" s="82">
        <f t="shared" si="115"/>
        <v>109.1005</v>
      </c>
      <c r="F613" s="82">
        <f t="shared" si="115"/>
        <v>157.04166666666663</v>
      </c>
      <c r="G613" s="82">
        <f t="shared" si="115"/>
        <v>40</v>
      </c>
      <c r="H613" s="82">
        <f t="shared" si="115"/>
        <v>74.583333333333329</v>
      </c>
      <c r="I613" s="82">
        <f t="shared" si="115"/>
        <v>0</v>
      </c>
      <c r="J613" s="82">
        <f t="shared" si="115"/>
        <v>100</v>
      </c>
      <c r="K613" s="82">
        <f t="shared" si="115"/>
        <v>300</v>
      </c>
      <c r="L613" s="82">
        <f t="shared" si="115"/>
        <v>1216.5</v>
      </c>
      <c r="M613" s="84">
        <f t="shared" si="115"/>
        <v>600</v>
      </c>
      <c r="N613" s="82">
        <f t="shared" si="115"/>
        <v>72.5</v>
      </c>
      <c r="O613" s="83">
        <f t="shared" si="115"/>
        <v>240</v>
      </c>
      <c r="P613" s="83">
        <f t="shared" si="115"/>
        <v>110</v>
      </c>
      <c r="Q613" s="83">
        <f t="shared" si="115"/>
        <v>245</v>
      </c>
      <c r="R613" s="83">
        <f t="shared" si="115"/>
        <v>100</v>
      </c>
      <c r="S613" s="82">
        <f t="shared" si="115"/>
        <v>695</v>
      </c>
      <c r="T613" s="82">
        <f t="shared" si="115"/>
        <v>33.333333333333336</v>
      </c>
      <c r="U613" s="77"/>
      <c r="V613" s="77"/>
      <c r="W613" s="77"/>
      <c r="X613" s="77"/>
      <c r="Y613" s="77"/>
      <c r="Z613" s="77"/>
      <c r="AA613" s="77"/>
      <c r="AB613" s="77"/>
      <c r="AC613" s="77"/>
      <c r="AD613" s="77"/>
    </row>
    <row r="614" spans="1:30" ht="15" x14ac:dyDescent="0.2">
      <c r="A614" s="11">
        <v>2026</v>
      </c>
      <c r="B614" s="11"/>
      <c r="C614" s="82">
        <f t="shared" ref="C614:T614" si="116">AVERAGE(C168:C179)</f>
        <v>154.75825</v>
      </c>
      <c r="D614" s="82">
        <f t="shared" si="116"/>
        <v>281.0162499999999</v>
      </c>
      <c r="E614" s="82">
        <f t="shared" si="116"/>
        <v>109.1005</v>
      </c>
      <c r="F614" s="82">
        <f t="shared" si="116"/>
        <v>157.04166666666663</v>
      </c>
      <c r="G614" s="82">
        <f t="shared" si="116"/>
        <v>40</v>
      </c>
      <c r="H614" s="82">
        <f t="shared" si="116"/>
        <v>74.583333333333329</v>
      </c>
      <c r="I614" s="82">
        <f t="shared" si="116"/>
        <v>0</v>
      </c>
      <c r="J614" s="82">
        <f t="shared" si="116"/>
        <v>100</v>
      </c>
      <c r="K614" s="82">
        <f t="shared" si="116"/>
        <v>300</v>
      </c>
      <c r="L614" s="82">
        <f t="shared" si="116"/>
        <v>1216.5</v>
      </c>
      <c r="M614" s="84">
        <f t="shared" si="116"/>
        <v>600</v>
      </c>
      <c r="N614" s="82">
        <f t="shared" si="116"/>
        <v>72.5</v>
      </c>
      <c r="O614" s="83">
        <f t="shared" si="116"/>
        <v>240</v>
      </c>
      <c r="P614" s="83">
        <f t="shared" si="116"/>
        <v>110</v>
      </c>
      <c r="Q614" s="83">
        <f t="shared" si="116"/>
        <v>245</v>
      </c>
      <c r="R614" s="83">
        <f t="shared" si="116"/>
        <v>100</v>
      </c>
      <c r="S614" s="82">
        <f t="shared" si="116"/>
        <v>695</v>
      </c>
      <c r="T614" s="82">
        <f t="shared" si="116"/>
        <v>33.333333333333336</v>
      </c>
      <c r="U614" s="77"/>
      <c r="V614" s="77"/>
      <c r="W614" s="77"/>
      <c r="X614" s="77"/>
      <c r="Y614" s="77"/>
      <c r="Z614" s="77"/>
      <c r="AA614" s="77"/>
      <c r="AB614" s="77"/>
      <c r="AC614" s="77"/>
      <c r="AD614" s="77"/>
    </row>
    <row r="615" spans="1:30" ht="15" x14ac:dyDescent="0.2">
      <c r="A615" s="11">
        <v>2027</v>
      </c>
      <c r="B615" s="11"/>
      <c r="C615" s="82">
        <f t="shared" ref="C615:T615" si="117">AVERAGE(C180:C191)</f>
        <v>154.75825</v>
      </c>
      <c r="D615" s="82">
        <f t="shared" si="117"/>
        <v>281.0162499999999</v>
      </c>
      <c r="E615" s="82">
        <f t="shared" si="117"/>
        <v>109.1005</v>
      </c>
      <c r="F615" s="82">
        <f t="shared" si="117"/>
        <v>157.04166666666663</v>
      </c>
      <c r="G615" s="82">
        <f t="shared" si="117"/>
        <v>40</v>
      </c>
      <c r="H615" s="82">
        <f t="shared" si="117"/>
        <v>74.583333333333329</v>
      </c>
      <c r="I615" s="82">
        <f t="shared" si="117"/>
        <v>0</v>
      </c>
      <c r="J615" s="82">
        <f t="shared" si="117"/>
        <v>100</v>
      </c>
      <c r="K615" s="82">
        <f t="shared" si="117"/>
        <v>300</v>
      </c>
      <c r="L615" s="82">
        <f t="shared" si="117"/>
        <v>1216.5</v>
      </c>
      <c r="M615" s="84">
        <f t="shared" si="117"/>
        <v>600</v>
      </c>
      <c r="N615" s="82">
        <f t="shared" si="117"/>
        <v>72.5</v>
      </c>
      <c r="O615" s="83">
        <f t="shared" si="117"/>
        <v>240</v>
      </c>
      <c r="P615" s="83">
        <f t="shared" si="117"/>
        <v>110</v>
      </c>
      <c r="Q615" s="83">
        <f t="shared" si="117"/>
        <v>245</v>
      </c>
      <c r="R615" s="83">
        <f t="shared" si="117"/>
        <v>100</v>
      </c>
      <c r="S615" s="82">
        <f t="shared" si="117"/>
        <v>695</v>
      </c>
      <c r="T615" s="82">
        <f t="shared" si="117"/>
        <v>33.333333333333336</v>
      </c>
      <c r="U615" s="77"/>
      <c r="V615" s="77"/>
      <c r="W615" s="77"/>
      <c r="X615" s="77"/>
      <c r="Y615" s="77"/>
      <c r="Z615" s="77"/>
      <c r="AA615" s="77"/>
      <c r="AB615" s="77"/>
      <c r="AC615" s="77"/>
      <c r="AD615" s="77"/>
    </row>
    <row r="616" spans="1:30" ht="15" x14ac:dyDescent="0.2">
      <c r="A616" s="11">
        <v>2028</v>
      </c>
      <c r="B616" s="11"/>
      <c r="C616" s="82">
        <f t="shared" ref="C616:T616" si="118">AVERAGE(C192:C203)</f>
        <v>154.75825</v>
      </c>
      <c r="D616" s="82">
        <f t="shared" si="118"/>
        <v>281.0162499999999</v>
      </c>
      <c r="E616" s="82">
        <f t="shared" si="118"/>
        <v>109.1005</v>
      </c>
      <c r="F616" s="82">
        <f t="shared" si="118"/>
        <v>157.04166666666663</v>
      </c>
      <c r="G616" s="82">
        <f t="shared" si="118"/>
        <v>40</v>
      </c>
      <c r="H616" s="82">
        <f t="shared" si="118"/>
        <v>74.583333333333329</v>
      </c>
      <c r="I616" s="82">
        <f t="shared" si="118"/>
        <v>0</v>
      </c>
      <c r="J616" s="82">
        <f t="shared" si="118"/>
        <v>100</v>
      </c>
      <c r="K616" s="82">
        <f t="shared" si="118"/>
        <v>300</v>
      </c>
      <c r="L616" s="82">
        <f t="shared" si="118"/>
        <v>1216.5</v>
      </c>
      <c r="M616" s="84">
        <f t="shared" si="118"/>
        <v>600</v>
      </c>
      <c r="N616" s="82">
        <f t="shared" si="118"/>
        <v>72.5</v>
      </c>
      <c r="O616" s="83">
        <f t="shared" si="118"/>
        <v>240</v>
      </c>
      <c r="P616" s="83">
        <f t="shared" si="118"/>
        <v>110</v>
      </c>
      <c r="Q616" s="83">
        <f t="shared" si="118"/>
        <v>245</v>
      </c>
      <c r="R616" s="83">
        <f t="shared" si="118"/>
        <v>100</v>
      </c>
      <c r="S616" s="82">
        <f t="shared" si="118"/>
        <v>695</v>
      </c>
      <c r="T616" s="82">
        <f t="shared" si="118"/>
        <v>33.333333333333336</v>
      </c>
      <c r="U616" s="77"/>
      <c r="V616" s="77"/>
      <c r="W616" s="77"/>
      <c r="X616" s="77"/>
      <c r="Y616" s="77"/>
      <c r="Z616" s="77"/>
      <c r="AA616" s="77"/>
      <c r="AB616" s="77"/>
      <c r="AC616" s="77"/>
      <c r="AD616" s="77"/>
    </row>
    <row r="617" spans="1:30" ht="15" x14ac:dyDescent="0.2">
      <c r="A617" s="11">
        <v>2029</v>
      </c>
      <c r="B617" s="11"/>
      <c r="C617" s="82">
        <f t="shared" ref="C617:T617" si="119">AVERAGE(C204:C215)</f>
        <v>154.75825</v>
      </c>
      <c r="D617" s="82">
        <f t="shared" si="119"/>
        <v>281.0162499999999</v>
      </c>
      <c r="E617" s="82">
        <f t="shared" si="119"/>
        <v>109.1005</v>
      </c>
      <c r="F617" s="82">
        <f t="shared" si="119"/>
        <v>157.04166666666663</v>
      </c>
      <c r="G617" s="82">
        <f t="shared" si="119"/>
        <v>40</v>
      </c>
      <c r="H617" s="82">
        <f t="shared" si="119"/>
        <v>74.583333333333329</v>
      </c>
      <c r="I617" s="82">
        <f t="shared" si="119"/>
        <v>0</v>
      </c>
      <c r="J617" s="82">
        <f t="shared" si="119"/>
        <v>100</v>
      </c>
      <c r="K617" s="82">
        <f t="shared" si="119"/>
        <v>300</v>
      </c>
      <c r="L617" s="82">
        <f t="shared" si="119"/>
        <v>1216.5</v>
      </c>
      <c r="M617" s="84">
        <f t="shared" si="119"/>
        <v>600</v>
      </c>
      <c r="N617" s="82">
        <f t="shared" si="119"/>
        <v>72.5</v>
      </c>
      <c r="O617" s="83">
        <f t="shared" si="119"/>
        <v>240</v>
      </c>
      <c r="P617" s="83">
        <f t="shared" si="119"/>
        <v>110</v>
      </c>
      <c r="Q617" s="83">
        <f t="shared" si="119"/>
        <v>245</v>
      </c>
      <c r="R617" s="83">
        <f t="shared" si="119"/>
        <v>100</v>
      </c>
      <c r="S617" s="82">
        <f t="shared" si="119"/>
        <v>695</v>
      </c>
      <c r="T617" s="82">
        <f t="shared" si="119"/>
        <v>33.333333333333336</v>
      </c>
      <c r="U617" s="77"/>
      <c r="V617" s="77"/>
      <c r="W617" s="77"/>
      <c r="X617" s="77"/>
      <c r="Y617" s="77"/>
      <c r="Z617" s="77"/>
      <c r="AA617" s="77"/>
      <c r="AB617" s="77"/>
      <c r="AC617" s="77"/>
      <c r="AD617" s="77"/>
    </row>
    <row r="618" spans="1:30" ht="15" x14ac:dyDescent="0.2">
      <c r="A618" s="11">
        <v>2030</v>
      </c>
      <c r="B618" s="11"/>
      <c r="C618" s="82">
        <f t="shared" ref="C618:T618" si="120">AVERAGE(C216:C227)</f>
        <v>154.75825</v>
      </c>
      <c r="D618" s="82">
        <f t="shared" si="120"/>
        <v>281.0162499999999</v>
      </c>
      <c r="E618" s="82">
        <f t="shared" si="120"/>
        <v>109.1005</v>
      </c>
      <c r="F618" s="82">
        <f t="shared" si="120"/>
        <v>157.04166666666663</v>
      </c>
      <c r="G618" s="82">
        <f t="shared" si="120"/>
        <v>40</v>
      </c>
      <c r="H618" s="82">
        <f t="shared" si="120"/>
        <v>74.583333333333329</v>
      </c>
      <c r="I618" s="82">
        <f t="shared" si="120"/>
        <v>0</v>
      </c>
      <c r="J618" s="82">
        <f t="shared" si="120"/>
        <v>100</v>
      </c>
      <c r="K618" s="82">
        <f t="shared" si="120"/>
        <v>300</v>
      </c>
      <c r="L618" s="82">
        <f t="shared" si="120"/>
        <v>1216.5</v>
      </c>
      <c r="M618" s="84">
        <f t="shared" si="120"/>
        <v>600</v>
      </c>
      <c r="N618" s="82">
        <f t="shared" si="120"/>
        <v>72.5</v>
      </c>
      <c r="O618" s="83">
        <f t="shared" si="120"/>
        <v>240</v>
      </c>
      <c r="P618" s="83">
        <f t="shared" si="120"/>
        <v>110</v>
      </c>
      <c r="Q618" s="83">
        <f t="shared" si="120"/>
        <v>245</v>
      </c>
      <c r="R618" s="83">
        <f t="shared" si="120"/>
        <v>100</v>
      </c>
      <c r="S618" s="82">
        <f t="shared" si="120"/>
        <v>695</v>
      </c>
      <c r="T618" s="82">
        <f t="shared" si="120"/>
        <v>33.333333333333336</v>
      </c>
      <c r="U618" s="77"/>
      <c r="V618" s="77"/>
      <c r="W618" s="77"/>
      <c r="X618" s="77"/>
      <c r="Y618" s="77"/>
      <c r="Z618" s="77"/>
      <c r="AA618" s="77"/>
      <c r="AB618" s="77"/>
      <c r="AC618" s="77"/>
      <c r="AD618" s="77"/>
    </row>
    <row r="619" spans="1:30" ht="15" x14ac:dyDescent="0.2">
      <c r="A619" s="11">
        <v>2031</v>
      </c>
      <c r="B619" s="11"/>
      <c r="C619" s="82">
        <f t="shared" ref="C619:T619" si="121">AVERAGE(C228:C239)</f>
        <v>154.75825</v>
      </c>
      <c r="D619" s="82">
        <f t="shared" si="121"/>
        <v>281.0162499999999</v>
      </c>
      <c r="E619" s="82">
        <f t="shared" si="121"/>
        <v>109.1005</v>
      </c>
      <c r="F619" s="82">
        <f t="shared" si="121"/>
        <v>157.04166666666663</v>
      </c>
      <c r="G619" s="82">
        <f t="shared" si="121"/>
        <v>40</v>
      </c>
      <c r="H619" s="82">
        <f t="shared" si="121"/>
        <v>74.583333333333329</v>
      </c>
      <c r="I619" s="82">
        <f t="shared" si="121"/>
        <v>0</v>
      </c>
      <c r="J619" s="82">
        <f t="shared" si="121"/>
        <v>100</v>
      </c>
      <c r="K619" s="82">
        <f t="shared" si="121"/>
        <v>300</v>
      </c>
      <c r="L619" s="82">
        <f t="shared" si="121"/>
        <v>1216.5</v>
      </c>
      <c r="M619" s="84">
        <f t="shared" si="121"/>
        <v>600</v>
      </c>
      <c r="N619" s="82">
        <f t="shared" si="121"/>
        <v>72.5</v>
      </c>
      <c r="O619" s="83">
        <f t="shared" si="121"/>
        <v>240</v>
      </c>
      <c r="P619" s="83">
        <f t="shared" si="121"/>
        <v>110</v>
      </c>
      <c r="Q619" s="83">
        <f t="shared" si="121"/>
        <v>245</v>
      </c>
      <c r="R619" s="83">
        <f t="shared" si="121"/>
        <v>100</v>
      </c>
      <c r="S619" s="82">
        <f t="shared" si="121"/>
        <v>695</v>
      </c>
      <c r="T619" s="82">
        <f t="shared" si="121"/>
        <v>33.333333333333336</v>
      </c>
      <c r="U619" s="77"/>
      <c r="V619" s="77"/>
      <c r="W619" s="77"/>
      <c r="X619" s="77"/>
      <c r="Y619" s="77"/>
      <c r="Z619" s="77"/>
      <c r="AA619" s="77"/>
      <c r="AB619" s="77"/>
      <c r="AC619" s="77"/>
      <c r="AD619" s="77"/>
    </row>
    <row r="620" spans="1:30" ht="15" x14ac:dyDescent="0.2">
      <c r="A620" s="11">
        <v>2032</v>
      </c>
      <c r="B620" s="11"/>
      <c r="C620" s="82">
        <f t="shared" ref="C620:T620" si="122">AVERAGE(C240:C251)</f>
        <v>154.75825</v>
      </c>
      <c r="D620" s="82">
        <f t="shared" si="122"/>
        <v>281.0162499999999</v>
      </c>
      <c r="E620" s="82">
        <f t="shared" si="122"/>
        <v>109.1005</v>
      </c>
      <c r="F620" s="82">
        <f t="shared" si="122"/>
        <v>157.04166666666663</v>
      </c>
      <c r="G620" s="82">
        <f t="shared" si="122"/>
        <v>40</v>
      </c>
      <c r="H620" s="82">
        <f t="shared" si="122"/>
        <v>74.583333333333329</v>
      </c>
      <c r="I620" s="82">
        <f t="shared" si="122"/>
        <v>0</v>
      </c>
      <c r="J620" s="82">
        <f t="shared" si="122"/>
        <v>100</v>
      </c>
      <c r="K620" s="82">
        <f t="shared" si="122"/>
        <v>300</v>
      </c>
      <c r="L620" s="82">
        <f t="shared" si="122"/>
        <v>1216.5</v>
      </c>
      <c r="M620" s="84">
        <f t="shared" si="122"/>
        <v>600</v>
      </c>
      <c r="N620" s="82">
        <f t="shared" si="122"/>
        <v>72.5</v>
      </c>
      <c r="O620" s="83">
        <f t="shared" si="122"/>
        <v>240</v>
      </c>
      <c r="P620" s="83">
        <f t="shared" si="122"/>
        <v>110</v>
      </c>
      <c r="Q620" s="83">
        <f t="shared" si="122"/>
        <v>245</v>
      </c>
      <c r="R620" s="83">
        <f t="shared" si="122"/>
        <v>100</v>
      </c>
      <c r="S620" s="82">
        <f t="shared" si="122"/>
        <v>695</v>
      </c>
      <c r="T620" s="82">
        <f t="shared" si="122"/>
        <v>33.333333333333336</v>
      </c>
      <c r="U620" s="77"/>
      <c r="V620" s="77"/>
      <c r="W620" s="77"/>
      <c r="X620" s="77"/>
      <c r="Y620" s="77"/>
      <c r="Z620" s="77"/>
      <c r="AA620" s="77"/>
      <c r="AB620" s="77"/>
      <c r="AC620" s="77"/>
      <c r="AD620" s="77"/>
    </row>
    <row r="621" spans="1:30" ht="15" x14ac:dyDescent="0.2">
      <c r="A621" s="11">
        <v>2033</v>
      </c>
      <c r="B621" s="11"/>
      <c r="C621" s="82">
        <f t="shared" ref="C621:T621" si="123">AVERAGE(C252:C263)</f>
        <v>154.75825</v>
      </c>
      <c r="D621" s="82">
        <f t="shared" si="123"/>
        <v>281.0162499999999</v>
      </c>
      <c r="E621" s="82">
        <f t="shared" si="123"/>
        <v>109.1005</v>
      </c>
      <c r="F621" s="82">
        <f t="shared" si="123"/>
        <v>157.04166666666663</v>
      </c>
      <c r="G621" s="82">
        <f t="shared" si="123"/>
        <v>40</v>
      </c>
      <c r="H621" s="82">
        <f t="shared" si="123"/>
        <v>74.583333333333329</v>
      </c>
      <c r="I621" s="82">
        <f t="shared" si="123"/>
        <v>0</v>
      </c>
      <c r="J621" s="82">
        <f t="shared" si="123"/>
        <v>100</v>
      </c>
      <c r="K621" s="82">
        <f t="shared" si="123"/>
        <v>300</v>
      </c>
      <c r="L621" s="82">
        <f t="shared" si="123"/>
        <v>1216.5</v>
      </c>
      <c r="M621" s="84">
        <f t="shared" si="123"/>
        <v>600</v>
      </c>
      <c r="N621" s="82">
        <f t="shared" si="123"/>
        <v>72.5</v>
      </c>
      <c r="O621" s="83">
        <f t="shared" si="123"/>
        <v>240</v>
      </c>
      <c r="P621" s="83">
        <f t="shared" si="123"/>
        <v>110</v>
      </c>
      <c r="Q621" s="83">
        <f t="shared" si="123"/>
        <v>245</v>
      </c>
      <c r="R621" s="83">
        <f t="shared" si="123"/>
        <v>100</v>
      </c>
      <c r="S621" s="82">
        <f t="shared" si="123"/>
        <v>695</v>
      </c>
      <c r="T621" s="82">
        <f t="shared" si="123"/>
        <v>33.333333333333336</v>
      </c>
      <c r="U621" s="77"/>
      <c r="V621" s="77"/>
      <c r="W621" s="77"/>
      <c r="X621" s="77"/>
      <c r="Y621" s="77"/>
      <c r="Z621" s="77"/>
      <c r="AA621" s="77"/>
      <c r="AB621" s="77"/>
      <c r="AC621" s="77"/>
      <c r="AD621" s="77"/>
    </row>
    <row r="622" spans="1:30" ht="15" x14ac:dyDescent="0.2">
      <c r="A622" s="11">
        <v>2034</v>
      </c>
      <c r="B622" s="11"/>
      <c r="C622" s="82">
        <f t="shared" ref="C622:T622" si="124">AVERAGE(C264:C275)</f>
        <v>154.75825</v>
      </c>
      <c r="D622" s="82">
        <f t="shared" si="124"/>
        <v>281.0162499999999</v>
      </c>
      <c r="E622" s="82">
        <f t="shared" si="124"/>
        <v>109.1005</v>
      </c>
      <c r="F622" s="82">
        <f t="shared" si="124"/>
        <v>157.04166666666663</v>
      </c>
      <c r="G622" s="82">
        <f t="shared" si="124"/>
        <v>40</v>
      </c>
      <c r="H622" s="82">
        <f t="shared" si="124"/>
        <v>74.583333333333329</v>
      </c>
      <c r="I622" s="82">
        <f t="shared" si="124"/>
        <v>0</v>
      </c>
      <c r="J622" s="82">
        <f t="shared" si="124"/>
        <v>100</v>
      </c>
      <c r="K622" s="82">
        <f t="shared" si="124"/>
        <v>300</v>
      </c>
      <c r="L622" s="82">
        <f t="shared" si="124"/>
        <v>1216.5</v>
      </c>
      <c r="M622" s="84">
        <f t="shared" si="124"/>
        <v>600</v>
      </c>
      <c r="N622" s="82">
        <f t="shared" si="124"/>
        <v>72.5</v>
      </c>
      <c r="O622" s="83">
        <f t="shared" si="124"/>
        <v>240</v>
      </c>
      <c r="P622" s="83">
        <f t="shared" si="124"/>
        <v>110</v>
      </c>
      <c r="Q622" s="83">
        <f t="shared" si="124"/>
        <v>245</v>
      </c>
      <c r="R622" s="83">
        <f t="shared" si="124"/>
        <v>100</v>
      </c>
      <c r="S622" s="82">
        <f t="shared" si="124"/>
        <v>695</v>
      </c>
      <c r="T622" s="82">
        <f t="shared" si="124"/>
        <v>33.333333333333336</v>
      </c>
      <c r="U622" s="77"/>
      <c r="V622" s="77"/>
      <c r="W622" s="77"/>
      <c r="X622" s="77"/>
      <c r="Y622" s="77"/>
      <c r="Z622" s="77"/>
      <c r="AA622" s="77"/>
      <c r="AB622" s="77"/>
      <c r="AC622" s="77"/>
      <c r="AD622" s="77"/>
    </row>
    <row r="623" spans="1:30" ht="15" x14ac:dyDescent="0.2">
      <c r="A623" s="11">
        <v>2035</v>
      </c>
      <c r="B623" s="11"/>
      <c r="C623" s="82">
        <f t="shared" ref="C623:T623" si="125">AVERAGE(C276:C287)</f>
        <v>154.75825</v>
      </c>
      <c r="D623" s="82">
        <f t="shared" si="125"/>
        <v>281.0162499999999</v>
      </c>
      <c r="E623" s="82">
        <f t="shared" si="125"/>
        <v>109.1005</v>
      </c>
      <c r="F623" s="82">
        <f t="shared" si="125"/>
        <v>157.04166666666663</v>
      </c>
      <c r="G623" s="82">
        <f t="shared" si="125"/>
        <v>40</v>
      </c>
      <c r="H623" s="82">
        <f t="shared" si="125"/>
        <v>74.583333333333329</v>
      </c>
      <c r="I623" s="82">
        <f t="shared" si="125"/>
        <v>0</v>
      </c>
      <c r="J623" s="82">
        <f t="shared" si="125"/>
        <v>100</v>
      </c>
      <c r="K623" s="82">
        <f t="shared" si="125"/>
        <v>300</v>
      </c>
      <c r="L623" s="82">
        <f t="shared" si="125"/>
        <v>1216.5</v>
      </c>
      <c r="M623" s="84">
        <f t="shared" si="125"/>
        <v>600</v>
      </c>
      <c r="N623" s="82">
        <f t="shared" si="125"/>
        <v>72.5</v>
      </c>
      <c r="O623" s="83">
        <f t="shared" si="125"/>
        <v>240</v>
      </c>
      <c r="P623" s="83">
        <f t="shared" si="125"/>
        <v>110</v>
      </c>
      <c r="Q623" s="83">
        <f t="shared" si="125"/>
        <v>245</v>
      </c>
      <c r="R623" s="83">
        <f t="shared" si="125"/>
        <v>100</v>
      </c>
      <c r="S623" s="82">
        <f t="shared" si="125"/>
        <v>695</v>
      </c>
      <c r="T623" s="82">
        <f t="shared" si="125"/>
        <v>33.333333333333336</v>
      </c>
      <c r="U623" s="77"/>
      <c r="V623" s="77"/>
      <c r="W623" s="77"/>
      <c r="X623" s="77"/>
      <c r="Y623" s="77"/>
      <c r="Z623" s="77"/>
      <c r="AA623" s="77"/>
      <c r="AB623" s="77"/>
      <c r="AC623" s="77"/>
      <c r="AD623" s="77"/>
    </row>
    <row r="624" spans="1:30" ht="15" x14ac:dyDescent="0.2">
      <c r="A624" s="11">
        <v>2036</v>
      </c>
      <c r="B624" s="11"/>
      <c r="C624" s="82">
        <f t="shared" ref="C624:T624" si="126">AVERAGE(C288:C299)</f>
        <v>154.75825</v>
      </c>
      <c r="D624" s="82">
        <f t="shared" si="126"/>
        <v>281.0162499999999</v>
      </c>
      <c r="E624" s="82">
        <f t="shared" si="126"/>
        <v>109.1005</v>
      </c>
      <c r="F624" s="82">
        <f t="shared" si="126"/>
        <v>157.04166666666663</v>
      </c>
      <c r="G624" s="82">
        <f t="shared" si="126"/>
        <v>40</v>
      </c>
      <c r="H624" s="82">
        <f t="shared" si="126"/>
        <v>74.583333333333329</v>
      </c>
      <c r="I624" s="82">
        <f t="shared" si="126"/>
        <v>0</v>
      </c>
      <c r="J624" s="82">
        <f t="shared" si="126"/>
        <v>100</v>
      </c>
      <c r="K624" s="82">
        <f t="shared" si="126"/>
        <v>300</v>
      </c>
      <c r="L624" s="82">
        <f t="shared" si="126"/>
        <v>1216.5</v>
      </c>
      <c r="M624" s="84">
        <f t="shared" si="126"/>
        <v>600</v>
      </c>
      <c r="N624" s="82">
        <f t="shared" si="126"/>
        <v>72.5</v>
      </c>
      <c r="O624" s="83">
        <f t="shared" si="126"/>
        <v>240</v>
      </c>
      <c r="P624" s="83">
        <f t="shared" si="126"/>
        <v>110</v>
      </c>
      <c r="Q624" s="83">
        <f t="shared" si="126"/>
        <v>245</v>
      </c>
      <c r="R624" s="83">
        <f t="shared" si="126"/>
        <v>100</v>
      </c>
      <c r="S624" s="82">
        <f t="shared" si="126"/>
        <v>695</v>
      </c>
      <c r="T624" s="82">
        <f t="shared" si="126"/>
        <v>33.333333333333336</v>
      </c>
      <c r="U624" s="77"/>
      <c r="V624" s="77"/>
      <c r="W624" s="77"/>
      <c r="X624" s="77"/>
      <c r="Y624" s="77"/>
      <c r="Z624" s="77"/>
      <c r="AA624" s="77"/>
      <c r="AB624" s="77"/>
      <c r="AC624" s="77"/>
      <c r="AD624" s="77"/>
    </row>
    <row r="625" spans="1:30" ht="15" x14ac:dyDescent="0.2">
      <c r="A625" s="11">
        <v>2037</v>
      </c>
      <c r="B625" s="11"/>
      <c r="C625" s="82">
        <f t="shared" ref="C625:T625" si="127">AVERAGE(C300:C311)</f>
        <v>154.75825</v>
      </c>
      <c r="D625" s="82">
        <f t="shared" si="127"/>
        <v>281.0162499999999</v>
      </c>
      <c r="E625" s="82">
        <f t="shared" si="127"/>
        <v>109.1005</v>
      </c>
      <c r="F625" s="82">
        <f t="shared" si="127"/>
        <v>157.04166666666663</v>
      </c>
      <c r="G625" s="82">
        <f t="shared" si="127"/>
        <v>40</v>
      </c>
      <c r="H625" s="82">
        <f t="shared" si="127"/>
        <v>74.583333333333329</v>
      </c>
      <c r="I625" s="82">
        <f t="shared" si="127"/>
        <v>0</v>
      </c>
      <c r="J625" s="82">
        <f t="shared" si="127"/>
        <v>100</v>
      </c>
      <c r="K625" s="82">
        <f t="shared" si="127"/>
        <v>300</v>
      </c>
      <c r="L625" s="82">
        <f t="shared" si="127"/>
        <v>1216.5</v>
      </c>
      <c r="M625" s="84">
        <f t="shared" si="127"/>
        <v>600</v>
      </c>
      <c r="N625" s="82">
        <f t="shared" si="127"/>
        <v>72.5</v>
      </c>
      <c r="O625" s="83">
        <f t="shared" si="127"/>
        <v>240</v>
      </c>
      <c r="P625" s="83">
        <f t="shared" si="127"/>
        <v>110</v>
      </c>
      <c r="Q625" s="83">
        <f t="shared" si="127"/>
        <v>245</v>
      </c>
      <c r="R625" s="83">
        <f t="shared" si="127"/>
        <v>100</v>
      </c>
      <c r="S625" s="82">
        <f t="shared" si="127"/>
        <v>695</v>
      </c>
      <c r="T625" s="82">
        <f t="shared" si="127"/>
        <v>33.333333333333336</v>
      </c>
      <c r="U625" s="77"/>
      <c r="V625" s="77"/>
      <c r="W625" s="77"/>
      <c r="X625" s="77"/>
      <c r="Y625" s="77"/>
      <c r="Z625" s="77"/>
      <c r="AA625" s="77"/>
      <c r="AB625" s="77"/>
      <c r="AC625" s="77"/>
      <c r="AD625" s="77"/>
    </row>
    <row r="626" spans="1:30" ht="15" x14ac:dyDescent="0.2">
      <c r="A626" s="11">
        <f t="shared" ref="A626:A649" si="128">A625+1</f>
        <v>2038</v>
      </c>
      <c r="B626" s="11"/>
      <c r="C626" s="79">
        <f t="shared" ref="C626:T626" si="129">AVERAGE(C312:C323)</f>
        <v>154.75825</v>
      </c>
      <c r="D626" s="79">
        <f t="shared" si="129"/>
        <v>281.0162499999999</v>
      </c>
      <c r="E626" s="79">
        <f t="shared" si="129"/>
        <v>109.1005</v>
      </c>
      <c r="F626" s="79">
        <f t="shared" si="129"/>
        <v>157.04166666666663</v>
      </c>
      <c r="G626" s="79">
        <f t="shared" si="129"/>
        <v>40</v>
      </c>
      <c r="H626" s="79">
        <f t="shared" si="129"/>
        <v>74.583333333333329</v>
      </c>
      <c r="I626" s="79">
        <f t="shared" si="129"/>
        <v>0</v>
      </c>
      <c r="J626" s="79">
        <f t="shared" si="129"/>
        <v>100</v>
      </c>
      <c r="K626" s="79">
        <f t="shared" si="129"/>
        <v>300</v>
      </c>
      <c r="L626" s="79">
        <f t="shared" si="129"/>
        <v>1216.5</v>
      </c>
      <c r="M626" s="80">
        <f t="shared" si="129"/>
        <v>600</v>
      </c>
      <c r="N626" s="79">
        <f t="shared" si="129"/>
        <v>72.5</v>
      </c>
      <c r="O626" s="81">
        <f t="shared" si="129"/>
        <v>240</v>
      </c>
      <c r="P626" s="81">
        <f t="shared" si="129"/>
        <v>110</v>
      </c>
      <c r="Q626" s="81">
        <f t="shared" si="129"/>
        <v>245</v>
      </c>
      <c r="R626" s="81">
        <f t="shared" si="129"/>
        <v>100</v>
      </c>
      <c r="S626" s="79">
        <f t="shared" si="129"/>
        <v>695</v>
      </c>
      <c r="T626" s="79">
        <f t="shared" si="129"/>
        <v>33.333333333333336</v>
      </c>
      <c r="U626" s="77"/>
      <c r="V626" s="77"/>
      <c r="W626" s="77"/>
      <c r="X626" s="77"/>
      <c r="Y626" s="77"/>
      <c r="Z626" s="77"/>
      <c r="AA626" s="77"/>
      <c r="AB626" s="77"/>
      <c r="AC626" s="77"/>
      <c r="AD626" s="77"/>
    </row>
    <row r="627" spans="1:30" ht="15" x14ac:dyDescent="0.2">
      <c r="A627" s="11">
        <f t="shared" si="128"/>
        <v>2039</v>
      </c>
      <c r="B627" s="11"/>
      <c r="C627" s="79">
        <f t="shared" ref="C627:T627" si="130">AVERAGE(C324:C335)</f>
        <v>154.75825</v>
      </c>
      <c r="D627" s="79">
        <f t="shared" si="130"/>
        <v>281.0162499999999</v>
      </c>
      <c r="E627" s="79">
        <f t="shared" si="130"/>
        <v>109.1005</v>
      </c>
      <c r="F627" s="79">
        <f t="shared" si="130"/>
        <v>157.04166666666663</v>
      </c>
      <c r="G627" s="79">
        <f t="shared" si="130"/>
        <v>40</v>
      </c>
      <c r="H627" s="79">
        <f t="shared" si="130"/>
        <v>74.583333333333329</v>
      </c>
      <c r="I627" s="79">
        <f t="shared" si="130"/>
        <v>0</v>
      </c>
      <c r="J627" s="79">
        <f t="shared" si="130"/>
        <v>100</v>
      </c>
      <c r="K627" s="79">
        <f t="shared" si="130"/>
        <v>300</v>
      </c>
      <c r="L627" s="79">
        <f t="shared" si="130"/>
        <v>1216.5</v>
      </c>
      <c r="M627" s="80">
        <f t="shared" si="130"/>
        <v>600</v>
      </c>
      <c r="N627" s="79">
        <f t="shared" si="130"/>
        <v>72.5</v>
      </c>
      <c r="O627" s="81">
        <f t="shared" si="130"/>
        <v>240</v>
      </c>
      <c r="P627" s="81">
        <f t="shared" si="130"/>
        <v>110</v>
      </c>
      <c r="Q627" s="81">
        <f t="shared" si="130"/>
        <v>245</v>
      </c>
      <c r="R627" s="81">
        <f t="shared" si="130"/>
        <v>100</v>
      </c>
      <c r="S627" s="79">
        <f t="shared" si="130"/>
        <v>695</v>
      </c>
      <c r="T627" s="79">
        <f t="shared" si="130"/>
        <v>33.333333333333336</v>
      </c>
      <c r="U627" s="77"/>
      <c r="V627" s="77"/>
      <c r="W627" s="77"/>
      <c r="X627" s="77"/>
      <c r="Y627" s="77"/>
      <c r="Z627" s="77"/>
      <c r="AA627" s="77"/>
      <c r="AB627" s="77"/>
      <c r="AC627" s="77"/>
      <c r="AD627" s="77"/>
    </row>
    <row r="628" spans="1:30" ht="15" x14ac:dyDescent="0.2">
      <c r="A628" s="11">
        <f t="shared" si="128"/>
        <v>2040</v>
      </c>
      <c r="B628" s="11"/>
      <c r="C628" s="79">
        <f t="shared" ref="C628:T628" si="131">AVERAGE(C336:C347)</f>
        <v>154.75825</v>
      </c>
      <c r="D628" s="79">
        <f t="shared" si="131"/>
        <v>281.0162499999999</v>
      </c>
      <c r="E628" s="79">
        <f t="shared" si="131"/>
        <v>109.1005</v>
      </c>
      <c r="F628" s="79">
        <f t="shared" si="131"/>
        <v>157.04166666666663</v>
      </c>
      <c r="G628" s="79">
        <f t="shared" si="131"/>
        <v>40</v>
      </c>
      <c r="H628" s="79">
        <f t="shared" si="131"/>
        <v>74.583333333333329</v>
      </c>
      <c r="I628" s="79">
        <f t="shared" si="131"/>
        <v>0</v>
      </c>
      <c r="J628" s="79">
        <f t="shared" si="131"/>
        <v>100</v>
      </c>
      <c r="K628" s="79">
        <f t="shared" si="131"/>
        <v>300</v>
      </c>
      <c r="L628" s="79">
        <f t="shared" si="131"/>
        <v>1216.5</v>
      </c>
      <c r="M628" s="80">
        <f t="shared" si="131"/>
        <v>600</v>
      </c>
      <c r="N628" s="79">
        <f t="shared" si="131"/>
        <v>72.5</v>
      </c>
      <c r="O628" s="81">
        <f t="shared" si="131"/>
        <v>240</v>
      </c>
      <c r="P628" s="81">
        <f t="shared" si="131"/>
        <v>110</v>
      </c>
      <c r="Q628" s="81">
        <f t="shared" si="131"/>
        <v>245</v>
      </c>
      <c r="R628" s="81">
        <f t="shared" si="131"/>
        <v>100</v>
      </c>
      <c r="S628" s="79">
        <f t="shared" si="131"/>
        <v>695</v>
      </c>
      <c r="T628" s="79">
        <f t="shared" si="131"/>
        <v>33.333333333333336</v>
      </c>
      <c r="U628" s="77"/>
      <c r="V628" s="77"/>
      <c r="W628" s="77"/>
      <c r="X628" s="77"/>
      <c r="Y628" s="77"/>
      <c r="Z628" s="77"/>
      <c r="AA628" s="77"/>
      <c r="AB628" s="77"/>
      <c r="AC628" s="77"/>
      <c r="AD628" s="77"/>
    </row>
    <row r="629" spans="1:30" ht="15" x14ac:dyDescent="0.2">
      <c r="A629" s="11">
        <f t="shared" si="128"/>
        <v>2041</v>
      </c>
      <c r="B629" s="11"/>
      <c r="C629" s="79">
        <f t="shared" ref="C629:T629" si="132">AVERAGE(C348:C359)</f>
        <v>154.75825</v>
      </c>
      <c r="D629" s="79">
        <f t="shared" si="132"/>
        <v>281.0162499999999</v>
      </c>
      <c r="E629" s="79">
        <f t="shared" si="132"/>
        <v>109.1005</v>
      </c>
      <c r="F629" s="79">
        <f t="shared" si="132"/>
        <v>157.04166666666663</v>
      </c>
      <c r="G629" s="79">
        <f t="shared" si="132"/>
        <v>40</v>
      </c>
      <c r="H629" s="79">
        <f t="shared" si="132"/>
        <v>74.583333333333329</v>
      </c>
      <c r="I629" s="79">
        <f t="shared" si="132"/>
        <v>0</v>
      </c>
      <c r="J629" s="79">
        <f t="shared" si="132"/>
        <v>100</v>
      </c>
      <c r="K629" s="79">
        <f t="shared" si="132"/>
        <v>300</v>
      </c>
      <c r="L629" s="79">
        <f t="shared" si="132"/>
        <v>1216.5</v>
      </c>
      <c r="M629" s="80">
        <f t="shared" si="132"/>
        <v>600</v>
      </c>
      <c r="N629" s="79">
        <f t="shared" si="132"/>
        <v>72.5</v>
      </c>
      <c r="O629" s="81">
        <f t="shared" si="132"/>
        <v>240</v>
      </c>
      <c r="P629" s="81">
        <f t="shared" si="132"/>
        <v>110</v>
      </c>
      <c r="Q629" s="81">
        <f t="shared" si="132"/>
        <v>245</v>
      </c>
      <c r="R629" s="81">
        <f t="shared" si="132"/>
        <v>100</v>
      </c>
      <c r="S629" s="79">
        <f t="shared" si="132"/>
        <v>695</v>
      </c>
      <c r="T629" s="79">
        <f t="shared" si="132"/>
        <v>33.333333333333336</v>
      </c>
      <c r="U629" s="77"/>
      <c r="V629" s="77"/>
      <c r="W629" s="77"/>
      <c r="X629" s="77"/>
      <c r="Y629" s="77"/>
      <c r="Z629" s="77"/>
      <c r="AA629" s="77"/>
      <c r="AB629" s="77"/>
      <c r="AC629" s="77"/>
      <c r="AD629" s="77"/>
    </row>
    <row r="630" spans="1:30" ht="15" x14ac:dyDescent="0.2">
      <c r="A630" s="11">
        <f t="shared" si="128"/>
        <v>2042</v>
      </c>
      <c r="B630" s="11"/>
      <c r="C630" s="79">
        <f t="shared" ref="C630:T630" si="133">AVERAGE(C360:C371)</f>
        <v>154.75825</v>
      </c>
      <c r="D630" s="79">
        <f t="shared" si="133"/>
        <v>281.0162499999999</v>
      </c>
      <c r="E630" s="79">
        <f t="shared" si="133"/>
        <v>109.1005</v>
      </c>
      <c r="F630" s="79">
        <f t="shared" si="133"/>
        <v>157.04166666666663</v>
      </c>
      <c r="G630" s="79">
        <f t="shared" si="133"/>
        <v>40</v>
      </c>
      <c r="H630" s="79">
        <f t="shared" si="133"/>
        <v>74.583333333333329</v>
      </c>
      <c r="I630" s="79">
        <f t="shared" si="133"/>
        <v>0</v>
      </c>
      <c r="J630" s="79">
        <f t="shared" si="133"/>
        <v>100</v>
      </c>
      <c r="K630" s="79">
        <f t="shared" si="133"/>
        <v>300</v>
      </c>
      <c r="L630" s="79">
        <f t="shared" si="133"/>
        <v>1216.5</v>
      </c>
      <c r="M630" s="80">
        <f t="shared" si="133"/>
        <v>600</v>
      </c>
      <c r="N630" s="79">
        <f t="shared" si="133"/>
        <v>72.5</v>
      </c>
      <c r="O630" s="81">
        <f t="shared" si="133"/>
        <v>240</v>
      </c>
      <c r="P630" s="81">
        <f t="shared" si="133"/>
        <v>110</v>
      </c>
      <c r="Q630" s="81">
        <f t="shared" si="133"/>
        <v>245</v>
      </c>
      <c r="R630" s="81">
        <f t="shared" si="133"/>
        <v>100</v>
      </c>
      <c r="S630" s="79">
        <f t="shared" si="133"/>
        <v>695</v>
      </c>
      <c r="T630" s="79">
        <f t="shared" si="133"/>
        <v>33.333333333333336</v>
      </c>
      <c r="U630" s="77"/>
      <c r="V630" s="77"/>
      <c r="W630" s="77"/>
      <c r="X630" s="77"/>
      <c r="Y630" s="77"/>
      <c r="Z630" s="77"/>
      <c r="AA630" s="77"/>
      <c r="AB630" s="77"/>
      <c r="AC630" s="77"/>
      <c r="AD630" s="77"/>
    </row>
    <row r="631" spans="1:30" ht="15" x14ac:dyDescent="0.2">
      <c r="A631" s="11">
        <f t="shared" si="128"/>
        <v>2043</v>
      </c>
      <c r="B631" s="11"/>
      <c r="C631" s="79">
        <f t="shared" ref="C631:T631" si="134">AVERAGE(C372:C383)</f>
        <v>154.75825</v>
      </c>
      <c r="D631" s="79">
        <f t="shared" si="134"/>
        <v>281.0162499999999</v>
      </c>
      <c r="E631" s="79">
        <f t="shared" si="134"/>
        <v>109.1005</v>
      </c>
      <c r="F631" s="79">
        <f t="shared" si="134"/>
        <v>157.04166666666663</v>
      </c>
      <c r="G631" s="79">
        <f t="shared" si="134"/>
        <v>40</v>
      </c>
      <c r="H631" s="79">
        <f t="shared" si="134"/>
        <v>74.583333333333329</v>
      </c>
      <c r="I631" s="79">
        <f t="shared" si="134"/>
        <v>0</v>
      </c>
      <c r="J631" s="79">
        <f t="shared" si="134"/>
        <v>100</v>
      </c>
      <c r="K631" s="79">
        <f t="shared" si="134"/>
        <v>300</v>
      </c>
      <c r="L631" s="79">
        <f t="shared" si="134"/>
        <v>1216.5</v>
      </c>
      <c r="M631" s="80">
        <f t="shared" si="134"/>
        <v>600</v>
      </c>
      <c r="N631" s="79">
        <f t="shared" si="134"/>
        <v>72.5</v>
      </c>
      <c r="O631" s="81">
        <f t="shared" si="134"/>
        <v>240</v>
      </c>
      <c r="P631" s="81">
        <f t="shared" si="134"/>
        <v>110</v>
      </c>
      <c r="Q631" s="81">
        <f t="shared" si="134"/>
        <v>245</v>
      </c>
      <c r="R631" s="81">
        <f t="shared" si="134"/>
        <v>100</v>
      </c>
      <c r="S631" s="79">
        <f t="shared" si="134"/>
        <v>695</v>
      </c>
      <c r="T631" s="79">
        <f t="shared" si="134"/>
        <v>33.333333333333336</v>
      </c>
      <c r="U631" s="77"/>
      <c r="V631" s="77"/>
      <c r="W631" s="77"/>
      <c r="X631" s="77"/>
      <c r="Y631" s="77"/>
      <c r="Z631" s="77"/>
      <c r="AA631" s="77"/>
      <c r="AB631" s="77"/>
      <c r="AC631" s="77"/>
      <c r="AD631" s="77"/>
    </row>
    <row r="632" spans="1:30" ht="15" x14ac:dyDescent="0.2">
      <c r="A632" s="11">
        <f t="shared" si="128"/>
        <v>2044</v>
      </c>
      <c r="B632" s="11"/>
      <c r="C632" s="79">
        <f t="shared" ref="C632:T632" si="135">AVERAGE(C384:C395)</f>
        <v>154.75825</v>
      </c>
      <c r="D632" s="79">
        <f t="shared" si="135"/>
        <v>281.0162499999999</v>
      </c>
      <c r="E632" s="79">
        <f t="shared" si="135"/>
        <v>109.1005</v>
      </c>
      <c r="F632" s="79">
        <f t="shared" si="135"/>
        <v>157.04166666666663</v>
      </c>
      <c r="G632" s="79">
        <f t="shared" si="135"/>
        <v>40</v>
      </c>
      <c r="H632" s="79">
        <f t="shared" si="135"/>
        <v>74.583333333333329</v>
      </c>
      <c r="I632" s="79">
        <f t="shared" si="135"/>
        <v>0</v>
      </c>
      <c r="J632" s="79">
        <f t="shared" si="135"/>
        <v>100</v>
      </c>
      <c r="K632" s="79">
        <f t="shared" si="135"/>
        <v>300</v>
      </c>
      <c r="L632" s="79">
        <f t="shared" si="135"/>
        <v>1216.5</v>
      </c>
      <c r="M632" s="80">
        <f t="shared" si="135"/>
        <v>600</v>
      </c>
      <c r="N632" s="79">
        <f t="shared" si="135"/>
        <v>72.5</v>
      </c>
      <c r="O632" s="81">
        <f t="shared" si="135"/>
        <v>240</v>
      </c>
      <c r="P632" s="81">
        <f t="shared" si="135"/>
        <v>110</v>
      </c>
      <c r="Q632" s="81">
        <f t="shared" si="135"/>
        <v>245</v>
      </c>
      <c r="R632" s="81">
        <f t="shared" si="135"/>
        <v>100</v>
      </c>
      <c r="S632" s="79">
        <f t="shared" si="135"/>
        <v>695</v>
      </c>
      <c r="T632" s="79">
        <f t="shared" si="135"/>
        <v>33.333333333333336</v>
      </c>
      <c r="U632" s="77"/>
      <c r="V632" s="77"/>
      <c r="W632" s="77"/>
      <c r="X632" s="77"/>
      <c r="Y632" s="77"/>
      <c r="Z632" s="77"/>
      <c r="AA632" s="77"/>
      <c r="AB632" s="77"/>
      <c r="AC632" s="77"/>
      <c r="AD632" s="77"/>
    </row>
    <row r="633" spans="1:30" ht="15" x14ac:dyDescent="0.2">
      <c r="A633" s="11">
        <f t="shared" si="128"/>
        <v>2045</v>
      </c>
      <c r="B633" s="11"/>
      <c r="C633" s="79">
        <f t="shared" ref="C633:T633" si="136">AVERAGE(C396:C407)</f>
        <v>154.75825</v>
      </c>
      <c r="D633" s="79">
        <f t="shared" si="136"/>
        <v>281.0162499999999</v>
      </c>
      <c r="E633" s="79">
        <f t="shared" si="136"/>
        <v>109.1005</v>
      </c>
      <c r="F633" s="79">
        <f t="shared" si="136"/>
        <v>157.04166666666663</v>
      </c>
      <c r="G633" s="79">
        <f t="shared" si="136"/>
        <v>40</v>
      </c>
      <c r="H633" s="79">
        <f t="shared" si="136"/>
        <v>74.583333333333329</v>
      </c>
      <c r="I633" s="79">
        <f t="shared" si="136"/>
        <v>0</v>
      </c>
      <c r="J633" s="79">
        <f t="shared" si="136"/>
        <v>100</v>
      </c>
      <c r="K633" s="79">
        <f t="shared" si="136"/>
        <v>300</v>
      </c>
      <c r="L633" s="79">
        <f t="shared" si="136"/>
        <v>1216.5</v>
      </c>
      <c r="M633" s="80">
        <f t="shared" si="136"/>
        <v>600</v>
      </c>
      <c r="N633" s="79">
        <f t="shared" si="136"/>
        <v>72.5</v>
      </c>
      <c r="O633" s="81">
        <f t="shared" si="136"/>
        <v>240</v>
      </c>
      <c r="P633" s="81">
        <f t="shared" si="136"/>
        <v>110</v>
      </c>
      <c r="Q633" s="81">
        <f t="shared" si="136"/>
        <v>245</v>
      </c>
      <c r="R633" s="81">
        <f t="shared" si="136"/>
        <v>100</v>
      </c>
      <c r="S633" s="79">
        <f t="shared" si="136"/>
        <v>695</v>
      </c>
      <c r="T633" s="79">
        <f t="shared" si="136"/>
        <v>33.333333333333336</v>
      </c>
      <c r="U633" s="77"/>
      <c r="V633" s="77"/>
      <c r="W633" s="77"/>
      <c r="X633" s="77"/>
      <c r="Y633" s="77"/>
      <c r="Z633" s="77"/>
      <c r="AA633" s="77"/>
      <c r="AB633" s="77"/>
      <c r="AC633" s="77"/>
      <c r="AD633" s="77"/>
    </row>
    <row r="634" spans="1:30" ht="15" x14ac:dyDescent="0.2">
      <c r="A634" s="11">
        <f t="shared" si="128"/>
        <v>2046</v>
      </c>
      <c r="B634" s="11"/>
      <c r="C634" s="79">
        <f t="shared" ref="C634:T634" si="137">AVERAGE(C408:C419)</f>
        <v>154.75825</v>
      </c>
      <c r="D634" s="79">
        <f t="shared" si="137"/>
        <v>281.0162499999999</v>
      </c>
      <c r="E634" s="79">
        <f t="shared" si="137"/>
        <v>109.1005</v>
      </c>
      <c r="F634" s="79">
        <f t="shared" si="137"/>
        <v>157.04166666666663</v>
      </c>
      <c r="G634" s="79">
        <f t="shared" si="137"/>
        <v>40</v>
      </c>
      <c r="H634" s="79">
        <f t="shared" si="137"/>
        <v>74.583333333333329</v>
      </c>
      <c r="I634" s="79">
        <f t="shared" si="137"/>
        <v>0</v>
      </c>
      <c r="J634" s="79">
        <f t="shared" si="137"/>
        <v>100</v>
      </c>
      <c r="K634" s="79">
        <f t="shared" si="137"/>
        <v>300</v>
      </c>
      <c r="L634" s="79">
        <f t="shared" si="137"/>
        <v>1216.5</v>
      </c>
      <c r="M634" s="80">
        <f t="shared" si="137"/>
        <v>600</v>
      </c>
      <c r="N634" s="79">
        <f t="shared" si="137"/>
        <v>72.5</v>
      </c>
      <c r="O634" s="81">
        <f t="shared" si="137"/>
        <v>240</v>
      </c>
      <c r="P634" s="81">
        <f t="shared" si="137"/>
        <v>110</v>
      </c>
      <c r="Q634" s="81">
        <f t="shared" si="137"/>
        <v>245</v>
      </c>
      <c r="R634" s="81">
        <f t="shared" si="137"/>
        <v>100</v>
      </c>
      <c r="S634" s="79">
        <f t="shared" si="137"/>
        <v>695</v>
      </c>
      <c r="T634" s="79">
        <f t="shared" si="137"/>
        <v>33.333333333333336</v>
      </c>
      <c r="U634" s="77"/>
      <c r="V634" s="77"/>
      <c r="W634" s="77"/>
      <c r="X634" s="77"/>
      <c r="Y634" s="77"/>
      <c r="Z634" s="77"/>
      <c r="AA634" s="77"/>
      <c r="AB634" s="77"/>
      <c r="AC634" s="77"/>
      <c r="AD634" s="77"/>
    </row>
    <row r="635" spans="1:30" ht="15" x14ac:dyDescent="0.2">
      <c r="A635" s="11">
        <f t="shared" si="128"/>
        <v>2047</v>
      </c>
      <c r="B635" s="11"/>
      <c r="C635" s="79">
        <f t="shared" ref="C635:T635" si="138">AVERAGE(C420:C431)</f>
        <v>154.75825</v>
      </c>
      <c r="D635" s="79">
        <f t="shared" si="138"/>
        <v>281.0162499999999</v>
      </c>
      <c r="E635" s="79">
        <f t="shared" si="138"/>
        <v>109.1005</v>
      </c>
      <c r="F635" s="79">
        <f t="shared" si="138"/>
        <v>157.04166666666663</v>
      </c>
      <c r="G635" s="79">
        <f t="shared" si="138"/>
        <v>40</v>
      </c>
      <c r="H635" s="79">
        <f t="shared" si="138"/>
        <v>74.583333333333329</v>
      </c>
      <c r="I635" s="79">
        <f t="shared" si="138"/>
        <v>0</v>
      </c>
      <c r="J635" s="79">
        <f t="shared" si="138"/>
        <v>100</v>
      </c>
      <c r="K635" s="79">
        <f t="shared" si="138"/>
        <v>300</v>
      </c>
      <c r="L635" s="79">
        <f t="shared" si="138"/>
        <v>1216.5</v>
      </c>
      <c r="M635" s="80">
        <f t="shared" si="138"/>
        <v>600</v>
      </c>
      <c r="N635" s="79">
        <f t="shared" si="138"/>
        <v>72.5</v>
      </c>
      <c r="O635" s="81">
        <f t="shared" si="138"/>
        <v>240</v>
      </c>
      <c r="P635" s="81">
        <f t="shared" si="138"/>
        <v>110</v>
      </c>
      <c r="Q635" s="81">
        <f t="shared" si="138"/>
        <v>245</v>
      </c>
      <c r="R635" s="81">
        <f t="shared" si="138"/>
        <v>100</v>
      </c>
      <c r="S635" s="79">
        <f t="shared" si="138"/>
        <v>695</v>
      </c>
      <c r="T635" s="79">
        <f t="shared" si="138"/>
        <v>33.333333333333336</v>
      </c>
      <c r="U635" s="77"/>
      <c r="V635" s="77"/>
      <c r="W635" s="77"/>
      <c r="X635" s="77"/>
      <c r="Y635" s="77"/>
      <c r="Z635" s="77"/>
      <c r="AA635" s="77"/>
      <c r="AB635" s="77"/>
      <c r="AC635" s="77"/>
      <c r="AD635" s="77"/>
    </row>
    <row r="636" spans="1:30" ht="15" x14ac:dyDescent="0.2">
      <c r="A636" s="11">
        <f t="shared" si="128"/>
        <v>2048</v>
      </c>
      <c r="B636" s="11"/>
      <c r="C636" s="79">
        <f t="shared" ref="C636:T636" si="139">AVERAGE(C432:C443)</f>
        <v>154.75825</v>
      </c>
      <c r="D636" s="79">
        <f t="shared" si="139"/>
        <v>281.0162499999999</v>
      </c>
      <c r="E636" s="79">
        <f t="shared" si="139"/>
        <v>109.1005</v>
      </c>
      <c r="F636" s="79">
        <f t="shared" si="139"/>
        <v>157.04166666666663</v>
      </c>
      <c r="G636" s="79">
        <f t="shared" si="139"/>
        <v>40</v>
      </c>
      <c r="H636" s="79">
        <f t="shared" si="139"/>
        <v>74.583333333333329</v>
      </c>
      <c r="I636" s="79">
        <f t="shared" si="139"/>
        <v>0</v>
      </c>
      <c r="J636" s="79">
        <f t="shared" si="139"/>
        <v>100</v>
      </c>
      <c r="K636" s="79">
        <f t="shared" si="139"/>
        <v>300</v>
      </c>
      <c r="L636" s="79">
        <f t="shared" si="139"/>
        <v>1216.5</v>
      </c>
      <c r="M636" s="80">
        <f t="shared" si="139"/>
        <v>600</v>
      </c>
      <c r="N636" s="79">
        <f t="shared" si="139"/>
        <v>72.5</v>
      </c>
      <c r="O636" s="81">
        <f t="shared" si="139"/>
        <v>240</v>
      </c>
      <c r="P636" s="81">
        <f t="shared" si="139"/>
        <v>110</v>
      </c>
      <c r="Q636" s="81">
        <f t="shared" si="139"/>
        <v>245</v>
      </c>
      <c r="R636" s="81">
        <f t="shared" si="139"/>
        <v>100</v>
      </c>
      <c r="S636" s="79">
        <f t="shared" si="139"/>
        <v>695</v>
      </c>
      <c r="T636" s="79">
        <f t="shared" si="139"/>
        <v>33.333333333333336</v>
      </c>
      <c r="U636" s="77"/>
      <c r="V636" s="77"/>
      <c r="W636" s="77"/>
      <c r="X636" s="77"/>
      <c r="Y636" s="77"/>
      <c r="Z636" s="77"/>
      <c r="AA636" s="77"/>
      <c r="AB636" s="77"/>
      <c r="AC636" s="77"/>
      <c r="AD636" s="77"/>
    </row>
    <row r="637" spans="1:30" ht="15" x14ac:dyDescent="0.2">
      <c r="A637" s="11">
        <f t="shared" si="128"/>
        <v>2049</v>
      </c>
      <c r="B637" s="11"/>
      <c r="C637" s="79">
        <f t="shared" ref="C637:T637" si="140">AVERAGE(C444:C455)</f>
        <v>154.75825</v>
      </c>
      <c r="D637" s="79">
        <f t="shared" si="140"/>
        <v>281.0162499999999</v>
      </c>
      <c r="E637" s="79">
        <f t="shared" si="140"/>
        <v>109.1005</v>
      </c>
      <c r="F637" s="79">
        <f t="shared" si="140"/>
        <v>157.04166666666663</v>
      </c>
      <c r="G637" s="79">
        <f t="shared" si="140"/>
        <v>40</v>
      </c>
      <c r="H637" s="79">
        <f t="shared" si="140"/>
        <v>74.583333333333329</v>
      </c>
      <c r="I637" s="79">
        <f t="shared" si="140"/>
        <v>0</v>
      </c>
      <c r="J637" s="79">
        <f t="shared" si="140"/>
        <v>100</v>
      </c>
      <c r="K637" s="79">
        <f t="shared" si="140"/>
        <v>300</v>
      </c>
      <c r="L637" s="79">
        <f t="shared" si="140"/>
        <v>1216.5</v>
      </c>
      <c r="M637" s="80">
        <f t="shared" si="140"/>
        <v>600</v>
      </c>
      <c r="N637" s="79">
        <f t="shared" si="140"/>
        <v>72.5</v>
      </c>
      <c r="O637" s="81">
        <f t="shared" si="140"/>
        <v>240</v>
      </c>
      <c r="P637" s="81">
        <f t="shared" si="140"/>
        <v>110</v>
      </c>
      <c r="Q637" s="81">
        <f t="shared" si="140"/>
        <v>245</v>
      </c>
      <c r="R637" s="81">
        <f t="shared" si="140"/>
        <v>100</v>
      </c>
      <c r="S637" s="79">
        <f t="shared" si="140"/>
        <v>695</v>
      </c>
      <c r="T637" s="79">
        <f t="shared" si="140"/>
        <v>33.333333333333336</v>
      </c>
      <c r="U637" s="77"/>
      <c r="V637" s="77"/>
      <c r="W637" s="77"/>
      <c r="X637" s="77"/>
      <c r="Y637" s="77"/>
      <c r="Z637" s="77"/>
      <c r="AA637" s="77"/>
      <c r="AB637" s="77"/>
      <c r="AC637" s="77"/>
      <c r="AD637" s="77"/>
    </row>
    <row r="638" spans="1:30" ht="15" x14ac:dyDescent="0.2">
      <c r="A638" s="11">
        <f t="shared" si="128"/>
        <v>2050</v>
      </c>
      <c r="B638" s="11"/>
      <c r="C638" s="79">
        <f t="shared" ref="C638:T638" si="141">AVERAGE(C456:C467)</f>
        <v>154.75825</v>
      </c>
      <c r="D638" s="79">
        <f t="shared" si="141"/>
        <v>281.0162499999999</v>
      </c>
      <c r="E638" s="79">
        <f t="shared" si="141"/>
        <v>109.1005</v>
      </c>
      <c r="F638" s="79">
        <f t="shared" si="141"/>
        <v>157.04166666666663</v>
      </c>
      <c r="G638" s="79">
        <f t="shared" si="141"/>
        <v>40</v>
      </c>
      <c r="H638" s="79">
        <f t="shared" si="141"/>
        <v>74.583333333333329</v>
      </c>
      <c r="I638" s="79">
        <f t="shared" si="141"/>
        <v>0</v>
      </c>
      <c r="J638" s="79">
        <f t="shared" si="141"/>
        <v>100</v>
      </c>
      <c r="K638" s="79">
        <f t="shared" si="141"/>
        <v>300</v>
      </c>
      <c r="L638" s="79">
        <f t="shared" si="141"/>
        <v>1216.5</v>
      </c>
      <c r="M638" s="80">
        <f t="shared" si="141"/>
        <v>600</v>
      </c>
      <c r="N638" s="79">
        <f t="shared" si="141"/>
        <v>72.5</v>
      </c>
      <c r="O638" s="81">
        <f t="shared" si="141"/>
        <v>240</v>
      </c>
      <c r="P638" s="81">
        <f t="shared" si="141"/>
        <v>110</v>
      </c>
      <c r="Q638" s="81">
        <f t="shared" si="141"/>
        <v>245</v>
      </c>
      <c r="R638" s="81">
        <f t="shared" si="141"/>
        <v>100</v>
      </c>
      <c r="S638" s="79">
        <f t="shared" si="141"/>
        <v>695</v>
      </c>
      <c r="T638" s="79">
        <f t="shared" si="141"/>
        <v>33.333333333333336</v>
      </c>
      <c r="U638" s="77"/>
      <c r="V638" s="77"/>
      <c r="W638" s="77"/>
      <c r="X638" s="77"/>
      <c r="Y638" s="77"/>
      <c r="Z638" s="77"/>
      <c r="AA638" s="77"/>
      <c r="AB638" s="77"/>
      <c r="AC638" s="77"/>
      <c r="AD638" s="77"/>
    </row>
    <row r="639" spans="1:30" ht="15" x14ac:dyDescent="0.2">
      <c r="A639" s="11">
        <f t="shared" si="128"/>
        <v>2051</v>
      </c>
      <c r="B639" s="11"/>
      <c r="C639" s="79">
        <f t="shared" ref="C639:T639" si="142">AVERAGE(C468:C479)</f>
        <v>154.75825</v>
      </c>
      <c r="D639" s="79">
        <f t="shared" si="142"/>
        <v>281.0162499999999</v>
      </c>
      <c r="E639" s="79">
        <f t="shared" si="142"/>
        <v>109.1005</v>
      </c>
      <c r="F639" s="79">
        <f t="shared" si="142"/>
        <v>157.04166666666663</v>
      </c>
      <c r="G639" s="79">
        <f t="shared" si="142"/>
        <v>40</v>
      </c>
      <c r="H639" s="79">
        <f t="shared" si="142"/>
        <v>74.583333333333329</v>
      </c>
      <c r="I639" s="79">
        <f t="shared" si="142"/>
        <v>0</v>
      </c>
      <c r="J639" s="79">
        <f t="shared" si="142"/>
        <v>100</v>
      </c>
      <c r="K639" s="79">
        <f t="shared" si="142"/>
        <v>300</v>
      </c>
      <c r="L639" s="79">
        <f t="shared" si="142"/>
        <v>1216.5</v>
      </c>
      <c r="M639" s="80">
        <f t="shared" si="142"/>
        <v>600</v>
      </c>
      <c r="N639" s="79">
        <f t="shared" si="142"/>
        <v>72.5</v>
      </c>
      <c r="O639" s="81">
        <f t="shared" si="142"/>
        <v>240</v>
      </c>
      <c r="P639" s="81">
        <f t="shared" si="142"/>
        <v>110</v>
      </c>
      <c r="Q639" s="81">
        <f t="shared" si="142"/>
        <v>245</v>
      </c>
      <c r="R639" s="81">
        <f t="shared" si="142"/>
        <v>100</v>
      </c>
      <c r="S639" s="79">
        <f t="shared" si="142"/>
        <v>695</v>
      </c>
      <c r="T639" s="79">
        <f t="shared" si="142"/>
        <v>33.333333333333336</v>
      </c>
      <c r="U639" s="77"/>
      <c r="V639" s="77"/>
      <c r="W639" s="77"/>
      <c r="X639" s="77"/>
      <c r="Y639" s="77"/>
      <c r="Z639" s="77"/>
      <c r="AA639" s="77"/>
      <c r="AB639" s="77"/>
      <c r="AC639" s="77"/>
      <c r="AD639" s="77"/>
    </row>
    <row r="640" spans="1:30" ht="15" x14ac:dyDescent="0.2">
      <c r="A640" s="11">
        <f t="shared" si="128"/>
        <v>2052</v>
      </c>
      <c r="B640" s="11"/>
      <c r="C640" s="79">
        <f t="shared" ref="C640:T640" si="143">AVERAGE(C480:C491)</f>
        <v>154.75825</v>
      </c>
      <c r="D640" s="79">
        <f t="shared" si="143"/>
        <v>281.0162499999999</v>
      </c>
      <c r="E640" s="79">
        <f t="shared" si="143"/>
        <v>109.1005</v>
      </c>
      <c r="F640" s="79">
        <f t="shared" si="143"/>
        <v>157.04166666666663</v>
      </c>
      <c r="G640" s="79">
        <f t="shared" si="143"/>
        <v>40</v>
      </c>
      <c r="H640" s="79">
        <f t="shared" si="143"/>
        <v>74.583333333333329</v>
      </c>
      <c r="I640" s="79">
        <f t="shared" si="143"/>
        <v>0</v>
      </c>
      <c r="J640" s="79">
        <f t="shared" si="143"/>
        <v>100</v>
      </c>
      <c r="K640" s="79">
        <f t="shared" si="143"/>
        <v>300</v>
      </c>
      <c r="L640" s="79">
        <f t="shared" si="143"/>
        <v>1216.5</v>
      </c>
      <c r="M640" s="80">
        <f t="shared" si="143"/>
        <v>600</v>
      </c>
      <c r="N640" s="79">
        <f t="shared" si="143"/>
        <v>72.5</v>
      </c>
      <c r="O640" s="81">
        <f t="shared" si="143"/>
        <v>240</v>
      </c>
      <c r="P640" s="81">
        <f t="shared" si="143"/>
        <v>110</v>
      </c>
      <c r="Q640" s="81">
        <f t="shared" si="143"/>
        <v>245</v>
      </c>
      <c r="R640" s="81">
        <f t="shared" si="143"/>
        <v>100</v>
      </c>
      <c r="S640" s="79">
        <f t="shared" si="143"/>
        <v>695</v>
      </c>
      <c r="T640" s="79">
        <f t="shared" si="143"/>
        <v>33.333333333333336</v>
      </c>
      <c r="U640" s="77"/>
      <c r="V640" s="77"/>
      <c r="W640" s="77"/>
      <c r="X640" s="77"/>
      <c r="Y640" s="77"/>
      <c r="Z640" s="77"/>
      <c r="AA640" s="77"/>
      <c r="AB640" s="77"/>
      <c r="AC640" s="77"/>
      <c r="AD640" s="77"/>
    </row>
    <row r="641" spans="1:30" ht="15" x14ac:dyDescent="0.2">
      <c r="A641" s="11">
        <f t="shared" si="128"/>
        <v>2053</v>
      </c>
      <c r="B641" s="11"/>
      <c r="C641" s="79">
        <f t="shared" ref="C641:T641" si="144">AVERAGE(C492:C503)</f>
        <v>154.75825</v>
      </c>
      <c r="D641" s="79">
        <f t="shared" si="144"/>
        <v>281.0162499999999</v>
      </c>
      <c r="E641" s="79">
        <f t="shared" si="144"/>
        <v>109.1005</v>
      </c>
      <c r="F641" s="79">
        <f t="shared" si="144"/>
        <v>157.04166666666663</v>
      </c>
      <c r="G641" s="79">
        <f t="shared" si="144"/>
        <v>40</v>
      </c>
      <c r="H641" s="79">
        <f t="shared" si="144"/>
        <v>74.583333333333329</v>
      </c>
      <c r="I641" s="79">
        <f t="shared" si="144"/>
        <v>0</v>
      </c>
      <c r="J641" s="79">
        <f t="shared" si="144"/>
        <v>100</v>
      </c>
      <c r="K641" s="79">
        <f t="shared" si="144"/>
        <v>300</v>
      </c>
      <c r="L641" s="79">
        <f t="shared" si="144"/>
        <v>1216.5</v>
      </c>
      <c r="M641" s="80">
        <f t="shared" si="144"/>
        <v>600</v>
      </c>
      <c r="N641" s="79">
        <f t="shared" si="144"/>
        <v>72.5</v>
      </c>
      <c r="O641" s="81">
        <f t="shared" si="144"/>
        <v>240</v>
      </c>
      <c r="P641" s="81">
        <f t="shared" si="144"/>
        <v>110</v>
      </c>
      <c r="Q641" s="81">
        <f t="shared" si="144"/>
        <v>245</v>
      </c>
      <c r="R641" s="81">
        <f t="shared" si="144"/>
        <v>100</v>
      </c>
      <c r="S641" s="79">
        <f t="shared" si="144"/>
        <v>695</v>
      </c>
      <c r="T641" s="79">
        <f t="shared" si="144"/>
        <v>33.333333333333336</v>
      </c>
      <c r="U641" s="77"/>
      <c r="V641" s="77"/>
      <c r="W641" s="77"/>
      <c r="X641" s="77"/>
      <c r="Y641" s="77"/>
      <c r="Z641" s="77"/>
      <c r="AA641" s="77"/>
      <c r="AB641" s="77"/>
      <c r="AC641" s="77"/>
      <c r="AD641" s="77"/>
    </row>
    <row r="642" spans="1:30" ht="15" x14ac:dyDescent="0.2">
      <c r="A642" s="11">
        <f t="shared" si="128"/>
        <v>2054</v>
      </c>
      <c r="B642" s="11"/>
      <c r="C642" s="79">
        <f t="shared" ref="C642:T642" si="145">AVERAGE(C504:C515)</f>
        <v>154.75825</v>
      </c>
      <c r="D642" s="79">
        <f t="shared" si="145"/>
        <v>281.0162499999999</v>
      </c>
      <c r="E642" s="79">
        <f t="shared" si="145"/>
        <v>109.1005</v>
      </c>
      <c r="F642" s="79">
        <f t="shared" si="145"/>
        <v>157.04166666666663</v>
      </c>
      <c r="G642" s="79">
        <f t="shared" si="145"/>
        <v>40</v>
      </c>
      <c r="H642" s="79">
        <f t="shared" si="145"/>
        <v>74.583333333333329</v>
      </c>
      <c r="I642" s="79">
        <f t="shared" si="145"/>
        <v>0</v>
      </c>
      <c r="J642" s="79">
        <f t="shared" si="145"/>
        <v>100</v>
      </c>
      <c r="K642" s="79">
        <f t="shared" si="145"/>
        <v>300</v>
      </c>
      <c r="L642" s="79">
        <f t="shared" si="145"/>
        <v>1216.5</v>
      </c>
      <c r="M642" s="80">
        <f t="shared" si="145"/>
        <v>600</v>
      </c>
      <c r="N642" s="79">
        <f t="shared" si="145"/>
        <v>72.5</v>
      </c>
      <c r="O642" s="79">
        <f t="shared" si="145"/>
        <v>240</v>
      </c>
      <c r="P642" s="79">
        <f t="shared" si="145"/>
        <v>110</v>
      </c>
      <c r="Q642" s="79">
        <f t="shared" si="145"/>
        <v>245</v>
      </c>
      <c r="R642" s="79">
        <f t="shared" si="145"/>
        <v>100</v>
      </c>
      <c r="S642" s="79">
        <f t="shared" si="145"/>
        <v>695</v>
      </c>
      <c r="T642" s="79">
        <f t="shared" si="145"/>
        <v>33.333333333333336</v>
      </c>
      <c r="U642" s="77"/>
      <c r="V642" s="77"/>
      <c r="W642" s="77"/>
      <c r="X642" s="77"/>
      <c r="Y642" s="77"/>
      <c r="Z642" s="77"/>
      <c r="AA642" s="77"/>
      <c r="AB642" s="77"/>
      <c r="AC642" s="77"/>
      <c r="AD642" s="77"/>
    </row>
    <row r="643" spans="1:30" ht="15" x14ac:dyDescent="0.2">
      <c r="A643" s="11">
        <f t="shared" si="128"/>
        <v>2055</v>
      </c>
      <c r="B643" s="11"/>
      <c r="C643" s="79">
        <f t="shared" ref="C643:T643" si="146">AVERAGE(C505:C516)</f>
        <v>154.75825</v>
      </c>
      <c r="D643" s="79">
        <f t="shared" si="146"/>
        <v>281.0162499999999</v>
      </c>
      <c r="E643" s="79">
        <f t="shared" si="146"/>
        <v>109.1005</v>
      </c>
      <c r="F643" s="79">
        <f t="shared" si="146"/>
        <v>157.04166666666663</v>
      </c>
      <c r="G643" s="79">
        <f t="shared" si="146"/>
        <v>40</v>
      </c>
      <c r="H643" s="79">
        <f t="shared" si="146"/>
        <v>74.583333333333329</v>
      </c>
      <c r="I643" s="79">
        <f t="shared" si="146"/>
        <v>0</v>
      </c>
      <c r="J643" s="79">
        <f t="shared" si="146"/>
        <v>100</v>
      </c>
      <c r="K643" s="79">
        <f t="shared" si="146"/>
        <v>300</v>
      </c>
      <c r="L643" s="79">
        <f t="shared" si="146"/>
        <v>1216.5</v>
      </c>
      <c r="M643" s="80">
        <f t="shared" si="146"/>
        <v>600</v>
      </c>
      <c r="N643" s="79">
        <f t="shared" si="146"/>
        <v>72.5</v>
      </c>
      <c r="O643" s="79">
        <f t="shared" si="146"/>
        <v>240</v>
      </c>
      <c r="P643" s="79">
        <f t="shared" si="146"/>
        <v>110</v>
      </c>
      <c r="Q643" s="79">
        <f t="shared" si="146"/>
        <v>245</v>
      </c>
      <c r="R643" s="79">
        <f t="shared" si="146"/>
        <v>100</v>
      </c>
      <c r="S643" s="79">
        <f t="shared" si="146"/>
        <v>695</v>
      </c>
      <c r="T643" s="79">
        <f t="shared" si="146"/>
        <v>33.333333333333336</v>
      </c>
      <c r="U643" s="77"/>
      <c r="V643" s="77"/>
      <c r="W643" s="77"/>
      <c r="X643" s="77"/>
      <c r="Y643" s="77"/>
      <c r="Z643" s="77"/>
      <c r="AA643" s="77"/>
      <c r="AB643" s="77"/>
      <c r="AC643" s="77"/>
      <c r="AD643" s="77"/>
    </row>
    <row r="644" spans="1:30" ht="15" x14ac:dyDescent="0.2">
      <c r="A644" s="11">
        <f t="shared" si="128"/>
        <v>2056</v>
      </c>
      <c r="B644" s="11"/>
      <c r="C644" s="79">
        <f t="shared" ref="C644:T644" si="147">AVERAGE(C506:C517)</f>
        <v>154.75824999999998</v>
      </c>
      <c r="D644" s="79">
        <f t="shared" si="147"/>
        <v>281.0162499999999</v>
      </c>
      <c r="E644" s="79">
        <f t="shared" si="147"/>
        <v>109.1005</v>
      </c>
      <c r="F644" s="79">
        <f t="shared" si="147"/>
        <v>157.04166666666663</v>
      </c>
      <c r="G644" s="79">
        <f t="shared" si="147"/>
        <v>40</v>
      </c>
      <c r="H644" s="79">
        <f t="shared" si="147"/>
        <v>74.583333333333329</v>
      </c>
      <c r="I644" s="79">
        <f t="shared" si="147"/>
        <v>0</v>
      </c>
      <c r="J644" s="79">
        <f t="shared" si="147"/>
        <v>100</v>
      </c>
      <c r="K644" s="79">
        <f t="shared" si="147"/>
        <v>300</v>
      </c>
      <c r="L644" s="79">
        <f t="shared" si="147"/>
        <v>1216.5</v>
      </c>
      <c r="M644" s="80">
        <f t="shared" si="147"/>
        <v>600</v>
      </c>
      <c r="N644" s="79">
        <f t="shared" si="147"/>
        <v>72.5</v>
      </c>
      <c r="O644" s="79">
        <f t="shared" si="147"/>
        <v>240</v>
      </c>
      <c r="P644" s="79">
        <f t="shared" si="147"/>
        <v>110</v>
      </c>
      <c r="Q644" s="79">
        <f t="shared" si="147"/>
        <v>245</v>
      </c>
      <c r="R644" s="79">
        <f t="shared" si="147"/>
        <v>100</v>
      </c>
      <c r="S644" s="79">
        <f t="shared" si="147"/>
        <v>695</v>
      </c>
      <c r="T644" s="79">
        <f t="shared" si="147"/>
        <v>33.333333333333336</v>
      </c>
      <c r="U644" s="77"/>
      <c r="V644" s="77"/>
      <c r="W644" s="77"/>
      <c r="X644" s="77"/>
      <c r="Y644" s="77"/>
      <c r="Z644" s="77"/>
      <c r="AA644" s="77"/>
      <c r="AB644" s="77"/>
      <c r="AC644" s="77"/>
      <c r="AD644" s="77"/>
    </row>
    <row r="645" spans="1:30" ht="15" x14ac:dyDescent="0.2">
      <c r="A645" s="11">
        <f t="shared" si="128"/>
        <v>2057</v>
      </c>
      <c r="B645" s="11"/>
      <c r="C645" s="79">
        <f t="shared" ref="C645:T645" si="148">AVERAGE(C507:C518)</f>
        <v>154.75825</v>
      </c>
      <c r="D645" s="79">
        <f t="shared" si="148"/>
        <v>281.0162499999999</v>
      </c>
      <c r="E645" s="79">
        <f t="shared" si="148"/>
        <v>109.1005</v>
      </c>
      <c r="F645" s="79">
        <f t="shared" si="148"/>
        <v>157.0416666666666</v>
      </c>
      <c r="G645" s="79">
        <f t="shared" si="148"/>
        <v>40</v>
      </c>
      <c r="H645" s="79">
        <f t="shared" si="148"/>
        <v>74.583333333333329</v>
      </c>
      <c r="I645" s="79">
        <f t="shared" si="148"/>
        <v>0</v>
      </c>
      <c r="J645" s="79">
        <f t="shared" si="148"/>
        <v>100</v>
      </c>
      <c r="K645" s="79">
        <f t="shared" si="148"/>
        <v>300</v>
      </c>
      <c r="L645" s="79">
        <f t="shared" si="148"/>
        <v>1216.5</v>
      </c>
      <c r="M645" s="80">
        <f t="shared" si="148"/>
        <v>600</v>
      </c>
      <c r="N645" s="79">
        <f t="shared" si="148"/>
        <v>72.5</v>
      </c>
      <c r="O645" s="79">
        <f t="shared" si="148"/>
        <v>240</v>
      </c>
      <c r="P645" s="79">
        <f t="shared" si="148"/>
        <v>110</v>
      </c>
      <c r="Q645" s="79">
        <f t="shared" si="148"/>
        <v>245</v>
      </c>
      <c r="R645" s="79">
        <f t="shared" si="148"/>
        <v>100</v>
      </c>
      <c r="S645" s="79">
        <f t="shared" si="148"/>
        <v>695</v>
      </c>
      <c r="T645" s="79">
        <f t="shared" si="148"/>
        <v>33.333333333333336</v>
      </c>
      <c r="U645" s="77"/>
      <c r="V645" s="77"/>
      <c r="W645" s="77"/>
      <c r="X645" s="77"/>
      <c r="Y645" s="77"/>
      <c r="Z645" s="77"/>
      <c r="AA645" s="77"/>
      <c r="AB645" s="77"/>
      <c r="AC645" s="77"/>
      <c r="AD645" s="77"/>
    </row>
    <row r="646" spans="1:30" ht="15" x14ac:dyDescent="0.2">
      <c r="A646" s="11">
        <f t="shared" si="128"/>
        <v>2058</v>
      </c>
      <c r="B646" s="11"/>
      <c r="C646" s="79">
        <f t="shared" ref="C646:T646" si="149">AVERAGE(C508:C519)</f>
        <v>154.75824999999998</v>
      </c>
      <c r="D646" s="79">
        <f t="shared" si="149"/>
        <v>281.01624999999996</v>
      </c>
      <c r="E646" s="79">
        <f t="shared" si="149"/>
        <v>109.10050000000001</v>
      </c>
      <c r="F646" s="79">
        <f t="shared" si="149"/>
        <v>157.04166666666663</v>
      </c>
      <c r="G646" s="79">
        <f t="shared" si="149"/>
        <v>40</v>
      </c>
      <c r="H646" s="79">
        <f t="shared" si="149"/>
        <v>74.583333333333329</v>
      </c>
      <c r="I646" s="79">
        <f t="shared" si="149"/>
        <v>0</v>
      </c>
      <c r="J646" s="79">
        <f t="shared" si="149"/>
        <v>100</v>
      </c>
      <c r="K646" s="79">
        <f t="shared" si="149"/>
        <v>300</v>
      </c>
      <c r="L646" s="79">
        <f t="shared" si="149"/>
        <v>1216.5</v>
      </c>
      <c r="M646" s="80">
        <f t="shared" si="149"/>
        <v>600</v>
      </c>
      <c r="N646" s="79">
        <f t="shared" si="149"/>
        <v>72.5</v>
      </c>
      <c r="O646" s="79">
        <f t="shared" si="149"/>
        <v>240</v>
      </c>
      <c r="P646" s="79">
        <f t="shared" si="149"/>
        <v>110</v>
      </c>
      <c r="Q646" s="79">
        <f t="shared" si="149"/>
        <v>245</v>
      </c>
      <c r="R646" s="79">
        <f t="shared" si="149"/>
        <v>100</v>
      </c>
      <c r="S646" s="79">
        <f t="shared" si="149"/>
        <v>695</v>
      </c>
      <c r="T646" s="79">
        <f t="shared" si="149"/>
        <v>33.333333333333336</v>
      </c>
      <c r="U646" s="77"/>
      <c r="V646" s="77"/>
      <c r="W646" s="77"/>
      <c r="X646" s="77"/>
      <c r="Y646" s="77"/>
      <c r="Z646" s="77"/>
      <c r="AA646" s="77"/>
      <c r="AB646" s="77"/>
      <c r="AC646" s="77"/>
      <c r="AD646" s="77"/>
    </row>
    <row r="647" spans="1:30" ht="15" x14ac:dyDescent="0.2">
      <c r="A647" s="11">
        <f t="shared" si="128"/>
        <v>2059</v>
      </c>
      <c r="B647" s="11"/>
      <c r="C647" s="79">
        <f t="shared" ref="C647:T647" si="150">AVERAGE(C509:C520)</f>
        <v>154.75824999999998</v>
      </c>
      <c r="D647" s="79">
        <f t="shared" si="150"/>
        <v>281.01624999999996</v>
      </c>
      <c r="E647" s="79">
        <f t="shared" si="150"/>
        <v>109.10050000000001</v>
      </c>
      <c r="F647" s="79">
        <f t="shared" si="150"/>
        <v>157.04166666666663</v>
      </c>
      <c r="G647" s="79">
        <f t="shared" si="150"/>
        <v>40</v>
      </c>
      <c r="H647" s="79">
        <f t="shared" si="150"/>
        <v>74.583333333333329</v>
      </c>
      <c r="I647" s="79">
        <f t="shared" si="150"/>
        <v>0</v>
      </c>
      <c r="J647" s="79">
        <f t="shared" si="150"/>
        <v>100</v>
      </c>
      <c r="K647" s="79">
        <f t="shared" si="150"/>
        <v>300</v>
      </c>
      <c r="L647" s="79">
        <f t="shared" si="150"/>
        <v>1216.5</v>
      </c>
      <c r="M647" s="80">
        <f t="shared" si="150"/>
        <v>600</v>
      </c>
      <c r="N647" s="79">
        <f t="shared" si="150"/>
        <v>72.5</v>
      </c>
      <c r="O647" s="79">
        <f t="shared" si="150"/>
        <v>240</v>
      </c>
      <c r="P647" s="79">
        <f t="shared" si="150"/>
        <v>110</v>
      </c>
      <c r="Q647" s="79">
        <f t="shared" si="150"/>
        <v>245</v>
      </c>
      <c r="R647" s="79">
        <f t="shared" si="150"/>
        <v>100</v>
      </c>
      <c r="S647" s="79">
        <f t="shared" si="150"/>
        <v>695</v>
      </c>
      <c r="T647" s="79">
        <f t="shared" si="150"/>
        <v>33.333333333333336</v>
      </c>
      <c r="U647" s="77"/>
      <c r="V647" s="77"/>
      <c r="W647" s="77"/>
      <c r="X647" s="77"/>
      <c r="Y647" s="77"/>
      <c r="Z647" s="77"/>
      <c r="AA647" s="77"/>
      <c r="AB647" s="77"/>
      <c r="AC647" s="77"/>
      <c r="AD647" s="77"/>
    </row>
    <row r="648" spans="1:30" ht="15" x14ac:dyDescent="0.2">
      <c r="A648" s="11">
        <f t="shared" si="128"/>
        <v>2060</v>
      </c>
      <c r="B648" s="11"/>
      <c r="C648" s="79">
        <f t="shared" ref="C648:T648" si="151">AVERAGE(C510:C521)</f>
        <v>154.75824999999998</v>
      </c>
      <c r="D648" s="79">
        <f t="shared" si="151"/>
        <v>281.01624999999996</v>
      </c>
      <c r="E648" s="79">
        <f t="shared" si="151"/>
        <v>109.10050000000001</v>
      </c>
      <c r="F648" s="79">
        <f t="shared" si="151"/>
        <v>157.04166666666663</v>
      </c>
      <c r="G648" s="79">
        <f t="shared" si="151"/>
        <v>40</v>
      </c>
      <c r="H648" s="79">
        <f t="shared" si="151"/>
        <v>74.583333333333329</v>
      </c>
      <c r="I648" s="79">
        <f t="shared" si="151"/>
        <v>0</v>
      </c>
      <c r="J648" s="79">
        <f t="shared" si="151"/>
        <v>100</v>
      </c>
      <c r="K648" s="79">
        <f t="shared" si="151"/>
        <v>300</v>
      </c>
      <c r="L648" s="79">
        <f t="shared" si="151"/>
        <v>1216.5</v>
      </c>
      <c r="M648" s="80">
        <f t="shared" si="151"/>
        <v>600</v>
      </c>
      <c r="N648" s="79">
        <f t="shared" si="151"/>
        <v>72.5</v>
      </c>
      <c r="O648" s="79">
        <f t="shared" si="151"/>
        <v>240</v>
      </c>
      <c r="P648" s="79">
        <f t="shared" si="151"/>
        <v>110</v>
      </c>
      <c r="Q648" s="79">
        <f t="shared" si="151"/>
        <v>245</v>
      </c>
      <c r="R648" s="79">
        <f t="shared" si="151"/>
        <v>100</v>
      </c>
      <c r="S648" s="79">
        <f t="shared" si="151"/>
        <v>695</v>
      </c>
      <c r="T648" s="79">
        <f t="shared" si="151"/>
        <v>33.333333333333336</v>
      </c>
      <c r="U648" s="77"/>
      <c r="V648" s="77"/>
      <c r="W648" s="77"/>
      <c r="X648" s="77"/>
      <c r="Y648" s="77"/>
      <c r="Z648" s="77"/>
      <c r="AA648" s="77"/>
      <c r="AB648" s="77"/>
      <c r="AC648" s="77"/>
      <c r="AD648" s="77"/>
    </row>
    <row r="649" spans="1:30" ht="15" x14ac:dyDescent="0.2">
      <c r="A649" s="11">
        <f t="shared" si="128"/>
        <v>2061</v>
      </c>
      <c r="B649" s="11"/>
      <c r="C649" s="79">
        <f t="shared" ref="C649:T649" si="152">AVERAGE(C511:C522)</f>
        <v>154.75825</v>
      </c>
      <c r="D649" s="79">
        <f t="shared" si="152"/>
        <v>281.01624999999996</v>
      </c>
      <c r="E649" s="79">
        <f t="shared" si="152"/>
        <v>109.10050000000001</v>
      </c>
      <c r="F649" s="79">
        <f t="shared" si="152"/>
        <v>157.04166666666663</v>
      </c>
      <c r="G649" s="79">
        <f t="shared" si="152"/>
        <v>40</v>
      </c>
      <c r="H649" s="79">
        <f t="shared" si="152"/>
        <v>74.583333333333329</v>
      </c>
      <c r="I649" s="79">
        <f t="shared" si="152"/>
        <v>0</v>
      </c>
      <c r="J649" s="79">
        <f t="shared" si="152"/>
        <v>100</v>
      </c>
      <c r="K649" s="79">
        <f t="shared" si="152"/>
        <v>300</v>
      </c>
      <c r="L649" s="79">
        <f t="shared" si="152"/>
        <v>1216.5</v>
      </c>
      <c r="M649" s="80">
        <f t="shared" si="152"/>
        <v>600</v>
      </c>
      <c r="N649" s="79">
        <f t="shared" si="152"/>
        <v>72.5</v>
      </c>
      <c r="O649" s="79">
        <f t="shared" si="152"/>
        <v>240</v>
      </c>
      <c r="P649" s="79">
        <f t="shared" si="152"/>
        <v>110</v>
      </c>
      <c r="Q649" s="79">
        <f t="shared" si="152"/>
        <v>245</v>
      </c>
      <c r="R649" s="79">
        <f t="shared" si="152"/>
        <v>100</v>
      </c>
      <c r="S649" s="79">
        <f t="shared" si="152"/>
        <v>695</v>
      </c>
      <c r="T649" s="79">
        <f t="shared" si="152"/>
        <v>33.333333333333336</v>
      </c>
      <c r="U649" s="77"/>
      <c r="V649" s="77"/>
      <c r="W649" s="77"/>
      <c r="X649" s="77"/>
      <c r="Y649" s="77"/>
      <c r="Z649" s="77"/>
      <c r="AA649" s="77"/>
      <c r="AB649" s="77"/>
      <c r="AC649" s="77"/>
      <c r="AD649" s="77"/>
    </row>
    <row r="650" spans="1:30" x14ac:dyDescent="0.2">
      <c r="A650" s="8"/>
      <c r="B650" s="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7"/>
      <c r="V650" s="77"/>
      <c r="W650" s="77"/>
      <c r="X650" s="77"/>
      <c r="Y650" s="77"/>
      <c r="Z650" s="77"/>
      <c r="AA650" s="77"/>
      <c r="AB650" s="77"/>
      <c r="AC650" s="77"/>
      <c r="AD650" s="77"/>
    </row>
    <row r="651" spans="1:30" x14ac:dyDescent="0.2">
      <c r="A651" s="8"/>
      <c r="B651" s="8"/>
      <c r="U651" s="77"/>
      <c r="V651" s="77"/>
      <c r="W651" s="77"/>
      <c r="X651" s="77"/>
      <c r="Y651" s="77"/>
      <c r="Z651" s="77"/>
      <c r="AA651" s="77"/>
      <c r="AB651" s="77"/>
      <c r="AC651" s="77"/>
      <c r="AD651" s="77"/>
    </row>
    <row r="652" spans="1:30" x14ac:dyDescent="0.2">
      <c r="A652" s="8"/>
      <c r="B652" s="8"/>
      <c r="U652" s="77"/>
      <c r="V652" s="77"/>
      <c r="W652" s="77"/>
      <c r="X652" s="77"/>
      <c r="Y652" s="77"/>
      <c r="Z652" s="77"/>
      <c r="AA652" s="77"/>
      <c r="AB652" s="77"/>
      <c r="AC652" s="77"/>
      <c r="AD652" s="77"/>
    </row>
    <row r="653" spans="1:30" x14ac:dyDescent="0.2">
      <c r="A653" s="8"/>
      <c r="B653" s="8"/>
      <c r="U653" s="77"/>
      <c r="V653" s="77"/>
      <c r="W653" s="77"/>
      <c r="X653" s="77"/>
      <c r="Y653" s="77"/>
      <c r="Z653" s="77"/>
      <c r="AA653" s="77"/>
      <c r="AB653" s="77"/>
      <c r="AC653" s="77"/>
      <c r="AD653" s="77"/>
    </row>
    <row r="654" spans="1:30" x14ac:dyDescent="0.2">
      <c r="A654" s="8"/>
      <c r="B654" s="8"/>
      <c r="U654" s="77"/>
      <c r="V654" s="77"/>
      <c r="W654" s="77"/>
      <c r="X654" s="77"/>
      <c r="Y654" s="77"/>
      <c r="Z654" s="77"/>
      <c r="AA654" s="77"/>
      <c r="AB654" s="77"/>
      <c r="AC654" s="77"/>
      <c r="AD654" s="77"/>
    </row>
    <row r="655" spans="1:30" x14ac:dyDescent="0.2">
      <c r="A655" s="8"/>
      <c r="B655" s="8"/>
      <c r="U655" s="77"/>
      <c r="V655" s="77"/>
      <c r="W655" s="77"/>
      <c r="X655" s="77"/>
      <c r="Y655" s="77"/>
      <c r="Z655" s="77"/>
      <c r="AA655" s="77"/>
      <c r="AB655" s="77"/>
      <c r="AC655" s="77"/>
      <c r="AD655" s="77"/>
    </row>
    <row r="656" spans="1:30" x14ac:dyDescent="0.2">
      <c r="A656" s="8"/>
      <c r="B656" s="8"/>
      <c r="U656" s="77"/>
      <c r="V656" s="77"/>
      <c r="W656" s="77"/>
      <c r="X656" s="77"/>
      <c r="Y656" s="77"/>
      <c r="Z656" s="77"/>
      <c r="AA656" s="77"/>
      <c r="AB656" s="77"/>
      <c r="AC656" s="77"/>
      <c r="AD656" s="77"/>
    </row>
    <row r="657" spans="1:30" x14ac:dyDescent="0.2">
      <c r="A657" s="8"/>
      <c r="B657" s="8"/>
      <c r="U657" s="77"/>
      <c r="V657" s="77"/>
      <c r="W657" s="77"/>
      <c r="X657" s="77"/>
      <c r="Y657" s="77"/>
      <c r="Z657" s="77"/>
      <c r="AA657" s="77"/>
      <c r="AB657" s="77"/>
      <c r="AC657" s="77"/>
      <c r="AD657" s="77"/>
    </row>
    <row r="658" spans="1:30" x14ac:dyDescent="0.2">
      <c r="A658" s="8"/>
      <c r="B658" s="8"/>
      <c r="U658" s="77"/>
      <c r="V658" s="77"/>
      <c r="W658" s="77"/>
      <c r="X658" s="77"/>
      <c r="Y658" s="77"/>
      <c r="Z658" s="77"/>
      <c r="AA658" s="77"/>
      <c r="AB658" s="77"/>
      <c r="AC658" s="77"/>
      <c r="AD658" s="77"/>
    </row>
    <row r="659" spans="1:30" x14ac:dyDescent="0.2">
      <c r="A659" s="8"/>
      <c r="B659" s="8"/>
      <c r="U659" s="77"/>
      <c r="V659" s="77"/>
      <c r="W659" s="77"/>
      <c r="X659" s="77"/>
      <c r="Y659" s="77"/>
      <c r="Z659" s="77"/>
      <c r="AA659" s="77"/>
      <c r="AB659" s="77"/>
      <c r="AC659" s="77"/>
      <c r="AD659" s="77"/>
    </row>
    <row r="660" spans="1:30" x14ac:dyDescent="0.2">
      <c r="A660" s="8"/>
      <c r="B660" s="8"/>
      <c r="U660" s="77"/>
      <c r="V660" s="77"/>
      <c r="W660" s="77"/>
      <c r="X660" s="77"/>
      <c r="Y660" s="77"/>
      <c r="Z660" s="77"/>
      <c r="AA660" s="77"/>
      <c r="AB660" s="77"/>
      <c r="AC660" s="77"/>
      <c r="AD660" s="77"/>
    </row>
    <row r="661" spans="1:30" x14ac:dyDescent="0.2">
      <c r="A661" s="8"/>
      <c r="B661" s="8"/>
      <c r="U661" s="77"/>
      <c r="V661" s="77"/>
      <c r="W661" s="77"/>
      <c r="X661" s="77"/>
      <c r="Y661" s="77"/>
      <c r="Z661" s="77"/>
      <c r="AA661" s="77"/>
      <c r="AB661" s="77"/>
      <c r="AC661" s="77"/>
      <c r="AD661" s="77"/>
    </row>
    <row r="662" spans="1:30" x14ac:dyDescent="0.2">
      <c r="A662" s="8"/>
      <c r="B662" s="8"/>
      <c r="U662" s="77"/>
      <c r="V662" s="77"/>
      <c r="W662" s="77"/>
      <c r="X662" s="77"/>
      <c r="Y662" s="77"/>
      <c r="Z662" s="77"/>
      <c r="AA662" s="77"/>
      <c r="AB662" s="77"/>
      <c r="AC662" s="77"/>
      <c r="AD662" s="77"/>
    </row>
    <row r="663" spans="1:30" x14ac:dyDescent="0.2">
      <c r="A663" s="8"/>
      <c r="B663" s="8"/>
      <c r="U663" s="77"/>
      <c r="V663" s="77"/>
      <c r="W663" s="77"/>
      <c r="X663" s="77"/>
      <c r="Y663" s="77"/>
      <c r="Z663" s="77"/>
      <c r="AA663" s="77"/>
      <c r="AB663" s="77"/>
      <c r="AC663" s="77"/>
      <c r="AD663" s="77"/>
    </row>
    <row r="664" spans="1:30" x14ac:dyDescent="0.2">
      <c r="A664" s="8"/>
      <c r="B664" s="8"/>
      <c r="U664" s="77"/>
      <c r="V664" s="77"/>
      <c r="W664" s="77"/>
      <c r="X664" s="77"/>
      <c r="Y664" s="77"/>
      <c r="Z664" s="77"/>
      <c r="AA664" s="77"/>
      <c r="AB664" s="77"/>
      <c r="AC664" s="77"/>
      <c r="AD664" s="77"/>
    </row>
    <row r="665" spans="1:30" x14ac:dyDescent="0.2">
      <c r="A665" s="8"/>
      <c r="B665" s="8"/>
      <c r="U665" s="77"/>
      <c r="V665" s="77"/>
      <c r="W665" s="77"/>
      <c r="X665" s="77"/>
      <c r="Y665" s="77"/>
      <c r="Z665" s="77"/>
      <c r="AA665" s="77"/>
      <c r="AB665" s="77"/>
      <c r="AC665" s="77"/>
      <c r="AD665" s="77"/>
    </row>
    <row r="666" spans="1:30" x14ac:dyDescent="0.2">
      <c r="A666" s="8"/>
      <c r="B666" s="8"/>
      <c r="U666" s="77"/>
      <c r="V666" s="77"/>
      <c r="W666" s="77"/>
      <c r="X666" s="77"/>
      <c r="Y666" s="77"/>
      <c r="Z666" s="77"/>
      <c r="AA666" s="77"/>
      <c r="AB666" s="77"/>
      <c r="AC666" s="77"/>
      <c r="AD666" s="77"/>
    </row>
    <row r="667" spans="1:30" x14ac:dyDescent="0.2">
      <c r="A667" s="8"/>
      <c r="B667" s="8"/>
      <c r="U667" s="77"/>
      <c r="V667" s="77"/>
      <c r="W667" s="77"/>
      <c r="X667" s="77"/>
      <c r="Y667" s="77"/>
      <c r="Z667" s="77"/>
      <c r="AA667" s="77"/>
      <c r="AB667" s="77"/>
      <c r="AC667" s="77"/>
      <c r="AD667" s="77"/>
    </row>
    <row r="668" spans="1:30" x14ac:dyDescent="0.2">
      <c r="A668" s="8"/>
      <c r="B668" s="8"/>
      <c r="U668" s="77"/>
      <c r="V668" s="77"/>
      <c r="W668" s="77"/>
      <c r="X668" s="77"/>
      <c r="Y668" s="77"/>
      <c r="Z668" s="77"/>
      <c r="AA668" s="77"/>
      <c r="AB668" s="77"/>
      <c r="AC668" s="77"/>
      <c r="AD668" s="77"/>
    </row>
    <row r="669" spans="1:30" x14ac:dyDescent="0.2">
      <c r="A669" s="8"/>
      <c r="B669" s="8"/>
      <c r="U669" s="77"/>
      <c r="V669" s="77"/>
      <c r="W669" s="77"/>
      <c r="X669" s="77"/>
      <c r="Y669" s="77"/>
      <c r="Z669" s="77"/>
      <c r="AA669" s="77"/>
      <c r="AB669" s="77"/>
      <c r="AC669" s="77"/>
      <c r="AD669" s="77"/>
    </row>
    <row r="670" spans="1:30" x14ac:dyDescent="0.2">
      <c r="A670" s="8"/>
      <c r="B670" s="8"/>
      <c r="U670" s="77"/>
      <c r="V670" s="77"/>
      <c r="W670" s="77"/>
      <c r="X670" s="77"/>
      <c r="Y670" s="77"/>
      <c r="Z670" s="77"/>
      <c r="AA670" s="77"/>
      <c r="AB670" s="77"/>
      <c r="AC670" s="77"/>
      <c r="AD670" s="77"/>
    </row>
    <row r="671" spans="1:30" x14ac:dyDescent="0.2">
      <c r="A671" s="8"/>
      <c r="B671" s="8"/>
      <c r="U671" s="77"/>
      <c r="V671" s="77"/>
      <c r="W671" s="77"/>
      <c r="X671" s="77"/>
      <c r="Y671" s="77"/>
      <c r="Z671" s="77"/>
      <c r="AA671" s="77"/>
      <c r="AB671" s="77"/>
      <c r="AC671" s="77"/>
      <c r="AD671" s="77"/>
    </row>
    <row r="672" spans="1:30" x14ac:dyDescent="0.2">
      <c r="A672" s="8"/>
      <c r="B672" s="8"/>
      <c r="U672" s="77"/>
      <c r="V672" s="77"/>
      <c r="W672" s="77"/>
      <c r="X672" s="77"/>
      <c r="Y672" s="77"/>
      <c r="Z672" s="77"/>
      <c r="AA672" s="77"/>
      <c r="AB672" s="77"/>
      <c r="AC672" s="77"/>
      <c r="AD672" s="77"/>
    </row>
    <row r="673" spans="1:30" x14ac:dyDescent="0.2">
      <c r="A673" s="8"/>
      <c r="B673" s="8"/>
      <c r="U673" s="77"/>
      <c r="V673" s="77"/>
      <c r="W673" s="77"/>
      <c r="X673" s="77"/>
      <c r="Y673" s="77"/>
      <c r="Z673" s="77"/>
      <c r="AA673" s="77"/>
      <c r="AB673" s="77"/>
      <c r="AC673" s="77"/>
      <c r="AD673" s="77"/>
    </row>
    <row r="674" spans="1:30" x14ac:dyDescent="0.2">
      <c r="A674" s="8"/>
      <c r="B674" s="8"/>
      <c r="U674" s="77"/>
      <c r="V674" s="77"/>
      <c r="W674" s="77"/>
      <c r="X674" s="77"/>
      <c r="Y674" s="77"/>
      <c r="Z674" s="77"/>
      <c r="AA674" s="77"/>
      <c r="AB674" s="77"/>
      <c r="AC674" s="77"/>
      <c r="AD674" s="77"/>
    </row>
    <row r="675" spans="1:30" x14ac:dyDescent="0.2">
      <c r="A675" s="8"/>
      <c r="B675" s="8"/>
      <c r="U675" s="77"/>
      <c r="V675" s="77"/>
      <c r="W675" s="77"/>
      <c r="X675" s="77"/>
      <c r="Y675" s="77"/>
      <c r="Z675" s="77"/>
      <c r="AA675" s="77"/>
      <c r="AB675" s="77"/>
      <c r="AC675" s="77"/>
      <c r="AD675" s="77"/>
    </row>
    <row r="676" spans="1:30" x14ac:dyDescent="0.2">
      <c r="A676" s="8"/>
      <c r="B676" s="8"/>
      <c r="U676" s="77"/>
      <c r="V676" s="77"/>
      <c r="W676" s="77"/>
      <c r="X676" s="77"/>
      <c r="Y676" s="77"/>
      <c r="Z676" s="77"/>
      <c r="AA676" s="77"/>
      <c r="AB676" s="77"/>
      <c r="AC676" s="77"/>
      <c r="AD676" s="77"/>
    </row>
    <row r="677" spans="1:30" x14ac:dyDescent="0.2">
      <c r="A677" s="8"/>
      <c r="B677" s="8"/>
      <c r="U677" s="77"/>
      <c r="V677" s="77"/>
      <c r="W677" s="77"/>
      <c r="X677" s="77"/>
      <c r="Y677" s="77"/>
      <c r="Z677" s="77"/>
      <c r="AA677" s="77"/>
      <c r="AB677" s="77"/>
      <c r="AC677" s="77"/>
      <c r="AD677" s="77"/>
    </row>
    <row r="678" spans="1:30" x14ac:dyDescent="0.2">
      <c r="A678" s="8"/>
      <c r="B678" s="8"/>
      <c r="U678" s="77"/>
      <c r="V678" s="77"/>
      <c r="W678" s="77"/>
      <c r="X678" s="77"/>
      <c r="Y678" s="77"/>
      <c r="Z678" s="77"/>
      <c r="AA678" s="77"/>
      <c r="AB678" s="77"/>
      <c r="AC678" s="77"/>
      <c r="AD678" s="77"/>
    </row>
    <row r="679" spans="1:30" x14ac:dyDescent="0.2">
      <c r="A679" s="8"/>
      <c r="B679" s="8"/>
    </row>
    <row r="680" spans="1:30" x14ac:dyDescent="0.2">
      <c r="A680" s="8"/>
      <c r="B680" s="8"/>
    </row>
    <row r="681" spans="1:30" x14ac:dyDescent="0.2">
      <c r="A681" s="8"/>
      <c r="B681" s="8"/>
    </row>
    <row r="682" spans="1:30" x14ac:dyDescent="0.2">
      <c r="A682" s="8"/>
      <c r="B682" s="8"/>
    </row>
    <row r="683" spans="1:30" x14ac:dyDescent="0.2">
      <c r="A683" s="8"/>
      <c r="B683" s="8"/>
    </row>
    <row r="684" spans="1:30" x14ac:dyDescent="0.2">
      <c r="A684" s="8"/>
      <c r="B684" s="8"/>
    </row>
    <row r="685" spans="1:30" x14ac:dyDescent="0.2">
      <c r="A685" s="8"/>
      <c r="B685" s="8"/>
    </row>
    <row r="686" spans="1:30" x14ac:dyDescent="0.2">
      <c r="A686" s="8"/>
      <c r="B686" s="8"/>
    </row>
    <row r="687" spans="1:30" x14ac:dyDescent="0.2">
      <c r="A687" s="8"/>
      <c r="B687" s="8"/>
    </row>
    <row r="688" spans="1:30" x14ac:dyDescent="0.2">
      <c r="A688" s="8"/>
      <c r="B688" s="8"/>
    </row>
    <row r="689" spans="1:2" x14ac:dyDescent="0.2">
      <c r="A689" s="8"/>
      <c r="B689" s="8"/>
    </row>
    <row r="690" spans="1:2" x14ac:dyDescent="0.2">
      <c r="A690" s="8"/>
      <c r="B690" s="8"/>
    </row>
    <row r="691" spans="1:2" x14ac:dyDescent="0.2">
      <c r="A691" s="8"/>
      <c r="B691" s="8"/>
    </row>
    <row r="692" spans="1:2" x14ac:dyDescent="0.2">
      <c r="A692" s="8"/>
      <c r="B692" s="8"/>
    </row>
    <row r="693" spans="1:2" x14ac:dyDescent="0.2">
      <c r="A693" s="8"/>
      <c r="B693" s="8"/>
    </row>
    <row r="694" spans="1:2" x14ac:dyDescent="0.2">
      <c r="A694" s="8"/>
      <c r="B694" s="8"/>
    </row>
    <row r="695" spans="1:2" x14ac:dyDescent="0.2">
      <c r="A695" s="8"/>
      <c r="B695" s="8"/>
    </row>
    <row r="696" spans="1:2" x14ac:dyDescent="0.2">
      <c r="A696" s="8"/>
      <c r="B696" s="8"/>
    </row>
    <row r="697" spans="1:2" x14ac:dyDescent="0.2">
      <c r="A697" s="8"/>
      <c r="B697" s="8"/>
    </row>
    <row r="698" spans="1:2" x14ac:dyDescent="0.2">
      <c r="A698" s="8"/>
      <c r="B698" s="8"/>
    </row>
    <row r="699" spans="1:2" x14ac:dyDescent="0.2">
      <c r="A699" s="8"/>
      <c r="B699" s="8"/>
    </row>
    <row r="700" spans="1:2" x14ac:dyDescent="0.2">
      <c r="A700" s="8"/>
      <c r="B700" s="8"/>
    </row>
    <row r="701" spans="1:2" x14ac:dyDescent="0.2">
      <c r="A701" s="8"/>
      <c r="B701" s="8"/>
    </row>
    <row r="702" spans="1:2" x14ac:dyDescent="0.2">
      <c r="A702" s="8"/>
      <c r="B702" s="8"/>
    </row>
    <row r="703" spans="1:2" x14ac:dyDescent="0.2">
      <c r="A703" s="8"/>
      <c r="B703" s="8"/>
    </row>
    <row r="704" spans="1:2" x14ac:dyDescent="0.2">
      <c r="A704" s="8"/>
      <c r="B704" s="8"/>
    </row>
    <row r="705" spans="1:2" x14ac:dyDescent="0.2">
      <c r="A705" s="8"/>
      <c r="B705" s="8"/>
    </row>
    <row r="706" spans="1:2" x14ac:dyDescent="0.2">
      <c r="A706" s="8"/>
      <c r="B706" s="8"/>
    </row>
    <row r="707" spans="1:2" x14ac:dyDescent="0.2">
      <c r="A707" s="8"/>
      <c r="B707" s="8"/>
    </row>
    <row r="708" spans="1:2" x14ac:dyDescent="0.2">
      <c r="A708" s="8"/>
      <c r="B708" s="8"/>
    </row>
  </sheetData>
  <mergeCells count="3">
    <mergeCell ref="C9:F9"/>
    <mergeCell ref="O9:Q9"/>
    <mergeCell ref="I9:K9"/>
  </mergeCells>
  <pageMargins left="0.25" right="0.25" top="0.5" bottom="0.5" header="0.25" footer="0.25"/>
  <pageSetup paperSize="17" scale="50" orientation="landscape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CONTROL</vt:lpstr>
      <vt:lpstr>RAP-SOLID FUEL PRICES</vt:lpstr>
      <vt:lpstr>RAP-LIGHT OIL</vt:lpstr>
      <vt:lpstr>RAP-HEAVY OIL&amp;WTI</vt:lpstr>
      <vt:lpstr>RAP-NATURAL GAS PRICES</vt:lpstr>
      <vt:lpstr>RAP TEMPLATE-GAS AVAILABILITY</vt:lpstr>
      <vt:lpstr>'RAP TEMPLATE-GAS AVAILABILITY'!Print_Area</vt:lpstr>
      <vt:lpstr>'RAP-HEAVY OIL&amp;WTI'!Print_Area</vt:lpstr>
      <vt:lpstr>'RAP-LIGHT OIL'!Print_Area</vt:lpstr>
      <vt:lpstr>'RAP-NATURAL GAS PRICES'!Print_Area</vt:lpstr>
      <vt:lpstr>'RAP-SOLID FUEL PRICES'!Print_Area</vt:lpstr>
      <vt:lpstr>'RAP TEMPLATE-GAS AVAILABILITY'!Print_Titles</vt:lpstr>
      <vt:lpstr>'RAP-HEAVY OIL&amp;WTI'!Print_Titles</vt:lpstr>
      <vt:lpstr>'RAP-LIGHT OIL'!Print_Titles</vt:lpstr>
      <vt:lpstr>'RAP-NATURAL GAS PRICES'!Print_Titles</vt:lpstr>
      <vt:lpstr>'RAP-SOLID FUEL PRICES'!Print_Titles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2016-07-29T16:36:53Z</dcterms:created>
  <dcterms:modified xsi:type="dcterms:W3CDTF">2016-07-29T16:38:59Z</dcterms:modified>
</cp:coreProperties>
</file>